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data" ContentType="application/vnd.openxmlformats-officedocument.model+data"/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Definition2.xml" ContentType="application/vnd.openxmlformats-officedocument.spreadsheetml.pivotCacheDefinition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omments1.xml" ContentType="application/vnd.openxmlformats-officedocument.spreadsheetml.comments+xml"/>
  <Override PartName="/xl/comments2.xml" ContentType="application/vnd.openxmlformats-officedocument.spreadsheetml.comments+xml"/>
  <Override PartName="/xl/comments3.xml" ContentType="application/vnd.openxmlformats-officedocument.spreadsheetml.comments+xml"/>
  <Override PartName="/xl/comments4.xml" ContentType="application/vnd.openxmlformats-officedocument.spreadsheetml.comments+xml"/>
  <Override PartName="/xl/threadedComments/threadedComment1.xml" ContentType="application/vnd.ms-excel.threadedcomments+xml"/>
  <Override PartName="/xl/comments5.xml" ContentType="application/vnd.openxmlformats-officedocument.spreadsheetml.comments+xml"/>
  <Override PartName="/xl/threadedComments/threadedComment2.xml" ContentType="application/vnd.ms-excel.threadedcomments+xml"/>
  <Override PartName="/xl/comments6.xml" ContentType="application/vnd.openxmlformats-officedocument.spreadsheetml.comments+xml"/>
  <Override PartName="/xl/threadedComments/threadedComment3.xml" ContentType="application/vnd.ms-excel.threadedcomments+xml"/>
  <Override PartName="/xl/pivotTables/pivotTable1.xml" ContentType="application/vnd.openxmlformats-officedocument.spreadsheetml.pivotTable+xml"/>
  <Override PartName="/xl/pivotTables/pivotTable2.xml" ContentType="application/vnd.openxmlformats-officedocument.spreadsheetml.pivotTable+xml"/>
  <Override PartName="/xl/comments7.xml" ContentType="application/vnd.openxmlformats-officedocument.spreadsheetml.comments+xml"/>
  <Override PartName="/xl/threadedComments/threadedComment4.xml" ContentType="application/vnd.ms-excel.threadedcomments+xml"/>
  <Override PartName="/xl/comments8.xml" ContentType="application/vnd.openxmlformats-officedocument.spreadsheetml.comments+xml"/>
  <Override PartName="/xl/comments9.xml" ContentType="application/vnd.openxmlformats-officedocument.spreadsheetml.comments+xml"/>
  <Override PartName="/xl/threadedComments/threadedComment5.xml" ContentType="application/vnd.ms-excel.threadedcomments+xml"/>
  <Override PartName="/xl/comments10.xml" ContentType="application/vnd.openxmlformats-officedocument.spreadsheetml.comments+xml"/>
  <Override PartName="/xl/threadedComments/threadedComment6.xml" ContentType="application/vnd.ms-excel.threadedcomments+xml"/>
  <Override PartName="/xl/drawings/drawing1.xml" ContentType="application/vnd.openxmlformats-officedocument.drawing+xml"/>
  <Override PartName="/xl/comments11.xml" ContentType="application/vnd.openxmlformats-officedocument.spreadsheetml.comments+xml"/>
  <Override PartName="/xl/comments12.xml" ContentType="application/vnd.openxmlformats-officedocument.spreadsheetml.comments+xml"/>
  <Override PartName="/xl/threadedComments/threadedComment7.xml" ContentType="application/vnd.ms-excel.threadedcomments+xml"/>
  <Override PartName="/xl/comments13.xml" ContentType="application/vnd.openxmlformats-officedocument.spreadsheetml.comments+xml"/>
  <Override PartName="/xl/threadedComments/threadedComment8.xml" ContentType="application/vnd.ms-excel.threadedcomments+xml"/>
  <Override PartName="/xl/comments14.xml" ContentType="application/vnd.openxmlformats-officedocument.spreadsheetml.comments+xml"/>
  <Override PartName="/xl/comments15.xml" ContentType="application/vnd.openxmlformats-officedocument.spreadsheetml.comments+xml"/>
  <Override PartName="/xl/threadedComments/threadedComment9.xml" ContentType="application/vnd.ms-excel.threadedcomments+xml"/>
  <Override PartName="/xl/comments16.xml" ContentType="application/vnd.openxmlformats-officedocument.spreadsheetml.comments+xml"/>
  <Override PartName="/xl/comments17.xml" ContentType="application/vnd.openxmlformats-officedocument.spreadsheetml.comments+xml"/>
  <Override PartName="/xl/persons/person.xml" ContentType="application/vnd.ms-excel.person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531"/>
  <workbookPr defaultThemeVersion="124226"/>
  <mc:AlternateContent xmlns:mc="http://schemas.openxmlformats.org/markup-compatibility/2006">
    <mc:Choice Requires="x15">
      <x15ac:absPath xmlns:x15ac="http://schemas.microsoft.com/office/spreadsheetml/2010/11/ac" url="https://my.novartis.net/personal/mahajvi1_novartis_net/Documents/mahajvi1/money/_Expenses-Inflow-Outflow/"/>
    </mc:Choice>
  </mc:AlternateContent>
  <xr:revisionPtr revIDLastSave="402" documentId="13_ncr:1_{15AC5BC8-E176-4283-A308-58FAF75A607D}" xr6:coauthVersionLast="47" xr6:coauthVersionMax="47" xr10:uidLastSave="{9C1C35F5-7912-4688-8C2B-15EA74989ECF}"/>
  <bookViews>
    <workbookView xWindow="-120" yWindow="-120" windowWidth="29040" windowHeight="15840" firstSheet="8" activeTab="14" xr2:uid="{00000000-000D-0000-FFFF-FFFF00000000}"/>
  </bookViews>
  <sheets>
    <sheet name="MultiYear-R-program" sheetId="41" r:id="rId1"/>
    <sheet name="Calculators-MorningStar" sheetId="43" r:id="rId2"/>
    <sheet name="Overlap" sheetId="44" r:id="rId3"/>
    <sheet name="DaywiseAissgnment" sheetId="42" r:id="rId4"/>
    <sheet name="MF-Combinations" sheetId="40" r:id="rId5"/>
    <sheet name="SalarySplit" sheetId="38" r:id="rId6"/>
    <sheet name="All Exp ICICI and HDFC V&amp;V" sheetId="1" r:id="rId7"/>
    <sheet name="ExpSummaryView" sheetId="24" r:id="rId8"/>
    <sheet name="Vin-Var Summary" sheetId="62" r:id="rId9"/>
    <sheet name="Vin-2001-Till date" sheetId="48" r:id="rId10"/>
    <sheet name="Var-Apr2009-Till date" sheetId="50" r:id="rId11"/>
    <sheet name="HDFC date change" sheetId="57" r:id="rId12"/>
    <sheet name="MonthlyInvestmentOutgo" sheetId="22" r:id="rId13"/>
    <sheet name="Varsha Policies" sheetId="31" r:id="rId14"/>
    <sheet name="Vinay Policies" sheetId="36" r:id="rId15"/>
    <sheet name="%ofCTC_NPS_Tax-Correction" sheetId="35" r:id="rId16"/>
    <sheet name="UmangKomalChldFutEndwmtPru Vyom" sheetId="59" r:id="rId17"/>
    <sheet name="Jeevan Komal" sheetId="32" r:id="rId18"/>
    <sheet name="Jeevan Child future" sheetId="33" r:id="rId19"/>
    <sheet name="YearWiseView" sheetId="34" r:id="rId20"/>
    <sheet name="Calc-Yearly-Outgo" sheetId="37" r:id="rId21"/>
    <sheet name="2021Budget-VPFcalc-Tax" sheetId="30" r:id="rId22"/>
    <sheet name="ICICPruCalc-16thSept2021" sheetId="26" r:id="rId23"/>
    <sheet name="ICICIPruCalc" sheetId="25" r:id="rId24"/>
    <sheet name="CarServicing" sheetId="23" r:id="rId25"/>
    <sheet name="Theoretical expense" sheetId="19" r:id="rId26"/>
    <sheet name="VinayMFtillApr2019" sheetId="21" r:id="rId27"/>
    <sheet name="Vin-Source ICICI 2001-Mar2004" sheetId="45" r:id="rId28"/>
    <sheet name="Vin-Source ICICI 2006-Mar2009" sheetId="46" r:id="rId29"/>
    <sheet name="All HDFC expenses" sheetId="7" r:id="rId30"/>
    <sheet name="HDFC 2011-16April" sheetId="2" r:id="rId31"/>
    <sheet name="ICICI April2015-Mar2016" sheetId="8" r:id="rId32"/>
    <sheet name="Varsha All" sheetId="12" r:id="rId33"/>
    <sheet name="Varsha 2009-10" sheetId="10" r:id="rId34"/>
  </sheets>
  <definedNames>
    <definedName name="_xlnm._FilterDatabase" localSheetId="29" hidden="1">'All HDFC expenses'!$A$1:$I$96</definedName>
    <definedName name="_xlnm._FilterDatabase" localSheetId="3" hidden="1">DaywiseAissgnment!$P$1:$R$29</definedName>
    <definedName name="_xlnm._FilterDatabase" localSheetId="30" hidden="1">'HDFC 2011-16April'!$A$1:$G$304</definedName>
    <definedName name="_xlnm._FilterDatabase" localSheetId="31" hidden="1">'ICICI April2015-Mar2016'!$A$1:$H$151</definedName>
    <definedName name="_xlnm._FilterDatabase" localSheetId="10" hidden="1">'Var-Apr2009-Till date'!$A$1:$J$5328</definedName>
    <definedName name="_xlnm._FilterDatabase" localSheetId="32" hidden="1">'Varsha All'!$A$1:$I$414</definedName>
    <definedName name="_xlnm._FilterDatabase" localSheetId="9" hidden="1">'Vin-2001-Till date'!$A$1:$H$4646</definedName>
    <definedName name="_xlcn.WorksheetConnection_VarApr2009Mar2023AG" hidden="1">'Var-Apr2009-Till date'!$A:$G</definedName>
    <definedName name="_xlcn.WorksheetConnection_Vin2001Mar2023AG" hidden="1">'Vin-2001-Till date'!$A:$G</definedName>
  </definedNames>
  <calcPr calcId="191028" concurrentCalc="0"/>
  <pivotCaches>
    <pivotCache cacheId="0" r:id="rId35"/>
    <pivotCache cacheId="1" r:id="rId36"/>
  </pivotCaches>
  <extLst>
    <ext xmlns:x15="http://schemas.microsoft.com/office/spreadsheetml/2010/11/main" uri="{FCE2AD5D-F65C-4FA6-A056-5C36A1767C68}">
      <x15:dataModel>
        <x15:modelTables>
          <x15:modelTable id="Range 1" name="Range 1" connection="WorksheetConnection_Vin-2001-Mar2023!$A:$G"/>
          <x15:modelTable id="Range" name="Range" connection="WorksheetConnection_Var-Apr2009-Mar2023!$A:$G"/>
        </x15:modelTables>
        <x15:extLst>
          <ext xmlns:x16="http://schemas.microsoft.com/office/spreadsheetml/2014/11/main" uri="{9835A34E-60A6-4A7C-AAB8-D5F71C897F49}">
            <x16:modelTimeGroupings>
              <x16:modelTimeGrouping tableName="Range" columnName="DATE" columnId="DATE">
                <x16:calculatedTimeColumn columnName="DATE (Year)" columnId="DATE (Year)" contentType="years" isSelected="1"/>
                <x16:calculatedTimeColumn columnName="DATE (Quarter)" columnId="DATE (Quarter)" contentType="quarters" isSelected="1"/>
                <x16:calculatedTimeColumn columnName="DATE (Month Index)" columnId="DATE (Month Index)" contentType="monthsindex" isSelected="1"/>
                <x16:calculatedTimeColumn columnName="DATE (Month)" columnId="DATE (Month)" contentType="months" isSelected="1"/>
              </x16:modelTimeGrouping>
              <x16:modelTimeGrouping tableName="Range 1" columnName="DATE" columnId="DATE">
                <x16:calculatedTimeColumn columnName="DATE (Year)" columnId="DATE (Year)" contentType="years" isSelected="1"/>
                <x16:calculatedTimeColumn columnName="DATE (Quarter)" columnId="DATE (Quarter)" contentType="quarters" isSelected="1"/>
                <x16:calculatedTimeColumn columnName="DATE (Month Index)" columnId="DATE (Month Index)" contentType="monthsindex" isSelected="1"/>
                <x16:calculatedTimeColumn columnName="DATE (Month)" columnId="DATE (Month)" contentType="months" isSelected="1"/>
              </x16:modelTimeGrouping>
            </x16:modelTimeGroupings>
          </ext>
        </x15:extLst>
      </x15:dataModel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R16" i="24" l="1"/>
  <c r="DE7" i="1"/>
  <c r="DF7" i="1"/>
  <c r="AD11" i="33"/>
  <c r="W11" i="33"/>
  <c r="AO58" i="31"/>
  <c r="R20" i="24"/>
  <c r="AN59" i="31"/>
  <c r="AN58" i="31"/>
  <c r="AM59" i="31"/>
  <c r="AM58" i="31"/>
  <c r="AL59" i="31"/>
  <c r="AL58" i="31"/>
  <c r="AK59" i="31"/>
  <c r="AK58" i="31"/>
  <c r="AJ59" i="31"/>
  <c r="AJ58" i="31"/>
  <c r="AI59" i="31"/>
  <c r="AI58" i="31"/>
  <c r="AH59" i="31"/>
  <c r="AH58" i="31"/>
  <c r="AG59" i="31"/>
  <c r="AF59" i="31"/>
  <c r="AE59" i="31"/>
  <c r="W42" i="36"/>
  <c r="AD46" i="31"/>
  <c r="AD47" i="31"/>
  <c r="AD50" i="31"/>
  <c r="AD59" i="31"/>
  <c r="AG58" i="31"/>
  <c r="AF58" i="31"/>
  <c r="AE58" i="31"/>
  <c r="AD58" i="31"/>
  <c r="AA42" i="31"/>
  <c r="DE36" i="1"/>
  <c r="AM2" i="25"/>
  <c r="AQ2" i="25"/>
  <c r="R15" i="24"/>
  <c r="R28" i="38"/>
  <c r="R27" i="38"/>
  <c r="R26" i="38"/>
  <c r="N28" i="38"/>
  <c r="M28" i="38"/>
  <c r="N27" i="38"/>
  <c r="M27" i="38"/>
  <c r="J26" i="38"/>
  <c r="B26" i="38"/>
  <c r="DE23" i="1"/>
  <c r="BI40" i="31"/>
  <c r="BI39" i="31"/>
  <c r="BI38" i="31"/>
  <c r="BB38" i="36"/>
  <c r="BB40" i="36"/>
  <c r="BB39" i="36"/>
  <c r="Q23" i="24"/>
  <c r="Q20" i="24"/>
  <c r="CX76" i="1"/>
  <c r="CW12" i="1"/>
  <c r="CX73" i="1"/>
  <c r="CX72" i="1"/>
  <c r="CX71" i="1"/>
  <c r="DD17" i="1"/>
  <c r="DC17" i="1"/>
  <c r="DB17" i="1"/>
  <c r="DA17" i="1"/>
  <c r="DE13" i="1"/>
  <c r="DF13" i="1"/>
  <c r="DE12" i="1"/>
  <c r="DF12" i="1"/>
  <c r="DE11" i="1"/>
  <c r="DF11" i="1"/>
  <c r="DE10" i="1"/>
  <c r="DF10" i="1"/>
  <c r="DE9" i="1"/>
  <c r="DF9" i="1"/>
  <c r="DE8" i="1"/>
  <c r="DF8" i="1"/>
  <c r="DE6" i="1"/>
  <c r="DF6" i="1"/>
  <c r="DE5" i="1"/>
  <c r="DF5" i="1"/>
  <c r="DE4" i="1"/>
  <c r="DF4" i="1"/>
  <c r="DE3" i="1"/>
  <c r="DF3" i="1"/>
  <c r="DE2" i="1"/>
  <c r="CX69" i="1"/>
  <c r="CY11" i="1"/>
  <c r="CX66" i="1"/>
  <c r="K25" i="38"/>
  <c r="CY9" i="1"/>
  <c r="CY10" i="1"/>
  <c r="CV9" i="1"/>
  <c r="Q16" i="24"/>
  <c r="CX58" i="1"/>
  <c r="P6" i="24"/>
  <c r="O6" i="24"/>
  <c r="R10" i="24"/>
  <c r="DE14" i="1"/>
  <c r="DE16" i="1"/>
  <c r="DE17" i="1"/>
  <c r="R4" i="24"/>
  <c r="DF2" i="1"/>
  <c r="Q12" i="24"/>
  <c r="F9" i="25"/>
  <c r="F12" i="25"/>
  <c r="F11" i="25"/>
  <c r="F10" i="25"/>
  <c r="F8" i="25"/>
  <c r="F7" i="25"/>
  <c r="F4" i="25"/>
  <c r="F5" i="25"/>
  <c r="F6" i="25"/>
  <c r="AZ56" i="31"/>
  <c r="AZ53" i="31"/>
  <c r="V2" i="57"/>
  <c r="CX52" i="1"/>
  <c r="X2" i="57"/>
  <c r="AF52" i="26"/>
  <c r="AF51" i="26"/>
  <c r="K52" i="26"/>
  <c r="K51" i="26"/>
  <c r="AI91" i="26"/>
  <c r="N91" i="26"/>
  <c r="AN71" i="26"/>
  <c r="AM71" i="26"/>
  <c r="AL71" i="26"/>
  <c r="AK71" i="26"/>
  <c r="AJ71" i="26"/>
  <c r="AH71" i="26"/>
  <c r="AG71" i="26"/>
  <c r="AD71" i="26"/>
  <c r="S71" i="26"/>
  <c r="R71" i="26"/>
  <c r="Q71" i="26"/>
  <c r="P71" i="26"/>
  <c r="O71" i="26"/>
  <c r="M71" i="26"/>
  <c r="L71" i="26"/>
  <c r="I71" i="26"/>
  <c r="AI52" i="26"/>
  <c r="AI51" i="26"/>
  <c r="N52" i="26"/>
  <c r="N51" i="26"/>
  <c r="R15" i="38"/>
  <c r="R7" i="38"/>
  <c r="R8" i="38"/>
  <c r="R9" i="38"/>
  <c r="R10" i="38"/>
  <c r="R11" i="38"/>
  <c r="K2" i="38"/>
  <c r="E2" i="38"/>
  <c r="N11" i="38"/>
  <c r="N10" i="38"/>
  <c r="N9" i="38"/>
  <c r="N8" i="38"/>
  <c r="N7" i="38"/>
  <c r="H6" i="38"/>
  <c r="F6" i="38"/>
  <c r="R6" i="38"/>
  <c r="F3" i="38"/>
  <c r="A38" i="38"/>
  <c r="A37" i="38"/>
  <c r="A36" i="38"/>
  <c r="A35" i="38"/>
  <c r="N15" i="38"/>
  <c r="CY5" i="1"/>
  <c r="E15" i="62"/>
  <c r="L15" i="62"/>
  <c r="CX44" i="1"/>
  <c r="Q14" i="24"/>
  <c r="CX43" i="1"/>
  <c r="Q24" i="24"/>
  <c r="CX40" i="1"/>
  <c r="J16" i="38"/>
  <c r="M16" i="38"/>
  <c r="M9" i="38"/>
  <c r="M10" i="38"/>
  <c r="J12" i="38"/>
  <c r="M12" i="38"/>
  <c r="J13" i="38"/>
  <c r="M13" i="38"/>
  <c r="A34" i="38"/>
  <c r="A33" i="38"/>
  <c r="A32" i="38"/>
  <c r="A31" i="38"/>
  <c r="M15" i="38"/>
  <c r="M11" i="38"/>
  <c r="M8" i="38"/>
  <c r="M7" i="38"/>
  <c r="M6" i="38"/>
  <c r="M5" i="38"/>
  <c r="M4" i="38"/>
  <c r="M3" i="38"/>
  <c r="AL15" i="25"/>
  <c r="AK5" i="25"/>
  <c r="AK6" i="25"/>
  <c r="AK7" i="25"/>
  <c r="AK8" i="25"/>
  <c r="AK9" i="25"/>
  <c r="AK10" i="25"/>
  <c r="AK11" i="25"/>
  <c r="AK12" i="25"/>
  <c r="AK13" i="25"/>
  <c r="AK14" i="25"/>
  <c r="AK15" i="25"/>
  <c r="AK16" i="25"/>
  <c r="AK17" i="25"/>
  <c r="AK18" i="25"/>
  <c r="AK19" i="25"/>
  <c r="AK20" i="25"/>
  <c r="AK21" i="25"/>
  <c r="AK22" i="25"/>
  <c r="AK23" i="25"/>
  <c r="AK24" i="25"/>
  <c r="AK25" i="25"/>
  <c r="AK26" i="25"/>
  <c r="AK27" i="25"/>
  <c r="AP2" i="25"/>
  <c r="AL2" i="25"/>
  <c r="AB3055" i="57"/>
  <c r="X3055" i="57"/>
  <c r="Y3055" i="57"/>
  <c r="AB3054" i="57"/>
  <c r="AB3053" i="57"/>
  <c r="AB3052" i="57"/>
  <c r="X3052" i="57"/>
  <c r="Y3052" i="57"/>
  <c r="V3052" i="57"/>
  <c r="AB3051" i="57"/>
  <c r="W3051" i="57"/>
  <c r="AB3050" i="57"/>
  <c r="AB3049" i="57"/>
  <c r="V3049" i="57"/>
  <c r="W3049" i="57"/>
  <c r="AB3048" i="57"/>
  <c r="AB3047" i="57"/>
  <c r="W3047" i="57"/>
  <c r="AB3046" i="57"/>
  <c r="AB3045" i="57"/>
  <c r="V3045" i="57"/>
  <c r="AB3044" i="57"/>
  <c r="AB3043" i="57"/>
  <c r="W3043" i="57"/>
  <c r="AB3042" i="57"/>
  <c r="AB3041" i="57"/>
  <c r="V3041" i="57"/>
  <c r="AB3040" i="57"/>
  <c r="X3040" i="57"/>
  <c r="Y3040" i="57"/>
  <c r="W3040" i="57"/>
  <c r="AB3039" i="57"/>
  <c r="W3039" i="57"/>
  <c r="AB3038" i="57"/>
  <c r="W3038" i="57"/>
  <c r="AB3037" i="57"/>
  <c r="V3037" i="57"/>
  <c r="X3037" i="57"/>
  <c r="Y3037" i="57"/>
  <c r="AA3037" i="57"/>
  <c r="W3037" i="57"/>
  <c r="AB3036" i="57"/>
  <c r="AB3035" i="57"/>
  <c r="W3035" i="57"/>
  <c r="AB3034" i="57"/>
  <c r="W3034" i="57"/>
  <c r="AB3033" i="57"/>
  <c r="AB3032" i="57"/>
  <c r="X3032" i="57"/>
  <c r="Y3032" i="57"/>
  <c r="V3032" i="57"/>
  <c r="AB3031" i="57"/>
  <c r="AB3030" i="57"/>
  <c r="W3030" i="57"/>
  <c r="AB3029" i="57"/>
  <c r="AB3028" i="57"/>
  <c r="X3028" i="57"/>
  <c r="Y3028" i="57"/>
  <c r="AB3027" i="57"/>
  <c r="AB3026" i="57"/>
  <c r="W3026" i="57"/>
  <c r="AB3025" i="57"/>
  <c r="AB3024" i="57"/>
  <c r="X3024" i="57"/>
  <c r="Y3024" i="57"/>
  <c r="AB3023" i="57"/>
  <c r="W3023" i="57"/>
  <c r="AB3022" i="57"/>
  <c r="W3022" i="57"/>
  <c r="AB3021" i="57"/>
  <c r="V3021" i="57"/>
  <c r="X3021" i="57"/>
  <c r="Y3021" i="57"/>
  <c r="AB3020" i="57"/>
  <c r="X3020" i="57"/>
  <c r="Y3020" i="57"/>
  <c r="AB3019" i="57"/>
  <c r="W3019" i="57"/>
  <c r="AB3018" i="57"/>
  <c r="AB3017" i="57"/>
  <c r="V3017" i="57"/>
  <c r="W3017" i="57"/>
  <c r="AB3016" i="57"/>
  <c r="AB3015" i="57"/>
  <c r="W3015" i="57"/>
  <c r="AB3014" i="57"/>
  <c r="AB3013" i="57"/>
  <c r="V3013" i="57"/>
  <c r="X3013" i="57"/>
  <c r="Y3013" i="57"/>
  <c r="AB3012" i="57"/>
  <c r="AB3011" i="57"/>
  <c r="W3011" i="57"/>
  <c r="AB3010" i="57"/>
  <c r="AB3009" i="57"/>
  <c r="V3009" i="57"/>
  <c r="AB3008" i="57"/>
  <c r="X3008" i="57"/>
  <c r="Y3008" i="57"/>
  <c r="AB3007" i="57"/>
  <c r="W3007" i="57"/>
  <c r="AB3006" i="57"/>
  <c r="W3006" i="57"/>
  <c r="AB3005" i="57"/>
  <c r="V3005" i="57"/>
  <c r="AB3004" i="57"/>
  <c r="X3004" i="57"/>
  <c r="Y3004" i="57"/>
  <c r="AB3003" i="57"/>
  <c r="W3003" i="57"/>
  <c r="AB3002" i="57"/>
  <c r="W3002" i="57"/>
  <c r="AB3001" i="57"/>
  <c r="AB3000" i="57"/>
  <c r="X3000" i="57"/>
  <c r="Y3000" i="57"/>
  <c r="V3000" i="57"/>
  <c r="AB2999" i="57"/>
  <c r="AB2998" i="57"/>
  <c r="W2998" i="57"/>
  <c r="AB2997" i="57"/>
  <c r="AB2996" i="57"/>
  <c r="X2996" i="57"/>
  <c r="Y2996" i="57"/>
  <c r="AB2995" i="57"/>
  <c r="AB2994" i="57"/>
  <c r="W2994" i="57"/>
  <c r="AB2993" i="57"/>
  <c r="V2993" i="57"/>
  <c r="AB2992" i="57"/>
  <c r="X2992" i="57"/>
  <c r="Y2992" i="57"/>
  <c r="AB2991" i="57"/>
  <c r="W2991" i="57"/>
  <c r="AB2990" i="57"/>
  <c r="W2990" i="57"/>
  <c r="AB2989" i="57"/>
  <c r="V2989" i="57"/>
  <c r="X2989" i="57"/>
  <c r="Y2989" i="57"/>
  <c r="W2989" i="57"/>
  <c r="AB2988" i="57"/>
  <c r="X2988" i="57"/>
  <c r="Y2988" i="57"/>
  <c r="AB2987" i="57"/>
  <c r="W2987" i="57"/>
  <c r="AB2986" i="57"/>
  <c r="AB2985" i="57"/>
  <c r="V2985" i="57"/>
  <c r="Y2985" i="57"/>
  <c r="X2985" i="57"/>
  <c r="AB2984" i="57"/>
  <c r="AB2983" i="57"/>
  <c r="W2983" i="57"/>
  <c r="AB2982" i="57"/>
  <c r="AB2981" i="57"/>
  <c r="V2981" i="57"/>
  <c r="X2981" i="57"/>
  <c r="Y2981" i="57"/>
  <c r="AB2980" i="57"/>
  <c r="AB2979" i="57"/>
  <c r="W2979" i="57"/>
  <c r="AB2978" i="57"/>
  <c r="AB2977" i="57"/>
  <c r="V2977" i="57"/>
  <c r="AB2976" i="57"/>
  <c r="X2976" i="57"/>
  <c r="Y2976" i="57"/>
  <c r="W2976" i="57"/>
  <c r="AB2975" i="57"/>
  <c r="W2975" i="57"/>
  <c r="AB2974" i="57"/>
  <c r="W2974" i="57"/>
  <c r="AB2973" i="57"/>
  <c r="V2973" i="57"/>
  <c r="AB2972" i="57"/>
  <c r="AB2971" i="57"/>
  <c r="W2971" i="57"/>
  <c r="AB2970" i="57"/>
  <c r="W2970" i="57"/>
  <c r="AB2969" i="57"/>
  <c r="AB2968" i="57"/>
  <c r="X2968" i="57"/>
  <c r="Y2968" i="57"/>
  <c r="AB2967" i="57"/>
  <c r="AB2966" i="57"/>
  <c r="W2966" i="57"/>
  <c r="AB2965" i="57"/>
  <c r="AB2964" i="57"/>
  <c r="X2964" i="57"/>
  <c r="Y2964" i="57"/>
  <c r="AB2963" i="57"/>
  <c r="AB2962" i="57"/>
  <c r="W2962" i="57"/>
  <c r="AB2961" i="57"/>
  <c r="V2961" i="57"/>
  <c r="X2961" i="57"/>
  <c r="Y2961" i="57"/>
  <c r="AB2960" i="57"/>
  <c r="X2960" i="57"/>
  <c r="Y2960" i="57"/>
  <c r="AB2959" i="57"/>
  <c r="W2959" i="57"/>
  <c r="AB2958" i="57"/>
  <c r="W2958" i="57"/>
  <c r="AB2957" i="57"/>
  <c r="V2957" i="57"/>
  <c r="X2957" i="57"/>
  <c r="Y2957" i="57"/>
  <c r="AB2956" i="57"/>
  <c r="X2956" i="57"/>
  <c r="Y2956" i="57"/>
  <c r="AB2955" i="57"/>
  <c r="W2955" i="57"/>
  <c r="AB2954" i="57"/>
  <c r="AB2953" i="57"/>
  <c r="V2953" i="57"/>
  <c r="W2953" i="57"/>
  <c r="AB2952" i="57"/>
  <c r="AB2951" i="57"/>
  <c r="W2951" i="57"/>
  <c r="AB2950" i="57"/>
  <c r="AB2949" i="57"/>
  <c r="V2949" i="57"/>
  <c r="X2949" i="57"/>
  <c r="Y2949" i="57"/>
  <c r="AB2948" i="57"/>
  <c r="AB2947" i="57"/>
  <c r="W2947" i="57"/>
  <c r="AB2946" i="57"/>
  <c r="AB2945" i="57"/>
  <c r="V2945" i="57"/>
  <c r="AB2944" i="57"/>
  <c r="X2944" i="57"/>
  <c r="Y2944" i="57"/>
  <c r="W2944" i="57"/>
  <c r="AB2943" i="57"/>
  <c r="W2943" i="57"/>
  <c r="AB2942" i="57"/>
  <c r="W2942" i="57"/>
  <c r="X2942" i="57"/>
  <c r="Y2942" i="57"/>
  <c r="V2942" i="57"/>
  <c r="AB2941" i="57"/>
  <c r="X2941" i="57"/>
  <c r="Y2941" i="57"/>
  <c r="W2941" i="57"/>
  <c r="AB2940" i="57"/>
  <c r="X2940" i="57"/>
  <c r="Y2940" i="57"/>
  <c r="W2940" i="57"/>
  <c r="V2940" i="57"/>
  <c r="AB2939" i="57"/>
  <c r="AB2938" i="57"/>
  <c r="W2938" i="57"/>
  <c r="V2938" i="57"/>
  <c r="AB2937" i="57"/>
  <c r="X2937" i="57"/>
  <c r="Y2937" i="57"/>
  <c r="W2937" i="57"/>
  <c r="V2937" i="57"/>
  <c r="AB2936" i="57"/>
  <c r="AB2935" i="57"/>
  <c r="AB2934" i="57"/>
  <c r="AB2933" i="57"/>
  <c r="X2933" i="57"/>
  <c r="Y2933" i="57"/>
  <c r="W2933" i="57"/>
  <c r="V2933" i="57"/>
  <c r="AB2932" i="57"/>
  <c r="X2932" i="57"/>
  <c r="Y2932" i="57"/>
  <c r="W2932" i="57"/>
  <c r="AB2931" i="57"/>
  <c r="AB2930" i="57"/>
  <c r="X2930" i="57"/>
  <c r="Y2930" i="57"/>
  <c r="AB2929" i="57"/>
  <c r="X2929" i="57"/>
  <c r="Y2929" i="57"/>
  <c r="W2929" i="57"/>
  <c r="AB2928" i="57"/>
  <c r="X2928" i="57"/>
  <c r="Y2928" i="57"/>
  <c r="AB2927" i="57"/>
  <c r="W2927" i="57"/>
  <c r="AB2926" i="57"/>
  <c r="AB2925" i="57"/>
  <c r="X2925" i="57"/>
  <c r="Y2925" i="57"/>
  <c r="AB2924" i="57"/>
  <c r="X2924" i="57"/>
  <c r="Y2924" i="57"/>
  <c r="W2924" i="57"/>
  <c r="AB2923" i="57"/>
  <c r="W2923" i="57"/>
  <c r="AB2922" i="57"/>
  <c r="V2922" i="57"/>
  <c r="AB2921" i="57"/>
  <c r="X2921" i="57"/>
  <c r="Y2921" i="57"/>
  <c r="W2921" i="57"/>
  <c r="AB2920" i="57"/>
  <c r="W2920" i="57"/>
  <c r="AB2919" i="57"/>
  <c r="W2919" i="57"/>
  <c r="AB2918" i="57"/>
  <c r="AB2917" i="57"/>
  <c r="X2917" i="57"/>
  <c r="Y2917" i="57"/>
  <c r="W2917" i="57"/>
  <c r="AB2916" i="57"/>
  <c r="W2916" i="57"/>
  <c r="AB2915" i="57"/>
  <c r="AB2914" i="57"/>
  <c r="AB2913" i="57"/>
  <c r="AB2912" i="57"/>
  <c r="W2912" i="57"/>
  <c r="AB2911" i="57"/>
  <c r="AB2910" i="57"/>
  <c r="V2910" i="57"/>
  <c r="AB2909" i="57"/>
  <c r="AB2908" i="57"/>
  <c r="W2908" i="57"/>
  <c r="AB2907" i="57"/>
  <c r="AB2906" i="57"/>
  <c r="V2906" i="57"/>
  <c r="Y2906" i="57"/>
  <c r="X2906" i="57"/>
  <c r="W2906" i="57"/>
  <c r="AB2905" i="57"/>
  <c r="X2905" i="57"/>
  <c r="Y2905" i="57"/>
  <c r="AB2904" i="57"/>
  <c r="W2904" i="57"/>
  <c r="AB2903" i="57"/>
  <c r="W2903" i="57"/>
  <c r="AB2902" i="57"/>
  <c r="AB2901" i="57"/>
  <c r="AB2900" i="57"/>
  <c r="W2900" i="57"/>
  <c r="AB2899" i="57"/>
  <c r="W2899" i="57"/>
  <c r="AB2898" i="57"/>
  <c r="AB2897" i="57"/>
  <c r="X2897" i="57"/>
  <c r="Y2897" i="57"/>
  <c r="W2897" i="57"/>
  <c r="V2897" i="57"/>
  <c r="AB2896" i="57"/>
  <c r="AB2895" i="57"/>
  <c r="W2895" i="57"/>
  <c r="AB2894" i="57"/>
  <c r="AB2893" i="57"/>
  <c r="X2893" i="57"/>
  <c r="Y2893" i="57"/>
  <c r="AB2892" i="57"/>
  <c r="AB2891" i="57"/>
  <c r="V2891" i="57"/>
  <c r="X2891" i="57"/>
  <c r="Y2891" i="57"/>
  <c r="AA2891" i="57"/>
  <c r="W2891" i="57"/>
  <c r="AB2890" i="57"/>
  <c r="AB2889" i="57"/>
  <c r="X2889" i="57"/>
  <c r="Y2889" i="57"/>
  <c r="W2889" i="57"/>
  <c r="AB2888" i="57"/>
  <c r="AB2887" i="57"/>
  <c r="V2887" i="57"/>
  <c r="X2887" i="57"/>
  <c r="Y2887" i="57"/>
  <c r="W2887" i="57"/>
  <c r="AB2886" i="57"/>
  <c r="W2886" i="57"/>
  <c r="AB2885" i="57"/>
  <c r="X2885" i="57"/>
  <c r="Y2885" i="57"/>
  <c r="W2885" i="57"/>
  <c r="AB2884" i="57"/>
  <c r="W2884" i="57"/>
  <c r="AB2883" i="57"/>
  <c r="V2883" i="57"/>
  <c r="AB2882" i="57"/>
  <c r="AB2881" i="57"/>
  <c r="AB2880" i="57"/>
  <c r="W2880" i="57"/>
  <c r="AB2879" i="57"/>
  <c r="AB2878" i="57"/>
  <c r="W2878" i="57"/>
  <c r="AB2877" i="57"/>
  <c r="W2877" i="57"/>
  <c r="V2877" i="57"/>
  <c r="AB2876" i="57"/>
  <c r="AB2875" i="57"/>
  <c r="W2875" i="57"/>
  <c r="AB2874" i="57"/>
  <c r="W2874" i="57"/>
  <c r="AB2873" i="57"/>
  <c r="AB2872" i="57"/>
  <c r="AB2871" i="57"/>
  <c r="V2871" i="57"/>
  <c r="X2871" i="57"/>
  <c r="Y2871" i="57"/>
  <c r="AB2870" i="57"/>
  <c r="X2870" i="57"/>
  <c r="Y2870" i="57"/>
  <c r="AB2869" i="57"/>
  <c r="X2869" i="57"/>
  <c r="Y2869" i="57"/>
  <c r="W2869" i="57"/>
  <c r="V2869" i="57"/>
  <c r="AB2868" i="57"/>
  <c r="X2868" i="57"/>
  <c r="Y2868" i="57"/>
  <c r="AB2867" i="57"/>
  <c r="V2867" i="57"/>
  <c r="AB2866" i="57"/>
  <c r="X2866" i="57"/>
  <c r="Y2866" i="57"/>
  <c r="W2866" i="57"/>
  <c r="V2866" i="57"/>
  <c r="AB2865" i="57"/>
  <c r="V2865" i="57"/>
  <c r="X2865" i="57"/>
  <c r="Y2865" i="57"/>
  <c r="AB2864" i="57"/>
  <c r="X2864" i="57"/>
  <c r="Y2864" i="57"/>
  <c r="AB2863" i="57"/>
  <c r="V2863" i="57"/>
  <c r="X2863" i="57"/>
  <c r="Y2863" i="57"/>
  <c r="W2863" i="57"/>
  <c r="AB2862" i="57"/>
  <c r="AB2861" i="57"/>
  <c r="AB2860" i="57"/>
  <c r="AB2859" i="57"/>
  <c r="AB2858" i="57"/>
  <c r="X2858" i="57"/>
  <c r="Y2858" i="57"/>
  <c r="AB2857" i="57"/>
  <c r="AB2856" i="57"/>
  <c r="AB2855" i="57"/>
  <c r="V2855" i="57"/>
  <c r="Y2855" i="57"/>
  <c r="X2855" i="57"/>
  <c r="W2855" i="57"/>
  <c r="AB2854" i="57"/>
  <c r="X2854" i="57"/>
  <c r="Y2854" i="57"/>
  <c r="W2854" i="57"/>
  <c r="V2854" i="57"/>
  <c r="AB2853" i="57"/>
  <c r="AB2852" i="57"/>
  <c r="X2852" i="57"/>
  <c r="Y2852" i="57"/>
  <c r="V2852" i="57"/>
  <c r="AB2851" i="57"/>
  <c r="V2851" i="57"/>
  <c r="X2851" i="57"/>
  <c r="Y2851" i="57"/>
  <c r="W2851" i="57"/>
  <c r="AA2851" i="57"/>
  <c r="AB2850" i="57"/>
  <c r="AB2849" i="57"/>
  <c r="W2849" i="57"/>
  <c r="AB2848" i="57"/>
  <c r="X2848" i="57"/>
  <c r="Y2848" i="57"/>
  <c r="W2848" i="57"/>
  <c r="V2848" i="57"/>
  <c r="AB2847" i="57"/>
  <c r="AB2846" i="57"/>
  <c r="V2846" i="57"/>
  <c r="X2846" i="57"/>
  <c r="Y2846" i="57"/>
  <c r="AB2845" i="57"/>
  <c r="X2845" i="57"/>
  <c r="Y2845" i="57"/>
  <c r="W2845" i="57"/>
  <c r="V2845" i="57"/>
  <c r="AB2844" i="57"/>
  <c r="AB2843" i="57"/>
  <c r="AB2842" i="57"/>
  <c r="W2842" i="57"/>
  <c r="X2842" i="57"/>
  <c r="Y2842" i="57"/>
  <c r="AA2842" i="57"/>
  <c r="V2842" i="57"/>
  <c r="AB2841" i="57"/>
  <c r="AB2840" i="57"/>
  <c r="X2840" i="57"/>
  <c r="Y2840" i="57"/>
  <c r="W2840" i="57"/>
  <c r="AB2839" i="57"/>
  <c r="V2839" i="57"/>
  <c r="X2839" i="57"/>
  <c r="Y2839" i="57"/>
  <c r="AB2838" i="57"/>
  <c r="X2838" i="57"/>
  <c r="Y2838" i="57"/>
  <c r="AB2837" i="57"/>
  <c r="V2837" i="57"/>
  <c r="AB2836" i="57"/>
  <c r="X2836" i="57"/>
  <c r="Y2836" i="57"/>
  <c r="W2836" i="57"/>
  <c r="AB2835" i="57"/>
  <c r="V2835" i="57"/>
  <c r="AB2834" i="57"/>
  <c r="W2834" i="57"/>
  <c r="AB2833" i="57"/>
  <c r="AB2832" i="57"/>
  <c r="X2832" i="57"/>
  <c r="Y2832" i="57"/>
  <c r="AB2831" i="57"/>
  <c r="W2831" i="57"/>
  <c r="AB2830" i="57"/>
  <c r="AB2829" i="57"/>
  <c r="AB2828" i="57"/>
  <c r="X2828" i="57"/>
  <c r="Y2828" i="57"/>
  <c r="W2828" i="57"/>
  <c r="V2828" i="57"/>
  <c r="AB2827" i="57"/>
  <c r="AB2826" i="57"/>
  <c r="V2826" i="57"/>
  <c r="X2826" i="57"/>
  <c r="Y2826" i="57"/>
  <c r="AB2825" i="57"/>
  <c r="X2825" i="57"/>
  <c r="Y2825" i="57"/>
  <c r="W2825" i="57"/>
  <c r="V2825" i="57"/>
  <c r="AB2824" i="57"/>
  <c r="AB2823" i="57"/>
  <c r="W2823" i="57"/>
  <c r="AB2822" i="57"/>
  <c r="X2822" i="57"/>
  <c r="Y2822" i="57"/>
  <c r="W2822" i="57"/>
  <c r="V2822" i="57"/>
  <c r="AB2821" i="57"/>
  <c r="AB2820" i="57"/>
  <c r="X2820" i="57"/>
  <c r="Y2820" i="57"/>
  <c r="V2820" i="57"/>
  <c r="AB2819" i="57"/>
  <c r="V2819" i="57"/>
  <c r="Y2819" i="57"/>
  <c r="X2819" i="57"/>
  <c r="W2819" i="57"/>
  <c r="AB2818" i="57"/>
  <c r="AB2817" i="57"/>
  <c r="AB2816" i="57"/>
  <c r="W2816" i="57"/>
  <c r="AB2815" i="57"/>
  <c r="AB2814" i="57"/>
  <c r="V2814" i="57"/>
  <c r="X2814" i="57"/>
  <c r="Y2814" i="57"/>
  <c r="W2814" i="57"/>
  <c r="AB2813" i="57"/>
  <c r="W2813" i="57"/>
  <c r="X2813" i="57"/>
  <c r="Y2813" i="57"/>
  <c r="V2813" i="57"/>
  <c r="AB2812" i="57"/>
  <c r="AB2811" i="57"/>
  <c r="V2811" i="57"/>
  <c r="X2811" i="57"/>
  <c r="Y2811" i="57"/>
  <c r="AA2811" i="57"/>
  <c r="W2811" i="57"/>
  <c r="AB2810" i="57"/>
  <c r="V2810" i="57"/>
  <c r="AB2809" i="57"/>
  <c r="AB2808" i="57"/>
  <c r="X2808" i="57"/>
  <c r="Y2808" i="57"/>
  <c r="W2808" i="57"/>
  <c r="V2808" i="57"/>
  <c r="AB2807" i="57"/>
  <c r="AB2806" i="57"/>
  <c r="AB2805" i="57"/>
  <c r="AB2804" i="57"/>
  <c r="X2804" i="57"/>
  <c r="Y2804" i="57"/>
  <c r="W2804" i="57"/>
  <c r="AB2803" i="57"/>
  <c r="AB2802" i="57"/>
  <c r="W2802" i="57"/>
  <c r="X2802" i="57"/>
  <c r="Y2802" i="57"/>
  <c r="V2802" i="57"/>
  <c r="AB2801" i="57"/>
  <c r="X2801" i="57"/>
  <c r="Y2801" i="57"/>
  <c r="AB2800" i="57"/>
  <c r="W2800" i="57"/>
  <c r="AB2799" i="57"/>
  <c r="AB2798" i="57"/>
  <c r="AB2797" i="57"/>
  <c r="AB2796" i="57"/>
  <c r="X2796" i="57"/>
  <c r="Y2796" i="57"/>
  <c r="V2796" i="57"/>
  <c r="AB2795" i="57"/>
  <c r="AB2794" i="57"/>
  <c r="W2794" i="57"/>
  <c r="AB2793" i="57"/>
  <c r="AB2792" i="57"/>
  <c r="X2792" i="57"/>
  <c r="Y2792" i="57"/>
  <c r="W2792" i="57"/>
  <c r="AB2791" i="57"/>
  <c r="AB2790" i="57"/>
  <c r="X2790" i="57"/>
  <c r="Y2790" i="57"/>
  <c r="W2790" i="57"/>
  <c r="V2790" i="57"/>
  <c r="AB2789" i="57"/>
  <c r="X2789" i="57"/>
  <c r="Y2789" i="57"/>
  <c r="AB2788" i="57"/>
  <c r="X2788" i="57"/>
  <c r="Y2788" i="57"/>
  <c r="AA2788" i="57"/>
  <c r="W2788" i="57"/>
  <c r="V2788" i="57"/>
  <c r="AB2787" i="57"/>
  <c r="AB2786" i="57"/>
  <c r="W2786" i="57"/>
  <c r="AB2785" i="57"/>
  <c r="X2785" i="57"/>
  <c r="Y2785" i="57"/>
  <c r="W2785" i="57"/>
  <c r="V2785" i="57"/>
  <c r="AB2784" i="57"/>
  <c r="X2784" i="57"/>
  <c r="Y2784" i="57"/>
  <c r="W2784" i="57"/>
  <c r="AB2783" i="57"/>
  <c r="AB2782" i="57"/>
  <c r="X2782" i="57"/>
  <c r="Y2782" i="57"/>
  <c r="AB2781" i="57"/>
  <c r="AB2780" i="57"/>
  <c r="V2780" i="57"/>
  <c r="AB2779" i="57"/>
  <c r="V2779" i="57"/>
  <c r="X2779" i="57"/>
  <c r="Y2779" i="57"/>
  <c r="W2779" i="57"/>
  <c r="AB2778" i="57"/>
  <c r="W2778" i="57"/>
  <c r="AB2777" i="57"/>
  <c r="AB2776" i="57"/>
  <c r="AB2775" i="57"/>
  <c r="X2775" i="57"/>
  <c r="Y2775" i="57"/>
  <c r="AB2774" i="57"/>
  <c r="X2774" i="57"/>
  <c r="Y2774" i="57"/>
  <c r="AB2773" i="57"/>
  <c r="AB2772" i="57"/>
  <c r="W2772" i="57"/>
  <c r="AB2771" i="57"/>
  <c r="X2771" i="57"/>
  <c r="Y2771" i="57"/>
  <c r="AB2770" i="57"/>
  <c r="X2770" i="57"/>
  <c r="Y2770" i="57"/>
  <c r="W2770" i="57"/>
  <c r="AB2769" i="57"/>
  <c r="V2769" i="57"/>
  <c r="W2769" i="57"/>
  <c r="AB2768" i="57"/>
  <c r="W2768" i="57"/>
  <c r="AB2767" i="57"/>
  <c r="W2767" i="57"/>
  <c r="AB2766" i="57"/>
  <c r="AB2765" i="57"/>
  <c r="X2765" i="57"/>
  <c r="Y2765" i="57"/>
  <c r="AB2764" i="57"/>
  <c r="V2764" i="57"/>
  <c r="AB2763" i="57"/>
  <c r="AB2762" i="57"/>
  <c r="W2762" i="57"/>
  <c r="AB2761" i="57"/>
  <c r="W2761" i="57"/>
  <c r="AB2760" i="57"/>
  <c r="X2760" i="57"/>
  <c r="Y2760" i="57"/>
  <c r="W2760" i="57"/>
  <c r="V2760" i="57"/>
  <c r="AB2759" i="57"/>
  <c r="AB2758" i="57"/>
  <c r="V2758" i="57"/>
  <c r="W2758" i="57"/>
  <c r="AB2757" i="57"/>
  <c r="X2757" i="57"/>
  <c r="Y2757" i="57"/>
  <c r="W2757" i="57"/>
  <c r="V2757" i="57"/>
  <c r="AB2756" i="57"/>
  <c r="V2756" i="57"/>
  <c r="AB2755" i="57"/>
  <c r="AB2754" i="57"/>
  <c r="AB2753" i="57"/>
  <c r="V2753" i="57"/>
  <c r="AB2752" i="57"/>
  <c r="V2752" i="57"/>
  <c r="W2752" i="57"/>
  <c r="AB2751" i="57"/>
  <c r="X2751" i="57"/>
  <c r="Y2751" i="57"/>
  <c r="AA2751" i="57"/>
  <c r="W2751" i="57"/>
  <c r="V2751" i="57"/>
  <c r="AB2750" i="57"/>
  <c r="AB2749" i="57"/>
  <c r="X2749" i="57"/>
  <c r="Y2749" i="57"/>
  <c r="AB2748" i="57"/>
  <c r="X2748" i="57"/>
  <c r="Y2748" i="57"/>
  <c r="AB2747" i="57"/>
  <c r="AB2746" i="57"/>
  <c r="X2746" i="57"/>
  <c r="Y2746" i="57"/>
  <c r="W2746" i="57"/>
  <c r="V2746" i="57"/>
  <c r="AB2745" i="57"/>
  <c r="AB2744" i="57"/>
  <c r="V2744" i="57"/>
  <c r="AB2743" i="57"/>
  <c r="AB2742" i="57"/>
  <c r="X2742" i="57"/>
  <c r="Y2742" i="57"/>
  <c r="AB2741" i="57"/>
  <c r="V2741" i="57"/>
  <c r="X2741" i="57"/>
  <c r="Y2741" i="57"/>
  <c r="AA2741" i="57"/>
  <c r="W2741" i="57"/>
  <c r="AB2740" i="57"/>
  <c r="V2740" i="57"/>
  <c r="AB2739" i="57"/>
  <c r="X2739" i="57"/>
  <c r="Y2739" i="57"/>
  <c r="AB2738" i="57"/>
  <c r="X2738" i="57"/>
  <c r="Y2738" i="57"/>
  <c r="W2738" i="57"/>
  <c r="V2738" i="57"/>
  <c r="AB2737" i="57"/>
  <c r="AB2736" i="57"/>
  <c r="AB2735" i="57"/>
  <c r="V2735" i="57"/>
  <c r="X2735" i="57"/>
  <c r="Y2735" i="57"/>
  <c r="W2735" i="57"/>
  <c r="AB2734" i="57"/>
  <c r="X2734" i="57"/>
  <c r="Y2734" i="57"/>
  <c r="AB2733" i="57"/>
  <c r="AB2732" i="57"/>
  <c r="V2732" i="57"/>
  <c r="W2732" i="57"/>
  <c r="AB2731" i="57"/>
  <c r="X2731" i="57"/>
  <c r="Y2731" i="57"/>
  <c r="V2731" i="57"/>
  <c r="AB2730" i="57"/>
  <c r="AB2729" i="57"/>
  <c r="X2729" i="57"/>
  <c r="Y2729" i="57"/>
  <c r="AB2728" i="57"/>
  <c r="W2728" i="57"/>
  <c r="X2728" i="57"/>
  <c r="Y2728" i="57"/>
  <c r="V2728" i="57"/>
  <c r="AB2727" i="57"/>
  <c r="AB2726" i="57"/>
  <c r="W2726" i="57"/>
  <c r="AB2725" i="57"/>
  <c r="V2725" i="57"/>
  <c r="X2725" i="57"/>
  <c r="Y2725" i="57"/>
  <c r="AB2724" i="57"/>
  <c r="AB2723" i="57"/>
  <c r="X2723" i="57"/>
  <c r="Y2723" i="57"/>
  <c r="AB2722" i="57"/>
  <c r="AB2721" i="57"/>
  <c r="AB2720" i="57"/>
  <c r="X2720" i="57"/>
  <c r="Y2720" i="57"/>
  <c r="W2720" i="57"/>
  <c r="V2720" i="57"/>
  <c r="AB2719" i="57"/>
  <c r="X2719" i="57"/>
  <c r="Y2719" i="57"/>
  <c r="W2719" i="57"/>
  <c r="AB2718" i="57"/>
  <c r="AB2717" i="57"/>
  <c r="V2717" i="57"/>
  <c r="X2717" i="57"/>
  <c r="Y2717" i="57"/>
  <c r="W2717" i="57"/>
  <c r="AB2716" i="57"/>
  <c r="X2716" i="57"/>
  <c r="Y2716" i="57"/>
  <c r="AB2715" i="57"/>
  <c r="AB2714" i="57"/>
  <c r="X2714" i="57"/>
  <c r="Y2714" i="57"/>
  <c r="W2714" i="57"/>
  <c r="AB2713" i="57"/>
  <c r="V2713" i="57"/>
  <c r="AB2712" i="57"/>
  <c r="W2712" i="57"/>
  <c r="X2712" i="57"/>
  <c r="Y2712" i="57"/>
  <c r="AA2712" i="57"/>
  <c r="V2712" i="57"/>
  <c r="AB2711" i="57"/>
  <c r="X2711" i="57"/>
  <c r="Y2711" i="57"/>
  <c r="W2711" i="57"/>
  <c r="V2711" i="57"/>
  <c r="AB2710" i="57"/>
  <c r="X2710" i="57"/>
  <c r="Y2710" i="57"/>
  <c r="AB2709" i="57"/>
  <c r="W2709" i="57"/>
  <c r="AB2708" i="57"/>
  <c r="X2708" i="57"/>
  <c r="Y2708" i="57"/>
  <c r="W2708" i="57"/>
  <c r="V2708" i="57"/>
  <c r="AB2707" i="57"/>
  <c r="X2707" i="57"/>
  <c r="Y2707" i="57"/>
  <c r="AB2706" i="57"/>
  <c r="W2706" i="57"/>
  <c r="AB2705" i="57"/>
  <c r="V2705" i="57"/>
  <c r="W2705" i="57"/>
  <c r="AB2704" i="57"/>
  <c r="AB2703" i="57"/>
  <c r="W2703" i="57"/>
  <c r="AB2702" i="57"/>
  <c r="X2702" i="57"/>
  <c r="Y2702" i="57"/>
  <c r="V2702" i="57"/>
  <c r="AB2701" i="57"/>
  <c r="AB2700" i="57"/>
  <c r="V2700" i="57"/>
  <c r="W2700" i="57"/>
  <c r="AB2699" i="57"/>
  <c r="X2699" i="57"/>
  <c r="Y2699" i="57"/>
  <c r="V2699" i="57"/>
  <c r="AB2698" i="57"/>
  <c r="AB2697" i="57"/>
  <c r="V2697" i="57"/>
  <c r="X2697" i="57"/>
  <c r="Y2697" i="57"/>
  <c r="W2697" i="57"/>
  <c r="AB2696" i="57"/>
  <c r="X2696" i="57"/>
  <c r="Y2696" i="57"/>
  <c r="AB2695" i="57"/>
  <c r="AB2694" i="57"/>
  <c r="X2694" i="57"/>
  <c r="Y2694" i="57"/>
  <c r="W2694" i="57"/>
  <c r="V2694" i="57"/>
  <c r="AB2693" i="57"/>
  <c r="V2693" i="57"/>
  <c r="AB2692" i="57"/>
  <c r="AB2691" i="57"/>
  <c r="AB2690" i="57"/>
  <c r="X2690" i="57"/>
  <c r="Y2690" i="57"/>
  <c r="W2690" i="57"/>
  <c r="AB2689" i="57"/>
  <c r="AB2688" i="57"/>
  <c r="AB2687" i="57"/>
  <c r="X2687" i="57"/>
  <c r="Y2687" i="57"/>
  <c r="W2687" i="57"/>
  <c r="AB2686" i="57"/>
  <c r="AB2685" i="57"/>
  <c r="X2685" i="57"/>
  <c r="Y2685" i="57"/>
  <c r="AB2684" i="57"/>
  <c r="X2684" i="57"/>
  <c r="Y2684" i="57"/>
  <c r="AB2683" i="57"/>
  <c r="AB2682" i="57"/>
  <c r="W2682" i="57"/>
  <c r="X2682" i="57"/>
  <c r="Y2682" i="57"/>
  <c r="AB2681" i="57"/>
  <c r="W2681" i="57"/>
  <c r="AB2680" i="57"/>
  <c r="X2680" i="57"/>
  <c r="Y2680" i="57"/>
  <c r="AB2679" i="57"/>
  <c r="AB2678" i="57"/>
  <c r="W2678" i="57"/>
  <c r="Y2678" i="57"/>
  <c r="X2678" i="57"/>
  <c r="AB2677" i="57"/>
  <c r="W2677" i="57"/>
  <c r="AB2676" i="57"/>
  <c r="X2676" i="57"/>
  <c r="Y2676" i="57"/>
  <c r="AB2675" i="57"/>
  <c r="AB2674" i="57"/>
  <c r="W2674" i="57"/>
  <c r="X2674" i="57"/>
  <c r="Y2674" i="57"/>
  <c r="AB2673" i="57"/>
  <c r="W2673" i="57"/>
  <c r="AB2672" i="57"/>
  <c r="X2672" i="57"/>
  <c r="Y2672" i="57"/>
  <c r="AB2671" i="57"/>
  <c r="AB2670" i="57"/>
  <c r="W2670" i="57"/>
  <c r="X2670" i="57"/>
  <c r="Y2670" i="57"/>
  <c r="AB2669" i="57"/>
  <c r="X2669" i="57"/>
  <c r="Y2669" i="57"/>
  <c r="W2669" i="57"/>
  <c r="AB2668" i="57"/>
  <c r="X2668" i="57"/>
  <c r="Y2668" i="57"/>
  <c r="AB2667" i="57"/>
  <c r="AB2666" i="57"/>
  <c r="V2666" i="57"/>
  <c r="X2666" i="57"/>
  <c r="Y2666" i="57"/>
  <c r="W2666" i="57"/>
  <c r="AB2665" i="57"/>
  <c r="X2665" i="57"/>
  <c r="Y2665" i="57"/>
  <c r="W2665" i="57"/>
  <c r="AB2664" i="57"/>
  <c r="X2664" i="57"/>
  <c r="Y2664" i="57"/>
  <c r="AB2663" i="57"/>
  <c r="AB2662" i="57"/>
  <c r="V2662" i="57"/>
  <c r="X2662" i="57"/>
  <c r="Y2662" i="57"/>
  <c r="W2662" i="57"/>
  <c r="AB2661" i="57"/>
  <c r="X2661" i="57"/>
  <c r="Y2661" i="57"/>
  <c r="W2661" i="57"/>
  <c r="AB2660" i="57"/>
  <c r="X2660" i="57"/>
  <c r="Y2660" i="57"/>
  <c r="AB2659" i="57"/>
  <c r="AB2658" i="57"/>
  <c r="V2658" i="57"/>
  <c r="X2658" i="57"/>
  <c r="Y2658" i="57"/>
  <c r="AA2658" i="57"/>
  <c r="W2658" i="57"/>
  <c r="AB2657" i="57"/>
  <c r="W2657" i="57"/>
  <c r="AB2656" i="57"/>
  <c r="X2656" i="57"/>
  <c r="Y2656" i="57"/>
  <c r="AB2655" i="57"/>
  <c r="AB2654" i="57"/>
  <c r="V2654" i="57"/>
  <c r="Y2654" i="57"/>
  <c r="X2654" i="57"/>
  <c r="W2654" i="57"/>
  <c r="AB2653" i="57"/>
  <c r="W2653" i="57"/>
  <c r="AB2652" i="57"/>
  <c r="W2652" i="57"/>
  <c r="X2651" i="57"/>
  <c r="Y2651" i="57"/>
  <c r="W2651" i="57"/>
  <c r="V2651" i="57"/>
  <c r="X2650" i="57"/>
  <c r="Y2650" i="57"/>
  <c r="AA2650" i="57"/>
  <c r="W2650" i="57"/>
  <c r="V2650" i="57"/>
  <c r="X2649" i="57"/>
  <c r="Y2649" i="57"/>
  <c r="W2649" i="57"/>
  <c r="V2649" i="57"/>
  <c r="AA2649" i="57"/>
  <c r="Y2648" i="57"/>
  <c r="AA2648" i="57"/>
  <c r="X2648" i="57"/>
  <c r="W2648" i="57"/>
  <c r="V2648" i="57"/>
  <c r="X2647" i="57"/>
  <c r="Y2647" i="57"/>
  <c r="AA2647" i="57"/>
  <c r="W2647" i="57"/>
  <c r="V2647" i="57"/>
  <c r="X2646" i="57"/>
  <c r="Y2646" i="57"/>
  <c r="AA2646" i="57"/>
  <c r="W2646" i="57"/>
  <c r="V2646" i="57"/>
  <c r="X2645" i="57"/>
  <c r="Y2645" i="57"/>
  <c r="W2645" i="57"/>
  <c r="V2645" i="57"/>
  <c r="X2644" i="57"/>
  <c r="Y2644" i="57"/>
  <c r="W2644" i="57"/>
  <c r="V2644" i="57"/>
  <c r="X2643" i="57"/>
  <c r="Y2643" i="57"/>
  <c r="W2643" i="57"/>
  <c r="V2643" i="57"/>
  <c r="Y2642" i="57"/>
  <c r="X2642" i="57"/>
  <c r="W2642" i="57"/>
  <c r="V2642" i="57"/>
  <c r="X2641" i="57"/>
  <c r="Y2641" i="57"/>
  <c r="W2641" i="57"/>
  <c r="V2641" i="57"/>
  <c r="Y2640" i="57"/>
  <c r="AA2640" i="57"/>
  <c r="X2640" i="57"/>
  <c r="W2640" i="57"/>
  <c r="V2640" i="57"/>
  <c r="X2639" i="57"/>
  <c r="Y2639" i="57"/>
  <c r="AA2639" i="57"/>
  <c r="W2639" i="57"/>
  <c r="V2639" i="57"/>
  <c r="X2638" i="57"/>
  <c r="Y2638" i="57"/>
  <c r="W2638" i="57"/>
  <c r="AA2638" i="57"/>
  <c r="V2638" i="57"/>
  <c r="AB2637" i="57"/>
  <c r="AB2636" i="57"/>
  <c r="AB2635" i="57"/>
  <c r="W2635" i="57"/>
  <c r="AB2634" i="57"/>
  <c r="W2634" i="57"/>
  <c r="AB2633" i="57"/>
  <c r="W2633" i="57"/>
  <c r="AB2632" i="57"/>
  <c r="X2632" i="57"/>
  <c r="Y2632" i="57"/>
  <c r="V2632" i="57"/>
  <c r="AB2631" i="57"/>
  <c r="W2631" i="57"/>
  <c r="Y2630" i="57"/>
  <c r="AA2630" i="57"/>
  <c r="X2630" i="57"/>
  <c r="W2630" i="57"/>
  <c r="V2630" i="57"/>
  <c r="Y2629" i="57"/>
  <c r="X2629" i="57"/>
  <c r="W2629" i="57"/>
  <c r="V2629" i="57"/>
  <c r="X2628" i="57"/>
  <c r="Y2628" i="57"/>
  <c r="W2628" i="57"/>
  <c r="V2628" i="57"/>
  <c r="X2627" i="57"/>
  <c r="Y2627" i="57"/>
  <c r="W2627" i="57"/>
  <c r="V2627" i="57"/>
  <c r="X2626" i="57"/>
  <c r="Y2626" i="57"/>
  <c r="W2626" i="57"/>
  <c r="V2626" i="57"/>
  <c r="AA2626" i="57"/>
  <c r="X2625" i="57"/>
  <c r="Y2625" i="57"/>
  <c r="W2625" i="57"/>
  <c r="V2625" i="57"/>
  <c r="X2624" i="57"/>
  <c r="Y2624" i="57"/>
  <c r="W2624" i="57"/>
  <c r="V2624" i="57"/>
  <c r="Y2623" i="57"/>
  <c r="X2623" i="57"/>
  <c r="W2623" i="57"/>
  <c r="V2623" i="57"/>
  <c r="X2622" i="57"/>
  <c r="Y2622" i="57"/>
  <c r="W2622" i="57"/>
  <c r="V2622" i="57"/>
  <c r="X2621" i="57"/>
  <c r="Y2621" i="57"/>
  <c r="AA2621" i="57"/>
  <c r="W2621" i="57"/>
  <c r="V2621" i="57"/>
  <c r="X2620" i="57"/>
  <c r="Y2620" i="57"/>
  <c r="W2620" i="57"/>
  <c r="V2620" i="57"/>
  <c r="Y2619" i="57"/>
  <c r="X2619" i="57"/>
  <c r="W2619" i="57"/>
  <c r="V2619" i="57"/>
  <c r="X2618" i="57"/>
  <c r="Y2618" i="57"/>
  <c r="W2618" i="57"/>
  <c r="V2618" i="57"/>
  <c r="Y2617" i="57"/>
  <c r="AA2617" i="57"/>
  <c r="X2617" i="57"/>
  <c r="W2617" i="57"/>
  <c r="V2617" i="57"/>
  <c r="X2616" i="57"/>
  <c r="Y2616" i="57"/>
  <c r="W2616" i="57"/>
  <c r="V2616" i="57"/>
  <c r="X2615" i="57"/>
  <c r="Y2615" i="57"/>
  <c r="AA2615" i="57"/>
  <c r="W2615" i="57"/>
  <c r="V2615" i="57"/>
  <c r="X2614" i="57"/>
  <c r="Y2614" i="57"/>
  <c r="W2614" i="57"/>
  <c r="V2614" i="57"/>
  <c r="AB2613" i="57"/>
  <c r="X2613" i="57"/>
  <c r="Y2613" i="57"/>
  <c r="W2613" i="57"/>
  <c r="AA2613" i="57"/>
  <c r="V2613" i="57"/>
  <c r="AB2612" i="57"/>
  <c r="X2612" i="57"/>
  <c r="Y2612" i="57"/>
  <c r="AB2611" i="57"/>
  <c r="AB2610" i="57"/>
  <c r="V2610" i="57"/>
  <c r="X2610" i="57"/>
  <c r="Y2610" i="57"/>
  <c r="AA2610" i="57"/>
  <c r="W2610" i="57"/>
  <c r="AB2609" i="57"/>
  <c r="X2609" i="57"/>
  <c r="Y2609" i="57"/>
  <c r="W2609" i="57"/>
  <c r="V2609" i="57"/>
  <c r="AB2608" i="57"/>
  <c r="W2608" i="57"/>
  <c r="V2608" i="57"/>
  <c r="AB2607" i="57"/>
  <c r="W2607" i="57"/>
  <c r="X2607" i="57"/>
  <c r="Y2607" i="57"/>
  <c r="AB2606" i="57"/>
  <c r="V2606" i="57"/>
  <c r="X2606" i="57"/>
  <c r="Y2606" i="57"/>
  <c r="W2606" i="57"/>
  <c r="AB2605" i="57"/>
  <c r="W2605" i="57"/>
  <c r="X2605" i="57"/>
  <c r="Y2605" i="57"/>
  <c r="V2605" i="57"/>
  <c r="AB2604" i="57"/>
  <c r="W2604" i="57"/>
  <c r="V2604" i="57"/>
  <c r="AB2603" i="57"/>
  <c r="X2602" i="57"/>
  <c r="Y2602" i="57"/>
  <c r="W2602" i="57"/>
  <c r="V2602" i="57"/>
  <c r="AA2601" i="57"/>
  <c r="X2601" i="57"/>
  <c r="Y2601" i="57"/>
  <c r="W2601" i="57"/>
  <c r="V2601" i="57"/>
  <c r="X2600" i="57"/>
  <c r="Y2600" i="57"/>
  <c r="W2600" i="57"/>
  <c r="V2600" i="57"/>
  <c r="X2599" i="57"/>
  <c r="Y2599" i="57"/>
  <c r="W2599" i="57"/>
  <c r="V2599" i="57"/>
  <c r="Y2598" i="57"/>
  <c r="X2598" i="57"/>
  <c r="W2598" i="57"/>
  <c r="V2598" i="57"/>
  <c r="X2597" i="57"/>
  <c r="Y2597" i="57"/>
  <c r="AA2597" i="57"/>
  <c r="W2597" i="57"/>
  <c r="V2597" i="57"/>
  <c r="X2596" i="57"/>
  <c r="Y2596" i="57"/>
  <c r="W2596" i="57"/>
  <c r="V2596" i="57"/>
  <c r="X2595" i="57"/>
  <c r="Y2595" i="57"/>
  <c r="AA2595" i="57"/>
  <c r="W2595" i="57"/>
  <c r="V2595" i="57"/>
  <c r="X2594" i="57"/>
  <c r="Y2594" i="57"/>
  <c r="W2594" i="57"/>
  <c r="V2594" i="57"/>
  <c r="X2593" i="57"/>
  <c r="Y2593" i="57"/>
  <c r="W2593" i="57"/>
  <c r="V2593" i="57"/>
  <c r="Y2592" i="57"/>
  <c r="X2592" i="57"/>
  <c r="W2592" i="57"/>
  <c r="V2592" i="57"/>
  <c r="X2591" i="57"/>
  <c r="Y2591" i="57"/>
  <c r="W2591" i="57"/>
  <c r="V2591" i="57"/>
  <c r="Y2590" i="57"/>
  <c r="AA2590" i="57"/>
  <c r="X2590" i="57"/>
  <c r="W2590" i="57"/>
  <c r="V2590" i="57"/>
  <c r="X2589" i="57"/>
  <c r="Y2589" i="57"/>
  <c r="W2589" i="57"/>
  <c r="V2589" i="57"/>
  <c r="X2588" i="57"/>
  <c r="Y2588" i="57"/>
  <c r="AA2588" i="57"/>
  <c r="W2588" i="57"/>
  <c r="V2588" i="57"/>
  <c r="X2587" i="57"/>
  <c r="Y2587" i="57"/>
  <c r="W2587" i="57"/>
  <c r="V2587" i="57"/>
  <c r="X2586" i="57"/>
  <c r="Y2586" i="57"/>
  <c r="W2586" i="57"/>
  <c r="V2586" i="57"/>
  <c r="X2585" i="57"/>
  <c r="Y2585" i="57"/>
  <c r="W2585" i="57"/>
  <c r="V2585" i="57"/>
  <c r="AA2585" i="57"/>
  <c r="X2584" i="57"/>
  <c r="Y2584" i="57"/>
  <c r="AA2584" i="57"/>
  <c r="W2584" i="57"/>
  <c r="V2584" i="57"/>
  <c r="X2583" i="57"/>
  <c r="Y2583" i="57"/>
  <c r="W2583" i="57"/>
  <c r="V2583" i="57"/>
  <c r="Y2582" i="57"/>
  <c r="X2582" i="57"/>
  <c r="W2582" i="57"/>
  <c r="V2582" i="57"/>
  <c r="X2581" i="57"/>
  <c r="Y2581" i="57"/>
  <c r="W2581" i="57"/>
  <c r="V2581" i="57"/>
  <c r="Y2580" i="57"/>
  <c r="X2580" i="57"/>
  <c r="W2580" i="57"/>
  <c r="V2580" i="57"/>
  <c r="AB2579" i="57"/>
  <c r="W2579" i="57"/>
  <c r="AB2578" i="57"/>
  <c r="W2578" i="57"/>
  <c r="AB2577" i="57"/>
  <c r="V2577" i="57"/>
  <c r="X2577" i="57"/>
  <c r="Y2577" i="57"/>
  <c r="W2577" i="57"/>
  <c r="AB2576" i="57"/>
  <c r="X2576" i="57"/>
  <c r="Y2576" i="57"/>
  <c r="AB2575" i="57"/>
  <c r="W2575" i="57"/>
  <c r="AB2574" i="57"/>
  <c r="AB2573" i="57"/>
  <c r="V2573" i="57"/>
  <c r="W2573" i="57"/>
  <c r="AB2572" i="57"/>
  <c r="AB2571" i="57"/>
  <c r="W2571" i="57"/>
  <c r="AB2570" i="57"/>
  <c r="AB2569" i="57"/>
  <c r="V2569" i="57"/>
  <c r="W2569" i="57"/>
  <c r="AB2568" i="57"/>
  <c r="AB2567" i="57"/>
  <c r="W2567" i="57"/>
  <c r="AB2566" i="57"/>
  <c r="W2566" i="57"/>
  <c r="AB2565" i="57"/>
  <c r="W2565" i="57"/>
  <c r="AB2564" i="57"/>
  <c r="AB2563" i="57"/>
  <c r="W2563" i="57"/>
  <c r="AB2562" i="57"/>
  <c r="W2562" i="57"/>
  <c r="AB2561" i="57"/>
  <c r="V2561" i="57"/>
  <c r="AB2560" i="57"/>
  <c r="W2560" i="57"/>
  <c r="X2559" i="57"/>
  <c r="Y2559" i="57"/>
  <c r="W2559" i="57"/>
  <c r="V2559" i="57"/>
  <c r="AA2559" i="57"/>
  <c r="X2558" i="57"/>
  <c r="Y2558" i="57"/>
  <c r="W2558" i="57"/>
  <c r="V2558" i="57"/>
  <c r="X2557" i="57"/>
  <c r="Y2557" i="57"/>
  <c r="W2557" i="57"/>
  <c r="V2557" i="57"/>
  <c r="X2556" i="57"/>
  <c r="Y2556" i="57"/>
  <c r="W2556" i="57"/>
  <c r="V2556" i="57"/>
  <c r="X2555" i="57"/>
  <c r="Y2555" i="57"/>
  <c r="W2555" i="57"/>
  <c r="AA2555" i="57"/>
  <c r="V2555" i="57"/>
  <c r="Y2554" i="57"/>
  <c r="X2554" i="57"/>
  <c r="W2554" i="57"/>
  <c r="V2554" i="57"/>
  <c r="X2553" i="57"/>
  <c r="Y2553" i="57"/>
  <c r="AA2553" i="57"/>
  <c r="W2553" i="57"/>
  <c r="V2553" i="57"/>
  <c r="X2552" i="57"/>
  <c r="Y2552" i="57"/>
  <c r="AA2552" i="57"/>
  <c r="W2552" i="57"/>
  <c r="V2552" i="57"/>
  <c r="X2551" i="57"/>
  <c r="Y2551" i="57"/>
  <c r="W2551" i="57"/>
  <c r="V2551" i="57"/>
  <c r="X2550" i="57"/>
  <c r="Y2550" i="57"/>
  <c r="W2550" i="57"/>
  <c r="V2550" i="57"/>
  <c r="X2549" i="57"/>
  <c r="Y2549" i="57"/>
  <c r="W2549" i="57"/>
  <c r="V2549" i="57"/>
  <c r="Y2548" i="57"/>
  <c r="X2548" i="57"/>
  <c r="W2548" i="57"/>
  <c r="V2548" i="57"/>
  <c r="AA2548" i="57"/>
  <c r="X2547" i="57"/>
  <c r="Y2547" i="57"/>
  <c r="W2547" i="57"/>
  <c r="V2547" i="57"/>
  <c r="AA2547" i="57"/>
  <c r="AB2546" i="57"/>
  <c r="AB2545" i="57"/>
  <c r="W2545" i="57"/>
  <c r="V2545" i="57"/>
  <c r="AB2544" i="57"/>
  <c r="X2544" i="57"/>
  <c r="Y2544" i="57"/>
  <c r="AA2544" i="57"/>
  <c r="W2544" i="57"/>
  <c r="V2544" i="57"/>
  <c r="AB2543" i="57"/>
  <c r="X2543" i="57"/>
  <c r="Y2543" i="57"/>
  <c r="AA2543" i="57"/>
  <c r="W2543" i="57"/>
  <c r="V2543" i="57"/>
  <c r="AB2542" i="57"/>
  <c r="AB2541" i="57"/>
  <c r="AB2540" i="57"/>
  <c r="X2540" i="57"/>
  <c r="Y2540" i="57"/>
  <c r="AA2540" i="57"/>
  <c r="W2540" i="57"/>
  <c r="V2540" i="57"/>
  <c r="AB2539" i="57"/>
  <c r="W2539" i="57"/>
  <c r="X2539" i="57"/>
  <c r="Y2539" i="57"/>
  <c r="AB2538" i="57"/>
  <c r="X2537" i="57"/>
  <c r="Y2537" i="57"/>
  <c r="W2537" i="57"/>
  <c r="V2537" i="57"/>
  <c r="X2536" i="57"/>
  <c r="Y2536" i="57"/>
  <c r="W2536" i="57"/>
  <c r="V2536" i="57"/>
  <c r="X2535" i="57"/>
  <c r="Y2535" i="57"/>
  <c r="W2535" i="57"/>
  <c r="V2535" i="57"/>
  <c r="X2534" i="57"/>
  <c r="Y2534" i="57"/>
  <c r="AA2534" i="57"/>
  <c r="W2534" i="57"/>
  <c r="V2534" i="57"/>
  <c r="X2533" i="57"/>
  <c r="Y2533" i="57"/>
  <c r="AA2533" i="57"/>
  <c r="W2533" i="57"/>
  <c r="V2533" i="57"/>
  <c r="X2532" i="57"/>
  <c r="Y2532" i="57"/>
  <c r="W2532" i="57"/>
  <c r="V2532" i="57"/>
  <c r="Y2531" i="57"/>
  <c r="X2531" i="57"/>
  <c r="W2531" i="57"/>
  <c r="V2531" i="57"/>
  <c r="X2530" i="57"/>
  <c r="Y2530" i="57"/>
  <c r="W2530" i="57"/>
  <c r="V2530" i="57"/>
  <c r="X2529" i="57"/>
  <c r="Y2529" i="57"/>
  <c r="W2529" i="57"/>
  <c r="V2529" i="57"/>
  <c r="X2528" i="57"/>
  <c r="Y2528" i="57"/>
  <c r="AA2528" i="57"/>
  <c r="W2528" i="57"/>
  <c r="V2528" i="57"/>
  <c r="X2527" i="57"/>
  <c r="Y2527" i="57"/>
  <c r="AA2527" i="57"/>
  <c r="W2527" i="57"/>
  <c r="V2527" i="57"/>
  <c r="Y2526" i="57"/>
  <c r="AA2526" i="57"/>
  <c r="X2526" i="57"/>
  <c r="W2526" i="57"/>
  <c r="V2526" i="57"/>
  <c r="X2525" i="57"/>
  <c r="Y2525" i="57"/>
  <c r="AA2525" i="57"/>
  <c r="W2525" i="57"/>
  <c r="V2525" i="57"/>
  <c r="X2524" i="57"/>
  <c r="Y2524" i="57"/>
  <c r="AA2524" i="57"/>
  <c r="W2524" i="57"/>
  <c r="V2524" i="57"/>
  <c r="X2523" i="57"/>
  <c r="Y2523" i="57"/>
  <c r="W2523" i="57"/>
  <c r="V2523" i="57"/>
  <c r="AB2522" i="57"/>
  <c r="W2522" i="57"/>
  <c r="AB2521" i="57"/>
  <c r="AB2520" i="57"/>
  <c r="AB2519" i="57"/>
  <c r="Y2519" i="57"/>
  <c r="X2519" i="57"/>
  <c r="W2519" i="57"/>
  <c r="V2519" i="57"/>
  <c r="AB2518" i="57"/>
  <c r="AB2517" i="57"/>
  <c r="X2517" i="57"/>
  <c r="Y2517" i="57"/>
  <c r="AB2516" i="57"/>
  <c r="AB2515" i="57"/>
  <c r="AB2514" i="57"/>
  <c r="W2514" i="57"/>
  <c r="AB2513" i="57"/>
  <c r="V2513" i="57"/>
  <c r="AB2512" i="57"/>
  <c r="AB2511" i="57"/>
  <c r="V2511" i="57"/>
  <c r="X2511" i="57"/>
  <c r="Y2511" i="57"/>
  <c r="AB2510" i="57"/>
  <c r="X2510" i="57"/>
  <c r="Y2510" i="57"/>
  <c r="W2510" i="57"/>
  <c r="V2510" i="57"/>
  <c r="AB2509" i="57"/>
  <c r="AB2508" i="57"/>
  <c r="X2508" i="57"/>
  <c r="Y2508" i="57"/>
  <c r="AB2507" i="57"/>
  <c r="X2507" i="57"/>
  <c r="Y2507" i="57"/>
  <c r="V2507" i="57"/>
  <c r="AB2506" i="57"/>
  <c r="AB2505" i="57"/>
  <c r="V2505" i="57"/>
  <c r="AB2504" i="57"/>
  <c r="AB2503" i="57"/>
  <c r="AB2502" i="57"/>
  <c r="X2502" i="57"/>
  <c r="Y2502" i="57"/>
  <c r="AB2501" i="57"/>
  <c r="V2501" i="57"/>
  <c r="X2501" i="57"/>
  <c r="Y2501" i="57"/>
  <c r="AB2500" i="57"/>
  <c r="AB2499" i="57"/>
  <c r="X2499" i="57"/>
  <c r="Y2499" i="57"/>
  <c r="AB2498" i="57"/>
  <c r="AB2497" i="57"/>
  <c r="V2497" i="57"/>
  <c r="X2497" i="57"/>
  <c r="Y2497" i="57"/>
  <c r="AB2496" i="57"/>
  <c r="X2496" i="57"/>
  <c r="Y2496" i="57"/>
  <c r="W2496" i="57"/>
  <c r="V2496" i="57"/>
  <c r="AB2495" i="57"/>
  <c r="W2495" i="57"/>
  <c r="AB2494" i="57"/>
  <c r="X2494" i="57"/>
  <c r="Y2494" i="57"/>
  <c r="W2494" i="57"/>
  <c r="AB2493" i="57"/>
  <c r="V2493" i="57"/>
  <c r="X2493" i="57"/>
  <c r="Y2493" i="57"/>
  <c r="W2493" i="57"/>
  <c r="AB2492" i="57"/>
  <c r="W2492" i="57"/>
  <c r="AB2491" i="57"/>
  <c r="V2491" i="57"/>
  <c r="X2491" i="57"/>
  <c r="Y2491" i="57"/>
  <c r="W2491" i="57"/>
  <c r="AB2490" i="57"/>
  <c r="X2490" i="57"/>
  <c r="Y2490" i="57"/>
  <c r="AA2490" i="57"/>
  <c r="W2490" i="57"/>
  <c r="V2490" i="57"/>
  <c r="AB2489" i="57"/>
  <c r="AB2488" i="57"/>
  <c r="V2488" i="57"/>
  <c r="W2488" i="57"/>
  <c r="AB2487" i="57"/>
  <c r="V2487" i="57"/>
  <c r="AB2486" i="57"/>
  <c r="V2486" i="57"/>
  <c r="AB2485" i="57"/>
  <c r="V2485" i="57"/>
  <c r="X2485" i="57"/>
  <c r="Y2485" i="57"/>
  <c r="W2485" i="57"/>
  <c r="AB2484" i="57"/>
  <c r="X2484" i="57"/>
  <c r="Y2484" i="57"/>
  <c r="V2484" i="57"/>
  <c r="AB2483" i="57"/>
  <c r="V2483" i="57"/>
  <c r="AB2482" i="57"/>
  <c r="X2482" i="57"/>
  <c r="Y2482" i="57"/>
  <c r="W2482" i="57"/>
  <c r="AB2481" i="57"/>
  <c r="V2481" i="57"/>
  <c r="X2481" i="57"/>
  <c r="Y2481" i="57"/>
  <c r="W2481" i="57"/>
  <c r="AB2480" i="57"/>
  <c r="V2480" i="57"/>
  <c r="AB2479" i="57"/>
  <c r="W2479" i="57"/>
  <c r="X2479" i="57"/>
  <c r="Y2479" i="57"/>
  <c r="AB2478" i="57"/>
  <c r="X2478" i="57"/>
  <c r="Y2478" i="57"/>
  <c r="V2478" i="57"/>
  <c r="AB2477" i="57"/>
  <c r="X2477" i="57"/>
  <c r="Y2477" i="57"/>
  <c r="AB2476" i="57"/>
  <c r="V2476" i="57"/>
  <c r="X2476" i="57"/>
  <c r="Y2476" i="57"/>
  <c r="AA2476" i="57"/>
  <c r="W2476" i="57"/>
  <c r="AB2475" i="57"/>
  <c r="X2475" i="57"/>
  <c r="Y2475" i="57"/>
  <c r="V2475" i="57"/>
  <c r="AB2474" i="57"/>
  <c r="AB2473" i="57"/>
  <c r="V2473" i="57"/>
  <c r="X2473" i="57"/>
  <c r="Y2473" i="57"/>
  <c r="W2473" i="57"/>
  <c r="AB2472" i="57"/>
  <c r="X2472" i="57"/>
  <c r="Y2472" i="57"/>
  <c r="AB2471" i="57"/>
  <c r="V2471" i="57"/>
  <c r="X2471" i="57"/>
  <c r="Y2471" i="57"/>
  <c r="AA2471" i="57"/>
  <c r="W2471" i="57"/>
  <c r="AB2470" i="57"/>
  <c r="X2470" i="57"/>
  <c r="Y2470" i="57"/>
  <c r="AB2469" i="57"/>
  <c r="AB2468" i="57"/>
  <c r="AB2467" i="57"/>
  <c r="AB2466" i="57"/>
  <c r="X2466" i="57"/>
  <c r="Y2466" i="57"/>
  <c r="W2466" i="57"/>
  <c r="V2466" i="57"/>
  <c r="AB2465" i="57"/>
  <c r="V2465" i="57"/>
  <c r="AB2464" i="57"/>
  <c r="X2464" i="57"/>
  <c r="Y2464" i="57"/>
  <c r="AB2463" i="57"/>
  <c r="AB2462" i="57"/>
  <c r="X2462" i="57"/>
  <c r="Y2462" i="57"/>
  <c r="AB2461" i="57"/>
  <c r="AB2460" i="57"/>
  <c r="X2460" i="57"/>
  <c r="Y2460" i="57"/>
  <c r="V2460" i="57"/>
  <c r="AB2459" i="57"/>
  <c r="X2459" i="57"/>
  <c r="Y2459" i="57"/>
  <c r="AB2458" i="57"/>
  <c r="X2458" i="57"/>
  <c r="Y2458" i="57"/>
  <c r="V2458" i="57"/>
  <c r="AB2457" i="57"/>
  <c r="V2457" i="57"/>
  <c r="AB2456" i="57"/>
  <c r="AB2455" i="57"/>
  <c r="AB2454" i="57"/>
  <c r="X2454" i="57"/>
  <c r="Y2454" i="57"/>
  <c r="V2454" i="57"/>
  <c r="AB2453" i="57"/>
  <c r="AB2452" i="57"/>
  <c r="V2452" i="57"/>
  <c r="X2452" i="57"/>
  <c r="Y2452" i="57"/>
  <c r="AA2452" i="57"/>
  <c r="W2452" i="57"/>
  <c r="AB2451" i="57"/>
  <c r="X2451" i="57"/>
  <c r="Y2451" i="57"/>
  <c r="V2451" i="57"/>
  <c r="AB2450" i="57"/>
  <c r="AB2449" i="57"/>
  <c r="V2449" i="57"/>
  <c r="X2449" i="57"/>
  <c r="Y2449" i="57"/>
  <c r="AA2449" i="57"/>
  <c r="W2449" i="57"/>
  <c r="AB2448" i="57"/>
  <c r="X2448" i="57"/>
  <c r="Y2448" i="57"/>
  <c r="V2448" i="57"/>
  <c r="AB2447" i="57"/>
  <c r="AB2446" i="57"/>
  <c r="X2446" i="57"/>
  <c r="Y2446" i="57"/>
  <c r="W2446" i="57"/>
  <c r="V2446" i="57"/>
  <c r="AB2445" i="57"/>
  <c r="V2445" i="57"/>
  <c r="AB2444" i="57"/>
  <c r="AB2443" i="57"/>
  <c r="V2443" i="57"/>
  <c r="X2443" i="57"/>
  <c r="Y2443" i="57"/>
  <c r="W2443" i="57"/>
  <c r="AB2442" i="57"/>
  <c r="X2442" i="57"/>
  <c r="Y2442" i="57"/>
  <c r="W2442" i="57"/>
  <c r="AB2441" i="57"/>
  <c r="AB2440" i="57"/>
  <c r="X2440" i="57"/>
  <c r="Y2440" i="57"/>
  <c r="V2440" i="57"/>
  <c r="AB2439" i="57"/>
  <c r="X2439" i="57"/>
  <c r="Y2439" i="57"/>
  <c r="AB2438" i="57"/>
  <c r="AB2437" i="57"/>
  <c r="V2437" i="57"/>
  <c r="X2437" i="57"/>
  <c r="Y2437" i="57"/>
  <c r="AB2436" i="57"/>
  <c r="X2436" i="57"/>
  <c r="Y2436" i="57"/>
  <c r="W2436" i="57"/>
  <c r="AB2435" i="57"/>
  <c r="AB2434" i="57"/>
  <c r="X2434" i="57"/>
  <c r="Y2434" i="57"/>
  <c r="V2434" i="57"/>
  <c r="AB2433" i="57"/>
  <c r="V2433" i="57"/>
  <c r="AB2432" i="57"/>
  <c r="V2432" i="57"/>
  <c r="X2432" i="57"/>
  <c r="Y2432" i="57"/>
  <c r="W2432" i="57"/>
  <c r="AB2431" i="57"/>
  <c r="X2431" i="57"/>
  <c r="Y2431" i="57"/>
  <c r="W2431" i="57"/>
  <c r="AB2430" i="57"/>
  <c r="X2430" i="57"/>
  <c r="Y2430" i="57"/>
  <c r="AB2429" i="57"/>
  <c r="V2429" i="57"/>
  <c r="Y2429" i="57"/>
  <c r="X2429" i="57"/>
  <c r="AB2428" i="57"/>
  <c r="X2428" i="57"/>
  <c r="Y2428" i="57"/>
  <c r="W2428" i="57"/>
  <c r="AB2427" i="57"/>
  <c r="X2427" i="57"/>
  <c r="Y2427" i="57"/>
  <c r="AB2426" i="57"/>
  <c r="X2426" i="57"/>
  <c r="Y2426" i="57"/>
  <c r="W2426" i="57"/>
  <c r="AB2425" i="57"/>
  <c r="V2425" i="57"/>
  <c r="W2425" i="57"/>
  <c r="AB2424" i="57"/>
  <c r="AB2423" i="57"/>
  <c r="V2423" i="57"/>
  <c r="X2423" i="57"/>
  <c r="Y2423" i="57"/>
  <c r="W2423" i="57"/>
  <c r="AB2422" i="57"/>
  <c r="X2422" i="57"/>
  <c r="Y2422" i="57"/>
  <c r="AB2421" i="57"/>
  <c r="AB2420" i="57"/>
  <c r="AB2419" i="57"/>
  <c r="X2419" i="57"/>
  <c r="Y2419" i="57"/>
  <c r="V2419" i="57"/>
  <c r="AB2418" i="57"/>
  <c r="AB2417" i="57"/>
  <c r="V2417" i="57"/>
  <c r="X2417" i="57"/>
  <c r="Y2417" i="57"/>
  <c r="AA2417" i="57"/>
  <c r="W2417" i="57"/>
  <c r="AB2416" i="57"/>
  <c r="W2416" i="57"/>
  <c r="X2416" i="57"/>
  <c r="Y2416" i="57"/>
  <c r="V2416" i="57"/>
  <c r="AB2415" i="57"/>
  <c r="AB2414" i="57"/>
  <c r="X2414" i="57"/>
  <c r="Y2414" i="57"/>
  <c r="W2414" i="57"/>
  <c r="AB2413" i="57"/>
  <c r="V2413" i="57"/>
  <c r="AB2412" i="57"/>
  <c r="AB2411" i="57"/>
  <c r="AB2410" i="57"/>
  <c r="X2410" i="57"/>
  <c r="Y2410" i="57"/>
  <c r="W2410" i="57"/>
  <c r="AB2409" i="57"/>
  <c r="AB2408" i="57"/>
  <c r="X2408" i="57"/>
  <c r="Y2408" i="57"/>
  <c r="W2408" i="57"/>
  <c r="V2408" i="57"/>
  <c r="AB2407" i="57"/>
  <c r="X2407" i="57"/>
  <c r="Y2407" i="57"/>
  <c r="AB2406" i="57"/>
  <c r="AB2405" i="57"/>
  <c r="AB2404" i="57"/>
  <c r="X2404" i="57"/>
  <c r="Y2404" i="57"/>
  <c r="W2404" i="57"/>
  <c r="AB2403" i="57"/>
  <c r="AB2402" i="57"/>
  <c r="X2402" i="57"/>
  <c r="Y2402" i="57"/>
  <c r="W2402" i="57"/>
  <c r="V2402" i="57"/>
  <c r="AB2401" i="57"/>
  <c r="V2401" i="57"/>
  <c r="AB2400" i="57"/>
  <c r="Y2400" i="57"/>
  <c r="AA2400" i="57"/>
  <c r="X2400" i="57"/>
  <c r="W2400" i="57"/>
  <c r="V2400" i="57"/>
  <c r="AB2399" i="57"/>
  <c r="AB2398" i="57"/>
  <c r="X2398" i="57"/>
  <c r="Y2398" i="57"/>
  <c r="AB2397" i="57"/>
  <c r="AB2396" i="57"/>
  <c r="AB2395" i="57"/>
  <c r="X2395" i="57"/>
  <c r="Y2395" i="57"/>
  <c r="AB2394" i="57"/>
  <c r="AB2393" i="57"/>
  <c r="AB2392" i="57"/>
  <c r="AB2391" i="57"/>
  <c r="V2391" i="57"/>
  <c r="X2391" i="57"/>
  <c r="Y2391" i="57"/>
  <c r="W2391" i="57"/>
  <c r="AB2390" i="57"/>
  <c r="X2390" i="57"/>
  <c r="Y2390" i="57"/>
  <c r="V2390" i="57"/>
  <c r="AB2389" i="57"/>
  <c r="AB2388" i="57"/>
  <c r="V2388" i="57"/>
  <c r="X2388" i="57"/>
  <c r="Y2388" i="57"/>
  <c r="W2388" i="57"/>
  <c r="AB2387" i="57"/>
  <c r="X2387" i="57"/>
  <c r="Y2387" i="57"/>
  <c r="AB2386" i="57"/>
  <c r="AB2385" i="57"/>
  <c r="AB2384" i="57"/>
  <c r="W2384" i="57"/>
  <c r="X2384" i="57"/>
  <c r="Y2384" i="57"/>
  <c r="V2384" i="57"/>
  <c r="AB2383" i="57"/>
  <c r="AB2382" i="57"/>
  <c r="X2382" i="57"/>
  <c r="Y2382" i="57"/>
  <c r="AB2381" i="57"/>
  <c r="V2381" i="57"/>
  <c r="X2381" i="57"/>
  <c r="Y2381" i="57"/>
  <c r="AB2380" i="57"/>
  <c r="AB2379" i="57"/>
  <c r="V2379" i="57"/>
  <c r="X2379" i="57"/>
  <c r="Y2379" i="57"/>
  <c r="W2379" i="57"/>
  <c r="AB2378" i="57"/>
  <c r="X2378" i="57"/>
  <c r="Y2378" i="57"/>
  <c r="AB2377" i="57"/>
  <c r="AB2376" i="57"/>
  <c r="V2376" i="57"/>
  <c r="X2376" i="57"/>
  <c r="Y2376" i="57"/>
  <c r="W2376" i="57"/>
  <c r="AB2375" i="57"/>
  <c r="X2375" i="57"/>
  <c r="Y2375" i="57"/>
  <c r="AB2374" i="57"/>
  <c r="AB2373" i="57"/>
  <c r="V2373" i="57"/>
  <c r="W2373" i="57"/>
  <c r="AB2372" i="57"/>
  <c r="X2372" i="57"/>
  <c r="Y2372" i="57"/>
  <c r="AB2371" i="57"/>
  <c r="AB2370" i="57"/>
  <c r="X2370" i="57"/>
  <c r="Y2370" i="57"/>
  <c r="W2370" i="57"/>
  <c r="V2370" i="57"/>
  <c r="AB2369" i="57"/>
  <c r="V2369" i="57"/>
  <c r="AB2368" i="57"/>
  <c r="Y2368" i="57"/>
  <c r="AA2368" i="57"/>
  <c r="X2368" i="57"/>
  <c r="W2368" i="57"/>
  <c r="V2368" i="57"/>
  <c r="AB2367" i="57"/>
  <c r="AB2366" i="57"/>
  <c r="X2366" i="57"/>
  <c r="Y2366" i="57"/>
  <c r="AB2365" i="57"/>
  <c r="AB2364" i="57"/>
  <c r="AB2363" i="57"/>
  <c r="X2363" i="57"/>
  <c r="Y2363" i="57"/>
  <c r="AB2362" i="57"/>
  <c r="V2362" i="57"/>
  <c r="AB2361" i="57"/>
  <c r="V2361" i="57"/>
  <c r="AB2360" i="57"/>
  <c r="AB2359" i="57"/>
  <c r="V2359" i="57"/>
  <c r="AB2358" i="57"/>
  <c r="X2358" i="57"/>
  <c r="Y2358" i="57"/>
  <c r="AB2357" i="57"/>
  <c r="AB2356" i="57"/>
  <c r="V2356" i="57"/>
  <c r="AB2355" i="57"/>
  <c r="X2355" i="57"/>
  <c r="Y2355" i="57"/>
  <c r="AB2354" i="57"/>
  <c r="AB2353" i="57"/>
  <c r="AB2352" i="57"/>
  <c r="AB2351" i="57"/>
  <c r="AB2350" i="57"/>
  <c r="X2350" i="57"/>
  <c r="Y2350" i="57"/>
  <c r="AB2349" i="57"/>
  <c r="V2349" i="57"/>
  <c r="AB2348" i="57"/>
  <c r="AB2347" i="57"/>
  <c r="V2347" i="57"/>
  <c r="W2347" i="57"/>
  <c r="AB2346" i="57"/>
  <c r="X2346" i="57"/>
  <c r="Y2346" i="57"/>
  <c r="AB2345" i="57"/>
  <c r="AB2344" i="57"/>
  <c r="X2344" i="57"/>
  <c r="Y2344" i="57"/>
  <c r="W2344" i="57"/>
  <c r="V2344" i="57"/>
  <c r="AB2343" i="57"/>
  <c r="X2343" i="57"/>
  <c r="Y2343" i="57"/>
  <c r="AB2342" i="57"/>
  <c r="AB2341" i="57"/>
  <c r="AB2340" i="57"/>
  <c r="X2340" i="57"/>
  <c r="Y2340" i="57"/>
  <c r="AB2339" i="57"/>
  <c r="AB2338" i="57"/>
  <c r="X2338" i="57"/>
  <c r="Y2338" i="57"/>
  <c r="V2338" i="57"/>
  <c r="AB2337" i="57"/>
  <c r="V2337" i="57"/>
  <c r="AB2336" i="57"/>
  <c r="X2336" i="57"/>
  <c r="Y2336" i="57"/>
  <c r="W2336" i="57"/>
  <c r="V2336" i="57"/>
  <c r="AB2335" i="57"/>
  <c r="X2335" i="57"/>
  <c r="Y2335" i="57"/>
  <c r="W2335" i="57"/>
  <c r="V2335" i="57"/>
  <c r="AB2334" i="57"/>
  <c r="X2334" i="57"/>
  <c r="Y2334" i="57"/>
  <c r="AB2333" i="57"/>
  <c r="AB2332" i="57"/>
  <c r="W2332" i="57"/>
  <c r="X2332" i="57"/>
  <c r="Y2332" i="57"/>
  <c r="AB2331" i="57"/>
  <c r="X2331" i="57"/>
  <c r="Y2331" i="57"/>
  <c r="W2331" i="57"/>
  <c r="AB2330" i="57"/>
  <c r="X2330" i="57"/>
  <c r="Y2330" i="57"/>
  <c r="AB2329" i="57"/>
  <c r="AB2328" i="57"/>
  <c r="AB2327" i="57"/>
  <c r="AB2326" i="57"/>
  <c r="X2326" i="57"/>
  <c r="Y2326" i="57"/>
  <c r="AB2325" i="57"/>
  <c r="AB2324" i="57"/>
  <c r="V2324" i="57"/>
  <c r="W2324" i="57"/>
  <c r="AB2323" i="57"/>
  <c r="AB2322" i="57"/>
  <c r="AB2321" i="57"/>
  <c r="AB2320" i="57"/>
  <c r="V2320" i="57"/>
  <c r="W2320" i="57"/>
  <c r="AB2319" i="57"/>
  <c r="AB2318" i="57"/>
  <c r="AB2317" i="57"/>
  <c r="AB2316" i="57"/>
  <c r="V2316" i="57"/>
  <c r="W2316" i="57"/>
  <c r="AB2315" i="57"/>
  <c r="AB2314" i="57"/>
  <c r="AB2313" i="57"/>
  <c r="AB2312" i="57"/>
  <c r="V2312" i="57"/>
  <c r="AB2311" i="57"/>
  <c r="AB2310" i="57"/>
  <c r="W2310" i="57"/>
  <c r="AB2309" i="57"/>
  <c r="AB2308" i="57"/>
  <c r="AB2307" i="57"/>
  <c r="AB2306" i="57"/>
  <c r="AB2305" i="57"/>
  <c r="AB2304" i="57"/>
  <c r="V2304" i="57"/>
  <c r="AB2303" i="57"/>
  <c r="AB2302" i="57"/>
  <c r="W2302" i="57"/>
  <c r="AB2301" i="57"/>
  <c r="W2301" i="57"/>
  <c r="AB2300" i="57"/>
  <c r="AB2299" i="57"/>
  <c r="X2299" i="57"/>
  <c r="Y2299" i="57"/>
  <c r="W2299" i="57"/>
  <c r="V2299" i="57"/>
  <c r="AB2298" i="57"/>
  <c r="W2298" i="57"/>
  <c r="AB2297" i="57"/>
  <c r="W2297" i="57"/>
  <c r="AB2296" i="57"/>
  <c r="V2296" i="57"/>
  <c r="W2296" i="57"/>
  <c r="AB2295" i="57"/>
  <c r="AB2294" i="57"/>
  <c r="W2294" i="57"/>
  <c r="AB2293" i="57"/>
  <c r="W2293" i="57"/>
  <c r="AB2292" i="57"/>
  <c r="AB2291" i="57"/>
  <c r="V2291" i="57"/>
  <c r="AB2290" i="57"/>
  <c r="AB2289" i="57"/>
  <c r="W2289" i="57"/>
  <c r="AB2288" i="57"/>
  <c r="AB2287" i="57"/>
  <c r="X2287" i="57"/>
  <c r="Y2287" i="57"/>
  <c r="W2287" i="57"/>
  <c r="V2287" i="57"/>
  <c r="AB2286" i="57"/>
  <c r="AB2285" i="57"/>
  <c r="W2285" i="57"/>
  <c r="AB2284" i="57"/>
  <c r="V2284" i="57"/>
  <c r="AB2283" i="57"/>
  <c r="X2283" i="57"/>
  <c r="Y2283" i="57"/>
  <c r="W2283" i="57"/>
  <c r="AB2282" i="57"/>
  <c r="W2282" i="57"/>
  <c r="AB2281" i="57"/>
  <c r="W2281" i="57"/>
  <c r="AB2280" i="57"/>
  <c r="V2280" i="57"/>
  <c r="W2280" i="57"/>
  <c r="AB2279" i="57"/>
  <c r="AB2278" i="57"/>
  <c r="W2278" i="57"/>
  <c r="AB2277" i="57"/>
  <c r="AB2276" i="57"/>
  <c r="W2276" i="57"/>
  <c r="AB2275" i="57"/>
  <c r="AB2274" i="57"/>
  <c r="AB2273" i="57"/>
  <c r="AB2272" i="57"/>
  <c r="AB2271" i="57"/>
  <c r="AB2270" i="57"/>
  <c r="W2270" i="57"/>
  <c r="AB2269" i="57"/>
  <c r="W2269" i="57"/>
  <c r="AB2268" i="57"/>
  <c r="AB2267" i="57"/>
  <c r="X2267" i="57"/>
  <c r="Y2267" i="57"/>
  <c r="W2267" i="57"/>
  <c r="V2267" i="57"/>
  <c r="AB2266" i="57"/>
  <c r="W2266" i="57"/>
  <c r="AB2265" i="57"/>
  <c r="W2265" i="57"/>
  <c r="AB2264" i="57"/>
  <c r="V2264" i="57"/>
  <c r="W2264" i="57"/>
  <c r="AB2263" i="57"/>
  <c r="AB2262" i="57"/>
  <c r="W2262" i="57"/>
  <c r="AB2261" i="57"/>
  <c r="W2261" i="57"/>
  <c r="AB2260" i="57"/>
  <c r="AB2259" i="57"/>
  <c r="V2259" i="57"/>
  <c r="AB2258" i="57"/>
  <c r="AB2257" i="57"/>
  <c r="W2257" i="57"/>
  <c r="AB2256" i="57"/>
  <c r="AB2255" i="57"/>
  <c r="AB2254" i="57"/>
  <c r="AB2253" i="57"/>
  <c r="W2253" i="57"/>
  <c r="AB2252" i="57"/>
  <c r="V2252" i="57"/>
  <c r="X2252" i="57"/>
  <c r="Y2252" i="57"/>
  <c r="AA2252" i="57"/>
  <c r="W2252" i="57"/>
  <c r="AB2251" i="57"/>
  <c r="X2251" i="57"/>
  <c r="Y2251" i="57"/>
  <c r="AB2250" i="57"/>
  <c r="W2250" i="57"/>
  <c r="AB2249" i="57"/>
  <c r="W2249" i="57"/>
  <c r="AB2248" i="57"/>
  <c r="X2248" i="57"/>
  <c r="Y2248" i="57"/>
  <c r="AB2247" i="57"/>
  <c r="X2247" i="57"/>
  <c r="Y2247" i="57"/>
  <c r="V2247" i="57"/>
  <c r="AB2246" i="57"/>
  <c r="W2246" i="57"/>
  <c r="AB2245" i="57"/>
  <c r="AB2244" i="57"/>
  <c r="W2244" i="57"/>
  <c r="AB2243" i="57"/>
  <c r="AB2242" i="57"/>
  <c r="AB2241" i="57"/>
  <c r="AB2240" i="57"/>
  <c r="V2240" i="57"/>
  <c r="X2240" i="57"/>
  <c r="Y2240" i="57"/>
  <c r="W2240" i="57"/>
  <c r="AB2239" i="57"/>
  <c r="AB2238" i="57"/>
  <c r="W2238" i="57"/>
  <c r="AB2237" i="57"/>
  <c r="W2237" i="57"/>
  <c r="AB2236" i="57"/>
  <c r="V2236" i="57"/>
  <c r="X2236" i="57"/>
  <c r="Y2236" i="57"/>
  <c r="AB2235" i="57"/>
  <c r="AB2234" i="57"/>
  <c r="W2234" i="57"/>
  <c r="AB2233" i="57"/>
  <c r="W2233" i="57"/>
  <c r="AB2232" i="57"/>
  <c r="V2232" i="57"/>
  <c r="W2232" i="57"/>
  <c r="AB2231" i="57"/>
  <c r="X2231" i="57"/>
  <c r="Y2231" i="57"/>
  <c r="V2231" i="57"/>
  <c r="AB2230" i="57"/>
  <c r="W2230" i="57"/>
  <c r="AB2229" i="57"/>
  <c r="AB2228" i="57"/>
  <c r="AB2227" i="57"/>
  <c r="V2227" i="57"/>
  <c r="AB2226" i="57"/>
  <c r="AB2225" i="57"/>
  <c r="W2225" i="57"/>
  <c r="AB2224" i="57"/>
  <c r="AB2223" i="57"/>
  <c r="X2223" i="57"/>
  <c r="Y2223" i="57"/>
  <c r="W2223" i="57"/>
  <c r="V2223" i="57"/>
  <c r="AB2222" i="57"/>
  <c r="AB2221" i="57"/>
  <c r="W2221" i="57"/>
  <c r="AB2220" i="57"/>
  <c r="V2220" i="57"/>
  <c r="AB2219" i="57"/>
  <c r="X2219" i="57"/>
  <c r="Y2219" i="57"/>
  <c r="W2219" i="57"/>
  <c r="AB2218" i="57"/>
  <c r="W2218" i="57"/>
  <c r="AB2217" i="57"/>
  <c r="W2217" i="57"/>
  <c r="AB2216" i="57"/>
  <c r="V2216" i="57"/>
  <c r="W2216" i="57"/>
  <c r="AB2215" i="57"/>
  <c r="AB2214" i="57"/>
  <c r="W2214" i="57"/>
  <c r="AB2213" i="57"/>
  <c r="AB2212" i="57"/>
  <c r="W2212" i="57"/>
  <c r="AB2211" i="57"/>
  <c r="AB2210" i="57"/>
  <c r="W2210" i="57"/>
  <c r="AB2209" i="57"/>
  <c r="W2209" i="57"/>
  <c r="AB2208" i="57"/>
  <c r="V2208" i="57"/>
  <c r="X2208" i="57"/>
  <c r="Y2208" i="57"/>
  <c r="W2208" i="57"/>
  <c r="AB2207" i="57"/>
  <c r="X2207" i="57"/>
  <c r="Y2207" i="57"/>
  <c r="W2207" i="57"/>
  <c r="AB2206" i="57"/>
  <c r="W2206" i="57"/>
  <c r="AB2205" i="57"/>
  <c r="V2205" i="57"/>
  <c r="AB2204" i="57"/>
  <c r="AB2203" i="57"/>
  <c r="V2203" i="57"/>
  <c r="AB2202" i="57"/>
  <c r="AB2201" i="57"/>
  <c r="X2201" i="57"/>
  <c r="Y2201" i="57"/>
  <c r="AB2200" i="57"/>
  <c r="X2200" i="57"/>
  <c r="Y2200" i="57"/>
  <c r="W2200" i="57"/>
  <c r="AB2199" i="57"/>
  <c r="V2199" i="57"/>
  <c r="AB2198" i="57"/>
  <c r="W2198" i="57"/>
  <c r="AB2197" i="57"/>
  <c r="V2197" i="57"/>
  <c r="AB2196" i="57"/>
  <c r="X2196" i="57"/>
  <c r="Y2196" i="57"/>
  <c r="AB2195" i="57"/>
  <c r="W2195" i="57"/>
  <c r="AB2194" i="57"/>
  <c r="W2194" i="57"/>
  <c r="AB2193" i="57"/>
  <c r="W2193" i="57"/>
  <c r="AB2192" i="57"/>
  <c r="W2192" i="57"/>
  <c r="AB2191" i="57"/>
  <c r="W2191" i="57"/>
  <c r="AB2190" i="57"/>
  <c r="AB2189" i="57"/>
  <c r="AB2188" i="57"/>
  <c r="W2188" i="57"/>
  <c r="AB2187" i="57"/>
  <c r="V2187" i="57"/>
  <c r="AB2186" i="57"/>
  <c r="AB2185" i="57"/>
  <c r="AB2184" i="57"/>
  <c r="X2184" i="57"/>
  <c r="Y2184" i="57"/>
  <c r="W2184" i="57"/>
  <c r="AB2183" i="57"/>
  <c r="AB2182" i="57"/>
  <c r="AB2181" i="57"/>
  <c r="AB2180" i="57"/>
  <c r="W2180" i="57"/>
  <c r="X2180" i="57"/>
  <c r="Y2180" i="57"/>
  <c r="AA2180" i="57"/>
  <c r="V2180" i="57"/>
  <c r="AB2179" i="57"/>
  <c r="W2179" i="57"/>
  <c r="AB2178" i="57"/>
  <c r="AB2177" i="57"/>
  <c r="W2177" i="57"/>
  <c r="AB2176" i="57"/>
  <c r="W2176" i="57"/>
  <c r="AB2175" i="57"/>
  <c r="W2175" i="57"/>
  <c r="AB2174" i="57"/>
  <c r="AB2173" i="57"/>
  <c r="AB2172" i="57"/>
  <c r="W2172" i="57"/>
  <c r="AB2171" i="57"/>
  <c r="X2171" i="57"/>
  <c r="Y2171" i="57"/>
  <c r="W2171" i="57"/>
  <c r="V2171" i="57"/>
  <c r="AB2170" i="57"/>
  <c r="AB2169" i="57"/>
  <c r="V2169" i="57"/>
  <c r="X2169" i="57"/>
  <c r="Y2169" i="57"/>
  <c r="AB2168" i="57"/>
  <c r="AB2167" i="57"/>
  <c r="W2167" i="57"/>
  <c r="AB2166" i="57"/>
  <c r="AB2165" i="57"/>
  <c r="AB2164" i="57"/>
  <c r="V2164" i="57"/>
  <c r="X2164" i="57"/>
  <c r="Y2164" i="57"/>
  <c r="W2164" i="57"/>
  <c r="AB2163" i="57"/>
  <c r="W2163" i="57"/>
  <c r="AB2162" i="57"/>
  <c r="W2162" i="57"/>
  <c r="AB2161" i="57"/>
  <c r="W2161" i="57"/>
  <c r="AB2160" i="57"/>
  <c r="V2160" i="57"/>
  <c r="Y2160" i="57"/>
  <c r="AA2160" i="57"/>
  <c r="X2160" i="57"/>
  <c r="W2160" i="57"/>
  <c r="AB2159" i="57"/>
  <c r="W2159" i="57"/>
  <c r="AB2158" i="57"/>
  <c r="AB2157" i="57"/>
  <c r="AB2156" i="57"/>
  <c r="W2156" i="57"/>
  <c r="AB2155" i="57"/>
  <c r="AB2154" i="57"/>
  <c r="AB2153" i="57"/>
  <c r="V2153" i="57"/>
  <c r="AB2152" i="57"/>
  <c r="X2152" i="57"/>
  <c r="Y2152" i="57"/>
  <c r="W2152" i="57"/>
  <c r="AB2151" i="57"/>
  <c r="W2151" i="57"/>
  <c r="AB2150" i="57"/>
  <c r="AB2149" i="57"/>
  <c r="AB2148" i="57"/>
  <c r="X2148" i="57"/>
  <c r="Y2148" i="57"/>
  <c r="W2148" i="57"/>
  <c r="V2148" i="57"/>
  <c r="AB2147" i="57"/>
  <c r="AB2146" i="57"/>
  <c r="W2146" i="57"/>
  <c r="AB2145" i="57"/>
  <c r="W2145" i="57"/>
  <c r="AB2144" i="57"/>
  <c r="X2144" i="57"/>
  <c r="Y2144" i="57"/>
  <c r="V2144" i="57"/>
  <c r="AB2143" i="57"/>
  <c r="V2143" i="57"/>
  <c r="AB2142" i="57"/>
  <c r="W2142" i="57"/>
  <c r="AB2141" i="57"/>
  <c r="V2141" i="57"/>
  <c r="X2141" i="57"/>
  <c r="Y2141" i="57"/>
  <c r="W2141" i="57"/>
  <c r="AB2140" i="57"/>
  <c r="AB2139" i="57"/>
  <c r="AB2138" i="57"/>
  <c r="AB2137" i="57"/>
  <c r="X2137" i="57"/>
  <c r="Y2137" i="57"/>
  <c r="AB2136" i="57"/>
  <c r="X2136" i="57"/>
  <c r="Y2136" i="57"/>
  <c r="V2136" i="57"/>
  <c r="AB2135" i="57"/>
  <c r="X2135" i="57"/>
  <c r="Y2135" i="57"/>
  <c r="W2135" i="57"/>
  <c r="AB2134" i="57"/>
  <c r="W2134" i="57"/>
  <c r="AB2133" i="57"/>
  <c r="V2133" i="57"/>
  <c r="X2133" i="57"/>
  <c r="Y2133" i="57"/>
  <c r="W2133" i="57"/>
  <c r="AB2132" i="57"/>
  <c r="W2132" i="57"/>
  <c r="AB2131" i="57"/>
  <c r="W2131" i="57"/>
  <c r="AB2130" i="57"/>
  <c r="W2130" i="57"/>
  <c r="AB2129" i="57"/>
  <c r="W2129" i="57"/>
  <c r="AB2128" i="57"/>
  <c r="AB2127" i="57"/>
  <c r="X2127" i="57"/>
  <c r="Y2127" i="57"/>
  <c r="W2127" i="57"/>
  <c r="V2127" i="57"/>
  <c r="AB2126" i="57"/>
  <c r="W2126" i="57"/>
  <c r="AB2125" i="57"/>
  <c r="V2125" i="57"/>
  <c r="X2125" i="57"/>
  <c r="Y2125" i="57"/>
  <c r="AB2124" i="57"/>
  <c r="V2124" i="57"/>
  <c r="W2124" i="57"/>
  <c r="AB2123" i="57"/>
  <c r="X2123" i="57"/>
  <c r="Y2123" i="57"/>
  <c r="V2123" i="57"/>
  <c r="AB2122" i="57"/>
  <c r="AB2121" i="57"/>
  <c r="AB2120" i="57"/>
  <c r="X2120" i="57"/>
  <c r="Y2120" i="57"/>
  <c r="V2120" i="57"/>
  <c r="AB2119" i="57"/>
  <c r="X2119" i="57"/>
  <c r="Y2119" i="57"/>
  <c r="W2119" i="57"/>
  <c r="V2119" i="57"/>
  <c r="AB2118" i="57"/>
  <c r="W2118" i="57"/>
  <c r="AB2117" i="57"/>
  <c r="V2117" i="57"/>
  <c r="AB2116" i="57"/>
  <c r="X2116" i="57"/>
  <c r="Y2116" i="57"/>
  <c r="W2116" i="57"/>
  <c r="V2116" i="57"/>
  <c r="AB2115" i="57"/>
  <c r="W2115" i="57"/>
  <c r="AB2114" i="57"/>
  <c r="W2114" i="57"/>
  <c r="AB2113" i="57"/>
  <c r="X2113" i="57"/>
  <c r="Y2113" i="57"/>
  <c r="W2113" i="57"/>
  <c r="V2113" i="57"/>
  <c r="AB2112" i="57"/>
  <c r="AB2111" i="57"/>
  <c r="X2111" i="57"/>
  <c r="Y2111" i="57"/>
  <c r="AA2111" i="57"/>
  <c r="W2111" i="57"/>
  <c r="V2111" i="57"/>
  <c r="AB2110" i="57"/>
  <c r="W2110" i="57"/>
  <c r="AB2109" i="57"/>
  <c r="AB2108" i="57"/>
  <c r="X2108" i="57"/>
  <c r="Y2108" i="57"/>
  <c r="W2108" i="57"/>
  <c r="V2108" i="57"/>
  <c r="AB2107" i="57"/>
  <c r="V2107" i="57"/>
  <c r="AB2106" i="57"/>
  <c r="AB2105" i="57"/>
  <c r="X2105" i="57"/>
  <c r="Y2105" i="57"/>
  <c r="W2105" i="57"/>
  <c r="AB2104" i="57"/>
  <c r="AB2103" i="57"/>
  <c r="AB2102" i="57"/>
  <c r="V2102" i="57"/>
  <c r="W2102" i="57"/>
  <c r="AB2101" i="57"/>
  <c r="W2101" i="57"/>
  <c r="AB2100" i="57"/>
  <c r="X2100" i="57"/>
  <c r="Y2100" i="57"/>
  <c r="W2100" i="57"/>
  <c r="V2100" i="57"/>
  <c r="AB2099" i="57"/>
  <c r="AB2098" i="57"/>
  <c r="X2098" i="57"/>
  <c r="Y2098" i="57"/>
  <c r="AB2097" i="57"/>
  <c r="AB2096" i="57"/>
  <c r="W2096" i="57"/>
  <c r="X2096" i="57"/>
  <c r="Y2096" i="57"/>
  <c r="V2096" i="57"/>
  <c r="AB2095" i="57"/>
  <c r="W2095" i="57"/>
  <c r="AB2094" i="57"/>
  <c r="V2094" i="57"/>
  <c r="AB2093" i="57"/>
  <c r="X2093" i="57"/>
  <c r="Y2093" i="57"/>
  <c r="W2093" i="57"/>
  <c r="V2093" i="57"/>
  <c r="AB2092" i="57"/>
  <c r="AB2091" i="57"/>
  <c r="X2091" i="57"/>
  <c r="Y2091" i="57"/>
  <c r="AB2090" i="57"/>
  <c r="V2090" i="57"/>
  <c r="AB2089" i="57"/>
  <c r="X2089" i="57"/>
  <c r="Y2089" i="57"/>
  <c r="AB2088" i="57"/>
  <c r="X2088" i="57"/>
  <c r="Y2088" i="57"/>
  <c r="W2088" i="57"/>
  <c r="V2088" i="57"/>
  <c r="AB2087" i="57"/>
  <c r="AB2086" i="57"/>
  <c r="V2086" i="57"/>
  <c r="AB2085" i="57"/>
  <c r="X2085" i="57"/>
  <c r="Y2085" i="57"/>
  <c r="W2085" i="57"/>
  <c r="AA2085" i="57"/>
  <c r="V2085" i="57"/>
  <c r="AB2084" i="57"/>
  <c r="AB2083" i="57"/>
  <c r="X2083" i="57"/>
  <c r="Y2083" i="57"/>
  <c r="W2083" i="57"/>
  <c r="V2083" i="57"/>
  <c r="AB2082" i="57"/>
  <c r="AB2081" i="57"/>
  <c r="V2081" i="57"/>
  <c r="X2081" i="57"/>
  <c r="Y2081" i="57"/>
  <c r="AA2081" i="57"/>
  <c r="W2081" i="57"/>
  <c r="AB2080" i="57"/>
  <c r="AB2079" i="57"/>
  <c r="AB2078" i="57"/>
  <c r="V2078" i="57"/>
  <c r="X2078" i="57"/>
  <c r="Y2078" i="57"/>
  <c r="W2078" i="57"/>
  <c r="AB2077" i="57"/>
  <c r="AB2076" i="57"/>
  <c r="AB2075" i="57"/>
  <c r="X2075" i="57"/>
  <c r="Y2075" i="57"/>
  <c r="W2075" i="57"/>
  <c r="AB2074" i="57"/>
  <c r="AB2073" i="57"/>
  <c r="AB2072" i="57"/>
  <c r="X2072" i="57"/>
  <c r="Y2072" i="57"/>
  <c r="W2072" i="57"/>
  <c r="AB2071" i="57"/>
  <c r="AB2070" i="57"/>
  <c r="AB2069" i="57"/>
  <c r="V2069" i="57"/>
  <c r="W2069" i="57"/>
  <c r="AB2068" i="57"/>
  <c r="Y2068" i="57"/>
  <c r="X2068" i="57"/>
  <c r="W2068" i="57"/>
  <c r="V2068" i="57"/>
  <c r="AB2067" i="57"/>
  <c r="W2067" i="57"/>
  <c r="X2067" i="57"/>
  <c r="Y2067" i="57"/>
  <c r="AB2066" i="57"/>
  <c r="AB2065" i="57"/>
  <c r="V2065" i="57"/>
  <c r="X2065" i="57"/>
  <c r="Y2065" i="57"/>
  <c r="AA2065" i="57"/>
  <c r="W2065" i="57"/>
  <c r="AB2064" i="57"/>
  <c r="AB2063" i="57"/>
  <c r="W2063" i="57"/>
  <c r="X2063" i="57"/>
  <c r="Y2063" i="57"/>
  <c r="AB2062" i="57"/>
  <c r="AB2061" i="57"/>
  <c r="AB2060" i="57"/>
  <c r="X2060" i="57"/>
  <c r="Y2060" i="57"/>
  <c r="W2060" i="57"/>
  <c r="AA2060" i="57"/>
  <c r="V2060" i="57"/>
  <c r="AB2059" i="57"/>
  <c r="X2059" i="57"/>
  <c r="Y2059" i="57"/>
  <c r="AB2058" i="57"/>
  <c r="AB2057" i="57"/>
  <c r="V2057" i="57"/>
  <c r="X2057" i="57"/>
  <c r="Y2057" i="57"/>
  <c r="AA2057" i="57"/>
  <c r="W2057" i="57"/>
  <c r="AB2056" i="57"/>
  <c r="X2056" i="57"/>
  <c r="Y2056" i="57"/>
  <c r="AB2055" i="57"/>
  <c r="X2055" i="57"/>
  <c r="Y2055" i="57"/>
  <c r="AB2054" i="57"/>
  <c r="AB2053" i="57"/>
  <c r="V2053" i="57"/>
  <c r="X2053" i="57"/>
  <c r="Y2053" i="57"/>
  <c r="AA2053" i="57"/>
  <c r="W2053" i="57"/>
  <c r="AB2052" i="57"/>
  <c r="AB2051" i="57"/>
  <c r="X2051" i="57"/>
  <c r="Y2051" i="57"/>
  <c r="AB2050" i="57"/>
  <c r="AB2049" i="57"/>
  <c r="V2049" i="57"/>
  <c r="AB2048" i="57"/>
  <c r="X2048" i="57"/>
  <c r="Y2048" i="57"/>
  <c r="W2048" i="57"/>
  <c r="V2048" i="57"/>
  <c r="AB2047" i="57"/>
  <c r="X2047" i="57"/>
  <c r="Y2047" i="57"/>
  <c r="AB2046" i="57"/>
  <c r="AB2045" i="57"/>
  <c r="V2045" i="57"/>
  <c r="X2045" i="57"/>
  <c r="Y2045" i="57"/>
  <c r="W2045" i="57"/>
  <c r="AB2044" i="57"/>
  <c r="Y2044" i="57"/>
  <c r="X2044" i="57"/>
  <c r="W2044" i="57"/>
  <c r="V2044" i="57"/>
  <c r="AB2043" i="57"/>
  <c r="X2043" i="57"/>
  <c r="Y2043" i="57"/>
  <c r="AB2042" i="57"/>
  <c r="AB2041" i="57"/>
  <c r="V2041" i="57"/>
  <c r="X2041" i="57"/>
  <c r="Y2041" i="57"/>
  <c r="AA2041" i="57"/>
  <c r="W2041" i="57"/>
  <c r="AB2040" i="57"/>
  <c r="AB2039" i="57"/>
  <c r="X2039" i="57"/>
  <c r="Y2039" i="57"/>
  <c r="AB2038" i="57"/>
  <c r="AB2037" i="57"/>
  <c r="V2037" i="57"/>
  <c r="Y2037" i="57"/>
  <c r="AA2037" i="57"/>
  <c r="X2037" i="57"/>
  <c r="W2037" i="57"/>
  <c r="AB2036" i="57"/>
  <c r="X2036" i="57"/>
  <c r="Y2036" i="57"/>
  <c r="AB2035" i="57"/>
  <c r="X2035" i="57"/>
  <c r="Y2035" i="57"/>
  <c r="AB2034" i="57"/>
  <c r="AB2033" i="57"/>
  <c r="W2033" i="57"/>
  <c r="AB2032" i="57"/>
  <c r="X2032" i="57"/>
  <c r="Y2032" i="57"/>
  <c r="AB2031" i="57"/>
  <c r="X2031" i="57"/>
  <c r="Y2031" i="57"/>
  <c r="AB2030" i="57"/>
  <c r="AB2029" i="57"/>
  <c r="W2029" i="57"/>
  <c r="AB2028" i="57"/>
  <c r="X2028" i="57"/>
  <c r="Y2028" i="57"/>
  <c r="AB2027" i="57"/>
  <c r="X2027" i="57"/>
  <c r="Y2027" i="57"/>
  <c r="AB2026" i="57"/>
  <c r="AB2025" i="57"/>
  <c r="AB2024" i="57"/>
  <c r="X2024" i="57"/>
  <c r="Y2024" i="57"/>
  <c r="W2024" i="57"/>
  <c r="V2024" i="57"/>
  <c r="AB2023" i="57"/>
  <c r="X2023" i="57"/>
  <c r="Y2023" i="57"/>
  <c r="AB2022" i="57"/>
  <c r="AB2021" i="57"/>
  <c r="V2021" i="57"/>
  <c r="AB2020" i="57"/>
  <c r="X2020" i="57"/>
  <c r="Y2020" i="57"/>
  <c r="W2020" i="57"/>
  <c r="V2020" i="57"/>
  <c r="AB2019" i="57"/>
  <c r="X2019" i="57"/>
  <c r="Y2019" i="57"/>
  <c r="AB2018" i="57"/>
  <c r="AB2017" i="57"/>
  <c r="AB2016" i="57"/>
  <c r="X2016" i="57"/>
  <c r="Y2016" i="57"/>
  <c r="W2016" i="57"/>
  <c r="V2016" i="57"/>
  <c r="AB2015" i="57"/>
  <c r="X2015" i="57"/>
  <c r="Y2015" i="57"/>
  <c r="AB2014" i="57"/>
  <c r="AB2013" i="57"/>
  <c r="AB2012" i="57"/>
  <c r="X2012" i="57"/>
  <c r="Y2012" i="57"/>
  <c r="W2012" i="57"/>
  <c r="AB2011" i="57"/>
  <c r="X2011" i="57"/>
  <c r="Y2011" i="57"/>
  <c r="AB2010" i="57"/>
  <c r="AB2009" i="57"/>
  <c r="AB2008" i="57"/>
  <c r="X2008" i="57"/>
  <c r="Y2008" i="57"/>
  <c r="V2008" i="57"/>
  <c r="AB2007" i="57"/>
  <c r="X2007" i="57"/>
  <c r="Y2007" i="57"/>
  <c r="AB2006" i="57"/>
  <c r="AB2005" i="57"/>
  <c r="V2005" i="57"/>
  <c r="W2005" i="57"/>
  <c r="AB2004" i="57"/>
  <c r="X2004" i="57"/>
  <c r="Y2004" i="57"/>
  <c r="W2004" i="57"/>
  <c r="V2004" i="57"/>
  <c r="AB2003" i="57"/>
  <c r="X2003" i="57"/>
  <c r="Y2003" i="57"/>
  <c r="AB2002" i="57"/>
  <c r="AB2001" i="57"/>
  <c r="V2001" i="57"/>
  <c r="X2001" i="57"/>
  <c r="Y2001" i="57"/>
  <c r="W2001" i="57"/>
  <c r="AB2000" i="57"/>
  <c r="X2000" i="57"/>
  <c r="Y2000" i="57"/>
  <c r="W2000" i="57"/>
  <c r="V2000" i="57"/>
  <c r="AB1999" i="57"/>
  <c r="X1999" i="57"/>
  <c r="Y1999" i="57"/>
  <c r="AB1998" i="57"/>
  <c r="AB1997" i="57"/>
  <c r="V1997" i="57"/>
  <c r="X1997" i="57"/>
  <c r="Y1997" i="57"/>
  <c r="W1997" i="57"/>
  <c r="AB1996" i="57"/>
  <c r="X1996" i="57"/>
  <c r="Y1996" i="57"/>
  <c r="W1996" i="57"/>
  <c r="V1996" i="57"/>
  <c r="AB1995" i="57"/>
  <c r="X1995" i="57"/>
  <c r="Y1995" i="57"/>
  <c r="AB1994" i="57"/>
  <c r="AB1993" i="57"/>
  <c r="V1993" i="57"/>
  <c r="X1993" i="57"/>
  <c r="Y1993" i="57"/>
  <c r="AA1993" i="57"/>
  <c r="W1993" i="57"/>
  <c r="AB1992" i="57"/>
  <c r="AB1991" i="57"/>
  <c r="X1991" i="57"/>
  <c r="Y1991" i="57"/>
  <c r="AB1990" i="57"/>
  <c r="AB1989" i="57"/>
  <c r="V1989" i="57"/>
  <c r="Y1989" i="57"/>
  <c r="X1989" i="57"/>
  <c r="W1989" i="57"/>
  <c r="AB1988" i="57"/>
  <c r="X1988" i="57"/>
  <c r="Y1988" i="57"/>
  <c r="W1988" i="57"/>
  <c r="AB1987" i="57"/>
  <c r="X1987" i="57"/>
  <c r="Y1987" i="57"/>
  <c r="AB1986" i="57"/>
  <c r="AB1985" i="57"/>
  <c r="V1985" i="57"/>
  <c r="W1985" i="57"/>
  <c r="AB1984" i="57"/>
  <c r="X1984" i="57"/>
  <c r="Y1984" i="57"/>
  <c r="W1984" i="57"/>
  <c r="AB1983" i="57"/>
  <c r="X1983" i="57"/>
  <c r="Y1983" i="57"/>
  <c r="AB1982" i="57"/>
  <c r="AB1981" i="57"/>
  <c r="V1981" i="57"/>
  <c r="W1981" i="57"/>
  <c r="AB1980" i="57"/>
  <c r="X1980" i="57"/>
  <c r="Y1980" i="57"/>
  <c r="W1980" i="57"/>
  <c r="AB1979" i="57"/>
  <c r="X1979" i="57"/>
  <c r="Y1979" i="57"/>
  <c r="AB1978" i="57"/>
  <c r="AB1977" i="57"/>
  <c r="V1977" i="57"/>
  <c r="X1977" i="57"/>
  <c r="Y1977" i="57"/>
  <c r="W1977" i="57"/>
  <c r="AB1976" i="57"/>
  <c r="AB1975" i="57"/>
  <c r="AB1974" i="57"/>
  <c r="AB1973" i="57"/>
  <c r="V1973" i="57"/>
  <c r="X1973" i="57"/>
  <c r="Y1973" i="57"/>
  <c r="AA1973" i="57"/>
  <c r="W1973" i="57"/>
  <c r="AB1972" i="57"/>
  <c r="AB1971" i="57"/>
  <c r="AB1970" i="57"/>
  <c r="AB1969" i="57"/>
  <c r="V1969" i="57"/>
  <c r="Y1969" i="57"/>
  <c r="X1969" i="57"/>
  <c r="W1969" i="57"/>
  <c r="AB1968" i="57"/>
  <c r="X1968" i="57"/>
  <c r="Y1968" i="57"/>
  <c r="AB1967" i="57"/>
  <c r="AB1966" i="57"/>
  <c r="AB1965" i="57"/>
  <c r="AB1964" i="57"/>
  <c r="X1964" i="57"/>
  <c r="Y1964" i="57"/>
  <c r="W1964" i="57"/>
  <c r="V1964" i="57"/>
  <c r="AB1963" i="57"/>
  <c r="AB1962" i="57"/>
  <c r="AB1961" i="57"/>
  <c r="V1961" i="57"/>
  <c r="AB1960" i="57"/>
  <c r="X1960" i="57"/>
  <c r="Y1960" i="57"/>
  <c r="W1960" i="57"/>
  <c r="V1960" i="57"/>
  <c r="AB1959" i="57"/>
  <c r="AB1958" i="57"/>
  <c r="AB1957" i="57"/>
  <c r="AB1956" i="57"/>
  <c r="X1956" i="57"/>
  <c r="Y1956" i="57"/>
  <c r="V1956" i="57"/>
  <c r="AB1955" i="57"/>
  <c r="AB1954" i="57"/>
  <c r="AB1953" i="57"/>
  <c r="V1953" i="57"/>
  <c r="W1953" i="57"/>
  <c r="AB1952" i="57"/>
  <c r="X1952" i="57"/>
  <c r="Y1952" i="57"/>
  <c r="W1952" i="57"/>
  <c r="V1952" i="57"/>
  <c r="AB1951" i="57"/>
  <c r="AB1950" i="57"/>
  <c r="AB1949" i="57"/>
  <c r="V1949" i="57"/>
  <c r="X1949" i="57"/>
  <c r="Y1949" i="57"/>
  <c r="W1949" i="57"/>
  <c r="AB1948" i="57"/>
  <c r="X1948" i="57"/>
  <c r="Y1948" i="57"/>
  <c r="W1948" i="57"/>
  <c r="V1948" i="57"/>
  <c r="AB1947" i="57"/>
  <c r="AB1946" i="57"/>
  <c r="AB1945" i="57"/>
  <c r="V1945" i="57"/>
  <c r="X1945" i="57"/>
  <c r="Y1945" i="57"/>
  <c r="W1945" i="57"/>
  <c r="AB1944" i="57"/>
  <c r="X1944" i="57"/>
  <c r="Y1944" i="57"/>
  <c r="W1944" i="57"/>
  <c r="V1944" i="57"/>
  <c r="AB1943" i="57"/>
  <c r="AB1942" i="57"/>
  <c r="AB1941" i="57"/>
  <c r="V1941" i="57"/>
  <c r="X1941" i="57"/>
  <c r="Y1941" i="57"/>
  <c r="W1941" i="57"/>
  <c r="AB1940" i="57"/>
  <c r="X1940" i="57"/>
  <c r="Y1940" i="57"/>
  <c r="W1940" i="57"/>
  <c r="V1940" i="57"/>
  <c r="AB1939" i="57"/>
  <c r="AB1938" i="57"/>
  <c r="AB1937" i="57"/>
  <c r="V1937" i="57"/>
  <c r="X1937" i="57"/>
  <c r="Y1937" i="57"/>
  <c r="W1937" i="57"/>
  <c r="AB1936" i="57"/>
  <c r="X1936" i="57"/>
  <c r="Y1936" i="57"/>
  <c r="W1936" i="57"/>
  <c r="V1936" i="57"/>
  <c r="AB1935" i="57"/>
  <c r="W1935" i="57"/>
  <c r="AB1934" i="57"/>
  <c r="AB1933" i="57"/>
  <c r="V1933" i="57"/>
  <c r="X1933" i="57"/>
  <c r="Y1933" i="57"/>
  <c r="AB1932" i="57"/>
  <c r="X1932" i="57"/>
  <c r="Y1932" i="57"/>
  <c r="AA1932" i="57"/>
  <c r="W1932" i="57"/>
  <c r="V1932" i="57"/>
  <c r="AB1931" i="57"/>
  <c r="W1931" i="57"/>
  <c r="AB1930" i="57"/>
  <c r="AB1929" i="57"/>
  <c r="AB1928" i="57"/>
  <c r="X1928" i="57"/>
  <c r="Y1928" i="57"/>
  <c r="W1928" i="57"/>
  <c r="V1928" i="57"/>
  <c r="AB1927" i="57"/>
  <c r="AB1926" i="57"/>
  <c r="AB1925" i="57"/>
  <c r="V1925" i="57"/>
  <c r="X1925" i="57"/>
  <c r="Y1925" i="57"/>
  <c r="W1925" i="57"/>
  <c r="AB1924" i="57"/>
  <c r="X1924" i="57"/>
  <c r="Y1924" i="57"/>
  <c r="AA1924" i="57"/>
  <c r="W1924" i="57"/>
  <c r="V1924" i="57"/>
  <c r="AB1923" i="57"/>
  <c r="W1923" i="57"/>
  <c r="AB1922" i="57"/>
  <c r="AB1921" i="57"/>
  <c r="V1921" i="57"/>
  <c r="W1921" i="57"/>
  <c r="AB1920" i="57"/>
  <c r="X1920" i="57"/>
  <c r="Y1920" i="57"/>
  <c r="W1920" i="57"/>
  <c r="V1920" i="57"/>
  <c r="AB1919" i="57"/>
  <c r="W1919" i="57"/>
  <c r="AB1918" i="57"/>
  <c r="AB1917" i="57"/>
  <c r="AB1916" i="57"/>
  <c r="X1916" i="57"/>
  <c r="Y1916" i="57"/>
  <c r="AB1915" i="57"/>
  <c r="AB1914" i="57"/>
  <c r="W1914" i="57"/>
  <c r="AB1913" i="57"/>
  <c r="V1913" i="57"/>
  <c r="W1913" i="57"/>
  <c r="AB1912" i="57"/>
  <c r="X1912" i="57"/>
  <c r="Y1912" i="57"/>
  <c r="V1912" i="57"/>
  <c r="AB1911" i="57"/>
  <c r="W1911" i="57"/>
  <c r="AB1910" i="57"/>
  <c r="W1910" i="57"/>
  <c r="AB1909" i="57"/>
  <c r="V1909" i="57"/>
  <c r="X1909" i="57"/>
  <c r="Y1909" i="57"/>
  <c r="W1909" i="57"/>
  <c r="AB1908" i="57"/>
  <c r="X1908" i="57"/>
  <c r="Y1908" i="57"/>
  <c r="AB1907" i="57"/>
  <c r="W1907" i="57"/>
  <c r="AB1906" i="57"/>
  <c r="AB1905" i="57"/>
  <c r="V1905" i="57"/>
  <c r="X1905" i="57"/>
  <c r="Y1905" i="57"/>
  <c r="W1905" i="57"/>
  <c r="AB1904" i="57"/>
  <c r="AB1903" i="57"/>
  <c r="W1903" i="57"/>
  <c r="AB1902" i="57"/>
  <c r="AB1901" i="57"/>
  <c r="V1901" i="57"/>
  <c r="X1901" i="57"/>
  <c r="Y1901" i="57"/>
  <c r="AB1900" i="57"/>
  <c r="AB1899" i="57"/>
  <c r="W1899" i="57"/>
  <c r="AB1898" i="57"/>
  <c r="W1898" i="57"/>
  <c r="AB1897" i="57"/>
  <c r="V1897" i="57"/>
  <c r="AB1896" i="57"/>
  <c r="X1896" i="57"/>
  <c r="Y1896" i="57"/>
  <c r="W1896" i="57"/>
  <c r="V1896" i="57"/>
  <c r="AB1895" i="57"/>
  <c r="W1895" i="57"/>
  <c r="AB1894" i="57"/>
  <c r="W1894" i="57"/>
  <c r="AB1893" i="57"/>
  <c r="V1893" i="57"/>
  <c r="AB1892" i="57"/>
  <c r="X1892" i="57"/>
  <c r="Y1892" i="57"/>
  <c r="W1892" i="57"/>
  <c r="V1892" i="57"/>
  <c r="AB1891" i="57"/>
  <c r="W1891" i="57"/>
  <c r="AB1890" i="57"/>
  <c r="W1890" i="57"/>
  <c r="AB1889" i="57"/>
  <c r="AB1888" i="57"/>
  <c r="X1888" i="57"/>
  <c r="Y1888" i="57"/>
  <c r="W1888" i="57"/>
  <c r="V1888" i="57"/>
  <c r="AB1887" i="57"/>
  <c r="AB1886" i="57"/>
  <c r="W1886" i="57"/>
  <c r="AB1885" i="57"/>
  <c r="AB1884" i="57"/>
  <c r="X1884" i="57"/>
  <c r="Y1884" i="57"/>
  <c r="AB1883" i="57"/>
  <c r="AB1882" i="57"/>
  <c r="W1882" i="57"/>
  <c r="AB1881" i="57"/>
  <c r="W1881" i="57"/>
  <c r="AB1880" i="57"/>
  <c r="X1880" i="57"/>
  <c r="Y1880" i="57"/>
  <c r="AB1879" i="57"/>
  <c r="W1879" i="57"/>
  <c r="AB1878" i="57"/>
  <c r="W1878" i="57"/>
  <c r="AB1877" i="57"/>
  <c r="W1877" i="57"/>
  <c r="AB1876" i="57"/>
  <c r="X1876" i="57"/>
  <c r="Y1876" i="57"/>
  <c r="AB1875" i="57"/>
  <c r="W1875" i="57"/>
  <c r="AB1874" i="57"/>
  <c r="AB1873" i="57"/>
  <c r="AB1872" i="57"/>
  <c r="AB1871" i="57"/>
  <c r="W1871" i="57"/>
  <c r="Y1870" i="57"/>
  <c r="AA1870" i="57"/>
  <c r="X1870" i="57"/>
  <c r="W1870" i="57"/>
  <c r="V1870" i="57"/>
  <c r="X1869" i="57"/>
  <c r="Y1869" i="57"/>
  <c r="W1869" i="57"/>
  <c r="V1869" i="57"/>
  <c r="AA1868" i="57"/>
  <c r="X1868" i="57"/>
  <c r="Y1868" i="57"/>
  <c r="W1868" i="57"/>
  <c r="V1868" i="57"/>
  <c r="X1867" i="57"/>
  <c r="Y1867" i="57"/>
  <c r="W1867" i="57"/>
  <c r="V1867" i="57"/>
  <c r="X1866" i="57"/>
  <c r="Y1866" i="57"/>
  <c r="W1866" i="57"/>
  <c r="V1866" i="57"/>
  <c r="AB1865" i="57"/>
  <c r="W1865" i="57"/>
  <c r="AB1864" i="57"/>
  <c r="W1864" i="57"/>
  <c r="Y1864" i="57"/>
  <c r="X1864" i="57"/>
  <c r="V1864" i="57"/>
  <c r="AB1863" i="57"/>
  <c r="W1863" i="57"/>
  <c r="X1863" i="57"/>
  <c r="Y1863" i="57"/>
  <c r="AB1862" i="57"/>
  <c r="X1862" i="57"/>
  <c r="Y1862" i="57"/>
  <c r="W1862" i="57"/>
  <c r="AA1862" i="57"/>
  <c r="V1862" i="57"/>
  <c r="AB1861" i="57"/>
  <c r="AB1860" i="57"/>
  <c r="W1860" i="57"/>
  <c r="V1860" i="57"/>
  <c r="X1859" i="57"/>
  <c r="Y1859" i="57"/>
  <c r="AA1859" i="57"/>
  <c r="W1859" i="57"/>
  <c r="V1859" i="57"/>
  <c r="X1858" i="57"/>
  <c r="Y1858" i="57"/>
  <c r="AA1858" i="57"/>
  <c r="W1858" i="57"/>
  <c r="V1858" i="57"/>
  <c r="Y1857" i="57"/>
  <c r="X1857" i="57"/>
  <c r="W1857" i="57"/>
  <c r="V1857" i="57"/>
  <c r="X1856" i="57"/>
  <c r="Y1856" i="57"/>
  <c r="AA1856" i="57"/>
  <c r="W1856" i="57"/>
  <c r="V1856" i="57"/>
  <c r="Y1855" i="57"/>
  <c r="AA1855" i="57"/>
  <c r="X1855" i="57"/>
  <c r="W1855" i="57"/>
  <c r="V1855" i="57"/>
  <c r="X1854" i="57"/>
  <c r="Y1854" i="57"/>
  <c r="W1854" i="57"/>
  <c r="V1854" i="57"/>
  <c r="X1853" i="57"/>
  <c r="Y1853" i="57"/>
  <c r="AA1853" i="57"/>
  <c r="W1853" i="57"/>
  <c r="V1853" i="57"/>
  <c r="AB1852" i="57"/>
  <c r="W1852" i="57"/>
  <c r="AB1851" i="57"/>
  <c r="V1851" i="57"/>
  <c r="AB1850" i="57"/>
  <c r="X1850" i="57"/>
  <c r="Y1850" i="57"/>
  <c r="W1850" i="57"/>
  <c r="V1850" i="57"/>
  <c r="AB1849" i="57"/>
  <c r="W1849" i="57"/>
  <c r="AB1848" i="57"/>
  <c r="W1848" i="57"/>
  <c r="AB1847" i="57"/>
  <c r="AB1846" i="57"/>
  <c r="X1846" i="57"/>
  <c r="Y1846" i="57"/>
  <c r="AB1845" i="57"/>
  <c r="AB1844" i="57"/>
  <c r="W1844" i="57"/>
  <c r="AB1843" i="57"/>
  <c r="AB1842" i="57"/>
  <c r="X1842" i="57"/>
  <c r="Y1842" i="57"/>
  <c r="W1842" i="57"/>
  <c r="AB1841" i="57"/>
  <c r="AB1840" i="57"/>
  <c r="W1840" i="57"/>
  <c r="AB1839" i="57"/>
  <c r="V1839" i="57"/>
  <c r="W1839" i="57"/>
  <c r="X1838" i="57"/>
  <c r="Y1838" i="57"/>
  <c r="W1838" i="57"/>
  <c r="V1838" i="57"/>
  <c r="X1837" i="57"/>
  <c r="Y1837" i="57"/>
  <c r="AA1837" i="57"/>
  <c r="W1837" i="57"/>
  <c r="V1837" i="57"/>
  <c r="X1836" i="57"/>
  <c r="Y1836" i="57"/>
  <c r="W1836" i="57"/>
  <c r="V1836" i="57"/>
  <c r="Y1835" i="57"/>
  <c r="X1835" i="57"/>
  <c r="W1835" i="57"/>
  <c r="V1835" i="57"/>
  <c r="X1834" i="57"/>
  <c r="Y1834" i="57"/>
  <c r="W1834" i="57"/>
  <c r="V1834" i="57"/>
  <c r="Y1833" i="57"/>
  <c r="AA1833" i="57"/>
  <c r="X1833" i="57"/>
  <c r="W1833" i="57"/>
  <c r="V1833" i="57"/>
  <c r="X1832" i="57"/>
  <c r="Y1832" i="57"/>
  <c r="W1832" i="57"/>
  <c r="V1832" i="57"/>
  <c r="X1831" i="57"/>
  <c r="Y1831" i="57"/>
  <c r="AA1831" i="57"/>
  <c r="W1831" i="57"/>
  <c r="V1831" i="57"/>
  <c r="AB1830" i="57"/>
  <c r="X1830" i="57"/>
  <c r="Y1830" i="57"/>
  <c r="V1830" i="57"/>
  <c r="AB1829" i="57"/>
  <c r="AB1828" i="57"/>
  <c r="W1828" i="57"/>
  <c r="AB1827" i="57"/>
  <c r="AB1826" i="57"/>
  <c r="X1826" i="57"/>
  <c r="Y1826" i="57"/>
  <c r="AB1825" i="57"/>
  <c r="AB1824" i="57"/>
  <c r="W1824" i="57"/>
  <c r="AB1823" i="57"/>
  <c r="X1823" i="57"/>
  <c r="Y1823" i="57"/>
  <c r="AB1822" i="57"/>
  <c r="X1822" i="57"/>
  <c r="Y1822" i="57"/>
  <c r="V1822" i="57"/>
  <c r="AB1821" i="57"/>
  <c r="W1821" i="57"/>
  <c r="Y1820" i="57"/>
  <c r="X1820" i="57"/>
  <c r="W1820" i="57"/>
  <c r="V1820" i="57"/>
  <c r="X1819" i="57"/>
  <c r="Y1819" i="57"/>
  <c r="W1819" i="57"/>
  <c r="V1819" i="57"/>
  <c r="X1818" i="57"/>
  <c r="Y1818" i="57"/>
  <c r="W1818" i="57"/>
  <c r="V1818" i="57"/>
  <c r="AA1818" i="57"/>
  <c r="X1817" i="57"/>
  <c r="Y1817" i="57"/>
  <c r="W1817" i="57"/>
  <c r="V1817" i="57"/>
  <c r="AB1816" i="57"/>
  <c r="X1816" i="57"/>
  <c r="Y1816" i="57"/>
  <c r="AB1815" i="57"/>
  <c r="W1815" i="57"/>
  <c r="AB1814" i="57"/>
  <c r="W1814" i="57"/>
  <c r="AB1813" i="57"/>
  <c r="V1813" i="57"/>
  <c r="AB1812" i="57"/>
  <c r="X1812" i="57"/>
  <c r="Y1812" i="57"/>
  <c r="AB1811" i="57"/>
  <c r="W1811" i="57"/>
  <c r="Y1810" i="57"/>
  <c r="AA1810" i="57"/>
  <c r="X1810" i="57"/>
  <c r="W1810" i="57"/>
  <c r="V1810" i="57"/>
  <c r="Y1809" i="57"/>
  <c r="X1809" i="57"/>
  <c r="W1809" i="57"/>
  <c r="V1809" i="57"/>
  <c r="AA1808" i="57"/>
  <c r="X1808" i="57"/>
  <c r="Y1808" i="57"/>
  <c r="W1808" i="57"/>
  <c r="V1808" i="57"/>
  <c r="Y1807" i="57"/>
  <c r="X1807" i="57"/>
  <c r="W1807" i="57"/>
  <c r="V1807" i="57"/>
  <c r="AB1806" i="57"/>
  <c r="X1806" i="57"/>
  <c r="Y1806" i="57"/>
  <c r="AB1805" i="57"/>
  <c r="W1805" i="57"/>
  <c r="AB1804" i="57"/>
  <c r="AB1803" i="57"/>
  <c r="V1803" i="57"/>
  <c r="X1803" i="57"/>
  <c r="Y1803" i="57"/>
  <c r="W1803" i="57"/>
  <c r="AB1802" i="57"/>
  <c r="AB1801" i="57"/>
  <c r="W1801" i="57"/>
  <c r="AB1800" i="57"/>
  <c r="AB1799" i="57"/>
  <c r="V1799" i="57"/>
  <c r="X1799" i="57"/>
  <c r="Y1799" i="57"/>
  <c r="AB1798" i="57"/>
  <c r="AB1797" i="57"/>
  <c r="W1797" i="57"/>
  <c r="AB1796" i="57"/>
  <c r="W1796" i="57"/>
  <c r="AB1795" i="57"/>
  <c r="V1795" i="57"/>
  <c r="W1795" i="57"/>
  <c r="AB1794" i="57"/>
  <c r="X1794" i="57"/>
  <c r="Y1794" i="57"/>
  <c r="W1794" i="57"/>
  <c r="V1794" i="57"/>
  <c r="AB1793" i="57"/>
  <c r="W1793" i="57"/>
  <c r="AB1792" i="57"/>
  <c r="W1792" i="57"/>
  <c r="AB1791" i="57"/>
  <c r="V1791" i="57"/>
  <c r="AB1790" i="57"/>
  <c r="X1790" i="57"/>
  <c r="Y1790" i="57"/>
  <c r="V1790" i="57"/>
  <c r="AB1789" i="57"/>
  <c r="W1789" i="57"/>
  <c r="Y1788" i="57"/>
  <c r="AA1788" i="57"/>
  <c r="X1788" i="57"/>
  <c r="W1788" i="57"/>
  <c r="V1788" i="57"/>
  <c r="Y1787" i="57"/>
  <c r="X1787" i="57"/>
  <c r="W1787" i="57"/>
  <c r="V1787" i="57"/>
  <c r="X1786" i="57"/>
  <c r="Y1786" i="57"/>
  <c r="W1786" i="57"/>
  <c r="V1786" i="57"/>
  <c r="X1785" i="57"/>
  <c r="Y1785" i="57"/>
  <c r="W1785" i="57"/>
  <c r="V1785" i="57"/>
  <c r="AB1784" i="57"/>
  <c r="W1784" i="57"/>
  <c r="AB1783" i="57"/>
  <c r="W1783" i="57"/>
  <c r="AB1782" i="57"/>
  <c r="W1782" i="57"/>
  <c r="AB1781" i="57"/>
  <c r="AB1780" i="57"/>
  <c r="AB1779" i="57"/>
  <c r="AB1778" i="57"/>
  <c r="W1778" i="57"/>
  <c r="AB1777" i="57"/>
  <c r="AB1776" i="57"/>
  <c r="X1776" i="57"/>
  <c r="Y1776" i="57"/>
  <c r="AB1775" i="57"/>
  <c r="AB1774" i="57"/>
  <c r="W1774" i="57"/>
  <c r="AB1773" i="57"/>
  <c r="V1773" i="57"/>
  <c r="AB1772" i="57"/>
  <c r="AB1771" i="57"/>
  <c r="W1771" i="57"/>
  <c r="AB1770" i="57"/>
  <c r="W1770" i="57"/>
  <c r="AB1769" i="57"/>
  <c r="V1769" i="57"/>
  <c r="AB1768" i="57"/>
  <c r="X1768" i="57"/>
  <c r="Y1768" i="57"/>
  <c r="AB1767" i="57"/>
  <c r="W1767" i="57"/>
  <c r="AB1766" i="57"/>
  <c r="AB1765" i="57"/>
  <c r="AB1764" i="57"/>
  <c r="AB1763" i="57"/>
  <c r="W1763" i="57"/>
  <c r="AB1762" i="57"/>
  <c r="AB1761" i="57"/>
  <c r="AB1760" i="57"/>
  <c r="AB1759" i="57"/>
  <c r="W1759" i="57"/>
  <c r="AB1758" i="57"/>
  <c r="W1758" i="57"/>
  <c r="AB1757" i="57"/>
  <c r="AB1756" i="57"/>
  <c r="AB1755" i="57"/>
  <c r="W1755" i="57"/>
  <c r="AB1754" i="57"/>
  <c r="W1754" i="57"/>
  <c r="AB1753" i="57"/>
  <c r="V1753" i="57"/>
  <c r="AB1752" i="57"/>
  <c r="X1751" i="57"/>
  <c r="Y1751" i="57"/>
  <c r="W1751" i="57"/>
  <c r="V1751" i="57"/>
  <c r="Y1750" i="57"/>
  <c r="X1750" i="57"/>
  <c r="W1750" i="57"/>
  <c r="V1750" i="57"/>
  <c r="X1749" i="57"/>
  <c r="Y1749" i="57"/>
  <c r="W1749" i="57"/>
  <c r="V1749" i="57"/>
  <c r="Y1748" i="57"/>
  <c r="X1748" i="57"/>
  <c r="W1748" i="57"/>
  <c r="V1748" i="57"/>
  <c r="X1747" i="57"/>
  <c r="Y1747" i="57"/>
  <c r="W1747" i="57"/>
  <c r="V1747" i="57"/>
  <c r="X1746" i="57"/>
  <c r="Y1746" i="57"/>
  <c r="W1746" i="57"/>
  <c r="V1746" i="57"/>
  <c r="X1745" i="57"/>
  <c r="Y1745" i="57"/>
  <c r="AA1745" i="57"/>
  <c r="W1745" i="57"/>
  <c r="V1745" i="57"/>
  <c r="AB1744" i="57"/>
  <c r="X1744" i="57"/>
  <c r="Y1744" i="57"/>
  <c r="AB1743" i="57"/>
  <c r="V1743" i="57"/>
  <c r="AB1742" i="57"/>
  <c r="AB1741" i="57"/>
  <c r="AB1740" i="57"/>
  <c r="X1740" i="57"/>
  <c r="Y1740" i="57"/>
  <c r="W1740" i="57"/>
  <c r="AA1740" i="57"/>
  <c r="V1740" i="57"/>
  <c r="AB1739" i="57"/>
  <c r="AB1738" i="57"/>
  <c r="AB1737" i="57"/>
  <c r="Y1736" i="57"/>
  <c r="X1736" i="57"/>
  <c r="W1736" i="57"/>
  <c r="V1736" i="57"/>
  <c r="AA1735" i="57"/>
  <c r="X1735" i="57"/>
  <c r="Y1735" i="57"/>
  <c r="W1735" i="57"/>
  <c r="V1735" i="57"/>
  <c r="Y1734" i="57"/>
  <c r="X1734" i="57"/>
  <c r="W1734" i="57"/>
  <c r="V1734" i="57"/>
  <c r="AA1733" i="57"/>
  <c r="X1733" i="57"/>
  <c r="Y1733" i="57"/>
  <c r="W1733" i="57"/>
  <c r="V1733" i="57"/>
  <c r="AB1732" i="57"/>
  <c r="AB1731" i="57"/>
  <c r="X1731" i="57"/>
  <c r="Y1731" i="57"/>
  <c r="AB1730" i="57"/>
  <c r="X1730" i="57"/>
  <c r="Y1730" i="57"/>
  <c r="W1730" i="57"/>
  <c r="V1730" i="57"/>
  <c r="AB1729" i="57"/>
  <c r="W1729" i="57"/>
  <c r="V1729" i="57"/>
  <c r="AB1728" i="57"/>
  <c r="X1727" i="57"/>
  <c r="Y1727" i="57"/>
  <c r="W1727" i="57"/>
  <c r="V1727" i="57"/>
  <c r="AA1726" i="57"/>
  <c r="X1726" i="57"/>
  <c r="Y1726" i="57"/>
  <c r="W1726" i="57"/>
  <c r="V1726" i="57"/>
  <c r="Y1725" i="57"/>
  <c r="AA1725" i="57"/>
  <c r="X1725" i="57"/>
  <c r="W1725" i="57"/>
  <c r="V1725" i="57"/>
  <c r="AA1724" i="57"/>
  <c r="X1724" i="57"/>
  <c r="Y1724" i="57"/>
  <c r="W1724" i="57"/>
  <c r="V1724" i="57"/>
  <c r="Y1723" i="57"/>
  <c r="X1723" i="57"/>
  <c r="W1723" i="57"/>
  <c r="V1723" i="57"/>
  <c r="AA1722" i="57"/>
  <c r="Y1722" i="57"/>
  <c r="X1722" i="57"/>
  <c r="W1722" i="57"/>
  <c r="V1722" i="57"/>
  <c r="AB1721" i="57"/>
  <c r="X1721" i="57"/>
  <c r="Y1721" i="57"/>
  <c r="W1721" i="57"/>
  <c r="V1721" i="57"/>
  <c r="AB1720" i="57"/>
  <c r="AB1719" i="57"/>
  <c r="W1719" i="57"/>
  <c r="X1719" i="57"/>
  <c r="Y1719" i="57"/>
  <c r="V1719" i="57"/>
  <c r="AB1718" i="57"/>
  <c r="X1718" i="57"/>
  <c r="Y1718" i="57"/>
  <c r="AB1717" i="57"/>
  <c r="X1717" i="57"/>
  <c r="Y1717" i="57"/>
  <c r="AB1716" i="57"/>
  <c r="AB1715" i="57"/>
  <c r="W1715" i="57"/>
  <c r="AC1714" i="57"/>
  <c r="AB1714" i="57"/>
  <c r="W1714" i="57"/>
  <c r="X1713" i="57"/>
  <c r="Y1713" i="57"/>
  <c r="W1713" i="57"/>
  <c r="V1713" i="57"/>
  <c r="X1712" i="57"/>
  <c r="Y1712" i="57"/>
  <c r="W1712" i="57"/>
  <c r="V1712" i="57"/>
  <c r="Y1711" i="57"/>
  <c r="AA1711" i="57"/>
  <c r="X1711" i="57"/>
  <c r="W1711" i="57"/>
  <c r="V1711" i="57"/>
  <c r="Y1710" i="57"/>
  <c r="AA1710" i="57"/>
  <c r="X1710" i="57"/>
  <c r="W1710" i="57"/>
  <c r="V1710" i="57"/>
  <c r="AA1709" i="57"/>
  <c r="X1709" i="57"/>
  <c r="Y1709" i="57"/>
  <c r="W1709" i="57"/>
  <c r="V1709" i="57"/>
  <c r="X1708" i="57"/>
  <c r="Y1708" i="57"/>
  <c r="AA1708" i="57"/>
  <c r="W1708" i="57"/>
  <c r="V1708" i="57"/>
  <c r="X1707" i="57"/>
  <c r="Y1707" i="57"/>
  <c r="W1707" i="57"/>
  <c r="V1707" i="57"/>
  <c r="X1706" i="57"/>
  <c r="Y1706" i="57"/>
  <c r="W1706" i="57"/>
  <c r="V1706" i="57"/>
  <c r="X1705" i="57"/>
  <c r="Y1705" i="57"/>
  <c r="W1705" i="57"/>
  <c r="V1705" i="57"/>
  <c r="Y1704" i="57"/>
  <c r="X1704" i="57"/>
  <c r="W1704" i="57"/>
  <c r="V1704" i="57"/>
  <c r="Y1703" i="57"/>
  <c r="X1703" i="57"/>
  <c r="W1703" i="57"/>
  <c r="V1703" i="57"/>
  <c r="Y1702" i="57"/>
  <c r="X1702" i="57"/>
  <c r="W1702" i="57"/>
  <c r="V1702" i="57"/>
  <c r="X1701" i="57"/>
  <c r="Y1701" i="57"/>
  <c r="W1701" i="57"/>
  <c r="V1701" i="57"/>
  <c r="Y1700" i="57"/>
  <c r="AA1700" i="57"/>
  <c r="X1700" i="57"/>
  <c r="W1700" i="57"/>
  <c r="V1700" i="57"/>
  <c r="X1699" i="57"/>
  <c r="Y1699" i="57"/>
  <c r="W1699" i="57"/>
  <c r="V1699" i="57"/>
  <c r="Y1698" i="57"/>
  <c r="AA1698" i="57"/>
  <c r="X1698" i="57"/>
  <c r="W1698" i="57"/>
  <c r="V1698" i="57"/>
  <c r="X1697" i="57"/>
  <c r="Y1697" i="57"/>
  <c r="W1697" i="57"/>
  <c r="V1697" i="57"/>
  <c r="X1696" i="57"/>
  <c r="Y1696" i="57"/>
  <c r="AA1696" i="57"/>
  <c r="W1696" i="57"/>
  <c r="V1696" i="57"/>
  <c r="X1695" i="57"/>
  <c r="Y1695" i="57"/>
  <c r="W1695" i="57"/>
  <c r="V1695" i="57"/>
  <c r="X1694" i="57"/>
  <c r="Y1694" i="57"/>
  <c r="W1694" i="57"/>
  <c r="V1694" i="57"/>
  <c r="X1693" i="57"/>
  <c r="Y1693" i="57"/>
  <c r="W1693" i="57"/>
  <c r="V1693" i="57"/>
  <c r="Y1692" i="57"/>
  <c r="X1692" i="57"/>
  <c r="W1692" i="57"/>
  <c r="V1692" i="57"/>
  <c r="X1691" i="57"/>
  <c r="Y1691" i="57"/>
  <c r="W1691" i="57"/>
  <c r="V1691" i="57"/>
  <c r="X1690" i="57"/>
  <c r="Y1690" i="57"/>
  <c r="AA1690" i="57"/>
  <c r="W1690" i="57"/>
  <c r="V1690" i="57"/>
  <c r="X1689" i="57"/>
  <c r="Y1689" i="57"/>
  <c r="W1689" i="57"/>
  <c r="AA1689" i="57"/>
  <c r="V1689" i="57"/>
  <c r="X1688" i="57"/>
  <c r="Y1688" i="57"/>
  <c r="W1688" i="57"/>
  <c r="V1688" i="57"/>
  <c r="X1687" i="57"/>
  <c r="Y1687" i="57"/>
  <c r="W1687" i="57"/>
  <c r="V1687" i="57"/>
  <c r="Y1686" i="57"/>
  <c r="X1686" i="57"/>
  <c r="W1686" i="57"/>
  <c r="V1686" i="57"/>
  <c r="X1685" i="57"/>
  <c r="Y1685" i="57"/>
  <c r="W1685" i="57"/>
  <c r="V1685" i="57"/>
  <c r="Y1684" i="57"/>
  <c r="X1684" i="57"/>
  <c r="W1684" i="57"/>
  <c r="V1684" i="57"/>
  <c r="X1683" i="57"/>
  <c r="Y1683" i="57"/>
  <c r="AA1683" i="57"/>
  <c r="W1683" i="57"/>
  <c r="V1683" i="57"/>
  <c r="Y1682" i="57"/>
  <c r="X1682" i="57"/>
  <c r="W1682" i="57"/>
  <c r="V1682" i="57"/>
  <c r="X1681" i="57"/>
  <c r="Y1681" i="57"/>
  <c r="W1681" i="57"/>
  <c r="V1681" i="57"/>
  <c r="X1680" i="57"/>
  <c r="Y1680" i="57"/>
  <c r="W1680" i="57"/>
  <c r="V1680" i="57"/>
  <c r="X1679" i="57"/>
  <c r="Y1679" i="57"/>
  <c r="W1679" i="57"/>
  <c r="V1679" i="57"/>
  <c r="X1678" i="57"/>
  <c r="Y1678" i="57"/>
  <c r="W1678" i="57"/>
  <c r="V1678" i="57"/>
  <c r="X1677" i="57"/>
  <c r="Y1677" i="57"/>
  <c r="W1677" i="57"/>
  <c r="V1677" i="57"/>
  <c r="X1676" i="57"/>
  <c r="Y1676" i="57"/>
  <c r="AA1676" i="57"/>
  <c r="W1676" i="57"/>
  <c r="V1676" i="57"/>
  <c r="X1675" i="57"/>
  <c r="Y1675" i="57"/>
  <c r="AA1675" i="57"/>
  <c r="W1675" i="57"/>
  <c r="V1675" i="57"/>
  <c r="X1674" i="57"/>
  <c r="Y1674" i="57"/>
  <c r="W1674" i="57"/>
  <c r="V1674" i="57"/>
  <c r="X1673" i="57"/>
  <c r="Y1673" i="57"/>
  <c r="W1673" i="57"/>
  <c r="V1673" i="57"/>
  <c r="X1672" i="57"/>
  <c r="Y1672" i="57"/>
  <c r="W1672" i="57"/>
  <c r="V1672" i="57"/>
  <c r="Y1671" i="57"/>
  <c r="X1671" i="57"/>
  <c r="W1671" i="57"/>
  <c r="V1671" i="57"/>
  <c r="X1670" i="57"/>
  <c r="Y1670" i="57"/>
  <c r="AA1670" i="57"/>
  <c r="W1670" i="57"/>
  <c r="V1670" i="57"/>
  <c r="X1669" i="57"/>
  <c r="Y1669" i="57"/>
  <c r="W1669" i="57"/>
  <c r="V1669" i="57"/>
  <c r="Y1668" i="57"/>
  <c r="X1668" i="57"/>
  <c r="W1668" i="57"/>
  <c r="V1668" i="57"/>
  <c r="X1667" i="57"/>
  <c r="Y1667" i="57"/>
  <c r="W1667" i="57"/>
  <c r="V1667" i="57"/>
  <c r="Y1666" i="57"/>
  <c r="X1666" i="57"/>
  <c r="W1666" i="57"/>
  <c r="V1666" i="57"/>
  <c r="X1665" i="57"/>
  <c r="Y1665" i="57"/>
  <c r="AA1665" i="57"/>
  <c r="W1665" i="57"/>
  <c r="V1665" i="57"/>
  <c r="X1664" i="57"/>
  <c r="Y1664" i="57"/>
  <c r="AA1664" i="57"/>
  <c r="W1664" i="57"/>
  <c r="V1664" i="57"/>
  <c r="X1663" i="57"/>
  <c r="Y1663" i="57"/>
  <c r="W1663" i="57"/>
  <c r="V1663" i="57"/>
  <c r="Y1662" i="57"/>
  <c r="X1662" i="57"/>
  <c r="W1662" i="57"/>
  <c r="V1662" i="57"/>
  <c r="X1661" i="57"/>
  <c r="Y1661" i="57"/>
  <c r="W1661" i="57"/>
  <c r="V1661" i="57"/>
  <c r="Y1660" i="57"/>
  <c r="X1660" i="57"/>
  <c r="W1660" i="57"/>
  <c r="V1660" i="57"/>
  <c r="X1659" i="57"/>
  <c r="Y1659" i="57"/>
  <c r="W1659" i="57"/>
  <c r="V1659" i="57"/>
  <c r="Y1658" i="57"/>
  <c r="X1658" i="57"/>
  <c r="W1658" i="57"/>
  <c r="V1658" i="57"/>
  <c r="AA1658" i="57"/>
  <c r="X1657" i="57"/>
  <c r="Y1657" i="57"/>
  <c r="AA1657" i="57"/>
  <c r="W1657" i="57"/>
  <c r="V1657" i="57"/>
  <c r="Y1656" i="57"/>
  <c r="X1656" i="57"/>
  <c r="W1656" i="57"/>
  <c r="V1656" i="57"/>
  <c r="X1655" i="57"/>
  <c r="Y1655" i="57"/>
  <c r="W1655" i="57"/>
  <c r="V1655" i="57"/>
  <c r="X1654" i="57"/>
  <c r="Y1654" i="57"/>
  <c r="W1654" i="57"/>
  <c r="V1654" i="57"/>
  <c r="X1653" i="57"/>
  <c r="Y1653" i="57"/>
  <c r="W1653" i="57"/>
  <c r="V1653" i="57"/>
  <c r="X1652" i="57"/>
  <c r="Y1652" i="57"/>
  <c r="W1652" i="57"/>
  <c r="V1652" i="57"/>
  <c r="AA1651" i="57"/>
  <c r="X1651" i="57"/>
  <c r="Y1651" i="57"/>
  <c r="W1651" i="57"/>
  <c r="V1651" i="57"/>
  <c r="X1650" i="57"/>
  <c r="Y1650" i="57"/>
  <c r="W1650" i="57"/>
  <c r="V1650" i="57"/>
  <c r="X1649" i="57"/>
  <c r="Y1649" i="57"/>
  <c r="W1649" i="57"/>
  <c r="V1649" i="57"/>
  <c r="Y1648" i="57"/>
  <c r="X1648" i="57"/>
  <c r="W1648" i="57"/>
  <c r="V1648" i="57"/>
  <c r="X1647" i="57"/>
  <c r="Y1647" i="57"/>
  <c r="AA1647" i="57"/>
  <c r="W1647" i="57"/>
  <c r="V1647" i="57"/>
  <c r="X1646" i="57"/>
  <c r="Y1646" i="57"/>
  <c r="AA1646" i="57"/>
  <c r="W1646" i="57"/>
  <c r="V1646" i="57"/>
  <c r="X1645" i="57"/>
  <c r="Y1645" i="57"/>
  <c r="W1645" i="57"/>
  <c r="V1645" i="57"/>
  <c r="X1644" i="57"/>
  <c r="Y1644" i="57"/>
  <c r="W1644" i="57"/>
  <c r="V1644" i="57"/>
  <c r="X1643" i="57"/>
  <c r="Y1643" i="57"/>
  <c r="W1643" i="57"/>
  <c r="V1643" i="57"/>
  <c r="Y1642" i="57"/>
  <c r="X1642" i="57"/>
  <c r="W1642" i="57"/>
  <c r="V1642" i="57"/>
  <c r="X1641" i="57"/>
  <c r="Y1641" i="57"/>
  <c r="W1641" i="57"/>
  <c r="V1641" i="57"/>
  <c r="Y1640" i="57"/>
  <c r="AA1640" i="57"/>
  <c r="X1640" i="57"/>
  <c r="W1640" i="57"/>
  <c r="V1640" i="57"/>
  <c r="Y1639" i="57"/>
  <c r="X1639" i="57"/>
  <c r="W1639" i="57"/>
  <c r="V1639" i="57"/>
  <c r="Y1638" i="57"/>
  <c r="X1638" i="57"/>
  <c r="W1638" i="57"/>
  <c r="V1638" i="57"/>
  <c r="X1637" i="57"/>
  <c r="Y1637" i="57"/>
  <c r="AA1637" i="57"/>
  <c r="W1637" i="57"/>
  <c r="V1637" i="57"/>
  <c r="X1636" i="57"/>
  <c r="Y1636" i="57"/>
  <c r="AA1636" i="57"/>
  <c r="W1636" i="57"/>
  <c r="V1636" i="57"/>
  <c r="X1635" i="57"/>
  <c r="Y1635" i="57"/>
  <c r="W1635" i="57"/>
  <c r="V1635" i="57"/>
  <c r="X1634" i="57"/>
  <c r="Y1634" i="57"/>
  <c r="W1634" i="57"/>
  <c r="V1634" i="57"/>
  <c r="X1633" i="57"/>
  <c r="Y1633" i="57"/>
  <c r="W1633" i="57"/>
  <c r="V1633" i="57"/>
  <c r="X1632" i="57"/>
  <c r="Y1632" i="57"/>
  <c r="W1632" i="57"/>
  <c r="V1632" i="57"/>
  <c r="X1631" i="57"/>
  <c r="Y1631" i="57"/>
  <c r="AA1631" i="57"/>
  <c r="W1631" i="57"/>
  <c r="V1631" i="57"/>
  <c r="Y1630" i="57"/>
  <c r="X1630" i="57"/>
  <c r="W1630" i="57"/>
  <c r="V1630" i="57"/>
  <c r="X1629" i="57"/>
  <c r="Y1629" i="57"/>
  <c r="W1629" i="57"/>
  <c r="V1629" i="57"/>
  <c r="X1628" i="57"/>
  <c r="Y1628" i="57"/>
  <c r="W1628" i="57"/>
  <c r="V1628" i="57"/>
  <c r="X1627" i="57"/>
  <c r="Y1627" i="57"/>
  <c r="W1627" i="57"/>
  <c r="AA1627" i="57"/>
  <c r="V1627" i="57"/>
  <c r="X1626" i="57"/>
  <c r="Y1626" i="57"/>
  <c r="W1626" i="57"/>
  <c r="V1626" i="57"/>
  <c r="X1625" i="57"/>
  <c r="Y1625" i="57"/>
  <c r="W1625" i="57"/>
  <c r="V1625" i="57"/>
  <c r="Y1624" i="57"/>
  <c r="AA1624" i="57"/>
  <c r="X1624" i="57"/>
  <c r="W1624" i="57"/>
  <c r="V1624" i="57"/>
  <c r="Y1623" i="57"/>
  <c r="AA1623" i="57"/>
  <c r="X1623" i="57"/>
  <c r="W1623" i="57"/>
  <c r="V1623" i="57"/>
  <c r="Y1622" i="57"/>
  <c r="X1622" i="57"/>
  <c r="W1622" i="57"/>
  <c r="V1622" i="57"/>
  <c r="X1621" i="57"/>
  <c r="Y1621" i="57"/>
  <c r="W1621" i="57"/>
  <c r="V1621" i="57"/>
  <c r="X1620" i="57"/>
  <c r="Y1620" i="57"/>
  <c r="AA1620" i="57"/>
  <c r="W1620" i="57"/>
  <c r="V1620" i="57"/>
  <c r="Y1619" i="57"/>
  <c r="AA1619" i="57"/>
  <c r="X1619" i="57"/>
  <c r="W1619" i="57"/>
  <c r="V1619" i="57"/>
  <c r="X1618" i="57"/>
  <c r="Y1618" i="57"/>
  <c r="W1618" i="57"/>
  <c r="V1618" i="57"/>
  <c r="AA1617" i="57"/>
  <c r="X1617" i="57"/>
  <c r="Y1617" i="57"/>
  <c r="W1617" i="57"/>
  <c r="V1617" i="57"/>
  <c r="X1616" i="57"/>
  <c r="Y1616" i="57"/>
  <c r="W1616" i="57"/>
  <c r="V1616" i="57"/>
  <c r="Y1615" i="57"/>
  <c r="AA1615" i="57"/>
  <c r="X1615" i="57"/>
  <c r="W1615" i="57"/>
  <c r="V1615" i="57"/>
  <c r="X1614" i="57"/>
  <c r="Y1614" i="57"/>
  <c r="W1614" i="57"/>
  <c r="V1614" i="57"/>
  <c r="X1613" i="57"/>
  <c r="Y1613" i="57"/>
  <c r="W1613" i="57"/>
  <c r="V1613" i="57"/>
  <c r="X1612" i="57"/>
  <c r="Y1612" i="57"/>
  <c r="W1612" i="57"/>
  <c r="V1612" i="57"/>
  <c r="X1611" i="57"/>
  <c r="Y1611" i="57"/>
  <c r="AA1611" i="57"/>
  <c r="W1611" i="57"/>
  <c r="V1611" i="57"/>
  <c r="X1610" i="57"/>
  <c r="Y1610" i="57"/>
  <c r="W1610" i="57"/>
  <c r="V1610" i="57"/>
  <c r="X1609" i="57"/>
  <c r="Y1609" i="57"/>
  <c r="W1609" i="57"/>
  <c r="V1609" i="57"/>
  <c r="Y1608" i="57"/>
  <c r="X1608" i="57"/>
  <c r="W1608" i="57"/>
  <c r="V1608" i="57"/>
  <c r="Y1607" i="57"/>
  <c r="X1607" i="57"/>
  <c r="W1607" i="57"/>
  <c r="V1607" i="57"/>
  <c r="Y1606" i="57"/>
  <c r="X1606" i="57"/>
  <c r="W1606" i="57"/>
  <c r="V1606" i="57"/>
  <c r="AA1606" i="57"/>
  <c r="X1605" i="57"/>
  <c r="Y1605" i="57"/>
  <c r="W1605" i="57"/>
  <c r="V1605" i="57"/>
  <c r="Y1604" i="57"/>
  <c r="X1604" i="57"/>
  <c r="W1604" i="57"/>
  <c r="V1604" i="57"/>
  <c r="Y1603" i="57"/>
  <c r="X1603" i="57"/>
  <c r="W1603" i="57"/>
  <c r="V1603" i="57"/>
  <c r="Y1602" i="57"/>
  <c r="X1602" i="57"/>
  <c r="W1602" i="57"/>
  <c r="V1602" i="57"/>
  <c r="Y1601" i="57"/>
  <c r="X1601" i="57"/>
  <c r="W1601" i="57"/>
  <c r="V1601" i="57"/>
  <c r="AA1601" i="57"/>
  <c r="X1600" i="57"/>
  <c r="Y1600" i="57"/>
  <c r="AA1600" i="57"/>
  <c r="W1600" i="57"/>
  <c r="V1600" i="57"/>
  <c r="Y1599" i="57"/>
  <c r="AA1599" i="57"/>
  <c r="X1599" i="57"/>
  <c r="W1599" i="57"/>
  <c r="V1599" i="57"/>
  <c r="Y1598" i="57"/>
  <c r="AA1598" i="57"/>
  <c r="X1598" i="57"/>
  <c r="W1598" i="57"/>
  <c r="V1598" i="57"/>
  <c r="X1597" i="57"/>
  <c r="Y1597" i="57"/>
  <c r="W1597" i="57"/>
  <c r="V1597" i="57"/>
  <c r="Y1596" i="57"/>
  <c r="AA1596" i="57"/>
  <c r="X1596" i="57"/>
  <c r="W1596" i="57"/>
  <c r="V1596" i="57"/>
  <c r="X1595" i="57"/>
  <c r="Y1595" i="57"/>
  <c r="AA1595" i="57"/>
  <c r="W1595" i="57"/>
  <c r="V1595" i="57"/>
  <c r="X1594" i="57"/>
  <c r="Y1594" i="57"/>
  <c r="W1594" i="57"/>
  <c r="V1594" i="57"/>
  <c r="X1593" i="57"/>
  <c r="Y1593" i="57"/>
  <c r="AA1593" i="57"/>
  <c r="W1593" i="57"/>
  <c r="V1593" i="57"/>
  <c r="X1592" i="57"/>
  <c r="Y1592" i="57"/>
  <c r="W1592" i="57"/>
  <c r="V1592" i="57"/>
  <c r="X1591" i="57"/>
  <c r="Y1591" i="57"/>
  <c r="AA1591" i="57"/>
  <c r="W1591" i="57"/>
  <c r="V1591" i="57"/>
  <c r="X1590" i="57"/>
  <c r="Y1590" i="57"/>
  <c r="W1590" i="57"/>
  <c r="V1590" i="57"/>
  <c r="X1589" i="57"/>
  <c r="Y1589" i="57"/>
  <c r="W1589" i="57"/>
  <c r="V1589" i="57"/>
  <c r="AA1589" i="57"/>
  <c r="X1588" i="57"/>
  <c r="Y1588" i="57"/>
  <c r="W1588" i="57"/>
  <c r="V1588" i="57"/>
  <c r="X1587" i="57"/>
  <c r="Y1587" i="57"/>
  <c r="W1587" i="57"/>
  <c r="V1587" i="57"/>
  <c r="AA1586" i="57"/>
  <c r="X1586" i="57"/>
  <c r="Y1586" i="57"/>
  <c r="W1586" i="57"/>
  <c r="V1586" i="57"/>
  <c r="X1585" i="57"/>
  <c r="Y1585" i="57"/>
  <c r="W1585" i="57"/>
  <c r="V1585" i="57"/>
  <c r="Y1584" i="57"/>
  <c r="X1584" i="57"/>
  <c r="W1584" i="57"/>
  <c r="V1584" i="57"/>
  <c r="X1583" i="57"/>
  <c r="Y1583" i="57"/>
  <c r="AA1583" i="57"/>
  <c r="W1583" i="57"/>
  <c r="V1583" i="57"/>
  <c r="X1582" i="57"/>
  <c r="Y1582" i="57"/>
  <c r="W1582" i="57"/>
  <c r="V1582" i="57"/>
  <c r="X1581" i="57"/>
  <c r="Y1581" i="57"/>
  <c r="AA1581" i="57"/>
  <c r="W1581" i="57"/>
  <c r="V1581" i="57"/>
  <c r="X1580" i="57"/>
  <c r="Y1580" i="57"/>
  <c r="AA1580" i="57"/>
  <c r="W1580" i="57"/>
  <c r="V1580" i="57"/>
  <c r="X1579" i="57"/>
  <c r="Y1579" i="57"/>
  <c r="W1579" i="57"/>
  <c r="V1579" i="57"/>
  <c r="X1578" i="57"/>
  <c r="Y1578" i="57"/>
  <c r="W1578" i="57"/>
  <c r="V1578" i="57"/>
  <c r="X1577" i="57"/>
  <c r="Y1577" i="57"/>
  <c r="W1577" i="57"/>
  <c r="V1577" i="57"/>
  <c r="Y1576" i="57"/>
  <c r="X1576" i="57"/>
  <c r="W1576" i="57"/>
  <c r="V1576" i="57"/>
  <c r="X1575" i="57"/>
  <c r="Y1575" i="57"/>
  <c r="W1575" i="57"/>
  <c r="V1575" i="57"/>
  <c r="Y1574" i="57"/>
  <c r="X1574" i="57"/>
  <c r="W1574" i="57"/>
  <c r="V1574" i="57"/>
  <c r="AA1574" i="57"/>
  <c r="X1573" i="57"/>
  <c r="Y1573" i="57"/>
  <c r="W1573" i="57"/>
  <c r="V1573" i="57"/>
  <c r="Y1572" i="57"/>
  <c r="X1572" i="57"/>
  <c r="W1572" i="57"/>
  <c r="V1572" i="57"/>
  <c r="X1571" i="57"/>
  <c r="Y1571" i="57"/>
  <c r="W1571" i="57"/>
  <c r="V1571" i="57"/>
  <c r="Y1570" i="57"/>
  <c r="X1570" i="57"/>
  <c r="W1570" i="57"/>
  <c r="V1570" i="57"/>
  <c r="X1569" i="57"/>
  <c r="Y1569" i="57"/>
  <c r="W1569" i="57"/>
  <c r="V1569" i="57"/>
  <c r="AA1569" i="57"/>
  <c r="X1568" i="57"/>
  <c r="Y1568" i="57"/>
  <c r="W1568" i="57"/>
  <c r="V1568" i="57"/>
  <c r="AA1567" i="57"/>
  <c r="X1567" i="57"/>
  <c r="Y1567" i="57"/>
  <c r="W1567" i="57"/>
  <c r="V1567" i="57"/>
  <c r="Y1566" i="57"/>
  <c r="X1566" i="57"/>
  <c r="W1566" i="57"/>
  <c r="V1566" i="57"/>
  <c r="X1565" i="57"/>
  <c r="Y1565" i="57"/>
  <c r="W1565" i="57"/>
  <c r="V1565" i="57"/>
  <c r="AA1564" i="57"/>
  <c r="Y1564" i="57"/>
  <c r="X1564" i="57"/>
  <c r="W1564" i="57"/>
  <c r="V1564" i="57"/>
  <c r="X1563" i="57"/>
  <c r="Y1563" i="57"/>
  <c r="W1563" i="57"/>
  <c r="V1563" i="57"/>
  <c r="Y1562" i="57"/>
  <c r="X1562" i="57"/>
  <c r="W1562" i="57"/>
  <c r="V1562" i="57"/>
  <c r="Y1561" i="57"/>
  <c r="X1561" i="57"/>
  <c r="W1561" i="57"/>
  <c r="V1561" i="57"/>
  <c r="X1560" i="57"/>
  <c r="Y1560" i="57"/>
  <c r="AA1560" i="57"/>
  <c r="W1560" i="57"/>
  <c r="V1560" i="57"/>
  <c r="Y1559" i="57"/>
  <c r="X1559" i="57"/>
  <c r="W1559" i="57"/>
  <c r="V1559" i="57"/>
  <c r="X1558" i="57"/>
  <c r="Y1558" i="57"/>
  <c r="AA1558" i="57"/>
  <c r="W1558" i="57"/>
  <c r="V1558" i="57"/>
  <c r="X1557" i="57"/>
  <c r="Y1557" i="57"/>
  <c r="W1557" i="57"/>
  <c r="V1557" i="57"/>
  <c r="X1556" i="57"/>
  <c r="Y1556" i="57"/>
  <c r="AA1556" i="57"/>
  <c r="W1556" i="57"/>
  <c r="V1556" i="57"/>
  <c r="X1555" i="57"/>
  <c r="Y1555" i="57"/>
  <c r="W1555" i="57"/>
  <c r="V1555" i="57"/>
  <c r="X1554" i="57"/>
  <c r="Y1554" i="57"/>
  <c r="AA1554" i="57"/>
  <c r="W1554" i="57"/>
  <c r="V1554" i="57"/>
  <c r="X1553" i="57"/>
  <c r="Y1553" i="57"/>
  <c r="W1553" i="57"/>
  <c r="V1553" i="57"/>
  <c r="X1552" i="57"/>
  <c r="Y1552" i="57"/>
  <c r="W1552" i="57"/>
  <c r="V1552" i="57"/>
  <c r="X1551" i="57"/>
  <c r="Y1551" i="57"/>
  <c r="W1551" i="57"/>
  <c r="V1551" i="57"/>
  <c r="X1550" i="57"/>
  <c r="Y1550" i="57"/>
  <c r="AA1550" i="57"/>
  <c r="W1550" i="57"/>
  <c r="V1550" i="57"/>
  <c r="AA1549" i="57"/>
  <c r="X1549" i="57"/>
  <c r="Y1549" i="57"/>
  <c r="W1549" i="57"/>
  <c r="V1549" i="57"/>
  <c r="X1548" i="57"/>
  <c r="Y1548" i="57"/>
  <c r="W1548" i="57"/>
  <c r="V1548" i="57"/>
  <c r="Y1547" i="57"/>
  <c r="X1547" i="57"/>
  <c r="W1547" i="57"/>
  <c r="V1547" i="57"/>
  <c r="X1546" i="57"/>
  <c r="Y1546" i="57"/>
  <c r="AA1546" i="57"/>
  <c r="W1546" i="57"/>
  <c r="V1546" i="57"/>
  <c r="X1545" i="57"/>
  <c r="Y1545" i="57"/>
  <c r="W1545" i="57"/>
  <c r="V1545" i="57"/>
  <c r="X1544" i="57"/>
  <c r="Y1544" i="57"/>
  <c r="AA1544" i="57"/>
  <c r="W1544" i="57"/>
  <c r="V1544" i="57"/>
  <c r="X1543" i="57"/>
  <c r="Y1543" i="57"/>
  <c r="W1543" i="57"/>
  <c r="V1543" i="57"/>
  <c r="X1542" i="57"/>
  <c r="Y1542" i="57"/>
  <c r="W1542" i="57"/>
  <c r="V1542" i="57"/>
  <c r="X1541" i="57"/>
  <c r="Y1541" i="57"/>
  <c r="W1541" i="57"/>
  <c r="V1541" i="57"/>
  <c r="Y1540" i="57"/>
  <c r="X1540" i="57"/>
  <c r="W1540" i="57"/>
  <c r="V1540" i="57"/>
  <c r="X1539" i="57"/>
  <c r="Y1539" i="57"/>
  <c r="AA1539" i="57"/>
  <c r="W1539" i="57"/>
  <c r="V1539" i="57"/>
  <c r="X1538" i="57"/>
  <c r="Y1538" i="57"/>
  <c r="W1538" i="57"/>
  <c r="V1538" i="57"/>
  <c r="X1537" i="57"/>
  <c r="Y1537" i="57"/>
  <c r="W1537" i="57"/>
  <c r="V1537" i="57"/>
  <c r="X1536" i="57"/>
  <c r="Y1536" i="57"/>
  <c r="W1536" i="57"/>
  <c r="V1536" i="57"/>
  <c r="X1535" i="57"/>
  <c r="Y1535" i="57"/>
  <c r="W1535" i="57"/>
  <c r="V1535" i="57"/>
  <c r="X1534" i="57"/>
  <c r="Y1534" i="57"/>
  <c r="AA1534" i="57"/>
  <c r="W1534" i="57"/>
  <c r="V1534" i="57"/>
  <c r="X1533" i="57"/>
  <c r="Y1533" i="57"/>
  <c r="AA1533" i="57"/>
  <c r="W1533" i="57"/>
  <c r="V1533" i="57"/>
  <c r="X1532" i="57"/>
  <c r="Y1532" i="57"/>
  <c r="AA1532" i="57"/>
  <c r="W1532" i="57"/>
  <c r="V1532" i="57"/>
  <c r="X1531" i="57"/>
  <c r="Y1531" i="57"/>
  <c r="AA1531" i="57"/>
  <c r="W1531" i="57"/>
  <c r="V1531" i="57"/>
  <c r="X1530" i="57"/>
  <c r="Y1530" i="57"/>
  <c r="W1530" i="57"/>
  <c r="V1530" i="57"/>
  <c r="X1529" i="57"/>
  <c r="Y1529" i="57"/>
  <c r="AA1529" i="57"/>
  <c r="W1529" i="57"/>
  <c r="V1529" i="57"/>
  <c r="X1528" i="57"/>
  <c r="Y1528" i="57"/>
  <c r="W1528" i="57"/>
  <c r="V1528" i="57"/>
  <c r="X1527" i="57"/>
  <c r="Y1527" i="57"/>
  <c r="W1527" i="57"/>
  <c r="V1527" i="57"/>
  <c r="X1526" i="57"/>
  <c r="Y1526" i="57"/>
  <c r="W1526" i="57"/>
  <c r="V1526" i="57"/>
  <c r="X1525" i="57"/>
  <c r="Y1525" i="57"/>
  <c r="W1525" i="57"/>
  <c r="V1525" i="57"/>
  <c r="AA1524" i="57"/>
  <c r="Y1524" i="57"/>
  <c r="X1524" i="57"/>
  <c r="W1524" i="57"/>
  <c r="V1524" i="57"/>
  <c r="X1523" i="57"/>
  <c r="Y1523" i="57"/>
  <c r="W1523" i="57"/>
  <c r="V1523" i="57"/>
  <c r="Y1522" i="57"/>
  <c r="X1522" i="57"/>
  <c r="W1522" i="57"/>
  <c r="V1522" i="57"/>
  <c r="Y1521" i="57"/>
  <c r="X1521" i="57"/>
  <c r="W1521" i="57"/>
  <c r="V1521" i="57"/>
  <c r="Y1520" i="57"/>
  <c r="X1520" i="57"/>
  <c r="W1520" i="57"/>
  <c r="V1520" i="57"/>
  <c r="Y1519" i="57"/>
  <c r="X1519" i="57"/>
  <c r="W1519" i="57"/>
  <c r="V1519" i="57"/>
  <c r="AA1519" i="57"/>
  <c r="X1518" i="57"/>
  <c r="Y1518" i="57"/>
  <c r="AA1518" i="57"/>
  <c r="W1518" i="57"/>
  <c r="V1518" i="57"/>
  <c r="X1517" i="57"/>
  <c r="Y1517" i="57"/>
  <c r="W1517" i="57"/>
  <c r="V1517" i="57"/>
  <c r="Y1516" i="57"/>
  <c r="AA1516" i="57"/>
  <c r="X1516" i="57"/>
  <c r="W1516" i="57"/>
  <c r="V1516" i="57"/>
  <c r="X1515" i="57"/>
  <c r="Y1515" i="57"/>
  <c r="W1515" i="57"/>
  <c r="V1515" i="57"/>
  <c r="X1514" i="57"/>
  <c r="Y1514" i="57"/>
  <c r="W1514" i="57"/>
  <c r="V1514" i="57"/>
  <c r="X1513" i="57"/>
  <c r="Y1513" i="57"/>
  <c r="W1513" i="57"/>
  <c r="V1513" i="57"/>
  <c r="X1512" i="57"/>
  <c r="Y1512" i="57"/>
  <c r="W1512" i="57"/>
  <c r="V1512" i="57"/>
  <c r="X1511" i="57"/>
  <c r="Y1511" i="57"/>
  <c r="W1511" i="57"/>
  <c r="V1511" i="57"/>
  <c r="X1510" i="57"/>
  <c r="Y1510" i="57"/>
  <c r="W1510" i="57"/>
  <c r="V1510" i="57"/>
  <c r="X1509" i="57"/>
  <c r="Y1509" i="57"/>
  <c r="W1509" i="57"/>
  <c r="V1509" i="57"/>
  <c r="X1508" i="57"/>
  <c r="Y1508" i="57"/>
  <c r="W1508" i="57"/>
  <c r="V1508" i="57"/>
  <c r="X1507" i="57"/>
  <c r="Y1507" i="57"/>
  <c r="W1507" i="57"/>
  <c r="V1507" i="57"/>
  <c r="Y1506" i="57"/>
  <c r="X1506" i="57"/>
  <c r="W1506" i="57"/>
  <c r="V1506" i="57"/>
  <c r="Y1505" i="57"/>
  <c r="X1505" i="57"/>
  <c r="W1505" i="57"/>
  <c r="V1505" i="57"/>
  <c r="Y1504" i="57"/>
  <c r="X1504" i="57"/>
  <c r="W1504" i="57"/>
  <c r="V1504" i="57"/>
  <c r="Y1503" i="57"/>
  <c r="X1503" i="57"/>
  <c r="W1503" i="57"/>
  <c r="V1503" i="57"/>
  <c r="AA1503" i="57"/>
  <c r="X1502" i="57"/>
  <c r="Y1502" i="57"/>
  <c r="AA1502" i="57"/>
  <c r="W1502" i="57"/>
  <c r="V1502" i="57"/>
  <c r="X1501" i="57"/>
  <c r="Y1501" i="57"/>
  <c r="AA1501" i="57"/>
  <c r="W1501" i="57"/>
  <c r="V1501" i="57"/>
  <c r="X1500" i="57"/>
  <c r="Y1500" i="57"/>
  <c r="AA1500" i="57"/>
  <c r="W1500" i="57"/>
  <c r="V1500" i="57"/>
  <c r="X1499" i="57"/>
  <c r="Y1499" i="57"/>
  <c r="W1499" i="57"/>
  <c r="V1499" i="57"/>
  <c r="X1498" i="57"/>
  <c r="Y1498" i="57"/>
  <c r="W1498" i="57"/>
  <c r="V1498" i="57"/>
  <c r="X1497" i="57"/>
  <c r="Y1497" i="57"/>
  <c r="AA1497" i="57"/>
  <c r="W1497" i="57"/>
  <c r="V1497" i="57"/>
  <c r="X1496" i="57"/>
  <c r="Y1496" i="57"/>
  <c r="W1496" i="57"/>
  <c r="V1496" i="57"/>
  <c r="X1495" i="57"/>
  <c r="Y1495" i="57"/>
  <c r="W1495" i="57"/>
  <c r="V1495" i="57"/>
  <c r="X1494" i="57"/>
  <c r="Y1494" i="57"/>
  <c r="W1494" i="57"/>
  <c r="V1494" i="57"/>
  <c r="X1493" i="57"/>
  <c r="Y1493" i="57"/>
  <c r="W1493" i="57"/>
  <c r="V1493" i="57"/>
  <c r="AA1492" i="57"/>
  <c r="Y1492" i="57"/>
  <c r="X1492" i="57"/>
  <c r="W1492" i="57"/>
  <c r="V1492" i="57"/>
  <c r="X1491" i="57"/>
  <c r="Y1491" i="57"/>
  <c r="W1491" i="57"/>
  <c r="V1491" i="57"/>
  <c r="Y1490" i="57"/>
  <c r="X1490" i="57"/>
  <c r="W1490" i="57"/>
  <c r="V1490" i="57"/>
  <c r="Y1489" i="57"/>
  <c r="AA1489" i="57"/>
  <c r="X1489" i="57"/>
  <c r="W1489" i="57"/>
  <c r="V1489" i="57"/>
  <c r="Y1488" i="57"/>
  <c r="X1488" i="57"/>
  <c r="W1488" i="57"/>
  <c r="V1488" i="57"/>
  <c r="Y1487" i="57"/>
  <c r="X1487" i="57"/>
  <c r="W1487" i="57"/>
  <c r="V1487" i="57"/>
  <c r="X1486" i="57"/>
  <c r="Y1486" i="57"/>
  <c r="AA1486" i="57"/>
  <c r="W1486" i="57"/>
  <c r="V1486" i="57"/>
  <c r="X1485" i="57"/>
  <c r="Y1485" i="57"/>
  <c r="W1485" i="57"/>
  <c r="V1485" i="57"/>
  <c r="Y1484" i="57"/>
  <c r="X1484" i="57"/>
  <c r="W1484" i="57"/>
  <c r="V1484" i="57"/>
  <c r="X1483" i="57"/>
  <c r="Y1483" i="57"/>
  <c r="W1483" i="57"/>
  <c r="V1483" i="57"/>
  <c r="X1482" i="57"/>
  <c r="Y1482" i="57"/>
  <c r="W1482" i="57"/>
  <c r="V1482" i="57"/>
  <c r="X1481" i="57"/>
  <c r="Y1481" i="57"/>
  <c r="W1481" i="57"/>
  <c r="V1481" i="57"/>
  <c r="X1480" i="57"/>
  <c r="Y1480" i="57"/>
  <c r="W1480" i="57"/>
  <c r="V1480" i="57"/>
  <c r="X1479" i="57"/>
  <c r="Y1479" i="57"/>
  <c r="W1479" i="57"/>
  <c r="V1479" i="57"/>
  <c r="X1478" i="57"/>
  <c r="Y1478" i="57"/>
  <c r="W1478" i="57"/>
  <c r="V1478" i="57"/>
  <c r="X1477" i="57"/>
  <c r="Y1477" i="57"/>
  <c r="AA1477" i="57"/>
  <c r="W1477" i="57"/>
  <c r="V1477" i="57"/>
  <c r="X1476" i="57"/>
  <c r="Y1476" i="57"/>
  <c r="AA1476" i="57"/>
  <c r="W1476" i="57"/>
  <c r="V1476" i="57"/>
  <c r="X1475" i="57"/>
  <c r="Y1475" i="57"/>
  <c r="W1475" i="57"/>
  <c r="V1475" i="57"/>
  <c r="Y1474" i="57"/>
  <c r="X1474" i="57"/>
  <c r="W1474" i="57"/>
  <c r="V1474" i="57"/>
  <c r="X1473" i="57"/>
  <c r="Y1473" i="57"/>
  <c r="AA1473" i="57"/>
  <c r="W1473" i="57"/>
  <c r="V1473" i="57"/>
  <c r="Y1472" i="57"/>
  <c r="X1472" i="57"/>
  <c r="W1472" i="57"/>
  <c r="V1472" i="57"/>
  <c r="X1471" i="57"/>
  <c r="Y1471" i="57"/>
  <c r="W1471" i="57"/>
  <c r="V1471" i="57"/>
  <c r="X1470" i="57"/>
  <c r="Y1470" i="57"/>
  <c r="AA1470" i="57"/>
  <c r="W1470" i="57"/>
  <c r="V1470" i="57"/>
  <c r="X1469" i="57"/>
  <c r="Y1469" i="57"/>
  <c r="AA1469" i="57"/>
  <c r="W1469" i="57"/>
  <c r="V1469" i="57"/>
  <c r="Y1468" i="57"/>
  <c r="AA1468" i="57"/>
  <c r="X1468" i="57"/>
  <c r="W1468" i="57"/>
  <c r="V1468" i="57"/>
  <c r="X1467" i="57"/>
  <c r="Y1467" i="57"/>
  <c r="W1467" i="57"/>
  <c r="V1467" i="57"/>
  <c r="X1466" i="57"/>
  <c r="Y1466" i="57"/>
  <c r="W1466" i="57"/>
  <c r="AA1466" i="57"/>
  <c r="V1466" i="57"/>
  <c r="X1465" i="57"/>
  <c r="Y1465" i="57"/>
  <c r="W1465" i="57"/>
  <c r="V1465" i="57"/>
  <c r="X1464" i="57"/>
  <c r="Y1464" i="57"/>
  <c r="W1464" i="57"/>
  <c r="V1464" i="57"/>
  <c r="X1463" i="57"/>
  <c r="Y1463" i="57"/>
  <c r="W1463" i="57"/>
  <c r="V1463" i="57"/>
  <c r="X1462" i="57"/>
  <c r="Y1462" i="57"/>
  <c r="W1462" i="57"/>
  <c r="V1462" i="57"/>
  <c r="X1461" i="57"/>
  <c r="Y1461" i="57"/>
  <c r="W1461" i="57"/>
  <c r="V1461" i="57"/>
  <c r="Y1460" i="57"/>
  <c r="X1460" i="57"/>
  <c r="W1460" i="57"/>
  <c r="V1460" i="57"/>
  <c r="X1459" i="57"/>
  <c r="Y1459" i="57"/>
  <c r="W1459" i="57"/>
  <c r="V1459" i="57"/>
  <c r="Y1458" i="57"/>
  <c r="X1458" i="57"/>
  <c r="W1458" i="57"/>
  <c r="V1458" i="57"/>
  <c r="Y1457" i="57"/>
  <c r="AA1457" i="57"/>
  <c r="X1457" i="57"/>
  <c r="W1457" i="57"/>
  <c r="V1457" i="57"/>
  <c r="Y1456" i="57"/>
  <c r="X1456" i="57"/>
  <c r="W1456" i="57"/>
  <c r="V1456" i="57"/>
  <c r="Y1455" i="57"/>
  <c r="X1455" i="57"/>
  <c r="W1455" i="57"/>
  <c r="V1455" i="57"/>
  <c r="X1454" i="57"/>
  <c r="Y1454" i="57"/>
  <c r="AA1454" i="57"/>
  <c r="W1454" i="57"/>
  <c r="V1454" i="57"/>
  <c r="X1453" i="57"/>
  <c r="Y1453" i="57"/>
  <c r="W1453" i="57"/>
  <c r="V1453" i="57"/>
  <c r="X1452" i="57"/>
  <c r="Y1452" i="57"/>
  <c r="AA1452" i="57"/>
  <c r="W1452" i="57"/>
  <c r="V1452" i="57"/>
  <c r="X1451" i="57"/>
  <c r="Y1451" i="57"/>
  <c r="W1451" i="57"/>
  <c r="V1451" i="57"/>
  <c r="X1450" i="57"/>
  <c r="Y1450" i="57"/>
  <c r="W1450" i="57"/>
  <c r="V1450" i="57"/>
  <c r="X1449" i="57"/>
  <c r="Y1449" i="57"/>
  <c r="AA1449" i="57"/>
  <c r="W1449" i="57"/>
  <c r="V1449" i="57"/>
  <c r="X1448" i="57"/>
  <c r="Y1448" i="57"/>
  <c r="W1448" i="57"/>
  <c r="V1448" i="57"/>
  <c r="X1447" i="57"/>
  <c r="Y1447" i="57"/>
  <c r="W1447" i="57"/>
  <c r="V1447" i="57"/>
  <c r="X1446" i="57"/>
  <c r="Y1446" i="57"/>
  <c r="W1446" i="57"/>
  <c r="V1446" i="57"/>
  <c r="X1445" i="57"/>
  <c r="Y1445" i="57"/>
  <c r="AA1445" i="57"/>
  <c r="W1445" i="57"/>
  <c r="V1445" i="57"/>
  <c r="AA1444" i="57"/>
  <c r="X1444" i="57"/>
  <c r="Y1444" i="57"/>
  <c r="W1444" i="57"/>
  <c r="V1444" i="57"/>
  <c r="X1443" i="57"/>
  <c r="Y1443" i="57"/>
  <c r="AA1443" i="57"/>
  <c r="W1443" i="57"/>
  <c r="V1443" i="57"/>
  <c r="Y1442" i="57"/>
  <c r="X1442" i="57"/>
  <c r="W1442" i="57"/>
  <c r="V1442" i="57"/>
  <c r="X1441" i="57"/>
  <c r="Y1441" i="57"/>
  <c r="AA1441" i="57"/>
  <c r="W1441" i="57"/>
  <c r="V1441" i="57"/>
  <c r="Y1440" i="57"/>
  <c r="X1440" i="57"/>
  <c r="W1440" i="57"/>
  <c r="V1440" i="57"/>
  <c r="X1439" i="57"/>
  <c r="Y1439" i="57"/>
  <c r="W1439" i="57"/>
  <c r="V1439" i="57"/>
  <c r="X1438" i="57"/>
  <c r="Y1438" i="57"/>
  <c r="AA1438" i="57"/>
  <c r="W1438" i="57"/>
  <c r="V1438" i="57"/>
  <c r="X1437" i="57"/>
  <c r="Y1437" i="57"/>
  <c r="W1437" i="57"/>
  <c r="V1437" i="57"/>
  <c r="Y1436" i="57"/>
  <c r="AA1436" i="57"/>
  <c r="X1436" i="57"/>
  <c r="W1436" i="57"/>
  <c r="V1436" i="57"/>
  <c r="X1435" i="57"/>
  <c r="Y1435" i="57"/>
  <c r="AA1435" i="57"/>
  <c r="W1435" i="57"/>
  <c r="V1435" i="57"/>
  <c r="X1434" i="57"/>
  <c r="Y1434" i="57"/>
  <c r="W1434" i="57"/>
  <c r="V1434" i="57"/>
  <c r="X1433" i="57"/>
  <c r="Y1433" i="57"/>
  <c r="W1433" i="57"/>
  <c r="V1433" i="57"/>
  <c r="X1432" i="57"/>
  <c r="Y1432" i="57"/>
  <c r="W1432" i="57"/>
  <c r="V1432" i="57"/>
  <c r="X1431" i="57"/>
  <c r="Y1431" i="57"/>
  <c r="W1431" i="57"/>
  <c r="V1431" i="57"/>
  <c r="X1430" i="57"/>
  <c r="Y1430" i="57"/>
  <c r="W1430" i="57"/>
  <c r="V1430" i="57"/>
  <c r="X1429" i="57"/>
  <c r="Y1429" i="57"/>
  <c r="W1429" i="57"/>
  <c r="V1429" i="57"/>
  <c r="Y1428" i="57"/>
  <c r="AA1428" i="57"/>
  <c r="X1428" i="57"/>
  <c r="W1428" i="57"/>
  <c r="V1428" i="57"/>
  <c r="X1427" i="57"/>
  <c r="Y1427" i="57"/>
  <c r="W1427" i="57"/>
  <c r="V1427" i="57"/>
  <c r="X1426" i="57"/>
  <c r="Y1426" i="57"/>
  <c r="W1426" i="57"/>
  <c r="V1426" i="57"/>
  <c r="Y1425" i="57"/>
  <c r="X1425" i="57"/>
  <c r="W1425" i="57"/>
  <c r="V1425" i="57"/>
  <c r="X1424" i="57"/>
  <c r="Y1424" i="57"/>
  <c r="W1424" i="57"/>
  <c r="V1424" i="57"/>
  <c r="Y1423" i="57"/>
  <c r="X1423" i="57"/>
  <c r="W1423" i="57"/>
  <c r="V1423" i="57"/>
  <c r="AA1423" i="57"/>
  <c r="X1422" i="57"/>
  <c r="Y1422" i="57"/>
  <c r="W1422" i="57"/>
  <c r="V1422" i="57"/>
  <c r="X1421" i="57"/>
  <c r="Y1421" i="57"/>
  <c r="AA1421" i="57"/>
  <c r="W1421" i="57"/>
  <c r="V1421" i="57"/>
  <c r="Y1420" i="57"/>
  <c r="AA1420" i="57"/>
  <c r="X1420" i="57"/>
  <c r="W1420" i="57"/>
  <c r="V1420" i="57"/>
  <c r="X1419" i="57"/>
  <c r="Y1419" i="57"/>
  <c r="AA1419" i="57"/>
  <c r="W1419" i="57"/>
  <c r="V1419" i="57"/>
  <c r="X1418" i="57"/>
  <c r="Y1418" i="57"/>
  <c r="W1418" i="57"/>
  <c r="AA1418" i="57"/>
  <c r="V1418" i="57"/>
  <c r="X1417" i="57"/>
  <c r="Y1417" i="57"/>
  <c r="W1417" i="57"/>
  <c r="V1417" i="57"/>
  <c r="X1416" i="57"/>
  <c r="Y1416" i="57"/>
  <c r="W1416" i="57"/>
  <c r="V1416" i="57"/>
  <c r="X1415" i="57"/>
  <c r="Y1415" i="57"/>
  <c r="W1415" i="57"/>
  <c r="V1415" i="57"/>
  <c r="X1414" i="57"/>
  <c r="Y1414" i="57"/>
  <c r="W1414" i="57"/>
  <c r="V1414" i="57"/>
  <c r="X1413" i="57"/>
  <c r="Y1413" i="57"/>
  <c r="W1413" i="57"/>
  <c r="V1413" i="57"/>
  <c r="X1412" i="57"/>
  <c r="Y1412" i="57"/>
  <c r="W1412" i="57"/>
  <c r="V1412" i="57"/>
  <c r="AA1412" i="57"/>
  <c r="X1411" i="57"/>
  <c r="Y1411" i="57"/>
  <c r="AA1411" i="57"/>
  <c r="W1411" i="57"/>
  <c r="V1411" i="57"/>
  <c r="Y1410" i="57"/>
  <c r="X1410" i="57"/>
  <c r="W1410" i="57"/>
  <c r="V1410" i="57"/>
  <c r="Y1409" i="57"/>
  <c r="AA1409" i="57"/>
  <c r="X1409" i="57"/>
  <c r="W1409" i="57"/>
  <c r="V1409" i="57"/>
  <c r="Y1408" i="57"/>
  <c r="X1408" i="57"/>
  <c r="W1408" i="57"/>
  <c r="V1408" i="57"/>
  <c r="Y1407" i="57"/>
  <c r="X1407" i="57"/>
  <c r="W1407" i="57"/>
  <c r="V1407" i="57"/>
  <c r="X1406" i="57"/>
  <c r="Y1406" i="57"/>
  <c r="AA1406" i="57"/>
  <c r="W1406" i="57"/>
  <c r="V1406" i="57"/>
  <c r="X1405" i="57"/>
  <c r="Y1405" i="57"/>
  <c r="W1405" i="57"/>
  <c r="V1405" i="57"/>
  <c r="Y1404" i="57"/>
  <c r="AA1404" i="57"/>
  <c r="X1404" i="57"/>
  <c r="W1404" i="57"/>
  <c r="V1404" i="57"/>
  <c r="X1403" i="57"/>
  <c r="Y1403" i="57"/>
  <c r="W1403" i="57"/>
  <c r="V1403" i="57"/>
  <c r="X1402" i="57"/>
  <c r="Y1402" i="57"/>
  <c r="W1402" i="57"/>
  <c r="V1402" i="57"/>
  <c r="X1401" i="57"/>
  <c r="Y1401" i="57"/>
  <c r="AA1401" i="57"/>
  <c r="W1401" i="57"/>
  <c r="V1401" i="57"/>
  <c r="X1400" i="57"/>
  <c r="Y1400" i="57"/>
  <c r="W1400" i="57"/>
  <c r="V1400" i="57"/>
  <c r="X1399" i="57"/>
  <c r="Y1399" i="57"/>
  <c r="W1399" i="57"/>
  <c r="V1399" i="57"/>
  <c r="AA1399" i="57"/>
  <c r="X1398" i="57"/>
  <c r="Y1398" i="57"/>
  <c r="W1398" i="57"/>
  <c r="V1398" i="57"/>
  <c r="X1397" i="57"/>
  <c r="Y1397" i="57"/>
  <c r="W1397" i="57"/>
  <c r="V1397" i="57"/>
  <c r="Y1396" i="57"/>
  <c r="AA1396" i="57"/>
  <c r="X1396" i="57"/>
  <c r="W1396" i="57"/>
  <c r="V1396" i="57"/>
  <c r="X1395" i="57"/>
  <c r="Y1395" i="57"/>
  <c r="W1395" i="57"/>
  <c r="V1395" i="57"/>
  <c r="X1394" i="57"/>
  <c r="Y1394" i="57"/>
  <c r="W1394" i="57"/>
  <c r="V1394" i="57"/>
  <c r="Y1393" i="57"/>
  <c r="AA1393" i="57"/>
  <c r="X1393" i="57"/>
  <c r="W1393" i="57"/>
  <c r="V1393" i="57"/>
  <c r="X1392" i="57"/>
  <c r="Y1392" i="57"/>
  <c r="W1392" i="57"/>
  <c r="V1392" i="57"/>
  <c r="Y1391" i="57"/>
  <c r="X1391" i="57"/>
  <c r="W1391" i="57"/>
  <c r="V1391" i="57"/>
  <c r="X1390" i="57"/>
  <c r="Y1390" i="57"/>
  <c r="W1390" i="57"/>
  <c r="V1390" i="57"/>
  <c r="X1389" i="57"/>
  <c r="Y1389" i="57"/>
  <c r="W1389" i="57"/>
  <c r="V1389" i="57"/>
  <c r="Y1388" i="57"/>
  <c r="AA1388" i="57"/>
  <c r="X1388" i="57"/>
  <c r="W1388" i="57"/>
  <c r="V1388" i="57"/>
  <c r="X1387" i="57"/>
  <c r="Y1387" i="57"/>
  <c r="AA1387" i="57"/>
  <c r="W1387" i="57"/>
  <c r="V1387" i="57"/>
  <c r="X1386" i="57"/>
  <c r="Y1386" i="57"/>
  <c r="W1386" i="57"/>
  <c r="V1386" i="57"/>
  <c r="X1385" i="57"/>
  <c r="Y1385" i="57"/>
  <c r="W1385" i="57"/>
  <c r="V1385" i="57"/>
  <c r="X1384" i="57"/>
  <c r="Y1384" i="57"/>
  <c r="W1384" i="57"/>
  <c r="V1384" i="57"/>
  <c r="X1383" i="57"/>
  <c r="Y1383" i="57"/>
  <c r="W1383" i="57"/>
  <c r="V1383" i="57"/>
  <c r="X1382" i="57"/>
  <c r="Y1382" i="57"/>
  <c r="W1382" i="57"/>
  <c r="V1382" i="57"/>
  <c r="X1381" i="57"/>
  <c r="Y1381" i="57"/>
  <c r="W1381" i="57"/>
  <c r="V1381" i="57"/>
  <c r="X1380" i="57"/>
  <c r="Y1380" i="57"/>
  <c r="W1380" i="57"/>
  <c r="AA1380" i="57"/>
  <c r="V1380" i="57"/>
  <c r="X1379" i="57"/>
  <c r="Y1379" i="57"/>
  <c r="W1379" i="57"/>
  <c r="V1379" i="57"/>
  <c r="Y1378" i="57"/>
  <c r="X1378" i="57"/>
  <c r="W1378" i="57"/>
  <c r="V1378" i="57"/>
  <c r="Y1377" i="57"/>
  <c r="X1377" i="57"/>
  <c r="W1377" i="57"/>
  <c r="V1377" i="57"/>
  <c r="Y1376" i="57"/>
  <c r="X1376" i="57"/>
  <c r="W1376" i="57"/>
  <c r="V1376" i="57"/>
  <c r="Y1375" i="57"/>
  <c r="X1375" i="57"/>
  <c r="W1375" i="57"/>
  <c r="V1375" i="57"/>
  <c r="AA1375" i="57"/>
  <c r="X1374" i="57"/>
  <c r="Y1374" i="57"/>
  <c r="AA1374" i="57"/>
  <c r="W1374" i="57"/>
  <c r="V1374" i="57"/>
  <c r="X1373" i="57"/>
  <c r="Y1373" i="57"/>
  <c r="AA1373" i="57"/>
  <c r="W1373" i="57"/>
  <c r="V1373" i="57"/>
  <c r="X1372" i="57"/>
  <c r="Y1372" i="57"/>
  <c r="AA1372" i="57"/>
  <c r="W1372" i="57"/>
  <c r="V1372" i="57"/>
  <c r="X1371" i="57"/>
  <c r="Y1371" i="57"/>
  <c r="W1371" i="57"/>
  <c r="V1371" i="57"/>
  <c r="X1370" i="57"/>
  <c r="Y1370" i="57"/>
  <c r="W1370" i="57"/>
  <c r="AA1370" i="57"/>
  <c r="V1370" i="57"/>
  <c r="X1369" i="57"/>
  <c r="Y1369" i="57"/>
  <c r="AA1369" i="57"/>
  <c r="W1369" i="57"/>
  <c r="V1369" i="57"/>
  <c r="X1368" i="57"/>
  <c r="Y1368" i="57"/>
  <c r="W1368" i="57"/>
  <c r="V1368" i="57"/>
  <c r="X1367" i="57"/>
  <c r="Y1367" i="57"/>
  <c r="W1367" i="57"/>
  <c r="V1367" i="57"/>
  <c r="X1366" i="57"/>
  <c r="Y1366" i="57"/>
  <c r="W1366" i="57"/>
  <c r="V1366" i="57"/>
  <c r="X1365" i="57"/>
  <c r="Y1365" i="57"/>
  <c r="W1365" i="57"/>
  <c r="V1365" i="57"/>
  <c r="AA1364" i="57"/>
  <c r="Y1364" i="57"/>
  <c r="X1364" i="57"/>
  <c r="W1364" i="57"/>
  <c r="V1364" i="57"/>
  <c r="X1363" i="57"/>
  <c r="Y1363" i="57"/>
  <c r="W1363" i="57"/>
  <c r="V1363" i="57"/>
  <c r="Y1362" i="57"/>
  <c r="X1362" i="57"/>
  <c r="W1362" i="57"/>
  <c r="V1362" i="57"/>
  <c r="Y1361" i="57"/>
  <c r="AA1361" i="57"/>
  <c r="X1361" i="57"/>
  <c r="W1361" i="57"/>
  <c r="V1361" i="57"/>
  <c r="Y1360" i="57"/>
  <c r="X1360" i="57"/>
  <c r="W1360" i="57"/>
  <c r="V1360" i="57"/>
  <c r="Y1359" i="57"/>
  <c r="X1359" i="57"/>
  <c r="W1359" i="57"/>
  <c r="V1359" i="57"/>
  <c r="X1358" i="57"/>
  <c r="Y1358" i="57"/>
  <c r="AA1358" i="57"/>
  <c r="W1358" i="57"/>
  <c r="V1358" i="57"/>
  <c r="X1357" i="57"/>
  <c r="Y1357" i="57"/>
  <c r="W1357" i="57"/>
  <c r="V1357" i="57"/>
  <c r="X1356" i="57"/>
  <c r="Y1356" i="57"/>
  <c r="AA1356" i="57"/>
  <c r="W1356" i="57"/>
  <c r="V1356" i="57"/>
  <c r="X1355" i="57"/>
  <c r="Y1355" i="57"/>
  <c r="AA1355" i="57"/>
  <c r="W1355" i="57"/>
  <c r="V1355" i="57"/>
  <c r="X1354" i="57"/>
  <c r="Y1354" i="57"/>
  <c r="W1354" i="57"/>
  <c r="V1354" i="57"/>
  <c r="X1353" i="57"/>
  <c r="Y1353" i="57"/>
  <c r="AA1353" i="57"/>
  <c r="W1353" i="57"/>
  <c r="V1353" i="57"/>
  <c r="X1352" i="57"/>
  <c r="Y1352" i="57"/>
  <c r="W1352" i="57"/>
  <c r="V1352" i="57"/>
  <c r="X1351" i="57"/>
  <c r="Y1351" i="57"/>
  <c r="W1351" i="57"/>
  <c r="V1351" i="57"/>
  <c r="X1350" i="57"/>
  <c r="Y1350" i="57"/>
  <c r="W1350" i="57"/>
  <c r="V1350" i="57"/>
  <c r="X1349" i="57"/>
  <c r="Y1349" i="57"/>
  <c r="AA1349" i="57"/>
  <c r="W1349" i="57"/>
  <c r="V1349" i="57"/>
  <c r="X1348" i="57"/>
  <c r="Y1348" i="57"/>
  <c r="AA1348" i="57"/>
  <c r="W1348" i="57"/>
  <c r="V1348" i="57"/>
  <c r="X1347" i="57"/>
  <c r="Y1347" i="57"/>
  <c r="W1347" i="57"/>
  <c r="V1347" i="57"/>
  <c r="Y1346" i="57"/>
  <c r="X1346" i="57"/>
  <c r="W1346" i="57"/>
  <c r="V1346" i="57"/>
  <c r="Y1345" i="57"/>
  <c r="X1345" i="57"/>
  <c r="W1345" i="57"/>
  <c r="V1345" i="57"/>
  <c r="Y1344" i="57"/>
  <c r="X1344" i="57"/>
  <c r="W1344" i="57"/>
  <c r="V1344" i="57"/>
  <c r="Y1343" i="57"/>
  <c r="X1343" i="57"/>
  <c r="W1343" i="57"/>
  <c r="V1343" i="57"/>
  <c r="AA1343" i="57"/>
  <c r="X1342" i="57"/>
  <c r="Y1342" i="57"/>
  <c r="AA1342" i="57"/>
  <c r="W1342" i="57"/>
  <c r="V1342" i="57"/>
  <c r="X1341" i="57"/>
  <c r="Y1341" i="57"/>
  <c r="AA1341" i="57"/>
  <c r="W1341" i="57"/>
  <c r="V1341" i="57"/>
  <c r="Y1340" i="57"/>
  <c r="AA1340" i="57"/>
  <c r="X1340" i="57"/>
  <c r="W1340" i="57"/>
  <c r="V1340" i="57"/>
  <c r="X1339" i="57"/>
  <c r="Y1339" i="57"/>
  <c r="AA1339" i="57"/>
  <c r="W1339" i="57"/>
  <c r="V1339" i="57"/>
  <c r="X1338" i="57"/>
  <c r="Y1338" i="57"/>
  <c r="W1338" i="57"/>
  <c r="AA1338" i="57"/>
  <c r="V1338" i="57"/>
  <c r="X1337" i="57"/>
  <c r="Y1337" i="57"/>
  <c r="W1337" i="57"/>
  <c r="V1337" i="57"/>
  <c r="X1336" i="57"/>
  <c r="Y1336" i="57"/>
  <c r="W1336" i="57"/>
  <c r="V1336" i="57"/>
  <c r="X1335" i="57"/>
  <c r="Y1335" i="57"/>
  <c r="W1335" i="57"/>
  <c r="V1335" i="57"/>
  <c r="X1334" i="57"/>
  <c r="Y1334" i="57"/>
  <c r="W1334" i="57"/>
  <c r="V1334" i="57"/>
  <c r="X1333" i="57"/>
  <c r="Y1333" i="57"/>
  <c r="W1333" i="57"/>
  <c r="V1333" i="57"/>
  <c r="Y1332" i="57"/>
  <c r="X1332" i="57"/>
  <c r="W1332" i="57"/>
  <c r="AA1332" i="57"/>
  <c r="V1332" i="57"/>
  <c r="X1331" i="57"/>
  <c r="Y1331" i="57"/>
  <c r="W1331" i="57"/>
  <c r="V1331" i="57"/>
  <c r="Y1330" i="57"/>
  <c r="X1330" i="57"/>
  <c r="W1330" i="57"/>
  <c r="V1330" i="57"/>
  <c r="Y1329" i="57"/>
  <c r="X1329" i="57"/>
  <c r="W1329" i="57"/>
  <c r="V1329" i="57"/>
  <c r="Y1328" i="57"/>
  <c r="X1328" i="57"/>
  <c r="W1328" i="57"/>
  <c r="V1328" i="57"/>
  <c r="Y1327" i="57"/>
  <c r="X1327" i="57"/>
  <c r="W1327" i="57"/>
  <c r="V1327" i="57"/>
  <c r="AA1327" i="57"/>
  <c r="X1326" i="57"/>
  <c r="Y1326" i="57"/>
  <c r="AA1326" i="57"/>
  <c r="W1326" i="57"/>
  <c r="V1326" i="57"/>
  <c r="X1325" i="57"/>
  <c r="Y1325" i="57"/>
  <c r="AA1325" i="57"/>
  <c r="W1325" i="57"/>
  <c r="V1325" i="57"/>
  <c r="X1324" i="57"/>
  <c r="Y1324" i="57"/>
  <c r="AA1324" i="57"/>
  <c r="W1324" i="57"/>
  <c r="V1324" i="57"/>
  <c r="X1323" i="57"/>
  <c r="Y1323" i="57"/>
  <c r="W1323" i="57"/>
  <c r="V1323" i="57"/>
  <c r="X1322" i="57"/>
  <c r="Y1322" i="57"/>
  <c r="W1322" i="57"/>
  <c r="V1322" i="57"/>
  <c r="X1321" i="57"/>
  <c r="Y1321" i="57"/>
  <c r="AA1321" i="57"/>
  <c r="W1321" i="57"/>
  <c r="V1321" i="57"/>
  <c r="X1320" i="57"/>
  <c r="Y1320" i="57"/>
  <c r="W1320" i="57"/>
  <c r="V1320" i="57"/>
  <c r="X1319" i="57"/>
  <c r="Y1319" i="57"/>
  <c r="W1319" i="57"/>
  <c r="V1319" i="57"/>
  <c r="X1318" i="57"/>
  <c r="Y1318" i="57"/>
  <c r="W1318" i="57"/>
  <c r="V1318" i="57"/>
  <c r="X1317" i="57"/>
  <c r="Y1317" i="57"/>
  <c r="AA1317" i="57"/>
  <c r="W1317" i="57"/>
  <c r="V1317" i="57"/>
  <c r="AA1316" i="57"/>
  <c r="X1316" i="57"/>
  <c r="Y1316" i="57"/>
  <c r="W1316" i="57"/>
  <c r="V1316" i="57"/>
  <c r="X1315" i="57"/>
  <c r="Y1315" i="57"/>
  <c r="AA1315" i="57"/>
  <c r="W1315" i="57"/>
  <c r="V1315" i="57"/>
  <c r="Y1314" i="57"/>
  <c r="X1314" i="57"/>
  <c r="W1314" i="57"/>
  <c r="V1314" i="57"/>
  <c r="X1313" i="57"/>
  <c r="Y1313" i="57"/>
  <c r="AA1313" i="57"/>
  <c r="W1313" i="57"/>
  <c r="V1313" i="57"/>
  <c r="Y1312" i="57"/>
  <c r="X1312" i="57"/>
  <c r="W1312" i="57"/>
  <c r="V1312" i="57"/>
  <c r="X1311" i="57"/>
  <c r="Y1311" i="57"/>
  <c r="W1311" i="57"/>
  <c r="V1311" i="57"/>
  <c r="X1310" i="57"/>
  <c r="Y1310" i="57"/>
  <c r="AA1310" i="57"/>
  <c r="W1310" i="57"/>
  <c r="V1310" i="57"/>
  <c r="X1309" i="57"/>
  <c r="Y1309" i="57"/>
  <c r="W1309" i="57"/>
  <c r="V1309" i="57"/>
  <c r="Y1308" i="57"/>
  <c r="AA1308" i="57"/>
  <c r="X1308" i="57"/>
  <c r="W1308" i="57"/>
  <c r="V1308" i="57"/>
  <c r="X1307" i="57"/>
  <c r="Y1307" i="57"/>
  <c r="AA1307" i="57"/>
  <c r="W1307" i="57"/>
  <c r="V1307" i="57"/>
  <c r="X1306" i="57"/>
  <c r="Y1306" i="57"/>
  <c r="W1306" i="57"/>
  <c r="V1306" i="57"/>
  <c r="X1305" i="57"/>
  <c r="Y1305" i="57"/>
  <c r="W1305" i="57"/>
  <c r="V1305" i="57"/>
  <c r="X1304" i="57"/>
  <c r="Y1304" i="57"/>
  <c r="W1304" i="57"/>
  <c r="V1304" i="57"/>
  <c r="X1303" i="57"/>
  <c r="Y1303" i="57"/>
  <c r="W1303" i="57"/>
  <c r="V1303" i="57"/>
  <c r="X1302" i="57"/>
  <c r="Y1302" i="57"/>
  <c r="W1302" i="57"/>
  <c r="V1302" i="57"/>
  <c r="X1301" i="57"/>
  <c r="Y1301" i="57"/>
  <c r="W1301" i="57"/>
  <c r="V1301" i="57"/>
  <c r="Y1300" i="57"/>
  <c r="X1300" i="57"/>
  <c r="W1300" i="57"/>
  <c r="AA1300" i="57"/>
  <c r="V1300" i="57"/>
  <c r="X1299" i="57"/>
  <c r="Y1299" i="57"/>
  <c r="W1299" i="57"/>
  <c r="V1299" i="57"/>
  <c r="Y1298" i="57"/>
  <c r="X1298" i="57"/>
  <c r="W1298" i="57"/>
  <c r="V1298" i="57"/>
  <c r="Y1297" i="57"/>
  <c r="X1297" i="57"/>
  <c r="W1297" i="57"/>
  <c r="V1297" i="57"/>
  <c r="Y1296" i="57"/>
  <c r="X1296" i="57"/>
  <c r="W1296" i="57"/>
  <c r="V1296" i="57"/>
  <c r="Y1295" i="57"/>
  <c r="X1295" i="57"/>
  <c r="W1295" i="57"/>
  <c r="V1295" i="57"/>
  <c r="AA1295" i="57"/>
  <c r="X1294" i="57"/>
  <c r="Y1294" i="57"/>
  <c r="AA1294" i="57"/>
  <c r="W1294" i="57"/>
  <c r="V1294" i="57"/>
  <c r="X1293" i="57"/>
  <c r="Y1293" i="57"/>
  <c r="AA1293" i="57"/>
  <c r="W1293" i="57"/>
  <c r="V1293" i="57"/>
  <c r="Y1292" i="57"/>
  <c r="AA1292" i="57"/>
  <c r="X1292" i="57"/>
  <c r="W1292" i="57"/>
  <c r="V1292" i="57"/>
  <c r="X1291" i="57"/>
  <c r="Y1291" i="57"/>
  <c r="AA1291" i="57"/>
  <c r="W1291" i="57"/>
  <c r="V1291" i="57"/>
  <c r="X1290" i="57"/>
  <c r="Y1290" i="57"/>
  <c r="W1290" i="57"/>
  <c r="AA1290" i="57"/>
  <c r="V1290" i="57"/>
  <c r="X1289" i="57"/>
  <c r="Y1289" i="57"/>
  <c r="W1289" i="57"/>
  <c r="V1289" i="57"/>
  <c r="Y1288" i="57"/>
  <c r="X1288" i="57"/>
  <c r="W1288" i="57"/>
  <c r="V1288" i="57"/>
  <c r="X1287" i="57"/>
  <c r="Y1287" i="57"/>
  <c r="W1287" i="57"/>
  <c r="V1287" i="57"/>
  <c r="X1286" i="57"/>
  <c r="Y1286" i="57"/>
  <c r="AA1286" i="57"/>
  <c r="W1286" i="57"/>
  <c r="V1286" i="57"/>
  <c r="X1285" i="57"/>
  <c r="Y1285" i="57"/>
  <c r="W1285" i="57"/>
  <c r="V1285" i="57"/>
  <c r="X1284" i="57"/>
  <c r="Y1284" i="57"/>
  <c r="W1284" i="57"/>
  <c r="V1284" i="57"/>
  <c r="X1283" i="57"/>
  <c r="Y1283" i="57"/>
  <c r="W1283" i="57"/>
  <c r="V1283" i="57"/>
  <c r="Y1282" i="57"/>
  <c r="X1282" i="57"/>
  <c r="W1282" i="57"/>
  <c r="V1282" i="57"/>
  <c r="X1281" i="57"/>
  <c r="Y1281" i="57"/>
  <c r="AA1281" i="57"/>
  <c r="W1281" i="57"/>
  <c r="V1281" i="57"/>
  <c r="Y1280" i="57"/>
  <c r="X1280" i="57"/>
  <c r="W1280" i="57"/>
  <c r="V1280" i="57"/>
  <c r="X1279" i="57"/>
  <c r="Y1279" i="57"/>
  <c r="W1279" i="57"/>
  <c r="V1279" i="57"/>
  <c r="X1278" i="57"/>
  <c r="Y1278" i="57"/>
  <c r="W1278" i="57"/>
  <c r="V1278" i="57"/>
  <c r="X1277" i="57"/>
  <c r="Y1277" i="57"/>
  <c r="AA1277" i="57"/>
  <c r="W1277" i="57"/>
  <c r="V1277" i="57"/>
  <c r="Y1276" i="57"/>
  <c r="AA1276" i="57"/>
  <c r="X1276" i="57"/>
  <c r="W1276" i="57"/>
  <c r="V1276" i="57"/>
  <c r="X1275" i="57"/>
  <c r="Y1275" i="57"/>
  <c r="AA1275" i="57"/>
  <c r="W1275" i="57"/>
  <c r="V1275" i="57"/>
  <c r="X1274" i="57"/>
  <c r="Y1274" i="57"/>
  <c r="W1274" i="57"/>
  <c r="AA1274" i="57"/>
  <c r="V1274" i="57"/>
  <c r="Y1273" i="57"/>
  <c r="X1273" i="57"/>
  <c r="W1273" i="57"/>
  <c r="V1273" i="57"/>
  <c r="X1272" i="57"/>
  <c r="Y1272" i="57"/>
  <c r="W1272" i="57"/>
  <c r="V1272" i="57"/>
  <c r="Y1271" i="57"/>
  <c r="X1271" i="57"/>
  <c r="W1271" i="57"/>
  <c r="V1271" i="57"/>
  <c r="AA1271" i="57"/>
  <c r="X1270" i="57"/>
  <c r="Y1270" i="57"/>
  <c r="W1270" i="57"/>
  <c r="V1270" i="57"/>
  <c r="X1269" i="57"/>
  <c r="Y1269" i="57"/>
  <c r="AA1269" i="57"/>
  <c r="W1269" i="57"/>
  <c r="V1269" i="57"/>
  <c r="Y1268" i="57"/>
  <c r="AA1268" i="57"/>
  <c r="X1268" i="57"/>
  <c r="W1268" i="57"/>
  <c r="V1268" i="57"/>
  <c r="X1267" i="57"/>
  <c r="Y1267" i="57"/>
  <c r="AA1267" i="57"/>
  <c r="W1267" i="57"/>
  <c r="V1267" i="57"/>
  <c r="X1266" i="57"/>
  <c r="Y1266" i="57"/>
  <c r="W1266" i="57"/>
  <c r="V1266" i="57"/>
  <c r="X1265" i="57"/>
  <c r="Y1265" i="57"/>
  <c r="AA1265" i="57"/>
  <c r="W1265" i="57"/>
  <c r="V1265" i="57"/>
  <c r="X1264" i="57"/>
  <c r="Y1264" i="57"/>
  <c r="W1264" i="57"/>
  <c r="V1264" i="57"/>
  <c r="X1263" i="57"/>
  <c r="Y1263" i="57"/>
  <c r="W1263" i="57"/>
  <c r="V1263" i="57"/>
  <c r="X1262" i="57"/>
  <c r="Y1262" i="57"/>
  <c r="W1262" i="57"/>
  <c r="V1262" i="57"/>
  <c r="X1261" i="57"/>
  <c r="Y1261" i="57"/>
  <c r="W1261" i="57"/>
  <c r="V1261" i="57"/>
  <c r="Y1260" i="57"/>
  <c r="X1260" i="57"/>
  <c r="W1260" i="57"/>
  <c r="AA1260" i="57"/>
  <c r="V1260" i="57"/>
  <c r="X1259" i="57"/>
  <c r="Y1259" i="57"/>
  <c r="W1259" i="57"/>
  <c r="V1259" i="57"/>
  <c r="Y1258" i="57"/>
  <c r="X1258" i="57"/>
  <c r="W1258" i="57"/>
  <c r="V1258" i="57"/>
  <c r="X1257" i="57"/>
  <c r="Y1257" i="57"/>
  <c r="AA1257" i="57"/>
  <c r="W1257" i="57"/>
  <c r="V1257" i="57"/>
  <c r="Y1256" i="57"/>
  <c r="X1256" i="57"/>
  <c r="W1256" i="57"/>
  <c r="V1256" i="57"/>
  <c r="X1255" i="57"/>
  <c r="Y1255" i="57"/>
  <c r="W1255" i="57"/>
  <c r="V1255" i="57"/>
  <c r="X1254" i="57"/>
  <c r="Y1254" i="57"/>
  <c r="W1254" i="57"/>
  <c r="V1254" i="57"/>
  <c r="X1253" i="57"/>
  <c r="Y1253" i="57"/>
  <c r="W1253" i="57"/>
  <c r="V1253" i="57"/>
  <c r="AA1252" i="57"/>
  <c r="X1252" i="57"/>
  <c r="Y1252" i="57"/>
  <c r="W1252" i="57"/>
  <c r="V1252" i="57"/>
  <c r="X1251" i="57"/>
  <c r="Y1251" i="57"/>
  <c r="W1251" i="57"/>
  <c r="V1251" i="57"/>
  <c r="Y1250" i="57"/>
  <c r="X1250" i="57"/>
  <c r="W1250" i="57"/>
  <c r="V1250" i="57"/>
  <c r="Y1249" i="57"/>
  <c r="X1249" i="57"/>
  <c r="W1249" i="57"/>
  <c r="V1249" i="57"/>
  <c r="Y1248" i="57"/>
  <c r="X1248" i="57"/>
  <c r="W1248" i="57"/>
  <c r="V1248" i="57"/>
  <c r="Y1247" i="57"/>
  <c r="X1247" i="57"/>
  <c r="W1247" i="57"/>
  <c r="V1247" i="57"/>
  <c r="AA1247" i="57"/>
  <c r="X1246" i="57"/>
  <c r="Y1246" i="57"/>
  <c r="AA1246" i="57"/>
  <c r="W1246" i="57"/>
  <c r="V1246" i="57"/>
  <c r="X1245" i="57"/>
  <c r="Y1245" i="57"/>
  <c r="AA1245" i="57"/>
  <c r="W1245" i="57"/>
  <c r="V1245" i="57"/>
  <c r="Y1244" i="57"/>
  <c r="AA1244" i="57"/>
  <c r="X1244" i="57"/>
  <c r="W1244" i="57"/>
  <c r="V1244" i="57"/>
  <c r="X1243" i="57"/>
  <c r="Y1243" i="57"/>
  <c r="AA1243" i="57"/>
  <c r="W1243" i="57"/>
  <c r="V1243" i="57"/>
  <c r="X1242" i="57"/>
  <c r="Y1242" i="57"/>
  <c r="W1242" i="57"/>
  <c r="V1242" i="57"/>
  <c r="X1241" i="57"/>
  <c r="Y1241" i="57"/>
  <c r="AA1241" i="57"/>
  <c r="W1241" i="57"/>
  <c r="V1241" i="57"/>
  <c r="X1240" i="57"/>
  <c r="Y1240" i="57"/>
  <c r="W1240" i="57"/>
  <c r="V1240" i="57"/>
  <c r="X1239" i="57"/>
  <c r="Y1239" i="57"/>
  <c r="W1239" i="57"/>
  <c r="V1239" i="57"/>
  <c r="X1238" i="57"/>
  <c r="Y1238" i="57"/>
  <c r="W1238" i="57"/>
  <c r="V1238" i="57"/>
  <c r="X1237" i="57"/>
  <c r="Y1237" i="57"/>
  <c r="W1237" i="57"/>
  <c r="V1237" i="57"/>
  <c r="Y1236" i="57"/>
  <c r="X1236" i="57"/>
  <c r="W1236" i="57"/>
  <c r="AA1236" i="57"/>
  <c r="V1236" i="57"/>
  <c r="X1235" i="57"/>
  <c r="Y1235" i="57"/>
  <c r="W1235" i="57"/>
  <c r="V1235" i="57"/>
  <c r="Y1234" i="57"/>
  <c r="X1234" i="57"/>
  <c r="W1234" i="57"/>
  <c r="V1234" i="57"/>
  <c r="Y1233" i="57"/>
  <c r="X1233" i="57"/>
  <c r="W1233" i="57"/>
  <c r="V1233" i="57"/>
  <c r="Y1232" i="57"/>
  <c r="X1232" i="57"/>
  <c r="W1232" i="57"/>
  <c r="V1232" i="57"/>
  <c r="Y1231" i="57"/>
  <c r="X1231" i="57"/>
  <c r="W1231" i="57"/>
  <c r="V1231" i="57"/>
  <c r="AA1231" i="57"/>
  <c r="X1230" i="57"/>
  <c r="Y1230" i="57"/>
  <c r="AA1230" i="57"/>
  <c r="W1230" i="57"/>
  <c r="V1230" i="57"/>
  <c r="X1229" i="57"/>
  <c r="Y1229" i="57"/>
  <c r="AA1229" i="57"/>
  <c r="W1229" i="57"/>
  <c r="V1229" i="57"/>
  <c r="Y1228" i="57"/>
  <c r="AA1228" i="57"/>
  <c r="X1228" i="57"/>
  <c r="W1228" i="57"/>
  <c r="V1228" i="57"/>
  <c r="X1227" i="57"/>
  <c r="Y1227" i="57"/>
  <c r="W1227" i="57"/>
  <c r="V1227" i="57"/>
  <c r="X1226" i="57"/>
  <c r="Y1226" i="57"/>
  <c r="W1226" i="57"/>
  <c r="V1226" i="57"/>
  <c r="X1225" i="57"/>
  <c r="Y1225" i="57"/>
  <c r="AA1225" i="57"/>
  <c r="W1225" i="57"/>
  <c r="V1225" i="57"/>
  <c r="X1224" i="57"/>
  <c r="Y1224" i="57"/>
  <c r="W1224" i="57"/>
  <c r="V1224" i="57"/>
  <c r="X1223" i="57"/>
  <c r="Y1223" i="57"/>
  <c r="W1223" i="57"/>
  <c r="V1223" i="57"/>
  <c r="X1222" i="57"/>
  <c r="Y1222" i="57"/>
  <c r="W1222" i="57"/>
  <c r="V1222" i="57"/>
  <c r="X1221" i="57"/>
  <c r="Y1221" i="57"/>
  <c r="W1221" i="57"/>
  <c r="V1221" i="57"/>
  <c r="AA1220" i="57"/>
  <c r="X1220" i="57"/>
  <c r="Y1220" i="57"/>
  <c r="W1220" i="57"/>
  <c r="V1220" i="57"/>
  <c r="X1219" i="57"/>
  <c r="Y1219" i="57"/>
  <c r="W1219" i="57"/>
  <c r="V1219" i="57"/>
  <c r="Y1218" i="57"/>
  <c r="X1218" i="57"/>
  <c r="W1218" i="57"/>
  <c r="V1218" i="57"/>
  <c r="Y1217" i="57"/>
  <c r="X1217" i="57"/>
  <c r="W1217" i="57"/>
  <c r="V1217" i="57"/>
  <c r="Y1216" i="57"/>
  <c r="X1216" i="57"/>
  <c r="W1216" i="57"/>
  <c r="V1216" i="57"/>
  <c r="Y1215" i="57"/>
  <c r="X1215" i="57"/>
  <c r="W1215" i="57"/>
  <c r="V1215" i="57"/>
  <c r="AA1215" i="57"/>
  <c r="X1214" i="57"/>
  <c r="Y1214" i="57"/>
  <c r="AA1214" i="57"/>
  <c r="W1214" i="57"/>
  <c r="V1214" i="57"/>
  <c r="X1213" i="57"/>
  <c r="Y1213" i="57"/>
  <c r="AA1213" i="57"/>
  <c r="W1213" i="57"/>
  <c r="V1213" i="57"/>
  <c r="Y1212" i="57"/>
  <c r="AA1212" i="57"/>
  <c r="X1212" i="57"/>
  <c r="W1212" i="57"/>
  <c r="V1212" i="57"/>
  <c r="X1211" i="57"/>
  <c r="Y1211" i="57"/>
  <c r="AA1211" i="57"/>
  <c r="W1211" i="57"/>
  <c r="V1211" i="57"/>
  <c r="X1210" i="57"/>
  <c r="Y1210" i="57"/>
  <c r="W1210" i="57"/>
  <c r="V1210" i="57"/>
  <c r="X1209" i="57"/>
  <c r="Y1209" i="57"/>
  <c r="AA1209" i="57"/>
  <c r="W1209" i="57"/>
  <c r="V1209" i="57"/>
  <c r="X1208" i="57"/>
  <c r="Y1208" i="57"/>
  <c r="W1208" i="57"/>
  <c r="V1208" i="57"/>
  <c r="X1207" i="57"/>
  <c r="Y1207" i="57"/>
  <c r="W1207" i="57"/>
  <c r="V1207" i="57"/>
  <c r="X1206" i="57"/>
  <c r="Y1206" i="57"/>
  <c r="W1206" i="57"/>
  <c r="V1206" i="57"/>
  <c r="X1205" i="57"/>
  <c r="Y1205" i="57"/>
  <c r="W1205" i="57"/>
  <c r="V1205" i="57"/>
  <c r="Y1204" i="57"/>
  <c r="X1204" i="57"/>
  <c r="W1204" i="57"/>
  <c r="AA1204" i="57"/>
  <c r="V1204" i="57"/>
  <c r="X1203" i="57"/>
  <c r="Y1203" i="57"/>
  <c r="W1203" i="57"/>
  <c r="V1203" i="57"/>
  <c r="Y1202" i="57"/>
  <c r="X1202" i="57"/>
  <c r="W1202" i="57"/>
  <c r="V1202" i="57"/>
  <c r="Y1201" i="57"/>
  <c r="X1201" i="57"/>
  <c r="W1201" i="57"/>
  <c r="V1201" i="57"/>
  <c r="Y1200" i="57"/>
  <c r="X1200" i="57"/>
  <c r="W1200" i="57"/>
  <c r="V1200" i="57"/>
  <c r="Y1199" i="57"/>
  <c r="X1199" i="57"/>
  <c r="W1199" i="57"/>
  <c r="V1199" i="57"/>
  <c r="AA1199" i="57"/>
  <c r="X1198" i="57"/>
  <c r="Y1198" i="57"/>
  <c r="AA1198" i="57"/>
  <c r="W1198" i="57"/>
  <c r="V1198" i="57"/>
  <c r="X1197" i="57"/>
  <c r="Y1197" i="57"/>
  <c r="AA1197" i="57"/>
  <c r="W1197" i="57"/>
  <c r="V1197" i="57"/>
  <c r="Y1196" i="57"/>
  <c r="AA1196" i="57"/>
  <c r="X1196" i="57"/>
  <c r="W1196" i="57"/>
  <c r="V1196" i="57"/>
  <c r="X1195" i="57"/>
  <c r="Y1195" i="57"/>
  <c r="W1195" i="57"/>
  <c r="V1195" i="57"/>
  <c r="X1194" i="57"/>
  <c r="Y1194" i="57"/>
  <c r="W1194" i="57"/>
  <c r="V1194" i="57"/>
  <c r="X1193" i="57"/>
  <c r="Y1193" i="57"/>
  <c r="AA1193" i="57"/>
  <c r="W1193" i="57"/>
  <c r="V1193" i="57"/>
  <c r="X1192" i="57"/>
  <c r="Y1192" i="57"/>
  <c r="W1192" i="57"/>
  <c r="V1192" i="57"/>
  <c r="X1191" i="57"/>
  <c r="Y1191" i="57"/>
  <c r="W1191" i="57"/>
  <c r="V1191" i="57"/>
  <c r="X1190" i="57"/>
  <c r="Y1190" i="57"/>
  <c r="W1190" i="57"/>
  <c r="V1190" i="57"/>
  <c r="X1189" i="57"/>
  <c r="Y1189" i="57"/>
  <c r="W1189" i="57"/>
  <c r="V1189" i="57"/>
  <c r="AA1188" i="57"/>
  <c r="X1188" i="57"/>
  <c r="Y1188" i="57"/>
  <c r="W1188" i="57"/>
  <c r="V1188" i="57"/>
  <c r="X1187" i="57"/>
  <c r="Y1187" i="57"/>
  <c r="W1187" i="57"/>
  <c r="V1187" i="57"/>
  <c r="Y1186" i="57"/>
  <c r="X1186" i="57"/>
  <c r="W1186" i="57"/>
  <c r="V1186" i="57"/>
  <c r="Y1185" i="57"/>
  <c r="X1185" i="57"/>
  <c r="W1185" i="57"/>
  <c r="V1185" i="57"/>
  <c r="Y1184" i="57"/>
  <c r="X1184" i="57"/>
  <c r="W1184" i="57"/>
  <c r="V1184" i="57"/>
  <c r="Y1183" i="57"/>
  <c r="X1183" i="57"/>
  <c r="W1183" i="57"/>
  <c r="V1183" i="57"/>
  <c r="X1182" i="57"/>
  <c r="Y1182" i="57"/>
  <c r="AA1182" i="57"/>
  <c r="W1182" i="57"/>
  <c r="V1182" i="57"/>
  <c r="X1181" i="57"/>
  <c r="Y1181" i="57"/>
  <c r="AA1181" i="57"/>
  <c r="W1181" i="57"/>
  <c r="V1181" i="57"/>
  <c r="X1180" i="57"/>
  <c r="Y1180" i="57"/>
  <c r="AA1180" i="57"/>
  <c r="W1180" i="57"/>
  <c r="V1180" i="57"/>
  <c r="X1179" i="57"/>
  <c r="Y1179" i="57"/>
  <c r="W1179" i="57"/>
  <c r="V1179" i="57"/>
  <c r="Y1178" i="57"/>
  <c r="X1178" i="57"/>
  <c r="W1178" i="57"/>
  <c r="AA1178" i="57"/>
  <c r="V1178" i="57"/>
  <c r="X1177" i="57"/>
  <c r="Y1177" i="57"/>
  <c r="AA1177" i="57"/>
  <c r="W1177" i="57"/>
  <c r="V1177" i="57"/>
  <c r="X1176" i="57"/>
  <c r="Y1176" i="57"/>
  <c r="W1176" i="57"/>
  <c r="V1176" i="57"/>
  <c r="X1175" i="57"/>
  <c r="Y1175" i="57"/>
  <c r="AA1175" i="57"/>
  <c r="W1175" i="57"/>
  <c r="V1175" i="57"/>
  <c r="X1174" i="57"/>
  <c r="Y1174" i="57"/>
  <c r="AA1174" i="57"/>
  <c r="W1174" i="57"/>
  <c r="V1174" i="57"/>
  <c r="X1173" i="57"/>
  <c r="Y1173" i="57"/>
  <c r="W1173" i="57"/>
  <c r="V1173" i="57"/>
  <c r="X1172" i="57"/>
  <c r="Y1172" i="57"/>
  <c r="W1172" i="57"/>
  <c r="V1172" i="57"/>
  <c r="X1171" i="57"/>
  <c r="Y1171" i="57"/>
  <c r="AA1171" i="57"/>
  <c r="W1171" i="57"/>
  <c r="V1171" i="57"/>
  <c r="Y1170" i="57"/>
  <c r="X1170" i="57"/>
  <c r="W1170" i="57"/>
  <c r="V1170" i="57"/>
  <c r="Y1169" i="57"/>
  <c r="AA1169" i="57"/>
  <c r="X1169" i="57"/>
  <c r="W1169" i="57"/>
  <c r="V1169" i="57"/>
  <c r="Y1168" i="57"/>
  <c r="X1168" i="57"/>
  <c r="W1168" i="57"/>
  <c r="V1168" i="57"/>
  <c r="Y1167" i="57"/>
  <c r="AA1167" i="57"/>
  <c r="X1167" i="57"/>
  <c r="W1167" i="57"/>
  <c r="V1167" i="57"/>
  <c r="X1166" i="57"/>
  <c r="Y1166" i="57"/>
  <c r="AA1166" i="57"/>
  <c r="W1166" i="57"/>
  <c r="V1166" i="57"/>
  <c r="X1165" i="57"/>
  <c r="Y1165" i="57"/>
  <c r="W1165" i="57"/>
  <c r="V1165" i="57"/>
  <c r="X1164" i="57"/>
  <c r="Y1164" i="57"/>
  <c r="W1164" i="57"/>
  <c r="V1164" i="57"/>
  <c r="X1163" i="57"/>
  <c r="Y1163" i="57"/>
  <c r="W1163" i="57"/>
  <c r="V1163" i="57"/>
  <c r="Y1162" i="57"/>
  <c r="X1162" i="57"/>
  <c r="W1162" i="57"/>
  <c r="V1162" i="57"/>
  <c r="Y1161" i="57"/>
  <c r="AA1161" i="57"/>
  <c r="X1161" i="57"/>
  <c r="W1161" i="57"/>
  <c r="V1161" i="57"/>
  <c r="Y1160" i="57"/>
  <c r="X1160" i="57"/>
  <c r="W1160" i="57"/>
  <c r="V1160" i="57"/>
  <c r="Y1159" i="57"/>
  <c r="AA1159" i="57"/>
  <c r="X1159" i="57"/>
  <c r="W1159" i="57"/>
  <c r="V1159" i="57"/>
  <c r="X1158" i="57"/>
  <c r="Y1158" i="57"/>
  <c r="AA1158" i="57"/>
  <c r="W1158" i="57"/>
  <c r="V1158" i="57"/>
  <c r="X1157" i="57"/>
  <c r="Y1157" i="57"/>
  <c r="W1157" i="57"/>
  <c r="V1157" i="57"/>
  <c r="X1156" i="57"/>
  <c r="Y1156" i="57"/>
  <c r="W1156" i="57"/>
  <c r="V1156" i="57"/>
  <c r="X1155" i="57"/>
  <c r="Y1155" i="57"/>
  <c r="W1155" i="57"/>
  <c r="V1155" i="57"/>
  <c r="Y1154" i="57"/>
  <c r="X1154" i="57"/>
  <c r="W1154" i="57"/>
  <c r="V1154" i="57"/>
  <c r="AA1153" i="57"/>
  <c r="X1153" i="57"/>
  <c r="Y1153" i="57"/>
  <c r="W1153" i="57"/>
  <c r="V1153" i="57"/>
  <c r="Y1152" i="57"/>
  <c r="X1152" i="57"/>
  <c r="W1152" i="57"/>
  <c r="V1152" i="57"/>
  <c r="X1151" i="57"/>
  <c r="Y1151" i="57"/>
  <c r="AA1151" i="57"/>
  <c r="W1151" i="57"/>
  <c r="V1151" i="57"/>
  <c r="Y1150" i="57"/>
  <c r="X1150" i="57"/>
  <c r="W1150" i="57"/>
  <c r="V1150" i="57"/>
  <c r="X1149" i="57"/>
  <c r="Y1149" i="57"/>
  <c r="W1149" i="57"/>
  <c r="V1149" i="57"/>
  <c r="X1148" i="57"/>
  <c r="Y1148" i="57"/>
  <c r="AA1148" i="57"/>
  <c r="W1148" i="57"/>
  <c r="V1148" i="57"/>
  <c r="X1147" i="57"/>
  <c r="Y1147" i="57"/>
  <c r="AA1147" i="57"/>
  <c r="W1147" i="57"/>
  <c r="V1147" i="57"/>
  <c r="X1146" i="57"/>
  <c r="Y1146" i="57"/>
  <c r="W1146" i="57"/>
  <c r="V1146" i="57"/>
  <c r="X1145" i="57"/>
  <c r="Y1145" i="57"/>
  <c r="W1145" i="57"/>
  <c r="V1145" i="57"/>
  <c r="X1144" i="57"/>
  <c r="Y1144" i="57"/>
  <c r="W1144" i="57"/>
  <c r="V1144" i="57"/>
  <c r="X1143" i="57"/>
  <c r="Y1143" i="57"/>
  <c r="AA1143" i="57"/>
  <c r="W1143" i="57"/>
  <c r="V1143" i="57"/>
  <c r="X1142" i="57"/>
  <c r="Y1142" i="57"/>
  <c r="W1142" i="57"/>
  <c r="V1142" i="57"/>
  <c r="X1141" i="57"/>
  <c r="Y1141" i="57"/>
  <c r="W1141" i="57"/>
  <c r="V1141" i="57"/>
  <c r="X1140" i="57"/>
  <c r="Y1140" i="57"/>
  <c r="W1140" i="57"/>
  <c r="V1140" i="57"/>
  <c r="AA1140" i="57"/>
  <c r="X1139" i="57"/>
  <c r="Y1139" i="57"/>
  <c r="W1139" i="57"/>
  <c r="V1139" i="57"/>
  <c r="Y1138" i="57"/>
  <c r="X1138" i="57"/>
  <c r="W1138" i="57"/>
  <c r="V1138" i="57"/>
  <c r="Y1137" i="57"/>
  <c r="AA1137" i="57"/>
  <c r="X1137" i="57"/>
  <c r="W1137" i="57"/>
  <c r="V1137" i="57"/>
  <c r="Y1136" i="57"/>
  <c r="AA1136" i="57"/>
  <c r="X1136" i="57"/>
  <c r="W1136" i="57"/>
  <c r="V1136" i="57"/>
  <c r="Y1135" i="57"/>
  <c r="AA1135" i="57"/>
  <c r="X1135" i="57"/>
  <c r="W1135" i="57"/>
  <c r="V1135" i="57"/>
  <c r="Y1134" i="57"/>
  <c r="AA1134" i="57"/>
  <c r="X1134" i="57"/>
  <c r="W1134" i="57"/>
  <c r="V1134" i="57"/>
  <c r="X1133" i="57"/>
  <c r="Y1133" i="57"/>
  <c r="AA1133" i="57"/>
  <c r="W1133" i="57"/>
  <c r="V1133" i="57"/>
  <c r="X1132" i="57"/>
  <c r="Y1132" i="57"/>
  <c r="W1132" i="57"/>
  <c r="V1132" i="57"/>
  <c r="X1131" i="57"/>
  <c r="Y1131" i="57"/>
  <c r="W1131" i="57"/>
  <c r="V1131" i="57"/>
  <c r="Y1130" i="57"/>
  <c r="X1130" i="57"/>
  <c r="W1130" i="57"/>
  <c r="V1130" i="57"/>
  <c r="X1129" i="57"/>
  <c r="Y1129" i="57"/>
  <c r="W1129" i="57"/>
  <c r="V1129" i="57"/>
  <c r="Y1128" i="57"/>
  <c r="X1128" i="57"/>
  <c r="W1128" i="57"/>
  <c r="V1128" i="57"/>
  <c r="X1127" i="57"/>
  <c r="Y1127" i="57"/>
  <c r="W1127" i="57"/>
  <c r="V1127" i="57"/>
  <c r="X1126" i="57"/>
  <c r="Y1126" i="57"/>
  <c r="W1126" i="57"/>
  <c r="V1126" i="57"/>
  <c r="X1125" i="57"/>
  <c r="Y1125" i="57"/>
  <c r="W1125" i="57"/>
  <c r="V1125" i="57"/>
  <c r="X1124" i="57"/>
  <c r="Y1124" i="57"/>
  <c r="AA1124" i="57"/>
  <c r="W1124" i="57"/>
  <c r="V1124" i="57"/>
  <c r="X1123" i="57"/>
  <c r="Y1123" i="57"/>
  <c r="W1123" i="57"/>
  <c r="V1123" i="57"/>
  <c r="X1122" i="57"/>
  <c r="Y1122" i="57"/>
  <c r="W1122" i="57"/>
  <c r="V1122" i="57"/>
  <c r="Y1121" i="57"/>
  <c r="X1121" i="57"/>
  <c r="W1121" i="57"/>
  <c r="V1121" i="57"/>
  <c r="X1120" i="57"/>
  <c r="Y1120" i="57"/>
  <c r="W1120" i="57"/>
  <c r="V1120" i="57"/>
  <c r="Y1119" i="57"/>
  <c r="X1119" i="57"/>
  <c r="W1119" i="57"/>
  <c r="V1119" i="57"/>
  <c r="X1118" i="57"/>
  <c r="Y1118" i="57"/>
  <c r="W1118" i="57"/>
  <c r="V1118" i="57"/>
  <c r="X1117" i="57"/>
  <c r="Y1117" i="57"/>
  <c r="AA1117" i="57"/>
  <c r="W1117" i="57"/>
  <c r="V1117" i="57"/>
  <c r="AA1116" i="57"/>
  <c r="X1116" i="57"/>
  <c r="Y1116" i="57"/>
  <c r="W1116" i="57"/>
  <c r="V1116" i="57"/>
  <c r="X1115" i="57"/>
  <c r="Y1115" i="57"/>
  <c r="W1115" i="57"/>
  <c r="V1115" i="57"/>
  <c r="X1114" i="57"/>
  <c r="Y1114" i="57"/>
  <c r="W1114" i="57"/>
  <c r="V1114" i="57"/>
  <c r="Y1113" i="57"/>
  <c r="AA1113" i="57"/>
  <c r="X1113" i="57"/>
  <c r="W1113" i="57"/>
  <c r="V1113" i="57"/>
  <c r="X1112" i="57"/>
  <c r="Y1112" i="57"/>
  <c r="W1112" i="57"/>
  <c r="V1112" i="57"/>
  <c r="Y1111" i="57"/>
  <c r="AA1111" i="57"/>
  <c r="X1111" i="57"/>
  <c r="W1111" i="57"/>
  <c r="V1111" i="57"/>
  <c r="X1110" i="57"/>
  <c r="Y1110" i="57"/>
  <c r="AA1110" i="57"/>
  <c r="W1110" i="57"/>
  <c r="V1110" i="57"/>
  <c r="X1109" i="57"/>
  <c r="Y1109" i="57"/>
  <c r="W1109" i="57"/>
  <c r="V1109" i="57"/>
  <c r="X1108" i="57"/>
  <c r="Y1108" i="57"/>
  <c r="W1108" i="57"/>
  <c r="V1108" i="57"/>
  <c r="X1107" i="57"/>
  <c r="Y1107" i="57"/>
  <c r="W1107" i="57"/>
  <c r="V1107" i="57"/>
  <c r="Y1106" i="57"/>
  <c r="X1106" i="57"/>
  <c r="W1106" i="57"/>
  <c r="V1106" i="57"/>
  <c r="Y1105" i="57"/>
  <c r="AA1105" i="57"/>
  <c r="X1105" i="57"/>
  <c r="W1105" i="57"/>
  <c r="V1105" i="57"/>
  <c r="Y1104" i="57"/>
  <c r="X1104" i="57"/>
  <c r="W1104" i="57"/>
  <c r="V1104" i="57"/>
  <c r="Y1103" i="57"/>
  <c r="AA1103" i="57"/>
  <c r="X1103" i="57"/>
  <c r="W1103" i="57"/>
  <c r="V1103" i="57"/>
  <c r="X1102" i="57"/>
  <c r="Y1102" i="57"/>
  <c r="AA1102" i="57"/>
  <c r="W1102" i="57"/>
  <c r="V1102" i="57"/>
  <c r="X1101" i="57"/>
  <c r="Y1101" i="57"/>
  <c r="W1101" i="57"/>
  <c r="V1101" i="57"/>
  <c r="X1100" i="57"/>
  <c r="Y1100" i="57"/>
  <c r="AA1100" i="57"/>
  <c r="W1100" i="57"/>
  <c r="V1100" i="57"/>
  <c r="X1099" i="57"/>
  <c r="Y1099" i="57"/>
  <c r="W1099" i="57"/>
  <c r="V1099" i="57"/>
  <c r="X1098" i="57"/>
  <c r="Y1098" i="57"/>
  <c r="W1098" i="57"/>
  <c r="V1098" i="57"/>
  <c r="Y1097" i="57"/>
  <c r="X1097" i="57"/>
  <c r="W1097" i="57"/>
  <c r="V1097" i="57"/>
  <c r="X1096" i="57"/>
  <c r="Y1096" i="57"/>
  <c r="W1096" i="57"/>
  <c r="V1096" i="57"/>
  <c r="Y1095" i="57"/>
  <c r="X1095" i="57"/>
  <c r="W1095" i="57"/>
  <c r="V1095" i="57"/>
  <c r="X1094" i="57"/>
  <c r="Y1094" i="57"/>
  <c r="W1094" i="57"/>
  <c r="V1094" i="57"/>
  <c r="X1093" i="57"/>
  <c r="Y1093" i="57"/>
  <c r="W1093" i="57"/>
  <c r="V1093" i="57"/>
  <c r="X1092" i="57"/>
  <c r="Y1092" i="57"/>
  <c r="W1092" i="57"/>
  <c r="V1092" i="57"/>
  <c r="AA1092" i="57"/>
  <c r="X1091" i="57"/>
  <c r="Y1091" i="57"/>
  <c r="W1091" i="57"/>
  <c r="V1091" i="57"/>
  <c r="X1090" i="57"/>
  <c r="Y1090" i="57"/>
  <c r="W1090" i="57"/>
  <c r="V1090" i="57"/>
  <c r="AA1089" i="57"/>
  <c r="Y1089" i="57"/>
  <c r="X1089" i="57"/>
  <c r="W1089" i="57"/>
  <c r="V1089" i="57"/>
  <c r="Y1088" i="57"/>
  <c r="X1088" i="57"/>
  <c r="W1088" i="57"/>
  <c r="V1088" i="57"/>
  <c r="Y1087" i="57"/>
  <c r="X1087" i="57"/>
  <c r="W1087" i="57"/>
  <c r="V1087" i="57"/>
  <c r="Y1086" i="57"/>
  <c r="X1086" i="57"/>
  <c r="W1086" i="57"/>
  <c r="V1086" i="57"/>
  <c r="X1085" i="57"/>
  <c r="Y1085" i="57"/>
  <c r="W1085" i="57"/>
  <c r="V1085" i="57"/>
  <c r="X1084" i="57"/>
  <c r="Y1084" i="57"/>
  <c r="W1084" i="57"/>
  <c r="V1084" i="57"/>
  <c r="X1083" i="57"/>
  <c r="Y1083" i="57"/>
  <c r="W1083" i="57"/>
  <c r="V1083" i="57"/>
  <c r="Y1082" i="57"/>
  <c r="X1082" i="57"/>
  <c r="W1082" i="57"/>
  <c r="V1082" i="57"/>
  <c r="X1081" i="57"/>
  <c r="Y1081" i="57"/>
  <c r="AA1081" i="57"/>
  <c r="W1081" i="57"/>
  <c r="V1081" i="57"/>
  <c r="Y1080" i="57"/>
  <c r="X1080" i="57"/>
  <c r="W1080" i="57"/>
  <c r="V1080" i="57"/>
  <c r="X1079" i="57"/>
  <c r="Y1079" i="57"/>
  <c r="AA1079" i="57"/>
  <c r="W1079" i="57"/>
  <c r="V1079" i="57"/>
  <c r="X1078" i="57"/>
  <c r="Y1078" i="57"/>
  <c r="W1078" i="57"/>
  <c r="V1078" i="57"/>
  <c r="X1077" i="57"/>
  <c r="Y1077" i="57"/>
  <c r="W1077" i="57"/>
  <c r="V1077" i="57"/>
  <c r="AA1076" i="57"/>
  <c r="X1076" i="57"/>
  <c r="Y1076" i="57"/>
  <c r="W1076" i="57"/>
  <c r="V1076" i="57"/>
  <c r="X1075" i="57"/>
  <c r="Y1075" i="57"/>
  <c r="W1075" i="57"/>
  <c r="V1075" i="57"/>
  <c r="X1074" i="57"/>
  <c r="Y1074" i="57"/>
  <c r="W1074" i="57"/>
  <c r="V1074" i="57"/>
  <c r="X1073" i="57"/>
  <c r="Y1073" i="57"/>
  <c r="W1073" i="57"/>
  <c r="V1073" i="57"/>
  <c r="X1072" i="57"/>
  <c r="Y1072" i="57"/>
  <c r="AA1072" i="57"/>
  <c r="W1072" i="57"/>
  <c r="V1072" i="57"/>
  <c r="X1071" i="57"/>
  <c r="Y1071" i="57"/>
  <c r="AA1071" i="57"/>
  <c r="W1071" i="57"/>
  <c r="V1071" i="57"/>
  <c r="X1070" i="57"/>
  <c r="Y1070" i="57"/>
  <c r="AA1070" i="57"/>
  <c r="W1070" i="57"/>
  <c r="V1070" i="57"/>
  <c r="X1069" i="57"/>
  <c r="Y1069" i="57"/>
  <c r="W1069" i="57"/>
  <c r="V1069" i="57"/>
  <c r="X1068" i="57"/>
  <c r="Y1068" i="57"/>
  <c r="W1068" i="57"/>
  <c r="V1068" i="57"/>
  <c r="X1067" i="57"/>
  <c r="Y1067" i="57"/>
  <c r="W1067" i="57"/>
  <c r="V1067" i="57"/>
  <c r="Y1066" i="57"/>
  <c r="X1066" i="57"/>
  <c r="W1066" i="57"/>
  <c r="V1066" i="57"/>
  <c r="AA1065" i="57"/>
  <c r="Y1065" i="57"/>
  <c r="X1065" i="57"/>
  <c r="W1065" i="57"/>
  <c r="V1065" i="57"/>
  <c r="Y1064" i="57"/>
  <c r="X1064" i="57"/>
  <c r="W1064" i="57"/>
  <c r="V1064" i="57"/>
  <c r="Y1063" i="57"/>
  <c r="X1063" i="57"/>
  <c r="W1063" i="57"/>
  <c r="V1063" i="57"/>
  <c r="X1062" i="57"/>
  <c r="Y1062" i="57"/>
  <c r="AA1062" i="57"/>
  <c r="W1062" i="57"/>
  <c r="V1062" i="57"/>
  <c r="X1061" i="57"/>
  <c r="Y1061" i="57"/>
  <c r="W1061" i="57"/>
  <c r="V1061" i="57"/>
  <c r="X1060" i="57"/>
  <c r="Y1060" i="57"/>
  <c r="W1060" i="57"/>
  <c r="V1060" i="57"/>
  <c r="X1059" i="57"/>
  <c r="Y1059" i="57"/>
  <c r="W1059" i="57"/>
  <c r="V1059" i="57"/>
  <c r="Y1058" i="57"/>
  <c r="X1058" i="57"/>
  <c r="W1058" i="57"/>
  <c r="V1058" i="57"/>
  <c r="Y1057" i="57"/>
  <c r="X1057" i="57"/>
  <c r="W1057" i="57"/>
  <c r="V1057" i="57"/>
  <c r="Y1056" i="57"/>
  <c r="X1056" i="57"/>
  <c r="W1056" i="57"/>
  <c r="V1056" i="57"/>
  <c r="Y1055" i="57"/>
  <c r="X1055" i="57"/>
  <c r="W1055" i="57"/>
  <c r="V1055" i="57"/>
  <c r="X1054" i="57"/>
  <c r="Y1054" i="57"/>
  <c r="AA1054" i="57"/>
  <c r="W1054" i="57"/>
  <c r="V1054" i="57"/>
  <c r="X1053" i="57"/>
  <c r="Y1053" i="57"/>
  <c r="AA1053" i="57"/>
  <c r="W1053" i="57"/>
  <c r="V1053" i="57"/>
  <c r="X1052" i="57"/>
  <c r="Y1052" i="57"/>
  <c r="AA1052" i="57"/>
  <c r="W1052" i="57"/>
  <c r="V1052" i="57"/>
  <c r="X1051" i="57"/>
  <c r="Y1051" i="57"/>
  <c r="W1051" i="57"/>
  <c r="V1051" i="57"/>
  <c r="X1050" i="57"/>
  <c r="Y1050" i="57"/>
  <c r="W1050" i="57"/>
  <c r="V1050" i="57"/>
  <c r="X1049" i="57"/>
  <c r="Y1049" i="57"/>
  <c r="AA1049" i="57"/>
  <c r="W1049" i="57"/>
  <c r="V1049" i="57"/>
  <c r="X1048" i="57"/>
  <c r="Y1048" i="57"/>
  <c r="W1048" i="57"/>
  <c r="V1048" i="57"/>
  <c r="X1047" i="57"/>
  <c r="Y1047" i="57"/>
  <c r="W1047" i="57"/>
  <c r="V1047" i="57"/>
  <c r="X1046" i="57"/>
  <c r="Y1046" i="57"/>
  <c r="AA1046" i="57"/>
  <c r="W1046" i="57"/>
  <c r="V1046" i="57"/>
  <c r="X1045" i="57"/>
  <c r="Y1045" i="57"/>
  <c r="W1045" i="57"/>
  <c r="V1045" i="57"/>
  <c r="X1044" i="57"/>
  <c r="Y1044" i="57"/>
  <c r="W1044" i="57"/>
  <c r="V1044" i="57"/>
  <c r="X1043" i="57"/>
  <c r="Y1043" i="57"/>
  <c r="AA1043" i="57"/>
  <c r="W1043" i="57"/>
  <c r="V1043" i="57"/>
  <c r="Y1042" i="57"/>
  <c r="X1042" i="57"/>
  <c r="W1042" i="57"/>
  <c r="V1042" i="57"/>
  <c r="Y1041" i="57"/>
  <c r="AA1041" i="57"/>
  <c r="X1041" i="57"/>
  <c r="W1041" i="57"/>
  <c r="V1041" i="57"/>
  <c r="Y1040" i="57"/>
  <c r="X1040" i="57"/>
  <c r="W1040" i="57"/>
  <c r="V1040" i="57"/>
  <c r="Y1039" i="57"/>
  <c r="AA1039" i="57"/>
  <c r="X1039" i="57"/>
  <c r="W1039" i="57"/>
  <c r="V1039" i="57"/>
  <c r="X1038" i="57"/>
  <c r="Y1038" i="57"/>
  <c r="AA1038" i="57"/>
  <c r="W1038" i="57"/>
  <c r="V1038" i="57"/>
  <c r="X1037" i="57"/>
  <c r="Y1037" i="57"/>
  <c r="W1037" i="57"/>
  <c r="V1037" i="57"/>
  <c r="X1036" i="57"/>
  <c r="Y1036" i="57"/>
  <c r="W1036" i="57"/>
  <c r="AA1036" i="57"/>
  <c r="V1036" i="57"/>
  <c r="X1035" i="57"/>
  <c r="Y1035" i="57"/>
  <c r="W1035" i="57"/>
  <c r="V1035" i="57"/>
  <c r="Y1034" i="57"/>
  <c r="X1034" i="57"/>
  <c r="W1034" i="57"/>
  <c r="V1034" i="57"/>
  <c r="Y1033" i="57"/>
  <c r="X1033" i="57"/>
  <c r="W1033" i="57"/>
  <c r="V1033" i="57"/>
  <c r="Y1032" i="57"/>
  <c r="X1032" i="57"/>
  <c r="W1032" i="57"/>
  <c r="V1032" i="57"/>
  <c r="Y1031" i="57"/>
  <c r="X1031" i="57"/>
  <c r="W1031" i="57"/>
  <c r="V1031" i="57"/>
  <c r="X1030" i="57"/>
  <c r="Y1030" i="57"/>
  <c r="AA1030" i="57"/>
  <c r="W1030" i="57"/>
  <c r="V1030" i="57"/>
  <c r="X1029" i="57"/>
  <c r="Y1029" i="57"/>
  <c r="AA1029" i="57"/>
  <c r="W1029" i="57"/>
  <c r="V1029" i="57"/>
  <c r="X1028" i="57"/>
  <c r="Y1028" i="57"/>
  <c r="AA1028" i="57"/>
  <c r="W1028" i="57"/>
  <c r="V1028" i="57"/>
  <c r="X1027" i="57"/>
  <c r="Y1027" i="57"/>
  <c r="W1027" i="57"/>
  <c r="V1027" i="57"/>
  <c r="X1026" i="57"/>
  <c r="Y1026" i="57"/>
  <c r="W1026" i="57"/>
  <c r="V1026" i="57"/>
  <c r="Y1025" i="57"/>
  <c r="X1025" i="57"/>
  <c r="W1025" i="57"/>
  <c r="V1025" i="57"/>
  <c r="X1024" i="57"/>
  <c r="Y1024" i="57"/>
  <c r="W1024" i="57"/>
  <c r="V1024" i="57"/>
  <c r="Y1023" i="57"/>
  <c r="X1023" i="57"/>
  <c r="W1023" i="57"/>
  <c r="V1023" i="57"/>
  <c r="X1022" i="57"/>
  <c r="Y1022" i="57"/>
  <c r="W1022" i="57"/>
  <c r="V1022" i="57"/>
  <c r="X1021" i="57"/>
  <c r="Y1021" i="57"/>
  <c r="AA1021" i="57"/>
  <c r="W1021" i="57"/>
  <c r="V1021" i="57"/>
  <c r="AA1020" i="57"/>
  <c r="X1020" i="57"/>
  <c r="Y1020" i="57"/>
  <c r="W1020" i="57"/>
  <c r="V1020" i="57"/>
  <c r="X1019" i="57"/>
  <c r="Y1019" i="57"/>
  <c r="W1019" i="57"/>
  <c r="V1019" i="57"/>
  <c r="X1018" i="57"/>
  <c r="Y1018" i="57"/>
  <c r="W1018" i="57"/>
  <c r="V1018" i="57"/>
  <c r="X1017" i="57"/>
  <c r="Y1017" i="57"/>
  <c r="AA1017" i="57"/>
  <c r="W1017" i="57"/>
  <c r="V1017" i="57"/>
  <c r="X1016" i="57"/>
  <c r="Y1016" i="57"/>
  <c r="W1016" i="57"/>
  <c r="V1016" i="57"/>
  <c r="X1015" i="57"/>
  <c r="Y1015" i="57"/>
  <c r="AA1015" i="57"/>
  <c r="W1015" i="57"/>
  <c r="V1015" i="57"/>
  <c r="X1014" i="57"/>
  <c r="Y1014" i="57"/>
  <c r="W1014" i="57"/>
  <c r="V1014" i="57"/>
  <c r="X1013" i="57"/>
  <c r="Y1013" i="57"/>
  <c r="W1013" i="57"/>
  <c r="V1013" i="57"/>
  <c r="X1012" i="57"/>
  <c r="Y1012" i="57"/>
  <c r="W1012" i="57"/>
  <c r="V1012" i="57"/>
  <c r="AA1012" i="57"/>
  <c r="X1011" i="57"/>
  <c r="Y1011" i="57"/>
  <c r="W1011" i="57"/>
  <c r="V1011" i="57"/>
  <c r="Y1010" i="57"/>
  <c r="X1010" i="57"/>
  <c r="W1010" i="57"/>
  <c r="V1010" i="57"/>
  <c r="Y1009" i="57"/>
  <c r="AA1009" i="57"/>
  <c r="X1009" i="57"/>
  <c r="W1009" i="57"/>
  <c r="V1009" i="57"/>
  <c r="Y1008" i="57"/>
  <c r="X1008" i="57"/>
  <c r="W1008" i="57"/>
  <c r="V1008" i="57"/>
  <c r="Y1007" i="57"/>
  <c r="AA1007" i="57"/>
  <c r="X1007" i="57"/>
  <c r="W1007" i="57"/>
  <c r="V1007" i="57"/>
  <c r="X1006" i="57"/>
  <c r="Y1006" i="57"/>
  <c r="AA1006" i="57"/>
  <c r="W1006" i="57"/>
  <c r="V1006" i="57"/>
  <c r="X1005" i="57"/>
  <c r="Y1005" i="57"/>
  <c r="W1005" i="57"/>
  <c r="V1005" i="57"/>
  <c r="X1004" i="57"/>
  <c r="Y1004" i="57"/>
  <c r="W1004" i="57"/>
  <c r="V1004" i="57"/>
  <c r="X1003" i="57"/>
  <c r="Y1003" i="57"/>
  <c r="W1003" i="57"/>
  <c r="V1003" i="57"/>
  <c r="Y1002" i="57"/>
  <c r="X1002" i="57"/>
  <c r="W1002" i="57"/>
  <c r="V1002" i="57"/>
  <c r="Y1001" i="57"/>
  <c r="X1001" i="57"/>
  <c r="W1001" i="57"/>
  <c r="V1001" i="57"/>
  <c r="Y1000" i="57"/>
  <c r="X1000" i="57"/>
  <c r="W1000" i="57"/>
  <c r="V1000" i="57"/>
  <c r="Y999" i="57"/>
  <c r="X999" i="57"/>
  <c r="W999" i="57"/>
  <c r="V999" i="57"/>
  <c r="X998" i="57"/>
  <c r="Y998" i="57"/>
  <c r="AA998" i="57"/>
  <c r="W998" i="57"/>
  <c r="V998" i="57"/>
  <c r="X997" i="57"/>
  <c r="Y997" i="57"/>
  <c r="AA997" i="57"/>
  <c r="W997" i="57"/>
  <c r="V997" i="57"/>
  <c r="X996" i="57"/>
  <c r="Y996" i="57"/>
  <c r="W996" i="57"/>
  <c r="V996" i="57"/>
  <c r="X995" i="57"/>
  <c r="Y995" i="57"/>
  <c r="W995" i="57"/>
  <c r="V995" i="57"/>
  <c r="X994" i="57"/>
  <c r="Y994" i="57"/>
  <c r="AA994" i="57"/>
  <c r="W994" i="57"/>
  <c r="V994" i="57"/>
  <c r="X993" i="57"/>
  <c r="Y993" i="57"/>
  <c r="AA993" i="57"/>
  <c r="W993" i="57"/>
  <c r="V993" i="57"/>
  <c r="X992" i="57"/>
  <c r="Y992" i="57"/>
  <c r="W992" i="57"/>
  <c r="V992" i="57"/>
  <c r="X991" i="57"/>
  <c r="Y991" i="57"/>
  <c r="AA991" i="57"/>
  <c r="W991" i="57"/>
  <c r="V991" i="57"/>
  <c r="X990" i="57"/>
  <c r="Y990" i="57"/>
  <c r="W990" i="57"/>
  <c r="V990" i="57"/>
  <c r="X989" i="57"/>
  <c r="Y989" i="57"/>
  <c r="W989" i="57"/>
  <c r="V989" i="57"/>
  <c r="X988" i="57"/>
  <c r="Y988" i="57"/>
  <c r="AA988" i="57"/>
  <c r="W988" i="57"/>
  <c r="V988" i="57"/>
  <c r="X987" i="57"/>
  <c r="Y987" i="57"/>
  <c r="AA987" i="57"/>
  <c r="W987" i="57"/>
  <c r="V987" i="57"/>
  <c r="Y986" i="57"/>
  <c r="AA986" i="57"/>
  <c r="X986" i="57"/>
  <c r="W986" i="57"/>
  <c r="V986" i="57"/>
  <c r="Y985" i="57"/>
  <c r="X985" i="57"/>
  <c r="W985" i="57"/>
  <c r="V985" i="57"/>
  <c r="AA985" i="57"/>
  <c r="Y984" i="57"/>
  <c r="X984" i="57"/>
  <c r="W984" i="57"/>
  <c r="V984" i="57"/>
  <c r="Y983" i="57"/>
  <c r="X983" i="57"/>
  <c r="W983" i="57"/>
  <c r="V983" i="57"/>
  <c r="Y982" i="57"/>
  <c r="X982" i="57"/>
  <c r="W982" i="57"/>
  <c r="V982" i="57"/>
  <c r="X981" i="57"/>
  <c r="Y981" i="57"/>
  <c r="AA981" i="57"/>
  <c r="W981" i="57"/>
  <c r="V981" i="57"/>
  <c r="X980" i="57"/>
  <c r="Y980" i="57"/>
  <c r="AA980" i="57"/>
  <c r="W980" i="57"/>
  <c r="V980" i="57"/>
  <c r="X979" i="57"/>
  <c r="Y979" i="57"/>
  <c r="W979" i="57"/>
  <c r="V979" i="57"/>
  <c r="X978" i="57"/>
  <c r="Y978" i="57"/>
  <c r="W978" i="57"/>
  <c r="V978" i="57"/>
  <c r="X977" i="57"/>
  <c r="Y977" i="57"/>
  <c r="AA977" i="57"/>
  <c r="W977" i="57"/>
  <c r="V977" i="57"/>
  <c r="X976" i="57"/>
  <c r="Y976" i="57"/>
  <c r="W976" i="57"/>
  <c r="V976" i="57"/>
  <c r="X975" i="57"/>
  <c r="Y975" i="57"/>
  <c r="W975" i="57"/>
  <c r="V975" i="57"/>
  <c r="X974" i="57"/>
  <c r="Y974" i="57"/>
  <c r="W974" i="57"/>
  <c r="V974" i="57"/>
  <c r="X973" i="57"/>
  <c r="Y973" i="57"/>
  <c r="W973" i="57"/>
  <c r="V973" i="57"/>
  <c r="AA972" i="57"/>
  <c r="X972" i="57"/>
  <c r="Y972" i="57"/>
  <c r="W972" i="57"/>
  <c r="V972" i="57"/>
  <c r="X971" i="57"/>
  <c r="Y971" i="57"/>
  <c r="AA971" i="57"/>
  <c r="W971" i="57"/>
  <c r="V971" i="57"/>
  <c r="X970" i="57"/>
  <c r="Y970" i="57"/>
  <c r="W970" i="57"/>
  <c r="V970" i="57"/>
  <c r="X969" i="57"/>
  <c r="Y969" i="57"/>
  <c r="AA969" i="57"/>
  <c r="W969" i="57"/>
  <c r="V969" i="57"/>
  <c r="X968" i="57"/>
  <c r="Y968" i="57"/>
  <c r="W968" i="57"/>
  <c r="V968" i="57"/>
  <c r="X967" i="57"/>
  <c r="Y967" i="57"/>
  <c r="AA967" i="57"/>
  <c r="W967" i="57"/>
  <c r="V967" i="57"/>
  <c r="X966" i="57"/>
  <c r="Y966" i="57"/>
  <c r="AA966" i="57"/>
  <c r="W966" i="57"/>
  <c r="V966" i="57"/>
  <c r="X965" i="57"/>
  <c r="Y965" i="57"/>
  <c r="W965" i="57"/>
  <c r="V965" i="57"/>
  <c r="X964" i="57"/>
  <c r="Y964" i="57"/>
  <c r="W964" i="57"/>
  <c r="V964" i="57"/>
  <c r="X963" i="57"/>
  <c r="Y963" i="57"/>
  <c r="W963" i="57"/>
  <c r="V963" i="57"/>
  <c r="X962" i="57"/>
  <c r="Y962" i="57"/>
  <c r="AA962" i="57"/>
  <c r="W962" i="57"/>
  <c r="V962" i="57"/>
  <c r="X961" i="57"/>
  <c r="Y961" i="57"/>
  <c r="W961" i="57"/>
  <c r="V961" i="57"/>
  <c r="Y960" i="57"/>
  <c r="X960" i="57"/>
  <c r="W960" i="57"/>
  <c r="V960" i="57"/>
  <c r="X959" i="57"/>
  <c r="Y959" i="57"/>
  <c r="W959" i="57"/>
  <c r="V959" i="57"/>
  <c r="X958" i="57"/>
  <c r="Y958" i="57"/>
  <c r="W958" i="57"/>
  <c r="V958" i="57"/>
  <c r="X957" i="57"/>
  <c r="Y957" i="57"/>
  <c r="AA957" i="57"/>
  <c r="W957" i="57"/>
  <c r="V957" i="57"/>
  <c r="X956" i="57"/>
  <c r="Y956" i="57"/>
  <c r="AA956" i="57"/>
  <c r="W956" i="57"/>
  <c r="V956" i="57"/>
  <c r="X955" i="57"/>
  <c r="Y955" i="57"/>
  <c r="W955" i="57"/>
  <c r="V955" i="57"/>
  <c r="X954" i="57"/>
  <c r="Y954" i="57"/>
  <c r="W954" i="57"/>
  <c r="V954" i="57"/>
  <c r="X953" i="57"/>
  <c r="Y953" i="57"/>
  <c r="W953" i="57"/>
  <c r="V953" i="57"/>
  <c r="Y952" i="57"/>
  <c r="X952" i="57"/>
  <c r="W952" i="57"/>
  <c r="V952" i="57"/>
  <c r="Y951" i="57"/>
  <c r="X951" i="57"/>
  <c r="W951" i="57"/>
  <c r="V951" i="57"/>
  <c r="X950" i="57"/>
  <c r="Y950" i="57"/>
  <c r="W950" i="57"/>
  <c r="V950" i="57"/>
  <c r="X949" i="57"/>
  <c r="Y949" i="57"/>
  <c r="AA949" i="57"/>
  <c r="W949" i="57"/>
  <c r="V949" i="57"/>
  <c r="X948" i="57"/>
  <c r="Y948" i="57"/>
  <c r="W948" i="57"/>
  <c r="V948" i="57"/>
  <c r="X947" i="57"/>
  <c r="Y947" i="57"/>
  <c r="AA947" i="57"/>
  <c r="W947" i="57"/>
  <c r="V947" i="57"/>
  <c r="Y946" i="57"/>
  <c r="X946" i="57"/>
  <c r="W946" i="57"/>
  <c r="AA946" i="57"/>
  <c r="V946" i="57"/>
  <c r="X945" i="57"/>
  <c r="Y945" i="57"/>
  <c r="W945" i="57"/>
  <c r="V945" i="57"/>
  <c r="Y944" i="57"/>
  <c r="X944" i="57"/>
  <c r="W944" i="57"/>
  <c r="V944" i="57"/>
  <c r="Y943" i="57"/>
  <c r="X943" i="57"/>
  <c r="W943" i="57"/>
  <c r="V943" i="57"/>
  <c r="X942" i="57"/>
  <c r="Y942" i="57"/>
  <c r="AA942" i="57"/>
  <c r="W942" i="57"/>
  <c r="V942" i="57"/>
  <c r="X941" i="57"/>
  <c r="Y941" i="57"/>
  <c r="W941" i="57"/>
  <c r="V941" i="57"/>
  <c r="X940" i="57"/>
  <c r="Y940" i="57"/>
  <c r="W940" i="57"/>
  <c r="V940" i="57"/>
  <c r="X939" i="57"/>
  <c r="Y939" i="57"/>
  <c r="W939" i="57"/>
  <c r="V939" i="57"/>
  <c r="Y938" i="57"/>
  <c r="X938" i="57"/>
  <c r="W938" i="57"/>
  <c r="V938" i="57"/>
  <c r="Y937" i="57"/>
  <c r="X937" i="57"/>
  <c r="W937" i="57"/>
  <c r="V937" i="57"/>
  <c r="Y936" i="57"/>
  <c r="X936" i="57"/>
  <c r="W936" i="57"/>
  <c r="V936" i="57"/>
  <c r="Y935" i="57"/>
  <c r="X935" i="57"/>
  <c r="W935" i="57"/>
  <c r="AA935" i="57"/>
  <c r="V935" i="57"/>
  <c r="X934" i="57"/>
  <c r="Y934" i="57"/>
  <c r="W934" i="57"/>
  <c r="V934" i="57"/>
  <c r="X933" i="57"/>
  <c r="Y933" i="57"/>
  <c r="W933" i="57"/>
  <c r="V933" i="57"/>
  <c r="AA933" i="57"/>
  <c r="Y932" i="57"/>
  <c r="X932" i="57"/>
  <c r="W932" i="57"/>
  <c r="V932" i="57"/>
  <c r="X931" i="57"/>
  <c r="Y931" i="57"/>
  <c r="AA931" i="57"/>
  <c r="W931" i="57"/>
  <c r="V931" i="57"/>
  <c r="X930" i="57"/>
  <c r="Y930" i="57"/>
  <c r="W930" i="57"/>
  <c r="V930" i="57"/>
  <c r="X929" i="57"/>
  <c r="Y929" i="57"/>
  <c r="AA929" i="57"/>
  <c r="W929" i="57"/>
  <c r="V929" i="57"/>
  <c r="X928" i="57"/>
  <c r="Y928" i="57"/>
  <c r="W928" i="57"/>
  <c r="V928" i="57"/>
  <c r="X927" i="57"/>
  <c r="Y927" i="57"/>
  <c r="W927" i="57"/>
  <c r="V927" i="57"/>
  <c r="Y926" i="57"/>
  <c r="X926" i="57"/>
  <c r="W926" i="57"/>
  <c r="V926" i="57"/>
  <c r="X925" i="57"/>
  <c r="Y925" i="57"/>
  <c r="W925" i="57"/>
  <c r="V925" i="57"/>
  <c r="X924" i="57"/>
  <c r="Y924" i="57"/>
  <c r="W924" i="57"/>
  <c r="V924" i="57"/>
  <c r="AA924" i="57"/>
  <c r="X923" i="57"/>
  <c r="Y923" i="57"/>
  <c r="W923" i="57"/>
  <c r="V923" i="57"/>
  <c r="Y922" i="57"/>
  <c r="AA922" i="57"/>
  <c r="X922" i="57"/>
  <c r="W922" i="57"/>
  <c r="V922" i="57"/>
  <c r="X921" i="57"/>
  <c r="Y921" i="57"/>
  <c r="AA921" i="57"/>
  <c r="W921" i="57"/>
  <c r="V921" i="57"/>
  <c r="X920" i="57"/>
  <c r="Y920" i="57"/>
  <c r="W920" i="57"/>
  <c r="V920" i="57"/>
  <c r="X919" i="57"/>
  <c r="Y919" i="57"/>
  <c r="W919" i="57"/>
  <c r="V919" i="57"/>
  <c r="X918" i="57"/>
  <c r="Y918" i="57"/>
  <c r="W918" i="57"/>
  <c r="V918" i="57"/>
  <c r="X917" i="57"/>
  <c r="Y917" i="57"/>
  <c r="W917" i="57"/>
  <c r="V917" i="57"/>
  <c r="X916" i="57"/>
  <c r="Y916" i="57"/>
  <c r="AA916" i="57"/>
  <c r="W916" i="57"/>
  <c r="V916" i="57"/>
  <c r="X915" i="57"/>
  <c r="Y915" i="57"/>
  <c r="W915" i="57"/>
  <c r="V915" i="57"/>
  <c r="Y914" i="57"/>
  <c r="X914" i="57"/>
  <c r="W914" i="57"/>
  <c r="V914" i="57"/>
  <c r="X913" i="57"/>
  <c r="Y913" i="57"/>
  <c r="AA913" i="57"/>
  <c r="W913" i="57"/>
  <c r="V913" i="57"/>
  <c r="Y912" i="57"/>
  <c r="AA912" i="57"/>
  <c r="X912" i="57"/>
  <c r="W912" i="57"/>
  <c r="V912" i="57"/>
  <c r="X911" i="57"/>
  <c r="Y911" i="57"/>
  <c r="W911" i="57"/>
  <c r="V911" i="57"/>
  <c r="X910" i="57"/>
  <c r="Y910" i="57"/>
  <c r="AA910" i="57"/>
  <c r="W910" i="57"/>
  <c r="V910" i="57"/>
  <c r="X909" i="57"/>
  <c r="Y909" i="57"/>
  <c r="W909" i="57"/>
  <c r="V909" i="57"/>
  <c r="X908" i="57"/>
  <c r="Y908" i="57"/>
  <c r="W908" i="57"/>
  <c r="V908" i="57"/>
  <c r="X907" i="57"/>
  <c r="Y907" i="57"/>
  <c r="W907" i="57"/>
  <c r="V907" i="57"/>
  <c r="Y906" i="57"/>
  <c r="AA906" i="57"/>
  <c r="X906" i="57"/>
  <c r="W906" i="57"/>
  <c r="V906" i="57"/>
  <c r="Y905" i="57"/>
  <c r="AA905" i="57"/>
  <c r="X905" i="57"/>
  <c r="W905" i="57"/>
  <c r="V905" i="57"/>
  <c r="Y904" i="57"/>
  <c r="X904" i="57"/>
  <c r="W904" i="57"/>
  <c r="V904" i="57"/>
  <c r="Y903" i="57"/>
  <c r="X903" i="57"/>
  <c r="W903" i="57"/>
  <c r="V903" i="57"/>
  <c r="AA903" i="57"/>
  <c r="X902" i="57"/>
  <c r="Y902" i="57"/>
  <c r="AA902" i="57"/>
  <c r="W902" i="57"/>
  <c r="V902" i="57"/>
  <c r="AA901" i="57"/>
  <c r="X901" i="57"/>
  <c r="Y901" i="57"/>
  <c r="W901" i="57"/>
  <c r="V901" i="57"/>
  <c r="Y900" i="57"/>
  <c r="X900" i="57"/>
  <c r="W900" i="57"/>
  <c r="V900" i="57"/>
  <c r="X899" i="57"/>
  <c r="Y899" i="57"/>
  <c r="AA899" i="57"/>
  <c r="W899" i="57"/>
  <c r="V899" i="57"/>
  <c r="X898" i="57"/>
  <c r="Y898" i="57"/>
  <c r="W898" i="57"/>
  <c r="AA898" i="57"/>
  <c r="V898" i="57"/>
  <c r="X897" i="57"/>
  <c r="Y897" i="57"/>
  <c r="W897" i="57"/>
  <c r="V897" i="57"/>
  <c r="X896" i="57"/>
  <c r="Y896" i="57"/>
  <c r="W896" i="57"/>
  <c r="V896" i="57"/>
  <c r="X895" i="57"/>
  <c r="Y895" i="57"/>
  <c r="W895" i="57"/>
  <c r="V895" i="57"/>
  <c r="Y894" i="57"/>
  <c r="AA894" i="57"/>
  <c r="X894" i="57"/>
  <c r="W894" i="57"/>
  <c r="V894" i="57"/>
  <c r="X893" i="57"/>
  <c r="Y893" i="57"/>
  <c r="AA893" i="57"/>
  <c r="W893" i="57"/>
  <c r="V893" i="57"/>
  <c r="X892" i="57"/>
  <c r="Y892" i="57"/>
  <c r="AA892" i="57"/>
  <c r="W892" i="57"/>
  <c r="V892" i="57"/>
  <c r="X891" i="57"/>
  <c r="Y891" i="57"/>
  <c r="W891" i="57"/>
  <c r="V891" i="57"/>
  <c r="X890" i="57"/>
  <c r="Y890" i="57"/>
  <c r="AA890" i="57"/>
  <c r="W890" i="57"/>
  <c r="V890" i="57"/>
  <c r="X889" i="57"/>
  <c r="Y889" i="57"/>
  <c r="W889" i="57"/>
  <c r="V889" i="57"/>
  <c r="Y888" i="57"/>
  <c r="X888" i="57"/>
  <c r="W888" i="57"/>
  <c r="V888" i="57"/>
  <c r="X887" i="57"/>
  <c r="Y887" i="57"/>
  <c r="W887" i="57"/>
  <c r="V887" i="57"/>
  <c r="X886" i="57"/>
  <c r="Y886" i="57"/>
  <c r="W886" i="57"/>
  <c r="V886" i="57"/>
  <c r="X885" i="57"/>
  <c r="Y885" i="57"/>
  <c r="W885" i="57"/>
  <c r="V885" i="57"/>
  <c r="AA885" i="57"/>
  <c r="Y884" i="57"/>
  <c r="X884" i="57"/>
  <c r="W884" i="57"/>
  <c r="V884" i="57"/>
  <c r="X883" i="57"/>
  <c r="Y883" i="57"/>
  <c r="AA883" i="57"/>
  <c r="W883" i="57"/>
  <c r="V883" i="57"/>
  <c r="Y882" i="57"/>
  <c r="X882" i="57"/>
  <c r="W882" i="57"/>
  <c r="V882" i="57"/>
  <c r="X881" i="57"/>
  <c r="Y881" i="57"/>
  <c r="AA881" i="57"/>
  <c r="W881" i="57"/>
  <c r="V881" i="57"/>
  <c r="X880" i="57"/>
  <c r="Y880" i="57"/>
  <c r="W880" i="57"/>
  <c r="V880" i="57"/>
  <c r="X879" i="57"/>
  <c r="Y879" i="57"/>
  <c r="W879" i="57"/>
  <c r="V879" i="57"/>
  <c r="X878" i="57"/>
  <c r="Y878" i="57"/>
  <c r="AA878" i="57"/>
  <c r="W878" i="57"/>
  <c r="V878" i="57"/>
  <c r="X877" i="57"/>
  <c r="Y877" i="57"/>
  <c r="W877" i="57"/>
  <c r="V877" i="57"/>
  <c r="X876" i="57"/>
  <c r="Y876" i="57"/>
  <c r="AA876" i="57"/>
  <c r="W876" i="57"/>
  <c r="V876" i="57"/>
  <c r="X875" i="57"/>
  <c r="Y875" i="57"/>
  <c r="W875" i="57"/>
  <c r="AA875" i="57"/>
  <c r="V875" i="57"/>
  <c r="X874" i="57"/>
  <c r="Y874" i="57"/>
  <c r="AA874" i="57"/>
  <c r="W874" i="57"/>
  <c r="V874" i="57"/>
  <c r="X873" i="57"/>
  <c r="Y873" i="57"/>
  <c r="AA873" i="57"/>
  <c r="W873" i="57"/>
  <c r="V873" i="57"/>
  <c r="X872" i="57"/>
  <c r="Y872" i="57"/>
  <c r="W872" i="57"/>
  <c r="V872" i="57"/>
  <c r="X871" i="57"/>
  <c r="Y871" i="57"/>
  <c r="AA871" i="57"/>
  <c r="W871" i="57"/>
  <c r="V871" i="57"/>
  <c r="X870" i="57"/>
  <c r="Y870" i="57"/>
  <c r="W870" i="57"/>
  <c r="V870" i="57"/>
  <c r="X869" i="57"/>
  <c r="Y869" i="57"/>
  <c r="AA869" i="57"/>
  <c r="W869" i="57"/>
  <c r="V869" i="57"/>
  <c r="X868" i="57"/>
  <c r="Y868" i="57"/>
  <c r="AA868" i="57"/>
  <c r="W868" i="57"/>
  <c r="V868" i="57"/>
  <c r="X867" i="57"/>
  <c r="Y867" i="57"/>
  <c r="W867" i="57"/>
  <c r="V867" i="57"/>
  <c r="Y866" i="57"/>
  <c r="X866" i="57"/>
  <c r="W866" i="57"/>
  <c r="AA866" i="57"/>
  <c r="V866" i="57"/>
  <c r="X865" i="57"/>
  <c r="Y865" i="57"/>
  <c r="W865" i="57"/>
  <c r="V865" i="57"/>
  <c r="Y864" i="57"/>
  <c r="X864" i="57"/>
  <c r="W864" i="57"/>
  <c r="V864" i="57"/>
  <c r="X863" i="57"/>
  <c r="Y863" i="57"/>
  <c r="W863" i="57"/>
  <c r="V863" i="57"/>
  <c r="X862" i="57"/>
  <c r="Y862" i="57"/>
  <c r="AA862" i="57"/>
  <c r="W862" i="57"/>
  <c r="V862" i="57"/>
  <c r="X861" i="57"/>
  <c r="Y861" i="57"/>
  <c r="W861" i="57"/>
  <c r="V861" i="57"/>
  <c r="X860" i="57"/>
  <c r="Y860" i="57"/>
  <c r="W860" i="57"/>
  <c r="V860" i="57"/>
  <c r="X859" i="57"/>
  <c r="Y859" i="57"/>
  <c r="W859" i="57"/>
  <c r="V859" i="57"/>
  <c r="X858" i="57"/>
  <c r="Y858" i="57"/>
  <c r="AA858" i="57"/>
  <c r="W858" i="57"/>
  <c r="V858" i="57"/>
  <c r="X857" i="57"/>
  <c r="Y857" i="57"/>
  <c r="W857" i="57"/>
  <c r="V857" i="57"/>
  <c r="Y856" i="57"/>
  <c r="X856" i="57"/>
  <c r="W856" i="57"/>
  <c r="V856" i="57"/>
  <c r="Y855" i="57"/>
  <c r="AA855" i="57"/>
  <c r="X855" i="57"/>
  <c r="W855" i="57"/>
  <c r="V855" i="57"/>
  <c r="X854" i="57"/>
  <c r="Y854" i="57"/>
  <c r="AA854" i="57"/>
  <c r="W854" i="57"/>
  <c r="V854" i="57"/>
  <c r="X853" i="57"/>
  <c r="Y853" i="57"/>
  <c r="AA853" i="57"/>
  <c r="W853" i="57"/>
  <c r="V853" i="57"/>
  <c r="X852" i="57"/>
  <c r="Y852" i="57"/>
  <c r="AA852" i="57"/>
  <c r="W852" i="57"/>
  <c r="V852" i="57"/>
  <c r="X851" i="57"/>
  <c r="Y851" i="57"/>
  <c r="W851" i="57"/>
  <c r="V851" i="57"/>
  <c r="X850" i="57"/>
  <c r="Y850" i="57"/>
  <c r="W850" i="57"/>
  <c r="V850" i="57"/>
  <c r="X849" i="57"/>
  <c r="Y849" i="57"/>
  <c r="W849" i="57"/>
  <c r="V849" i="57"/>
  <c r="Y848" i="57"/>
  <c r="X848" i="57"/>
  <c r="W848" i="57"/>
  <c r="V848" i="57"/>
  <c r="X847" i="57"/>
  <c r="Y847" i="57"/>
  <c r="W847" i="57"/>
  <c r="V847" i="57"/>
  <c r="Y846" i="57"/>
  <c r="X846" i="57"/>
  <c r="W846" i="57"/>
  <c r="V846" i="57"/>
  <c r="X845" i="57"/>
  <c r="Y845" i="57"/>
  <c r="AA845" i="57"/>
  <c r="W845" i="57"/>
  <c r="V845" i="57"/>
  <c r="X844" i="57"/>
  <c r="Y844" i="57"/>
  <c r="AA844" i="57"/>
  <c r="W844" i="57"/>
  <c r="V844" i="57"/>
  <c r="X843" i="57"/>
  <c r="Y843" i="57"/>
  <c r="W843" i="57"/>
  <c r="AA843" i="57"/>
  <c r="V843" i="57"/>
  <c r="X842" i="57"/>
  <c r="Y842" i="57"/>
  <c r="W842" i="57"/>
  <c r="V842" i="57"/>
  <c r="X841" i="57"/>
  <c r="Y841" i="57"/>
  <c r="W841" i="57"/>
  <c r="V841" i="57"/>
  <c r="Y840" i="57"/>
  <c r="X840" i="57"/>
  <c r="W840" i="57"/>
  <c r="V840" i="57"/>
  <c r="Y839" i="57"/>
  <c r="X839" i="57"/>
  <c r="W839" i="57"/>
  <c r="V839" i="57"/>
  <c r="X838" i="57"/>
  <c r="Y838" i="57"/>
  <c r="W838" i="57"/>
  <c r="V838" i="57"/>
  <c r="AA837" i="57"/>
  <c r="X837" i="57"/>
  <c r="Y837" i="57"/>
  <c r="W837" i="57"/>
  <c r="V837" i="57"/>
  <c r="X836" i="57"/>
  <c r="Y836" i="57"/>
  <c r="AA836" i="57"/>
  <c r="W836" i="57"/>
  <c r="V836" i="57"/>
  <c r="X835" i="57"/>
  <c r="Y835" i="57"/>
  <c r="AA835" i="57"/>
  <c r="W835" i="57"/>
  <c r="V835" i="57"/>
  <c r="X834" i="57"/>
  <c r="Y834" i="57"/>
  <c r="W834" i="57"/>
  <c r="AA834" i="57"/>
  <c r="V834" i="57"/>
  <c r="X833" i="57"/>
  <c r="Y833" i="57"/>
  <c r="AA833" i="57"/>
  <c r="W833" i="57"/>
  <c r="V833" i="57"/>
  <c r="X832" i="57"/>
  <c r="Y832" i="57"/>
  <c r="AA832" i="57"/>
  <c r="W832" i="57"/>
  <c r="V832" i="57"/>
  <c r="X831" i="57"/>
  <c r="Y831" i="57"/>
  <c r="W831" i="57"/>
  <c r="V831" i="57"/>
  <c r="X830" i="57"/>
  <c r="Y830" i="57"/>
  <c r="AA830" i="57"/>
  <c r="W830" i="57"/>
  <c r="V830" i="57"/>
  <c r="X829" i="57"/>
  <c r="Y829" i="57"/>
  <c r="W829" i="57"/>
  <c r="V829" i="57"/>
  <c r="X828" i="57"/>
  <c r="Y828" i="57"/>
  <c r="W828" i="57"/>
  <c r="AA828" i="57"/>
  <c r="V828" i="57"/>
  <c r="X827" i="57"/>
  <c r="Y827" i="57"/>
  <c r="W827" i="57"/>
  <c r="V827" i="57"/>
  <c r="Y826" i="57"/>
  <c r="X826" i="57"/>
  <c r="W826" i="57"/>
  <c r="V826" i="57"/>
  <c r="X825" i="57"/>
  <c r="Y825" i="57"/>
  <c r="AA825" i="57"/>
  <c r="W825" i="57"/>
  <c r="V825" i="57"/>
  <c r="X824" i="57"/>
  <c r="Y824" i="57"/>
  <c r="W824" i="57"/>
  <c r="V824" i="57"/>
  <c r="Y823" i="57"/>
  <c r="AA823" i="57"/>
  <c r="X823" i="57"/>
  <c r="W823" i="57"/>
  <c r="V823" i="57"/>
  <c r="X822" i="57"/>
  <c r="Y822" i="57"/>
  <c r="W822" i="57"/>
  <c r="V822" i="57"/>
  <c r="X821" i="57"/>
  <c r="Y821" i="57"/>
  <c r="W821" i="57"/>
  <c r="V821" i="57"/>
  <c r="X820" i="57"/>
  <c r="Y820" i="57"/>
  <c r="W820" i="57"/>
  <c r="V820" i="57"/>
  <c r="X819" i="57"/>
  <c r="Y819" i="57"/>
  <c r="W819" i="57"/>
  <c r="V819" i="57"/>
  <c r="X818" i="57"/>
  <c r="Y818" i="57"/>
  <c r="W818" i="57"/>
  <c r="V818" i="57"/>
  <c r="X817" i="57"/>
  <c r="Y817" i="57"/>
  <c r="W817" i="57"/>
  <c r="V817" i="57"/>
  <c r="X816" i="57"/>
  <c r="Y816" i="57"/>
  <c r="W816" i="57"/>
  <c r="V816" i="57"/>
  <c r="X815" i="57"/>
  <c r="Y815" i="57"/>
  <c r="W815" i="57"/>
  <c r="V815" i="57"/>
  <c r="X814" i="57"/>
  <c r="Y814" i="57"/>
  <c r="W814" i="57"/>
  <c r="V814" i="57"/>
  <c r="X813" i="57"/>
  <c r="Y813" i="57"/>
  <c r="W813" i="57"/>
  <c r="V813" i="57"/>
  <c r="X812" i="57"/>
  <c r="Y812" i="57"/>
  <c r="AA812" i="57"/>
  <c r="W812" i="57"/>
  <c r="V812" i="57"/>
  <c r="X811" i="57"/>
  <c r="Y811" i="57"/>
  <c r="W811" i="57"/>
  <c r="V811" i="57"/>
  <c r="X810" i="57"/>
  <c r="Y810" i="57"/>
  <c r="AA810" i="57"/>
  <c r="W810" i="57"/>
  <c r="V810" i="57"/>
  <c r="X809" i="57"/>
  <c r="Y809" i="57"/>
  <c r="W809" i="57"/>
  <c r="V809" i="57"/>
  <c r="X808" i="57"/>
  <c r="Y808" i="57"/>
  <c r="W808" i="57"/>
  <c r="V808" i="57"/>
  <c r="Y807" i="57"/>
  <c r="AA807" i="57"/>
  <c r="X807" i="57"/>
  <c r="W807" i="57"/>
  <c r="V807" i="57"/>
  <c r="X806" i="57"/>
  <c r="Y806" i="57"/>
  <c r="W806" i="57"/>
  <c r="V806" i="57"/>
  <c r="X805" i="57"/>
  <c r="Y805" i="57"/>
  <c r="AA805" i="57"/>
  <c r="W805" i="57"/>
  <c r="V805" i="57"/>
  <c r="X804" i="57"/>
  <c r="Y804" i="57"/>
  <c r="W804" i="57"/>
  <c r="V804" i="57"/>
  <c r="X803" i="57"/>
  <c r="Y803" i="57"/>
  <c r="W803" i="57"/>
  <c r="V803" i="57"/>
  <c r="Y802" i="57"/>
  <c r="X802" i="57"/>
  <c r="W802" i="57"/>
  <c r="V802" i="57"/>
  <c r="X801" i="57"/>
  <c r="Y801" i="57"/>
  <c r="AA801" i="57"/>
  <c r="W801" i="57"/>
  <c r="V801" i="57"/>
  <c r="X800" i="57"/>
  <c r="Y800" i="57"/>
  <c r="AA800" i="57"/>
  <c r="W800" i="57"/>
  <c r="V800" i="57"/>
  <c r="X799" i="57"/>
  <c r="Y799" i="57"/>
  <c r="W799" i="57"/>
  <c r="V799" i="57"/>
  <c r="Y798" i="57"/>
  <c r="X798" i="57"/>
  <c r="W798" i="57"/>
  <c r="V798" i="57"/>
  <c r="X797" i="57"/>
  <c r="Y797" i="57"/>
  <c r="W797" i="57"/>
  <c r="V797" i="57"/>
  <c r="X796" i="57"/>
  <c r="Y796" i="57"/>
  <c r="W796" i="57"/>
  <c r="V796" i="57"/>
  <c r="AA796" i="57"/>
  <c r="X795" i="57"/>
  <c r="Y795" i="57"/>
  <c r="W795" i="57"/>
  <c r="V795" i="57"/>
  <c r="X794" i="57"/>
  <c r="Y794" i="57"/>
  <c r="AA794" i="57"/>
  <c r="W794" i="57"/>
  <c r="V794" i="57"/>
  <c r="X793" i="57"/>
  <c r="Y793" i="57"/>
  <c r="AA793" i="57"/>
  <c r="W793" i="57"/>
  <c r="V793" i="57"/>
  <c r="X792" i="57"/>
  <c r="Y792" i="57"/>
  <c r="W792" i="57"/>
  <c r="V792" i="57"/>
  <c r="X791" i="57"/>
  <c r="Y791" i="57"/>
  <c r="W791" i="57"/>
  <c r="V791" i="57"/>
  <c r="X790" i="57"/>
  <c r="Y790" i="57"/>
  <c r="W790" i="57"/>
  <c r="V790" i="57"/>
  <c r="X789" i="57"/>
  <c r="Y789" i="57"/>
  <c r="W789" i="57"/>
  <c r="AA789" i="57"/>
  <c r="V789" i="57"/>
  <c r="X788" i="57"/>
  <c r="Y788" i="57"/>
  <c r="W788" i="57"/>
  <c r="V788" i="57"/>
  <c r="X787" i="57"/>
  <c r="Y787" i="57"/>
  <c r="W787" i="57"/>
  <c r="V787" i="57"/>
  <c r="Y786" i="57"/>
  <c r="X786" i="57"/>
  <c r="W786" i="57"/>
  <c r="V786" i="57"/>
  <c r="Y785" i="57"/>
  <c r="X785" i="57"/>
  <c r="W785" i="57"/>
  <c r="AA785" i="57"/>
  <c r="V785" i="57"/>
  <c r="X784" i="57"/>
  <c r="Y784" i="57"/>
  <c r="W784" i="57"/>
  <c r="V784" i="57"/>
  <c r="X783" i="57"/>
  <c r="Y783" i="57"/>
  <c r="W783" i="57"/>
  <c r="V783" i="57"/>
  <c r="X782" i="57"/>
  <c r="Y782" i="57"/>
  <c r="W782" i="57"/>
  <c r="V782" i="57"/>
  <c r="AA782" i="57"/>
  <c r="X781" i="57"/>
  <c r="Y781" i="57"/>
  <c r="W781" i="57"/>
  <c r="V781" i="57"/>
  <c r="X780" i="57"/>
  <c r="Y780" i="57"/>
  <c r="AA780" i="57"/>
  <c r="W780" i="57"/>
  <c r="V780" i="57"/>
  <c r="X779" i="57"/>
  <c r="Y779" i="57"/>
  <c r="W779" i="57"/>
  <c r="V779" i="57"/>
  <c r="X778" i="57"/>
  <c r="Y778" i="57"/>
  <c r="W778" i="57"/>
  <c r="V778" i="57"/>
  <c r="X777" i="57"/>
  <c r="Y777" i="57"/>
  <c r="W777" i="57"/>
  <c r="V777" i="57"/>
  <c r="Y776" i="57"/>
  <c r="X776" i="57"/>
  <c r="W776" i="57"/>
  <c r="V776" i="57"/>
  <c r="X775" i="57"/>
  <c r="Y775" i="57"/>
  <c r="W775" i="57"/>
  <c r="V775" i="57"/>
  <c r="X774" i="57"/>
  <c r="Y774" i="57"/>
  <c r="W774" i="57"/>
  <c r="V774" i="57"/>
  <c r="X773" i="57"/>
  <c r="Y773" i="57"/>
  <c r="W773" i="57"/>
  <c r="V773" i="57"/>
  <c r="Y772" i="57"/>
  <c r="AA772" i="57"/>
  <c r="X772" i="57"/>
  <c r="W772" i="57"/>
  <c r="V772" i="57"/>
  <c r="Y771" i="57"/>
  <c r="X771" i="57"/>
  <c r="W771" i="57"/>
  <c r="V771" i="57"/>
  <c r="Y770" i="57"/>
  <c r="AA770" i="57"/>
  <c r="X770" i="57"/>
  <c r="W770" i="57"/>
  <c r="V770" i="57"/>
  <c r="X769" i="57"/>
  <c r="Y769" i="57"/>
  <c r="AA769" i="57"/>
  <c r="W769" i="57"/>
  <c r="V769" i="57"/>
  <c r="X768" i="57"/>
  <c r="Y768" i="57"/>
  <c r="W768" i="57"/>
  <c r="V768" i="57"/>
  <c r="X767" i="57"/>
  <c r="Y767" i="57"/>
  <c r="W767" i="57"/>
  <c r="V767" i="57"/>
  <c r="X766" i="57"/>
  <c r="Y766" i="57"/>
  <c r="W766" i="57"/>
  <c r="V766" i="57"/>
  <c r="X765" i="57"/>
  <c r="Y765" i="57"/>
  <c r="W765" i="57"/>
  <c r="V765" i="57"/>
  <c r="X764" i="57"/>
  <c r="Y764" i="57"/>
  <c r="W764" i="57"/>
  <c r="V764" i="57"/>
  <c r="Y763" i="57"/>
  <c r="X763" i="57"/>
  <c r="W763" i="57"/>
  <c r="V763" i="57"/>
  <c r="AA763" i="57"/>
  <c r="X762" i="57"/>
  <c r="Y762" i="57"/>
  <c r="AA762" i="57"/>
  <c r="W762" i="57"/>
  <c r="V762" i="57"/>
  <c r="Y761" i="57"/>
  <c r="X761" i="57"/>
  <c r="W761" i="57"/>
  <c r="V761" i="57"/>
  <c r="X760" i="57"/>
  <c r="Y760" i="57"/>
  <c r="W760" i="57"/>
  <c r="V760" i="57"/>
  <c r="Y759" i="57"/>
  <c r="X759" i="57"/>
  <c r="W759" i="57"/>
  <c r="V759" i="57"/>
  <c r="X758" i="57"/>
  <c r="Y758" i="57"/>
  <c r="W758" i="57"/>
  <c r="V758" i="57"/>
  <c r="X757" i="57"/>
  <c r="Y757" i="57"/>
  <c r="AA757" i="57"/>
  <c r="W757" i="57"/>
  <c r="V757" i="57"/>
  <c r="X756" i="57"/>
  <c r="Y756" i="57"/>
  <c r="W756" i="57"/>
  <c r="V756" i="57"/>
  <c r="X755" i="57"/>
  <c r="Y755" i="57"/>
  <c r="AA755" i="57"/>
  <c r="W755" i="57"/>
  <c r="V755" i="57"/>
  <c r="X754" i="57"/>
  <c r="Y754" i="57"/>
  <c r="AA754" i="57"/>
  <c r="W754" i="57"/>
  <c r="V754" i="57"/>
  <c r="X753" i="57"/>
  <c r="Y753" i="57"/>
  <c r="W753" i="57"/>
  <c r="V753" i="57"/>
  <c r="X752" i="57"/>
  <c r="Y752" i="57"/>
  <c r="AA752" i="57"/>
  <c r="W752" i="57"/>
  <c r="V752" i="57"/>
  <c r="X751" i="57"/>
  <c r="Y751" i="57"/>
  <c r="AA751" i="57"/>
  <c r="W751" i="57"/>
  <c r="V751" i="57"/>
  <c r="X750" i="57"/>
  <c r="Y750" i="57"/>
  <c r="W750" i="57"/>
  <c r="V750" i="57"/>
  <c r="X749" i="57"/>
  <c r="Y749" i="57"/>
  <c r="W749" i="57"/>
  <c r="V749" i="57"/>
  <c r="X748" i="57"/>
  <c r="Y748" i="57"/>
  <c r="W748" i="57"/>
  <c r="V748" i="57"/>
  <c r="X747" i="57"/>
  <c r="Y747" i="57"/>
  <c r="AA747" i="57"/>
  <c r="W747" i="57"/>
  <c r="V747" i="57"/>
  <c r="Y746" i="57"/>
  <c r="X746" i="57"/>
  <c r="W746" i="57"/>
  <c r="V746" i="57"/>
  <c r="X745" i="57"/>
  <c r="Y745" i="57"/>
  <c r="W745" i="57"/>
  <c r="V745" i="57"/>
  <c r="Y744" i="57"/>
  <c r="X744" i="57"/>
  <c r="W744" i="57"/>
  <c r="V744" i="57"/>
  <c r="X743" i="57"/>
  <c r="Y743" i="57"/>
  <c r="W743" i="57"/>
  <c r="V743" i="57"/>
  <c r="X742" i="57"/>
  <c r="Y742" i="57"/>
  <c r="W742" i="57"/>
  <c r="V742" i="57"/>
  <c r="X741" i="57"/>
  <c r="Y741" i="57"/>
  <c r="AA741" i="57"/>
  <c r="W741" i="57"/>
  <c r="V741" i="57"/>
  <c r="X740" i="57"/>
  <c r="Y740" i="57"/>
  <c r="W740" i="57"/>
  <c r="V740" i="57"/>
  <c r="X739" i="57"/>
  <c r="Y739" i="57"/>
  <c r="AA739" i="57"/>
  <c r="W739" i="57"/>
  <c r="V739" i="57"/>
  <c r="X738" i="57"/>
  <c r="Y738" i="57"/>
  <c r="AA738" i="57"/>
  <c r="W738" i="57"/>
  <c r="V738" i="57"/>
  <c r="X737" i="57"/>
  <c r="Y737" i="57"/>
  <c r="W737" i="57"/>
  <c r="V737" i="57"/>
  <c r="X736" i="57"/>
  <c r="Y736" i="57"/>
  <c r="AA736" i="57"/>
  <c r="W736" i="57"/>
  <c r="V736" i="57"/>
  <c r="X735" i="57"/>
  <c r="Y735" i="57"/>
  <c r="AA735" i="57"/>
  <c r="W735" i="57"/>
  <c r="V735" i="57"/>
  <c r="X734" i="57"/>
  <c r="Y734" i="57"/>
  <c r="W734" i="57"/>
  <c r="V734" i="57"/>
  <c r="X733" i="57"/>
  <c r="Y733" i="57"/>
  <c r="W733" i="57"/>
  <c r="V733" i="57"/>
  <c r="X732" i="57"/>
  <c r="Y732" i="57"/>
  <c r="W732" i="57"/>
  <c r="V732" i="57"/>
  <c r="Y731" i="57"/>
  <c r="X731" i="57"/>
  <c r="W731" i="57"/>
  <c r="V731" i="57"/>
  <c r="X730" i="57"/>
  <c r="Y730" i="57"/>
  <c r="AA730" i="57"/>
  <c r="W730" i="57"/>
  <c r="V730" i="57"/>
  <c r="Y729" i="57"/>
  <c r="X729" i="57"/>
  <c r="W729" i="57"/>
  <c r="V729" i="57"/>
  <c r="X728" i="57"/>
  <c r="Y728" i="57"/>
  <c r="AA728" i="57"/>
  <c r="W728" i="57"/>
  <c r="V728" i="57"/>
  <c r="Y727" i="57"/>
  <c r="X727" i="57"/>
  <c r="W727" i="57"/>
  <c r="V727" i="57"/>
  <c r="X726" i="57"/>
  <c r="Y726" i="57"/>
  <c r="W726" i="57"/>
  <c r="V726" i="57"/>
  <c r="X725" i="57"/>
  <c r="Y725" i="57"/>
  <c r="AA725" i="57"/>
  <c r="W725" i="57"/>
  <c r="V725" i="57"/>
  <c r="X724" i="57"/>
  <c r="Y724" i="57"/>
  <c r="W724" i="57"/>
  <c r="V724" i="57"/>
  <c r="Y723" i="57"/>
  <c r="AA723" i="57"/>
  <c r="X723" i="57"/>
  <c r="W723" i="57"/>
  <c r="V723" i="57"/>
  <c r="X722" i="57"/>
  <c r="Y722" i="57"/>
  <c r="AA722" i="57"/>
  <c r="W722" i="57"/>
  <c r="V722" i="57"/>
  <c r="Y721" i="57"/>
  <c r="X721" i="57"/>
  <c r="W721" i="57"/>
  <c r="V721" i="57"/>
  <c r="X720" i="57"/>
  <c r="Y720" i="57"/>
  <c r="AA720" i="57"/>
  <c r="W720" i="57"/>
  <c r="V720" i="57"/>
  <c r="Y719" i="57"/>
  <c r="AA719" i="57"/>
  <c r="X719" i="57"/>
  <c r="W719" i="57"/>
  <c r="V719" i="57"/>
  <c r="X718" i="57"/>
  <c r="Y718" i="57"/>
  <c r="W718" i="57"/>
  <c r="V718" i="57"/>
  <c r="X717" i="57"/>
  <c r="Y717" i="57"/>
  <c r="W717" i="57"/>
  <c r="V717" i="57"/>
  <c r="X716" i="57"/>
  <c r="Y716" i="57"/>
  <c r="W716" i="57"/>
  <c r="V716" i="57"/>
  <c r="X715" i="57"/>
  <c r="Y715" i="57"/>
  <c r="W715" i="57"/>
  <c r="AA715" i="57"/>
  <c r="V715" i="57"/>
  <c r="Y714" i="57"/>
  <c r="X714" i="57"/>
  <c r="W714" i="57"/>
  <c r="V714" i="57"/>
  <c r="X713" i="57"/>
  <c r="Y713" i="57"/>
  <c r="W713" i="57"/>
  <c r="V713" i="57"/>
  <c r="Y712" i="57"/>
  <c r="X712" i="57"/>
  <c r="W712" i="57"/>
  <c r="V712" i="57"/>
  <c r="X711" i="57"/>
  <c r="Y711" i="57"/>
  <c r="W711" i="57"/>
  <c r="V711" i="57"/>
  <c r="X710" i="57"/>
  <c r="Y710" i="57"/>
  <c r="W710" i="57"/>
  <c r="V710" i="57"/>
  <c r="X709" i="57"/>
  <c r="Y709" i="57"/>
  <c r="AA709" i="57"/>
  <c r="W709" i="57"/>
  <c r="V709" i="57"/>
  <c r="X708" i="57"/>
  <c r="Y708" i="57"/>
  <c r="W708" i="57"/>
  <c r="V708" i="57"/>
  <c r="Y707" i="57"/>
  <c r="AA707" i="57"/>
  <c r="X707" i="57"/>
  <c r="W707" i="57"/>
  <c r="V707" i="57"/>
  <c r="X706" i="57"/>
  <c r="Y706" i="57"/>
  <c r="AA706" i="57"/>
  <c r="W706" i="57"/>
  <c r="V706" i="57"/>
  <c r="Y705" i="57"/>
  <c r="X705" i="57"/>
  <c r="W705" i="57"/>
  <c r="V705" i="57"/>
  <c r="X704" i="57"/>
  <c r="Y704" i="57"/>
  <c r="AA704" i="57"/>
  <c r="W704" i="57"/>
  <c r="V704" i="57"/>
  <c r="Y703" i="57"/>
  <c r="AA703" i="57"/>
  <c r="X703" i="57"/>
  <c r="W703" i="57"/>
  <c r="V703" i="57"/>
  <c r="X702" i="57"/>
  <c r="Y702" i="57"/>
  <c r="W702" i="57"/>
  <c r="V702" i="57"/>
  <c r="X701" i="57"/>
  <c r="Y701" i="57"/>
  <c r="W701" i="57"/>
  <c r="V701" i="57"/>
  <c r="X700" i="57"/>
  <c r="Y700" i="57"/>
  <c r="W700" i="57"/>
  <c r="V700" i="57"/>
  <c r="Y699" i="57"/>
  <c r="X699" i="57"/>
  <c r="W699" i="57"/>
  <c r="AA699" i="57"/>
  <c r="V699" i="57"/>
  <c r="X698" i="57"/>
  <c r="Y698" i="57"/>
  <c r="W698" i="57"/>
  <c r="V698" i="57"/>
  <c r="Y697" i="57"/>
  <c r="X697" i="57"/>
  <c r="W697" i="57"/>
  <c r="V697" i="57"/>
  <c r="X696" i="57"/>
  <c r="Y696" i="57"/>
  <c r="AA696" i="57"/>
  <c r="W696" i="57"/>
  <c r="V696" i="57"/>
  <c r="Y695" i="57"/>
  <c r="X695" i="57"/>
  <c r="W695" i="57"/>
  <c r="V695" i="57"/>
  <c r="X694" i="57"/>
  <c r="Y694" i="57"/>
  <c r="W694" i="57"/>
  <c r="V694" i="57"/>
  <c r="X693" i="57"/>
  <c r="Y693" i="57"/>
  <c r="AA693" i="57"/>
  <c r="W693" i="57"/>
  <c r="V693" i="57"/>
  <c r="X692" i="57"/>
  <c r="Y692" i="57"/>
  <c r="W692" i="57"/>
  <c r="V692" i="57"/>
  <c r="Y691" i="57"/>
  <c r="AA691" i="57"/>
  <c r="X691" i="57"/>
  <c r="W691" i="57"/>
  <c r="V691" i="57"/>
  <c r="Y690" i="57"/>
  <c r="AA690" i="57"/>
  <c r="X690" i="57"/>
  <c r="W690" i="57"/>
  <c r="V690" i="57"/>
  <c r="Y689" i="57"/>
  <c r="X689" i="57"/>
  <c r="W689" i="57"/>
  <c r="V689" i="57"/>
  <c r="Y688" i="57"/>
  <c r="AA688" i="57"/>
  <c r="X688" i="57"/>
  <c r="W688" i="57"/>
  <c r="V688" i="57"/>
  <c r="Y687" i="57"/>
  <c r="AA687" i="57"/>
  <c r="X687" i="57"/>
  <c r="W687" i="57"/>
  <c r="V687" i="57"/>
  <c r="X686" i="57"/>
  <c r="Y686" i="57"/>
  <c r="AA686" i="57"/>
  <c r="W686" i="57"/>
  <c r="V686" i="57"/>
  <c r="X685" i="57"/>
  <c r="Y685" i="57"/>
  <c r="W685" i="57"/>
  <c r="V685" i="57"/>
  <c r="X684" i="57"/>
  <c r="Y684" i="57"/>
  <c r="W684" i="57"/>
  <c r="V684" i="57"/>
  <c r="X683" i="57"/>
  <c r="Y683" i="57"/>
  <c r="AA683" i="57"/>
  <c r="W683" i="57"/>
  <c r="V683" i="57"/>
  <c r="Y682" i="57"/>
  <c r="X682" i="57"/>
  <c r="W682" i="57"/>
  <c r="V682" i="57"/>
  <c r="X681" i="57"/>
  <c r="Y681" i="57"/>
  <c r="W681" i="57"/>
  <c r="V681" i="57"/>
  <c r="Y680" i="57"/>
  <c r="AA680" i="57"/>
  <c r="X680" i="57"/>
  <c r="W680" i="57"/>
  <c r="V680" i="57"/>
  <c r="X679" i="57"/>
  <c r="Y679" i="57"/>
  <c r="W679" i="57"/>
  <c r="V679" i="57"/>
  <c r="X678" i="57"/>
  <c r="Y678" i="57"/>
  <c r="AA678" i="57"/>
  <c r="W678" i="57"/>
  <c r="V678" i="57"/>
  <c r="X677" i="57"/>
  <c r="Y677" i="57"/>
  <c r="W677" i="57"/>
  <c r="V677" i="57"/>
  <c r="X676" i="57"/>
  <c r="Y676" i="57"/>
  <c r="W676" i="57"/>
  <c r="V676" i="57"/>
  <c r="Y675" i="57"/>
  <c r="AA675" i="57"/>
  <c r="X675" i="57"/>
  <c r="W675" i="57"/>
  <c r="V675" i="57"/>
  <c r="Y674" i="57"/>
  <c r="X674" i="57"/>
  <c r="W674" i="57"/>
  <c r="V674" i="57"/>
  <c r="Y673" i="57"/>
  <c r="X673" i="57"/>
  <c r="W673" i="57"/>
  <c r="V673" i="57"/>
  <c r="Y672" i="57"/>
  <c r="X672" i="57"/>
  <c r="W672" i="57"/>
  <c r="V672" i="57"/>
  <c r="Y671" i="57"/>
  <c r="AA671" i="57"/>
  <c r="X671" i="57"/>
  <c r="W671" i="57"/>
  <c r="V671" i="57"/>
  <c r="X670" i="57"/>
  <c r="Y670" i="57"/>
  <c r="W670" i="57"/>
  <c r="V670" i="57"/>
  <c r="X669" i="57"/>
  <c r="Y669" i="57"/>
  <c r="AA669" i="57"/>
  <c r="W669" i="57"/>
  <c r="V669" i="57"/>
  <c r="X668" i="57"/>
  <c r="Y668" i="57"/>
  <c r="W668" i="57"/>
  <c r="V668" i="57"/>
  <c r="X667" i="57"/>
  <c r="Y667" i="57"/>
  <c r="AA667" i="57"/>
  <c r="W667" i="57"/>
  <c r="V667" i="57"/>
  <c r="X666" i="57"/>
  <c r="Y666" i="57"/>
  <c r="AA666" i="57"/>
  <c r="W666" i="57"/>
  <c r="V666" i="57"/>
  <c r="X665" i="57"/>
  <c r="Y665" i="57"/>
  <c r="W665" i="57"/>
  <c r="V665" i="57"/>
  <c r="X664" i="57"/>
  <c r="Y664" i="57"/>
  <c r="AA664" i="57"/>
  <c r="W664" i="57"/>
  <c r="V664" i="57"/>
  <c r="X663" i="57"/>
  <c r="Y663" i="57"/>
  <c r="AA663" i="57"/>
  <c r="W663" i="57"/>
  <c r="V663" i="57"/>
  <c r="X662" i="57"/>
  <c r="Y662" i="57"/>
  <c r="W662" i="57"/>
  <c r="V662" i="57"/>
  <c r="X661" i="57"/>
  <c r="Y661" i="57"/>
  <c r="W661" i="57"/>
  <c r="V661" i="57"/>
  <c r="X660" i="57"/>
  <c r="Y660" i="57"/>
  <c r="W660" i="57"/>
  <c r="V660" i="57"/>
  <c r="Y659" i="57"/>
  <c r="X659" i="57"/>
  <c r="W659" i="57"/>
  <c r="V659" i="57"/>
  <c r="Y658" i="57"/>
  <c r="AA658" i="57"/>
  <c r="X658" i="57"/>
  <c r="W658" i="57"/>
  <c r="V658" i="57"/>
  <c r="Y657" i="57"/>
  <c r="X657" i="57"/>
  <c r="W657" i="57"/>
  <c r="V657" i="57"/>
  <c r="Y656" i="57"/>
  <c r="AA656" i="57"/>
  <c r="X656" i="57"/>
  <c r="W656" i="57"/>
  <c r="V656" i="57"/>
  <c r="Y655" i="57"/>
  <c r="X655" i="57"/>
  <c r="W655" i="57"/>
  <c r="V655" i="57"/>
  <c r="X654" i="57"/>
  <c r="Y654" i="57"/>
  <c r="AA654" i="57"/>
  <c r="W654" i="57"/>
  <c r="V654" i="57"/>
  <c r="X653" i="57"/>
  <c r="Y653" i="57"/>
  <c r="W653" i="57"/>
  <c r="V653" i="57"/>
  <c r="X652" i="57"/>
  <c r="Y652" i="57"/>
  <c r="W652" i="57"/>
  <c r="V652" i="57"/>
  <c r="X651" i="57"/>
  <c r="Y651" i="57"/>
  <c r="AA651" i="57"/>
  <c r="W651" i="57"/>
  <c r="V651" i="57"/>
  <c r="X650" i="57"/>
  <c r="Y650" i="57"/>
  <c r="AA650" i="57"/>
  <c r="W650" i="57"/>
  <c r="V650" i="57"/>
  <c r="X649" i="57"/>
  <c r="Y649" i="57"/>
  <c r="W649" i="57"/>
  <c r="V649" i="57"/>
  <c r="X648" i="57"/>
  <c r="Y648" i="57"/>
  <c r="AA648" i="57"/>
  <c r="W648" i="57"/>
  <c r="V648" i="57"/>
  <c r="X647" i="57"/>
  <c r="Y647" i="57"/>
  <c r="AA647" i="57"/>
  <c r="W647" i="57"/>
  <c r="V647" i="57"/>
  <c r="X646" i="57"/>
  <c r="Y646" i="57"/>
  <c r="W646" i="57"/>
  <c r="V646" i="57"/>
  <c r="X645" i="57"/>
  <c r="Y645" i="57"/>
  <c r="W645" i="57"/>
  <c r="V645" i="57"/>
  <c r="X644" i="57"/>
  <c r="Y644" i="57"/>
  <c r="W644" i="57"/>
  <c r="V644" i="57"/>
  <c r="AA643" i="57"/>
  <c r="Y643" i="57"/>
  <c r="X643" i="57"/>
  <c r="W643" i="57"/>
  <c r="V643" i="57"/>
  <c r="Y642" i="57"/>
  <c r="X642" i="57"/>
  <c r="W642" i="57"/>
  <c r="V642" i="57"/>
  <c r="Y641" i="57"/>
  <c r="X641" i="57"/>
  <c r="W641" i="57"/>
  <c r="V641" i="57"/>
  <c r="Y640" i="57"/>
  <c r="X640" i="57"/>
  <c r="W640" i="57"/>
  <c r="V640" i="57"/>
  <c r="Y639" i="57"/>
  <c r="AA639" i="57"/>
  <c r="X639" i="57"/>
  <c r="W639" i="57"/>
  <c r="V639" i="57"/>
  <c r="X638" i="57"/>
  <c r="Y638" i="57"/>
  <c r="W638" i="57"/>
  <c r="V638" i="57"/>
  <c r="X637" i="57"/>
  <c r="Y637" i="57"/>
  <c r="AA637" i="57"/>
  <c r="W637" i="57"/>
  <c r="V637" i="57"/>
  <c r="X636" i="57"/>
  <c r="Y636" i="57"/>
  <c r="W636" i="57"/>
  <c r="V636" i="57"/>
  <c r="X635" i="57"/>
  <c r="Y635" i="57"/>
  <c r="AA635" i="57"/>
  <c r="W635" i="57"/>
  <c r="V635" i="57"/>
  <c r="X634" i="57"/>
  <c r="Y634" i="57"/>
  <c r="AA634" i="57"/>
  <c r="W634" i="57"/>
  <c r="V634" i="57"/>
  <c r="X633" i="57"/>
  <c r="Y633" i="57"/>
  <c r="W633" i="57"/>
  <c r="V633" i="57"/>
  <c r="X632" i="57"/>
  <c r="Y632" i="57"/>
  <c r="AA632" i="57"/>
  <c r="W632" i="57"/>
  <c r="V632" i="57"/>
  <c r="X631" i="57"/>
  <c r="Y631" i="57"/>
  <c r="AA631" i="57"/>
  <c r="W631" i="57"/>
  <c r="V631" i="57"/>
  <c r="X630" i="57"/>
  <c r="Y630" i="57"/>
  <c r="W630" i="57"/>
  <c r="V630" i="57"/>
  <c r="X629" i="57"/>
  <c r="Y629" i="57"/>
  <c r="W629" i="57"/>
  <c r="V629" i="57"/>
  <c r="X628" i="57"/>
  <c r="Y628" i="57"/>
  <c r="W628" i="57"/>
  <c r="V628" i="57"/>
  <c r="Y627" i="57"/>
  <c r="AA627" i="57"/>
  <c r="X627" i="57"/>
  <c r="W627" i="57"/>
  <c r="V627" i="57"/>
  <c r="Y626" i="57"/>
  <c r="AA626" i="57"/>
  <c r="X626" i="57"/>
  <c r="W626" i="57"/>
  <c r="V626" i="57"/>
  <c r="Y625" i="57"/>
  <c r="X625" i="57"/>
  <c r="W625" i="57"/>
  <c r="V625" i="57"/>
  <c r="Y624" i="57"/>
  <c r="AA624" i="57"/>
  <c r="X624" i="57"/>
  <c r="W624" i="57"/>
  <c r="V624" i="57"/>
  <c r="Y623" i="57"/>
  <c r="X623" i="57"/>
  <c r="W623" i="57"/>
  <c r="V623" i="57"/>
  <c r="X622" i="57"/>
  <c r="Y622" i="57"/>
  <c r="AA622" i="57"/>
  <c r="W622" i="57"/>
  <c r="V622" i="57"/>
  <c r="X621" i="57"/>
  <c r="Y621" i="57"/>
  <c r="W621" i="57"/>
  <c r="V621" i="57"/>
  <c r="X620" i="57"/>
  <c r="Y620" i="57"/>
  <c r="W620" i="57"/>
  <c r="V620" i="57"/>
  <c r="X619" i="57"/>
  <c r="Y619" i="57"/>
  <c r="AA619" i="57"/>
  <c r="W619" i="57"/>
  <c r="V619" i="57"/>
  <c r="X618" i="57"/>
  <c r="Y618" i="57"/>
  <c r="AA618" i="57"/>
  <c r="W618" i="57"/>
  <c r="V618" i="57"/>
  <c r="X617" i="57"/>
  <c r="Y617" i="57"/>
  <c r="W617" i="57"/>
  <c r="V617" i="57"/>
  <c r="X616" i="57"/>
  <c r="Y616" i="57"/>
  <c r="AA616" i="57"/>
  <c r="W616" i="57"/>
  <c r="V616" i="57"/>
  <c r="X615" i="57"/>
  <c r="Y615" i="57"/>
  <c r="AA615" i="57"/>
  <c r="W615" i="57"/>
  <c r="V615" i="57"/>
  <c r="X614" i="57"/>
  <c r="Y614" i="57"/>
  <c r="W614" i="57"/>
  <c r="V614" i="57"/>
  <c r="X613" i="57"/>
  <c r="Y613" i="57"/>
  <c r="W613" i="57"/>
  <c r="V613" i="57"/>
  <c r="X612" i="57"/>
  <c r="Y612" i="57"/>
  <c r="W612" i="57"/>
  <c r="V612" i="57"/>
  <c r="AA611" i="57"/>
  <c r="Y611" i="57"/>
  <c r="X611" i="57"/>
  <c r="W611" i="57"/>
  <c r="V611" i="57"/>
  <c r="Y610" i="57"/>
  <c r="X610" i="57"/>
  <c r="W610" i="57"/>
  <c r="V610" i="57"/>
  <c r="Y609" i="57"/>
  <c r="X609" i="57"/>
  <c r="W609" i="57"/>
  <c r="V609" i="57"/>
  <c r="Y608" i="57"/>
  <c r="X608" i="57"/>
  <c r="W608" i="57"/>
  <c r="V608" i="57"/>
  <c r="Y607" i="57"/>
  <c r="AA607" i="57"/>
  <c r="X607" i="57"/>
  <c r="W607" i="57"/>
  <c r="V607" i="57"/>
  <c r="X606" i="57"/>
  <c r="Y606" i="57"/>
  <c r="W606" i="57"/>
  <c r="V606" i="57"/>
  <c r="X605" i="57"/>
  <c r="Y605" i="57"/>
  <c r="AA605" i="57"/>
  <c r="W605" i="57"/>
  <c r="V605" i="57"/>
  <c r="X604" i="57"/>
  <c r="Y604" i="57"/>
  <c r="W604" i="57"/>
  <c r="V604" i="57"/>
  <c r="X603" i="57"/>
  <c r="Y603" i="57"/>
  <c r="AA603" i="57"/>
  <c r="W603" i="57"/>
  <c r="V603" i="57"/>
  <c r="X602" i="57"/>
  <c r="Y602" i="57"/>
  <c r="AA602" i="57"/>
  <c r="W602" i="57"/>
  <c r="V602" i="57"/>
  <c r="X601" i="57"/>
  <c r="Y601" i="57"/>
  <c r="W601" i="57"/>
  <c r="V601" i="57"/>
  <c r="X600" i="57"/>
  <c r="Y600" i="57"/>
  <c r="AA600" i="57"/>
  <c r="W600" i="57"/>
  <c r="V600" i="57"/>
  <c r="X599" i="57"/>
  <c r="Y599" i="57"/>
  <c r="AA599" i="57"/>
  <c r="W599" i="57"/>
  <c r="V599" i="57"/>
  <c r="X598" i="57"/>
  <c r="Y598" i="57"/>
  <c r="W598" i="57"/>
  <c r="V598" i="57"/>
  <c r="X597" i="57"/>
  <c r="Y597" i="57"/>
  <c r="W597" i="57"/>
  <c r="V597" i="57"/>
  <c r="X596" i="57"/>
  <c r="Y596" i="57"/>
  <c r="W596" i="57"/>
  <c r="V596" i="57"/>
  <c r="Y595" i="57"/>
  <c r="AA595" i="57"/>
  <c r="X595" i="57"/>
  <c r="W595" i="57"/>
  <c r="V595" i="57"/>
  <c r="Y594" i="57"/>
  <c r="AA594" i="57"/>
  <c r="X594" i="57"/>
  <c r="W594" i="57"/>
  <c r="V594" i="57"/>
  <c r="Y593" i="57"/>
  <c r="X593" i="57"/>
  <c r="W593" i="57"/>
  <c r="V593" i="57"/>
  <c r="Y592" i="57"/>
  <c r="AA592" i="57"/>
  <c r="X592" i="57"/>
  <c r="W592" i="57"/>
  <c r="V592" i="57"/>
  <c r="Y591" i="57"/>
  <c r="X591" i="57"/>
  <c r="W591" i="57"/>
  <c r="V591" i="57"/>
  <c r="X590" i="57"/>
  <c r="Y590" i="57"/>
  <c r="AA590" i="57"/>
  <c r="W590" i="57"/>
  <c r="V590" i="57"/>
  <c r="X589" i="57"/>
  <c r="Y589" i="57"/>
  <c r="W589" i="57"/>
  <c r="V589" i="57"/>
  <c r="X588" i="57"/>
  <c r="Y588" i="57"/>
  <c r="W588" i="57"/>
  <c r="V588" i="57"/>
  <c r="X587" i="57"/>
  <c r="Y587" i="57"/>
  <c r="AA587" i="57"/>
  <c r="W587" i="57"/>
  <c r="V587" i="57"/>
  <c r="X586" i="57"/>
  <c r="Y586" i="57"/>
  <c r="AA586" i="57"/>
  <c r="W586" i="57"/>
  <c r="V586" i="57"/>
  <c r="X585" i="57"/>
  <c r="Y585" i="57"/>
  <c r="W585" i="57"/>
  <c r="V585" i="57"/>
  <c r="X584" i="57"/>
  <c r="Y584" i="57"/>
  <c r="AA584" i="57"/>
  <c r="W584" i="57"/>
  <c r="V584" i="57"/>
  <c r="X583" i="57"/>
  <c r="Y583" i="57"/>
  <c r="AA583" i="57"/>
  <c r="W583" i="57"/>
  <c r="V583" i="57"/>
  <c r="X582" i="57"/>
  <c r="Y582" i="57"/>
  <c r="W582" i="57"/>
  <c r="V582" i="57"/>
  <c r="X581" i="57"/>
  <c r="Y581" i="57"/>
  <c r="W581" i="57"/>
  <c r="V581" i="57"/>
  <c r="X580" i="57"/>
  <c r="Y580" i="57"/>
  <c r="W580" i="57"/>
  <c r="V580" i="57"/>
  <c r="AA579" i="57"/>
  <c r="Y579" i="57"/>
  <c r="X579" i="57"/>
  <c r="W579" i="57"/>
  <c r="V579" i="57"/>
  <c r="Y578" i="57"/>
  <c r="X578" i="57"/>
  <c r="W578" i="57"/>
  <c r="V578" i="57"/>
  <c r="Y577" i="57"/>
  <c r="X577" i="57"/>
  <c r="W577" i="57"/>
  <c r="V577" i="57"/>
  <c r="Y576" i="57"/>
  <c r="X576" i="57"/>
  <c r="W576" i="57"/>
  <c r="V576" i="57"/>
  <c r="Y575" i="57"/>
  <c r="AA575" i="57"/>
  <c r="X575" i="57"/>
  <c r="W575" i="57"/>
  <c r="V575" i="57"/>
  <c r="X574" i="57"/>
  <c r="Y574" i="57"/>
  <c r="W574" i="57"/>
  <c r="V574" i="57"/>
  <c r="X573" i="57"/>
  <c r="Y573" i="57"/>
  <c r="AA573" i="57"/>
  <c r="W573" i="57"/>
  <c r="V573" i="57"/>
  <c r="X572" i="57"/>
  <c r="Y572" i="57"/>
  <c r="W572" i="57"/>
  <c r="V572" i="57"/>
  <c r="X571" i="57"/>
  <c r="Y571" i="57"/>
  <c r="AA571" i="57"/>
  <c r="W571" i="57"/>
  <c r="V571" i="57"/>
  <c r="X570" i="57"/>
  <c r="Y570" i="57"/>
  <c r="AA570" i="57"/>
  <c r="W570" i="57"/>
  <c r="V570" i="57"/>
  <c r="X569" i="57"/>
  <c r="Y569" i="57"/>
  <c r="W569" i="57"/>
  <c r="V569" i="57"/>
  <c r="X568" i="57"/>
  <c r="Y568" i="57"/>
  <c r="AA568" i="57"/>
  <c r="W568" i="57"/>
  <c r="V568" i="57"/>
  <c r="X567" i="57"/>
  <c r="Y567" i="57"/>
  <c r="AA567" i="57"/>
  <c r="W567" i="57"/>
  <c r="V567" i="57"/>
  <c r="X566" i="57"/>
  <c r="Y566" i="57"/>
  <c r="W566" i="57"/>
  <c r="V566" i="57"/>
  <c r="X565" i="57"/>
  <c r="Y565" i="57"/>
  <c r="W565" i="57"/>
  <c r="V565" i="57"/>
  <c r="X564" i="57"/>
  <c r="Y564" i="57"/>
  <c r="W564" i="57"/>
  <c r="V564" i="57"/>
  <c r="Y563" i="57"/>
  <c r="AA563" i="57"/>
  <c r="X563" i="57"/>
  <c r="W563" i="57"/>
  <c r="V563" i="57"/>
  <c r="Y562" i="57"/>
  <c r="AA562" i="57"/>
  <c r="X562" i="57"/>
  <c r="W562" i="57"/>
  <c r="V562" i="57"/>
  <c r="Y561" i="57"/>
  <c r="X561" i="57"/>
  <c r="W561" i="57"/>
  <c r="V561" i="57"/>
  <c r="Y560" i="57"/>
  <c r="AA560" i="57"/>
  <c r="X560" i="57"/>
  <c r="W560" i="57"/>
  <c r="V560" i="57"/>
  <c r="Y559" i="57"/>
  <c r="X559" i="57"/>
  <c r="W559" i="57"/>
  <c r="V559" i="57"/>
  <c r="X558" i="57"/>
  <c r="Y558" i="57"/>
  <c r="AA558" i="57"/>
  <c r="W558" i="57"/>
  <c r="V558" i="57"/>
  <c r="X557" i="57"/>
  <c r="Y557" i="57"/>
  <c r="W557" i="57"/>
  <c r="V557" i="57"/>
  <c r="X556" i="57"/>
  <c r="Y556" i="57"/>
  <c r="W556" i="57"/>
  <c r="V556" i="57"/>
  <c r="X555" i="57"/>
  <c r="Y555" i="57"/>
  <c r="AA555" i="57"/>
  <c r="W555" i="57"/>
  <c r="V555" i="57"/>
  <c r="X554" i="57"/>
  <c r="Y554" i="57"/>
  <c r="AA554" i="57"/>
  <c r="W554" i="57"/>
  <c r="V554" i="57"/>
  <c r="X553" i="57"/>
  <c r="Y553" i="57"/>
  <c r="W553" i="57"/>
  <c r="V553" i="57"/>
  <c r="X552" i="57"/>
  <c r="Y552" i="57"/>
  <c r="AA552" i="57"/>
  <c r="W552" i="57"/>
  <c r="V552" i="57"/>
  <c r="X551" i="57"/>
  <c r="Y551" i="57"/>
  <c r="AA551" i="57"/>
  <c r="W551" i="57"/>
  <c r="V551" i="57"/>
  <c r="X550" i="57"/>
  <c r="Y550" i="57"/>
  <c r="W550" i="57"/>
  <c r="V550" i="57"/>
  <c r="X549" i="57"/>
  <c r="Y549" i="57"/>
  <c r="W549" i="57"/>
  <c r="V549" i="57"/>
  <c r="X548" i="57"/>
  <c r="Y548" i="57"/>
  <c r="W548" i="57"/>
  <c r="V548" i="57"/>
  <c r="AA547" i="57"/>
  <c r="Y547" i="57"/>
  <c r="X547" i="57"/>
  <c r="W547" i="57"/>
  <c r="V547" i="57"/>
  <c r="Y546" i="57"/>
  <c r="X546" i="57"/>
  <c r="W546" i="57"/>
  <c r="V546" i="57"/>
  <c r="Y545" i="57"/>
  <c r="X545" i="57"/>
  <c r="W545" i="57"/>
  <c r="V545" i="57"/>
  <c r="Y544" i="57"/>
  <c r="X544" i="57"/>
  <c r="W544" i="57"/>
  <c r="V544" i="57"/>
  <c r="Y543" i="57"/>
  <c r="AA543" i="57"/>
  <c r="X543" i="57"/>
  <c r="W543" i="57"/>
  <c r="V543" i="57"/>
  <c r="X542" i="57"/>
  <c r="Y542" i="57"/>
  <c r="W542" i="57"/>
  <c r="V542" i="57"/>
  <c r="X541" i="57"/>
  <c r="Y541" i="57"/>
  <c r="AA541" i="57"/>
  <c r="W541" i="57"/>
  <c r="V541" i="57"/>
  <c r="X540" i="57"/>
  <c r="Y540" i="57"/>
  <c r="W540" i="57"/>
  <c r="V540" i="57"/>
  <c r="X539" i="57"/>
  <c r="Y539" i="57"/>
  <c r="AA539" i="57"/>
  <c r="W539" i="57"/>
  <c r="V539" i="57"/>
  <c r="X538" i="57"/>
  <c r="Y538" i="57"/>
  <c r="AA538" i="57"/>
  <c r="W538" i="57"/>
  <c r="V538" i="57"/>
  <c r="X537" i="57"/>
  <c r="Y537" i="57"/>
  <c r="W537" i="57"/>
  <c r="V537" i="57"/>
  <c r="X536" i="57"/>
  <c r="Y536" i="57"/>
  <c r="AA536" i="57"/>
  <c r="W536" i="57"/>
  <c r="V536" i="57"/>
  <c r="X535" i="57"/>
  <c r="Y535" i="57"/>
  <c r="AA535" i="57"/>
  <c r="W535" i="57"/>
  <c r="V535" i="57"/>
  <c r="X534" i="57"/>
  <c r="Y534" i="57"/>
  <c r="W534" i="57"/>
  <c r="V534" i="57"/>
  <c r="X533" i="57"/>
  <c r="Y533" i="57"/>
  <c r="W533" i="57"/>
  <c r="V533" i="57"/>
  <c r="X532" i="57"/>
  <c r="Y532" i="57"/>
  <c r="W532" i="57"/>
  <c r="V532" i="57"/>
  <c r="Y531" i="57"/>
  <c r="X531" i="57"/>
  <c r="W531" i="57"/>
  <c r="V531" i="57"/>
  <c r="Y530" i="57"/>
  <c r="AA530" i="57"/>
  <c r="X530" i="57"/>
  <c r="W530" i="57"/>
  <c r="V530" i="57"/>
  <c r="Y529" i="57"/>
  <c r="X529" i="57"/>
  <c r="W529" i="57"/>
  <c r="V529" i="57"/>
  <c r="Y528" i="57"/>
  <c r="AA528" i="57"/>
  <c r="X528" i="57"/>
  <c r="W528" i="57"/>
  <c r="V528" i="57"/>
  <c r="Y527" i="57"/>
  <c r="X527" i="57"/>
  <c r="W527" i="57"/>
  <c r="V527" i="57"/>
  <c r="X526" i="57"/>
  <c r="Y526" i="57"/>
  <c r="AA526" i="57"/>
  <c r="W526" i="57"/>
  <c r="V526" i="57"/>
  <c r="X525" i="57"/>
  <c r="Y525" i="57"/>
  <c r="W525" i="57"/>
  <c r="V525" i="57"/>
  <c r="X524" i="57"/>
  <c r="Y524" i="57"/>
  <c r="W524" i="57"/>
  <c r="V524" i="57"/>
  <c r="X523" i="57"/>
  <c r="Y523" i="57"/>
  <c r="AA523" i="57"/>
  <c r="W523" i="57"/>
  <c r="V523" i="57"/>
  <c r="X522" i="57"/>
  <c r="Y522" i="57"/>
  <c r="AA522" i="57"/>
  <c r="W522" i="57"/>
  <c r="V522" i="57"/>
  <c r="X521" i="57"/>
  <c r="Y521" i="57"/>
  <c r="W521" i="57"/>
  <c r="V521" i="57"/>
  <c r="X520" i="57"/>
  <c r="Y520" i="57"/>
  <c r="AA520" i="57"/>
  <c r="W520" i="57"/>
  <c r="V520" i="57"/>
  <c r="X519" i="57"/>
  <c r="Y519" i="57"/>
  <c r="AA519" i="57"/>
  <c r="W519" i="57"/>
  <c r="V519" i="57"/>
  <c r="X518" i="57"/>
  <c r="Y518" i="57"/>
  <c r="W518" i="57"/>
  <c r="V518" i="57"/>
  <c r="X517" i="57"/>
  <c r="Y517" i="57"/>
  <c r="W517" i="57"/>
  <c r="V517" i="57"/>
  <c r="X516" i="57"/>
  <c r="Y516" i="57"/>
  <c r="W516" i="57"/>
  <c r="V516" i="57"/>
  <c r="AA515" i="57"/>
  <c r="Y515" i="57"/>
  <c r="X515" i="57"/>
  <c r="W515" i="57"/>
  <c r="V515" i="57"/>
  <c r="Y514" i="57"/>
  <c r="X514" i="57"/>
  <c r="W514" i="57"/>
  <c r="V514" i="57"/>
  <c r="Y513" i="57"/>
  <c r="X513" i="57"/>
  <c r="W513" i="57"/>
  <c r="V513" i="57"/>
  <c r="Y512" i="57"/>
  <c r="X512" i="57"/>
  <c r="W512" i="57"/>
  <c r="V512" i="57"/>
  <c r="Y511" i="57"/>
  <c r="AA511" i="57"/>
  <c r="X511" i="57"/>
  <c r="W511" i="57"/>
  <c r="V511" i="57"/>
  <c r="X510" i="57"/>
  <c r="Y510" i="57"/>
  <c r="W510" i="57"/>
  <c r="V510" i="57"/>
  <c r="X509" i="57"/>
  <c r="Y509" i="57"/>
  <c r="AA509" i="57"/>
  <c r="W509" i="57"/>
  <c r="V509" i="57"/>
  <c r="X508" i="57"/>
  <c r="Y508" i="57"/>
  <c r="W508" i="57"/>
  <c r="V508" i="57"/>
  <c r="X507" i="57"/>
  <c r="Y507" i="57"/>
  <c r="AA507" i="57"/>
  <c r="W507" i="57"/>
  <c r="V507" i="57"/>
  <c r="X506" i="57"/>
  <c r="Y506" i="57"/>
  <c r="AA506" i="57"/>
  <c r="W506" i="57"/>
  <c r="V506" i="57"/>
  <c r="X505" i="57"/>
  <c r="Y505" i="57"/>
  <c r="W505" i="57"/>
  <c r="V505" i="57"/>
  <c r="X504" i="57"/>
  <c r="Y504" i="57"/>
  <c r="AA504" i="57"/>
  <c r="W504" i="57"/>
  <c r="V504" i="57"/>
  <c r="X503" i="57"/>
  <c r="Y503" i="57"/>
  <c r="AA503" i="57"/>
  <c r="W503" i="57"/>
  <c r="V503" i="57"/>
  <c r="X502" i="57"/>
  <c r="Y502" i="57"/>
  <c r="W502" i="57"/>
  <c r="V502" i="57"/>
  <c r="X501" i="57"/>
  <c r="Y501" i="57"/>
  <c r="W501" i="57"/>
  <c r="V501" i="57"/>
  <c r="X500" i="57"/>
  <c r="Y500" i="57"/>
  <c r="W500" i="57"/>
  <c r="V500" i="57"/>
  <c r="Y499" i="57"/>
  <c r="AA499" i="57"/>
  <c r="X499" i="57"/>
  <c r="W499" i="57"/>
  <c r="V499" i="57"/>
  <c r="Y498" i="57"/>
  <c r="AA498" i="57"/>
  <c r="X498" i="57"/>
  <c r="W498" i="57"/>
  <c r="V498" i="57"/>
  <c r="Y497" i="57"/>
  <c r="X497" i="57"/>
  <c r="W497" i="57"/>
  <c r="V497" i="57"/>
  <c r="Y496" i="57"/>
  <c r="AA496" i="57"/>
  <c r="X496" i="57"/>
  <c r="W496" i="57"/>
  <c r="V496" i="57"/>
  <c r="Y495" i="57"/>
  <c r="X495" i="57"/>
  <c r="W495" i="57"/>
  <c r="V495" i="57"/>
  <c r="X494" i="57"/>
  <c r="Y494" i="57"/>
  <c r="AA494" i="57"/>
  <c r="W494" i="57"/>
  <c r="V494" i="57"/>
  <c r="X493" i="57"/>
  <c r="Y493" i="57"/>
  <c r="W493" i="57"/>
  <c r="V493" i="57"/>
  <c r="X492" i="57"/>
  <c r="Y492" i="57"/>
  <c r="W492" i="57"/>
  <c r="V492" i="57"/>
  <c r="X491" i="57"/>
  <c r="Y491" i="57"/>
  <c r="AA491" i="57"/>
  <c r="W491" i="57"/>
  <c r="V491" i="57"/>
  <c r="X490" i="57"/>
  <c r="Y490" i="57"/>
  <c r="AA490" i="57"/>
  <c r="W490" i="57"/>
  <c r="V490" i="57"/>
  <c r="X489" i="57"/>
  <c r="Y489" i="57"/>
  <c r="W489" i="57"/>
  <c r="V489" i="57"/>
  <c r="X488" i="57"/>
  <c r="Y488" i="57"/>
  <c r="AA488" i="57"/>
  <c r="W488" i="57"/>
  <c r="V488" i="57"/>
  <c r="X487" i="57"/>
  <c r="Y487" i="57"/>
  <c r="W487" i="57"/>
  <c r="V487" i="57"/>
  <c r="X486" i="57"/>
  <c r="Y486" i="57"/>
  <c r="W486" i="57"/>
  <c r="V486" i="57"/>
  <c r="X485" i="57"/>
  <c r="Y485" i="57"/>
  <c r="W485" i="57"/>
  <c r="V485" i="57"/>
  <c r="X484" i="57"/>
  <c r="Y484" i="57"/>
  <c r="W484" i="57"/>
  <c r="V484" i="57"/>
  <c r="AA483" i="57"/>
  <c r="Y483" i="57"/>
  <c r="X483" i="57"/>
  <c r="W483" i="57"/>
  <c r="V483" i="57"/>
  <c r="Y482" i="57"/>
  <c r="X482" i="57"/>
  <c r="W482" i="57"/>
  <c r="V482" i="57"/>
  <c r="Y481" i="57"/>
  <c r="X481" i="57"/>
  <c r="W481" i="57"/>
  <c r="V481" i="57"/>
  <c r="Y480" i="57"/>
  <c r="X480" i="57"/>
  <c r="W480" i="57"/>
  <c r="V480" i="57"/>
  <c r="Y479" i="57"/>
  <c r="X479" i="57"/>
  <c r="W479" i="57"/>
  <c r="V479" i="57"/>
  <c r="X478" i="57"/>
  <c r="Y478" i="57"/>
  <c r="W478" i="57"/>
  <c r="V478" i="57"/>
  <c r="X477" i="57"/>
  <c r="Y477" i="57"/>
  <c r="AA477" i="57"/>
  <c r="W477" i="57"/>
  <c r="V477" i="57"/>
  <c r="X476" i="57"/>
  <c r="Y476" i="57"/>
  <c r="W476" i="57"/>
  <c r="V476" i="57"/>
  <c r="X475" i="57"/>
  <c r="Y475" i="57"/>
  <c r="AA475" i="57"/>
  <c r="W475" i="57"/>
  <c r="V475" i="57"/>
  <c r="X474" i="57"/>
  <c r="Y474" i="57"/>
  <c r="AA474" i="57"/>
  <c r="W474" i="57"/>
  <c r="V474" i="57"/>
  <c r="X473" i="57"/>
  <c r="Y473" i="57"/>
  <c r="W473" i="57"/>
  <c r="V473" i="57"/>
  <c r="X472" i="57"/>
  <c r="Y472" i="57"/>
  <c r="AA472" i="57"/>
  <c r="W472" i="57"/>
  <c r="V472" i="57"/>
  <c r="X471" i="57"/>
  <c r="Y471" i="57"/>
  <c r="W471" i="57"/>
  <c r="V471" i="57"/>
  <c r="X470" i="57"/>
  <c r="Y470" i="57"/>
  <c r="W470" i="57"/>
  <c r="V470" i="57"/>
  <c r="X469" i="57"/>
  <c r="Y469" i="57"/>
  <c r="W469" i="57"/>
  <c r="V469" i="57"/>
  <c r="X468" i="57"/>
  <c r="Y468" i="57"/>
  <c r="W468" i="57"/>
  <c r="V468" i="57"/>
  <c r="Y467" i="57"/>
  <c r="X467" i="57"/>
  <c r="W467" i="57"/>
  <c r="V467" i="57"/>
  <c r="Y466" i="57"/>
  <c r="AA466" i="57"/>
  <c r="X466" i="57"/>
  <c r="W466" i="57"/>
  <c r="V466" i="57"/>
  <c r="Y465" i="57"/>
  <c r="X465" i="57"/>
  <c r="W465" i="57"/>
  <c r="V465" i="57"/>
  <c r="Y464" i="57"/>
  <c r="AA464" i="57"/>
  <c r="X464" i="57"/>
  <c r="W464" i="57"/>
  <c r="V464" i="57"/>
  <c r="Y463" i="57"/>
  <c r="X463" i="57"/>
  <c r="W463" i="57"/>
  <c r="V463" i="57"/>
  <c r="X462" i="57"/>
  <c r="Y462" i="57"/>
  <c r="AA462" i="57"/>
  <c r="W462" i="57"/>
  <c r="V462" i="57"/>
  <c r="X461" i="57"/>
  <c r="Y461" i="57"/>
  <c r="W461" i="57"/>
  <c r="V461" i="57"/>
  <c r="X460" i="57"/>
  <c r="Y460" i="57"/>
  <c r="W460" i="57"/>
  <c r="V460" i="57"/>
  <c r="X459" i="57"/>
  <c r="Y459" i="57"/>
  <c r="AA459" i="57"/>
  <c r="W459" i="57"/>
  <c r="V459" i="57"/>
  <c r="X458" i="57"/>
  <c r="Y458" i="57"/>
  <c r="AA458" i="57"/>
  <c r="W458" i="57"/>
  <c r="V458" i="57"/>
  <c r="X457" i="57"/>
  <c r="Y457" i="57"/>
  <c r="W457" i="57"/>
  <c r="V457" i="57"/>
  <c r="X456" i="57"/>
  <c r="Y456" i="57"/>
  <c r="AA456" i="57"/>
  <c r="W456" i="57"/>
  <c r="V456" i="57"/>
  <c r="X455" i="57"/>
  <c r="Y455" i="57"/>
  <c r="W455" i="57"/>
  <c r="V455" i="57"/>
  <c r="X454" i="57"/>
  <c r="Y454" i="57"/>
  <c r="W454" i="57"/>
  <c r="V454" i="57"/>
  <c r="X453" i="57"/>
  <c r="Y453" i="57"/>
  <c r="W453" i="57"/>
  <c r="V453" i="57"/>
  <c r="X452" i="57"/>
  <c r="Y452" i="57"/>
  <c r="W452" i="57"/>
  <c r="V452" i="57"/>
  <c r="AA451" i="57"/>
  <c r="Y451" i="57"/>
  <c r="X451" i="57"/>
  <c r="W451" i="57"/>
  <c r="V451" i="57"/>
  <c r="Y450" i="57"/>
  <c r="X450" i="57"/>
  <c r="W450" i="57"/>
  <c r="V450" i="57"/>
  <c r="Y449" i="57"/>
  <c r="X449" i="57"/>
  <c r="W449" i="57"/>
  <c r="V449" i="57"/>
  <c r="Y448" i="57"/>
  <c r="X448" i="57"/>
  <c r="W448" i="57"/>
  <c r="V448" i="57"/>
  <c r="Y447" i="57"/>
  <c r="X447" i="57"/>
  <c r="W447" i="57"/>
  <c r="V447" i="57"/>
  <c r="X446" i="57"/>
  <c r="Y446" i="57"/>
  <c r="W446" i="57"/>
  <c r="V446" i="57"/>
  <c r="X445" i="57"/>
  <c r="Y445" i="57"/>
  <c r="AA445" i="57"/>
  <c r="W445" i="57"/>
  <c r="V445" i="57"/>
  <c r="X444" i="57"/>
  <c r="Y444" i="57"/>
  <c r="W444" i="57"/>
  <c r="V444" i="57"/>
  <c r="X443" i="57"/>
  <c r="Y443" i="57"/>
  <c r="AA443" i="57"/>
  <c r="W443" i="57"/>
  <c r="V443" i="57"/>
  <c r="X442" i="57"/>
  <c r="Y442" i="57"/>
  <c r="AA442" i="57"/>
  <c r="W442" i="57"/>
  <c r="V442" i="57"/>
  <c r="X441" i="57"/>
  <c r="Y441" i="57"/>
  <c r="W441" i="57"/>
  <c r="V441" i="57"/>
  <c r="X440" i="57"/>
  <c r="Y440" i="57"/>
  <c r="AA440" i="57"/>
  <c r="W440" i="57"/>
  <c r="V440" i="57"/>
  <c r="X439" i="57"/>
  <c r="Y439" i="57"/>
  <c r="W439" i="57"/>
  <c r="V439" i="57"/>
  <c r="X438" i="57"/>
  <c r="Y438" i="57"/>
  <c r="W438" i="57"/>
  <c r="V438" i="57"/>
  <c r="X437" i="57"/>
  <c r="Y437" i="57"/>
  <c r="W437" i="57"/>
  <c r="V437" i="57"/>
  <c r="X436" i="57"/>
  <c r="Y436" i="57"/>
  <c r="W436" i="57"/>
  <c r="V436" i="57"/>
  <c r="Y435" i="57"/>
  <c r="AA435" i="57"/>
  <c r="X435" i="57"/>
  <c r="W435" i="57"/>
  <c r="V435" i="57"/>
  <c r="Y434" i="57"/>
  <c r="AA434" i="57"/>
  <c r="X434" i="57"/>
  <c r="W434" i="57"/>
  <c r="V434" i="57"/>
  <c r="Y433" i="57"/>
  <c r="X433" i="57"/>
  <c r="W433" i="57"/>
  <c r="V433" i="57"/>
  <c r="Y432" i="57"/>
  <c r="AA432" i="57"/>
  <c r="X432" i="57"/>
  <c r="W432" i="57"/>
  <c r="V432" i="57"/>
  <c r="Y431" i="57"/>
  <c r="X431" i="57"/>
  <c r="W431" i="57"/>
  <c r="V431" i="57"/>
  <c r="X430" i="57"/>
  <c r="Y430" i="57"/>
  <c r="AA430" i="57"/>
  <c r="W430" i="57"/>
  <c r="V430" i="57"/>
  <c r="X429" i="57"/>
  <c r="Y429" i="57"/>
  <c r="W429" i="57"/>
  <c r="V429" i="57"/>
  <c r="X428" i="57"/>
  <c r="Y428" i="57"/>
  <c r="W428" i="57"/>
  <c r="V428" i="57"/>
  <c r="X427" i="57"/>
  <c r="Y427" i="57"/>
  <c r="AA427" i="57"/>
  <c r="W427" i="57"/>
  <c r="V427" i="57"/>
  <c r="X426" i="57"/>
  <c r="Y426" i="57"/>
  <c r="AA426" i="57"/>
  <c r="W426" i="57"/>
  <c r="V426" i="57"/>
  <c r="X425" i="57"/>
  <c r="Y425" i="57"/>
  <c r="W425" i="57"/>
  <c r="V425" i="57"/>
  <c r="X424" i="57"/>
  <c r="Y424" i="57"/>
  <c r="AA424" i="57"/>
  <c r="W424" i="57"/>
  <c r="V424" i="57"/>
  <c r="X423" i="57"/>
  <c r="Y423" i="57"/>
  <c r="W423" i="57"/>
  <c r="V423" i="57"/>
  <c r="X422" i="57"/>
  <c r="Y422" i="57"/>
  <c r="W422" i="57"/>
  <c r="V422" i="57"/>
  <c r="X421" i="57"/>
  <c r="Y421" i="57"/>
  <c r="W421" i="57"/>
  <c r="V421" i="57"/>
  <c r="X420" i="57"/>
  <c r="Y420" i="57"/>
  <c r="W420" i="57"/>
  <c r="V420" i="57"/>
  <c r="AA419" i="57"/>
  <c r="Y419" i="57"/>
  <c r="X419" i="57"/>
  <c r="W419" i="57"/>
  <c r="V419" i="57"/>
  <c r="Y418" i="57"/>
  <c r="X418" i="57"/>
  <c r="W418" i="57"/>
  <c r="V418" i="57"/>
  <c r="Y417" i="57"/>
  <c r="X417" i="57"/>
  <c r="W417" i="57"/>
  <c r="V417" i="57"/>
  <c r="Y416" i="57"/>
  <c r="X416" i="57"/>
  <c r="W416" i="57"/>
  <c r="V416" i="57"/>
  <c r="Y415" i="57"/>
  <c r="X415" i="57"/>
  <c r="W415" i="57"/>
  <c r="V415" i="57"/>
  <c r="X414" i="57"/>
  <c r="Y414" i="57"/>
  <c r="W414" i="57"/>
  <c r="V414" i="57"/>
  <c r="X413" i="57"/>
  <c r="Y413" i="57"/>
  <c r="AA413" i="57"/>
  <c r="W413" i="57"/>
  <c r="V413" i="57"/>
  <c r="X412" i="57"/>
  <c r="Y412" i="57"/>
  <c r="W412" i="57"/>
  <c r="V412" i="57"/>
  <c r="X411" i="57"/>
  <c r="Y411" i="57"/>
  <c r="AA411" i="57"/>
  <c r="W411" i="57"/>
  <c r="V411" i="57"/>
  <c r="X410" i="57"/>
  <c r="Y410" i="57"/>
  <c r="AA410" i="57"/>
  <c r="W410" i="57"/>
  <c r="V410" i="57"/>
  <c r="X409" i="57"/>
  <c r="Y409" i="57"/>
  <c r="W409" i="57"/>
  <c r="V409" i="57"/>
  <c r="X408" i="57"/>
  <c r="Y408" i="57"/>
  <c r="AA408" i="57"/>
  <c r="W408" i="57"/>
  <c r="V408" i="57"/>
  <c r="X407" i="57"/>
  <c r="Y407" i="57"/>
  <c r="W407" i="57"/>
  <c r="V407" i="57"/>
  <c r="X406" i="57"/>
  <c r="Y406" i="57"/>
  <c r="W406" i="57"/>
  <c r="V406" i="57"/>
  <c r="X405" i="57"/>
  <c r="Y405" i="57"/>
  <c r="W405" i="57"/>
  <c r="V405" i="57"/>
  <c r="X404" i="57"/>
  <c r="Y404" i="57"/>
  <c r="W404" i="57"/>
  <c r="V404" i="57"/>
  <c r="Y403" i="57"/>
  <c r="X403" i="57"/>
  <c r="W403" i="57"/>
  <c r="V403" i="57"/>
  <c r="Y402" i="57"/>
  <c r="AA402" i="57"/>
  <c r="X402" i="57"/>
  <c r="W402" i="57"/>
  <c r="V402" i="57"/>
  <c r="Y401" i="57"/>
  <c r="X401" i="57"/>
  <c r="W401" i="57"/>
  <c r="V401" i="57"/>
  <c r="Y400" i="57"/>
  <c r="AA400" i="57"/>
  <c r="X400" i="57"/>
  <c r="W400" i="57"/>
  <c r="V400" i="57"/>
  <c r="Y399" i="57"/>
  <c r="X399" i="57"/>
  <c r="W399" i="57"/>
  <c r="V399" i="57"/>
  <c r="X398" i="57"/>
  <c r="Y398" i="57"/>
  <c r="AA398" i="57"/>
  <c r="W398" i="57"/>
  <c r="V398" i="57"/>
  <c r="X397" i="57"/>
  <c r="Y397" i="57"/>
  <c r="W397" i="57"/>
  <c r="V397" i="57"/>
  <c r="X396" i="57"/>
  <c r="Y396" i="57"/>
  <c r="W396" i="57"/>
  <c r="V396" i="57"/>
  <c r="X395" i="57"/>
  <c r="Y395" i="57"/>
  <c r="AA395" i="57"/>
  <c r="W395" i="57"/>
  <c r="V395" i="57"/>
  <c r="X394" i="57"/>
  <c r="Y394" i="57"/>
  <c r="AA394" i="57"/>
  <c r="W394" i="57"/>
  <c r="V394" i="57"/>
  <c r="X393" i="57"/>
  <c r="Y393" i="57"/>
  <c r="W393" i="57"/>
  <c r="V393" i="57"/>
  <c r="X392" i="57"/>
  <c r="Y392" i="57"/>
  <c r="AA392" i="57"/>
  <c r="W392" i="57"/>
  <c r="V392" i="57"/>
  <c r="X391" i="57"/>
  <c r="Y391" i="57"/>
  <c r="W391" i="57"/>
  <c r="V391" i="57"/>
  <c r="X390" i="57"/>
  <c r="Y390" i="57"/>
  <c r="W390" i="57"/>
  <c r="V390" i="57"/>
  <c r="X389" i="57"/>
  <c r="Y389" i="57"/>
  <c r="W389" i="57"/>
  <c r="V389" i="57"/>
  <c r="X388" i="57"/>
  <c r="Y388" i="57"/>
  <c r="W388" i="57"/>
  <c r="V388" i="57"/>
  <c r="AA387" i="57"/>
  <c r="Y387" i="57"/>
  <c r="X387" i="57"/>
  <c r="W387" i="57"/>
  <c r="V387" i="57"/>
  <c r="Y386" i="57"/>
  <c r="X386" i="57"/>
  <c r="W386" i="57"/>
  <c r="V386" i="57"/>
  <c r="Y385" i="57"/>
  <c r="X385" i="57"/>
  <c r="W385" i="57"/>
  <c r="V385" i="57"/>
  <c r="Y384" i="57"/>
  <c r="X384" i="57"/>
  <c r="W384" i="57"/>
  <c r="V384" i="57"/>
  <c r="Y383" i="57"/>
  <c r="X383" i="57"/>
  <c r="W383" i="57"/>
  <c r="V383" i="57"/>
  <c r="X382" i="57"/>
  <c r="Y382" i="57"/>
  <c r="W382" i="57"/>
  <c r="V382" i="57"/>
  <c r="X381" i="57"/>
  <c r="Y381" i="57"/>
  <c r="AA381" i="57"/>
  <c r="W381" i="57"/>
  <c r="V381" i="57"/>
  <c r="X380" i="57"/>
  <c r="Y380" i="57"/>
  <c r="W380" i="57"/>
  <c r="V380" i="57"/>
  <c r="X379" i="57"/>
  <c r="Y379" i="57"/>
  <c r="AA379" i="57"/>
  <c r="W379" i="57"/>
  <c r="V379" i="57"/>
  <c r="X378" i="57"/>
  <c r="Y378" i="57"/>
  <c r="AA378" i="57"/>
  <c r="W378" i="57"/>
  <c r="V378" i="57"/>
  <c r="X377" i="57"/>
  <c r="Y377" i="57"/>
  <c r="W377" i="57"/>
  <c r="V377" i="57"/>
  <c r="X376" i="57"/>
  <c r="Y376" i="57"/>
  <c r="AA376" i="57"/>
  <c r="W376" i="57"/>
  <c r="V376" i="57"/>
  <c r="X375" i="57"/>
  <c r="Y375" i="57"/>
  <c r="W375" i="57"/>
  <c r="V375" i="57"/>
  <c r="X374" i="57"/>
  <c r="Y374" i="57"/>
  <c r="W374" i="57"/>
  <c r="V374" i="57"/>
  <c r="X373" i="57"/>
  <c r="Y373" i="57"/>
  <c r="W373" i="57"/>
  <c r="V373" i="57"/>
  <c r="X372" i="57"/>
  <c r="Y372" i="57"/>
  <c r="W372" i="57"/>
  <c r="V372" i="57"/>
  <c r="Y371" i="57"/>
  <c r="AA371" i="57"/>
  <c r="X371" i="57"/>
  <c r="W371" i="57"/>
  <c r="V371" i="57"/>
  <c r="Y370" i="57"/>
  <c r="AA370" i="57"/>
  <c r="X370" i="57"/>
  <c r="W370" i="57"/>
  <c r="V370" i="57"/>
  <c r="Y369" i="57"/>
  <c r="X369" i="57"/>
  <c r="W369" i="57"/>
  <c r="V369" i="57"/>
  <c r="Y368" i="57"/>
  <c r="AA368" i="57"/>
  <c r="X368" i="57"/>
  <c r="W368" i="57"/>
  <c r="V368" i="57"/>
  <c r="Y367" i="57"/>
  <c r="X367" i="57"/>
  <c r="W367" i="57"/>
  <c r="V367" i="57"/>
  <c r="X366" i="57"/>
  <c r="Y366" i="57"/>
  <c r="AA366" i="57"/>
  <c r="W366" i="57"/>
  <c r="V366" i="57"/>
  <c r="X365" i="57"/>
  <c r="Y365" i="57"/>
  <c r="W365" i="57"/>
  <c r="V365" i="57"/>
  <c r="X364" i="57"/>
  <c r="Y364" i="57"/>
  <c r="W364" i="57"/>
  <c r="V364" i="57"/>
  <c r="X363" i="57"/>
  <c r="Y363" i="57"/>
  <c r="AA363" i="57"/>
  <c r="W363" i="57"/>
  <c r="V363" i="57"/>
  <c r="X362" i="57"/>
  <c r="Y362" i="57"/>
  <c r="AA362" i="57"/>
  <c r="W362" i="57"/>
  <c r="V362" i="57"/>
  <c r="X361" i="57"/>
  <c r="Y361" i="57"/>
  <c r="W361" i="57"/>
  <c r="V361" i="57"/>
  <c r="X360" i="57"/>
  <c r="Y360" i="57"/>
  <c r="AA360" i="57"/>
  <c r="W360" i="57"/>
  <c r="V360" i="57"/>
  <c r="X359" i="57"/>
  <c r="Y359" i="57"/>
  <c r="W359" i="57"/>
  <c r="V359" i="57"/>
  <c r="X358" i="57"/>
  <c r="Y358" i="57"/>
  <c r="W358" i="57"/>
  <c r="V358" i="57"/>
  <c r="X357" i="57"/>
  <c r="Y357" i="57"/>
  <c r="W357" i="57"/>
  <c r="V357" i="57"/>
  <c r="X356" i="57"/>
  <c r="Y356" i="57"/>
  <c r="W356" i="57"/>
  <c r="V356" i="57"/>
  <c r="AA355" i="57"/>
  <c r="Y355" i="57"/>
  <c r="X355" i="57"/>
  <c r="W355" i="57"/>
  <c r="V355" i="57"/>
  <c r="Y354" i="57"/>
  <c r="X354" i="57"/>
  <c r="W354" i="57"/>
  <c r="V354" i="57"/>
  <c r="Y353" i="57"/>
  <c r="X353" i="57"/>
  <c r="W353" i="57"/>
  <c r="V353" i="57"/>
  <c r="Y352" i="57"/>
  <c r="X352" i="57"/>
  <c r="W352" i="57"/>
  <c r="V352" i="57"/>
  <c r="Y351" i="57"/>
  <c r="X351" i="57"/>
  <c r="W351" i="57"/>
  <c r="V351" i="57"/>
  <c r="X350" i="57"/>
  <c r="Y350" i="57"/>
  <c r="W350" i="57"/>
  <c r="V350" i="57"/>
  <c r="X349" i="57"/>
  <c r="Y349" i="57"/>
  <c r="AA349" i="57"/>
  <c r="W349" i="57"/>
  <c r="V349" i="57"/>
  <c r="X348" i="57"/>
  <c r="Y348" i="57"/>
  <c r="W348" i="57"/>
  <c r="V348" i="57"/>
  <c r="X347" i="57"/>
  <c r="Y347" i="57"/>
  <c r="AA347" i="57"/>
  <c r="W347" i="57"/>
  <c r="V347" i="57"/>
  <c r="X346" i="57"/>
  <c r="Y346" i="57"/>
  <c r="AA346" i="57"/>
  <c r="W346" i="57"/>
  <c r="V346" i="57"/>
  <c r="X345" i="57"/>
  <c r="Y345" i="57"/>
  <c r="W345" i="57"/>
  <c r="V345" i="57"/>
  <c r="X344" i="57"/>
  <c r="Y344" i="57"/>
  <c r="AA344" i="57"/>
  <c r="W344" i="57"/>
  <c r="V344" i="57"/>
  <c r="X343" i="57"/>
  <c r="Y343" i="57"/>
  <c r="W343" i="57"/>
  <c r="V343" i="57"/>
  <c r="X342" i="57"/>
  <c r="Y342" i="57"/>
  <c r="W342" i="57"/>
  <c r="V342" i="57"/>
  <c r="X341" i="57"/>
  <c r="Y341" i="57"/>
  <c r="W341" i="57"/>
  <c r="V341" i="57"/>
  <c r="X340" i="57"/>
  <c r="Y340" i="57"/>
  <c r="W340" i="57"/>
  <c r="V340" i="57"/>
  <c r="Y339" i="57"/>
  <c r="AA339" i="57"/>
  <c r="X339" i="57"/>
  <c r="W339" i="57"/>
  <c r="V339" i="57"/>
  <c r="Y338" i="57"/>
  <c r="AA338" i="57"/>
  <c r="X338" i="57"/>
  <c r="W338" i="57"/>
  <c r="V338" i="57"/>
  <c r="Y337" i="57"/>
  <c r="X337" i="57"/>
  <c r="W337" i="57"/>
  <c r="V337" i="57"/>
  <c r="Y336" i="57"/>
  <c r="AA336" i="57"/>
  <c r="X336" i="57"/>
  <c r="W336" i="57"/>
  <c r="V336" i="57"/>
  <c r="Y335" i="57"/>
  <c r="X335" i="57"/>
  <c r="W335" i="57"/>
  <c r="V335" i="57"/>
  <c r="X334" i="57"/>
  <c r="Y334" i="57"/>
  <c r="AA334" i="57"/>
  <c r="W334" i="57"/>
  <c r="V334" i="57"/>
  <c r="X333" i="57"/>
  <c r="Y333" i="57"/>
  <c r="W333" i="57"/>
  <c r="V333" i="57"/>
  <c r="X332" i="57"/>
  <c r="Y332" i="57"/>
  <c r="W332" i="57"/>
  <c r="V332" i="57"/>
  <c r="X331" i="57"/>
  <c r="Y331" i="57"/>
  <c r="AA331" i="57"/>
  <c r="W331" i="57"/>
  <c r="V331" i="57"/>
  <c r="X330" i="57"/>
  <c r="Y330" i="57"/>
  <c r="AA330" i="57"/>
  <c r="W330" i="57"/>
  <c r="V330" i="57"/>
  <c r="X329" i="57"/>
  <c r="Y329" i="57"/>
  <c r="W329" i="57"/>
  <c r="V329" i="57"/>
  <c r="X328" i="57"/>
  <c r="Y328" i="57"/>
  <c r="AA328" i="57"/>
  <c r="W328" i="57"/>
  <c r="V328" i="57"/>
  <c r="X327" i="57"/>
  <c r="Y327" i="57"/>
  <c r="W327" i="57"/>
  <c r="V327" i="57"/>
  <c r="X326" i="57"/>
  <c r="Y326" i="57"/>
  <c r="W326" i="57"/>
  <c r="V326" i="57"/>
  <c r="X325" i="57"/>
  <c r="Y325" i="57"/>
  <c r="W325" i="57"/>
  <c r="V325" i="57"/>
  <c r="X324" i="57"/>
  <c r="Y324" i="57"/>
  <c r="W324" i="57"/>
  <c r="V324" i="57"/>
  <c r="AA323" i="57"/>
  <c r="Y323" i="57"/>
  <c r="X323" i="57"/>
  <c r="W323" i="57"/>
  <c r="V323" i="57"/>
  <c r="Y322" i="57"/>
  <c r="X322" i="57"/>
  <c r="W322" i="57"/>
  <c r="V322" i="57"/>
  <c r="Y321" i="57"/>
  <c r="X321" i="57"/>
  <c r="W321" i="57"/>
  <c r="V321" i="57"/>
  <c r="Y320" i="57"/>
  <c r="X320" i="57"/>
  <c r="W320" i="57"/>
  <c r="V320" i="57"/>
  <c r="Y319" i="57"/>
  <c r="X319" i="57"/>
  <c r="W319" i="57"/>
  <c r="V319" i="57"/>
  <c r="X318" i="57"/>
  <c r="Y318" i="57"/>
  <c r="W318" i="57"/>
  <c r="V318" i="57"/>
  <c r="X317" i="57"/>
  <c r="Y317" i="57"/>
  <c r="AA317" i="57"/>
  <c r="W317" i="57"/>
  <c r="V317" i="57"/>
  <c r="X316" i="57"/>
  <c r="Y316" i="57"/>
  <c r="W316" i="57"/>
  <c r="V316" i="57"/>
  <c r="X315" i="57"/>
  <c r="Y315" i="57"/>
  <c r="AA315" i="57"/>
  <c r="W315" i="57"/>
  <c r="V315" i="57"/>
  <c r="X314" i="57"/>
  <c r="Y314" i="57"/>
  <c r="AA314" i="57"/>
  <c r="W314" i="57"/>
  <c r="V314" i="57"/>
  <c r="X313" i="57"/>
  <c r="Y313" i="57"/>
  <c r="W313" i="57"/>
  <c r="V313" i="57"/>
  <c r="X312" i="57"/>
  <c r="Y312" i="57"/>
  <c r="AA312" i="57"/>
  <c r="W312" i="57"/>
  <c r="V312" i="57"/>
  <c r="X311" i="57"/>
  <c r="Y311" i="57"/>
  <c r="W311" i="57"/>
  <c r="V311" i="57"/>
  <c r="X310" i="57"/>
  <c r="Y310" i="57"/>
  <c r="W310" i="57"/>
  <c r="V310" i="57"/>
  <c r="X309" i="57"/>
  <c r="Y309" i="57"/>
  <c r="W309" i="57"/>
  <c r="V309" i="57"/>
  <c r="X308" i="57"/>
  <c r="Y308" i="57"/>
  <c r="W308" i="57"/>
  <c r="V308" i="57"/>
  <c r="Y307" i="57"/>
  <c r="AA307" i="57"/>
  <c r="X307" i="57"/>
  <c r="W307" i="57"/>
  <c r="V307" i="57"/>
  <c r="Y306" i="57"/>
  <c r="AA306" i="57"/>
  <c r="X306" i="57"/>
  <c r="W306" i="57"/>
  <c r="V306" i="57"/>
  <c r="Y305" i="57"/>
  <c r="X305" i="57"/>
  <c r="W305" i="57"/>
  <c r="V305" i="57"/>
  <c r="Y304" i="57"/>
  <c r="AA304" i="57"/>
  <c r="X304" i="57"/>
  <c r="W304" i="57"/>
  <c r="V304" i="57"/>
  <c r="Y303" i="57"/>
  <c r="X303" i="57"/>
  <c r="W303" i="57"/>
  <c r="V303" i="57"/>
  <c r="X302" i="57"/>
  <c r="Y302" i="57"/>
  <c r="AA302" i="57"/>
  <c r="W302" i="57"/>
  <c r="V302" i="57"/>
  <c r="X301" i="57"/>
  <c r="Y301" i="57"/>
  <c r="W301" i="57"/>
  <c r="V301" i="57"/>
  <c r="X300" i="57"/>
  <c r="Y300" i="57"/>
  <c r="W300" i="57"/>
  <c r="V300" i="57"/>
  <c r="X299" i="57"/>
  <c r="Y299" i="57"/>
  <c r="AA299" i="57"/>
  <c r="W299" i="57"/>
  <c r="V299" i="57"/>
  <c r="X298" i="57"/>
  <c r="Y298" i="57"/>
  <c r="AA298" i="57"/>
  <c r="W298" i="57"/>
  <c r="V298" i="57"/>
  <c r="X297" i="57"/>
  <c r="Y297" i="57"/>
  <c r="W297" i="57"/>
  <c r="V297" i="57"/>
  <c r="X296" i="57"/>
  <c r="Y296" i="57"/>
  <c r="AA296" i="57"/>
  <c r="W296" i="57"/>
  <c r="V296" i="57"/>
  <c r="X295" i="57"/>
  <c r="Y295" i="57"/>
  <c r="W295" i="57"/>
  <c r="V295" i="57"/>
  <c r="X294" i="57"/>
  <c r="Y294" i="57"/>
  <c r="W294" i="57"/>
  <c r="V294" i="57"/>
  <c r="X293" i="57"/>
  <c r="Y293" i="57"/>
  <c r="W293" i="57"/>
  <c r="V293" i="57"/>
  <c r="X292" i="57"/>
  <c r="Y292" i="57"/>
  <c r="W292" i="57"/>
  <c r="V292" i="57"/>
  <c r="AA291" i="57"/>
  <c r="Y291" i="57"/>
  <c r="X291" i="57"/>
  <c r="W291" i="57"/>
  <c r="V291" i="57"/>
  <c r="Y290" i="57"/>
  <c r="X290" i="57"/>
  <c r="W290" i="57"/>
  <c r="V290" i="57"/>
  <c r="Y289" i="57"/>
  <c r="X289" i="57"/>
  <c r="W289" i="57"/>
  <c r="V289" i="57"/>
  <c r="Y288" i="57"/>
  <c r="X288" i="57"/>
  <c r="W288" i="57"/>
  <c r="V288" i="57"/>
  <c r="Y287" i="57"/>
  <c r="X287" i="57"/>
  <c r="W287" i="57"/>
  <c r="V287" i="57"/>
  <c r="X286" i="57"/>
  <c r="Y286" i="57"/>
  <c r="W286" i="57"/>
  <c r="V286" i="57"/>
  <c r="X285" i="57"/>
  <c r="Y285" i="57"/>
  <c r="AA285" i="57"/>
  <c r="W285" i="57"/>
  <c r="V285" i="57"/>
  <c r="X284" i="57"/>
  <c r="Y284" i="57"/>
  <c r="W284" i="57"/>
  <c r="V284" i="57"/>
  <c r="X283" i="57"/>
  <c r="Y283" i="57"/>
  <c r="W283" i="57"/>
  <c r="AA283" i="57"/>
  <c r="V283" i="57"/>
  <c r="X282" i="57"/>
  <c r="Y282" i="57"/>
  <c r="AA282" i="57"/>
  <c r="W282" i="57"/>
  <c r="V282" i="57"/>
  <c r="X281" i="57"/>
  <c r="Y281" i="57"/>
  <c r="W281" i="57"/>
  <c r="V281" i="57"/>
  <c r="X280" i="57"/>
  <c r="Y280" i="57"/>
  <c r="W280" i="57"/>
  <c r="V280" i="57"/>
  <c r="X279" i="57"/>
  <c r="Y279" i="57"/>
  <c r="W279" i="57"/>
  <c r="V279" i="57"/>
  <c r="X278" i="57"/>
  <c r="Y278" i="57"/>
  <c r="W278" i="57"/>
  <c r="V278" i="57"/>
  <c r="X277" i="57"/>
  <c r="Y277" i="57"/>
  <c r="W277" i="57"/>
  <c r="AA277" i="57"/>
  <c r="V277" i="57"/>
  <c r="AA276" i="57"/>
  <c r="X276" i="57"/>
  <c r="Y276" i="57"/>
  <c r="W276" i="57"/>
  <c r="V276" i="57"/>
  <c r="Y275" i="57"/>
  <c r="X275" i="57"/>
  <c r="W275" i="57"/>
  <c r="V275" i="57"/>
  <c r="Y274" i="57"/>
  <c r="AA274" i="57"/>
  <c r="X274" i="57"/>
  <c r="W274" i="57"/>
  <c r="V274" i="57"/>
  <c r="Y273" i="57"/>
  <c r="X273" i="57"/>
  <c r="W273" i="57"/>
  <c r="V273" i="57"/>
  <c r="Y272" i="57"/>
  <c r="AA272" i="57"/>
  <c r="X272" i="57"/>
  <c r="W272" i="57"/>
  <c r="V272" i="57"/>
  <c r="X271" i="57"/>
  <c r="Y271" i="57"/>
  <c r="W271" i="57"/>
  <c r="V271" i="57"/>
  <c r="X270" i="57"/>
  <c r="Y270" i="57"/>
  <c r="W270" i="57"/>
  <c r="V270" i="57"/>
  <c r="X269" i="57"/>
  <c r="Y269" i="57"/>
  <c r="W269" i="57"/>
  <c r="V269" i="57"/>
  <c r="X268" i="57"/>
  <c r="Y268" i="57"/>
  <c r="W268" i="57"/>
  <c r="V268" i="57"/>
  <c r="Y267" i="57"/>
  <c r="X267" i="57"/>
  <c r="W267" i="57"/>
  <c r="V267" i="57"/>
  <c r="X266" i="57"/>
  <c r="Y266" i="57"/>
  <c r="AA266" i="57"/>
  <c r="W266" i="57"/>
  <c r="V266" i="57"/>
  <c r="X265" i="57"/>
  <c r="Y265" i="57"/>
  <c r="AA265" i="57"/>
  <c r="W265" i="57"/>
  <c r="V265" i="57"/>
  <c r="X264" i="57"/>
  <c r="Y264" i="57"/>
  <c r="W264" i="57"/>
  <c r="V264" i="57"/>
  <c r="X263" i="57"/>
  <c r="Y263" i="57"/>
  <c r="W263" i="57"/>
  <c r="V263" i="57"/>
  <c r="X262" i="57"/>
  <c r="Y262" i="57"/>
  <c r="W262" i="57"/>
  <c r="V262" i="57"/>
  <c r="X261" i="57"/>
  <c r="Y261" i="57"/>
  <c r="AA261" i="57"/>
  <c r="W261" i="57"/>
  <c r="V261" i="57"/>
  <c r="X260" i="57"/>
  <c r="Y260" i="57"/>
  <c r="W260" i="57"/>
  <c r="V260" i="57"/>
  <c r="X259" i="57"/>
  <c r="Y259" i="57"/>
  <c r="AA259" i="57"/>
  <c r="W259" i="57"/>
  <c r="V259" i="57"/>
  <c r="X258" i="57"/>
  <c r="Y258" i="57"/>
  <c r="AA258" i="57"/>
  <c r="W258" i="57"/>
  <c r="V258" i="57"/>
  <c r="X257" i="57"/>
  <c r="Y257" i="57"/>
  <c r="AA257" i="57"/>
  <c r="W257" i="57"/>
  <c r="V257" i="57"/>
  <c r="X256" i="57"/>
  <c r="Y256" i="57"/>
  <c r="W256" i="57"/>
  <c r="V256" i="57"/>
  <c r="X255" i="57"/>
  <c r="Y255" i="57"/>
  <c r="AA255" i="57"/>
  <c r="W255" i="57"/>
  <c r="V255" i="57"/>
  <c r="X254" i="57"/>
  <c r="Y254" i="57"/>
  <c r="W254" i="57"/>
  <c r="V254" i="57"/>
  <c r="X253" i="57"/>
  <c r="Y253" i="57"/>
  <c r="W253" i="57"/>
  <c r="V253" i="57"/>
  <c r="X252" i="57"/>
  <c r="Y252" i="57"/>
  <c r="AA252" i="57"/>
  <c r="W252" i="57"/>
  <c r="V252" i="57"/>
  <c r="Y251" i="57"/>
  <c r="X251" i="57"/>
  <c r="W251" i="57"/>
  <c r="V251" i="57"/>
  <c r="Y250" i="57"/>
  <c r="X250" i="57"/>
  <c r="W250" i="57"/>
  <c r="V250" i="57"/>
  <c r="Y249" i="57"/>
  <c r="X249" i="57"/>
  <c r="W249" i="57"/>
  <c r="V249" i="57"/>
  <c r="Y248" i="57"/>
  <c r="X248" i="57"/>
  <c r="W248" i="57"/>
  <c r="V248" i="57"/>
  <c r="X247" i="57"/>
  <c r="Y247" i="57"/>
  <c r="W247" i="57"/>
  <c r="V247" i="57"/>
  <c r="X246" i="57"/>
  <c r="Y246" i="57"/>
  <c r="W246" i="57"/>
  <c r="V246" i="57"/>
  <c r="X245" i="57"/>
  <c r="Y245" i="57"/>
  <c r="AA245" i="57"/>
  <c r="W245" i="57"/>
  <c r="V245" i="57"/>
  <c r="X244" i="57"/>
  <c r="Y244" i="57"/>
  <c r="AA244" i="57"/>
  <c r="W244" i="57"/>
  <c r="V244" i="57"/>
  <c r="X243" i="57"/>
  <c r="Y243" i="57"/>
  <c r="AA243" i="57"/>
  <c r="W243" i="57"/>
  <c r="V243" i="57"/>
  <c r="Y242" i="57"/>
  <c r="AA242" i="57"/>
  <c r="X242" i="57"/>
  <c r="W242" i="57"/>
  <c r="V242" i="57"/>
  <c r="X241" i="57"/>
  <c r="Y241" i="57"/>
  <c r="W241" i="57"/>
  <c r="V241" i="57"/>
  <c r="Y240" i="57"/>
  <c r="AA240" i="57"/>
  <c r="X240" i="57"/>
  <c r="W240" i="57"/>
  <c r="V240" i="57"/>
  <c r="X239" i="57"/>
  <c r="Y239" i="57"/>
  <c r="AA239" i="57"/>
  <c r="W239" i="57"/>
  <c r="V239" i="57"/>
  <c r="X238" i="57"/>
  <c r="Y238" i="57"/>
  <c r="W238" i="57"/>
  <c r="V238" i="57"/>
  <c r="X237" i="57"/>
  <c r="Y237" i="57"/>
  <c r="W237" i="57"/>
  <c r="V237" i="57"/>
  <c r="X236" i="57"/>
  <c r="Y236" i="57"/>
  <c r="W236" i="57"/>
  <c r="V236" i="57"/>
  <c r="Y235" i="57"/>
  <c r="X235" i="57"/>
  <c r="W235" i="57"/>
  <c r="V235" i="57"/>
  <c r="Y234" i="57"/>
  <c r="X234" i="57"/>
  <c r="W234" i="57"/>
  <c r="V234" i="57"/>
  <c r="Y233" i="57"/>
  <c r="X233" i="57"/>
  <c r="W233" i="57"/>
  <c r="V233" i="57"/>
  <c r="Y232" i="57"/>
  <c r="X232" i="57"/>
  <c r="W232" i="57"/>
  <c r="V232" i="57"/>
  <c r="X231" i="57"/>
  <c r="Y231" i="57"/>
  <c r="AA231" i="57"/>
  <c r="W231" i="57"/>
  <c r="V231" i="57"/>
  <c r="X230" i="57"/>
  <c r="Y230" i="57"/>
  <c r="W230" i="57"/>
  <c r="V230" i="57"/>
  <c r="X229" i="57"/>
  <c r="Y229" i="57"/>
  <c r="AA229" i="57"/>
  <c r="W229" i="57"/>
  <c r="V229" i="57"/>
  <c r="X228" i="57"/>
  <c r="Y228" i="57"/>
  <c r="W228" i="57"/>
  <c r="V228" i="57"/>
  <c r="X227" i="57"/>
  <c r="Y227" i="57"/>
  <c r="AA227" i="57"/>
  <c r="W227" i="57"/>
  <c r="V227" i="57"/>
  <c r="X226" i="57"/>
  <c r="Y226" i="57"/>
  <c r="AA226" i="57"/>
  <c r="W226" i="57"/>
  <c r="V226" i="57"/>
  <c r="X225" i="57"/>
  <c r="Y225" i="57"/>
  <c r="W225" i="57"/>
  <c r="V225" i="57"/>
  <c r="X224" i="57"/>
  <c r="Y224" i="57"/>
  <c r="AA224" i="57"/>
  <c r="W224" i="57"/>
  <c r="V224" i="57"/>
  <c r="X223" i="57"/>
  <c r="Y223" i="57"/>
  <c r="W223" i="57"/>
  <c r="V223" i="57"/>
  <c r="X222" i="57"/>
  <c r="Y222" i="57"/>
  <c r="W222" i="57"/>
  <c r="V222" i="57"/>
  <c r="X221" i="57"/>
  <c r="Y221" i="57"/>
  <c r="W221" i="57"/>
  <c r="V221" i="57"/>
  <c r="X220" i="57"/>
  <c r="Y220" i="57"/>
  <c r="AA220" i="57"/>
  <c r="W220" i="57"/>
  <c r="V220" i="57"/>
  <c r="X219" i="57"/>
  <c r="Y219" i="57"/>
  <c r="W219" i="57"/>
  <c r="V219" i="57"/>
  <c r="AA218" i="57"/>
  <c r="Y218" i="57"/>
  <c r="X218" i="57"/>
  <c r="W218" i="57"/>
  <c r="V218" i="57"/>
  <c r="Y217" i="57"/>
  <c r="X217" i="57"/>
  <c r="W217" i="57"/>
  <c r="V217" i="57"/>
  <c r="Y216" i="57"/>
  <c r="X216" i="57"/>
  <c r="W216" i="57"/>
  <c r="V216" i="57"/>
  <c r="X215" i="57"/>
  <c r="Y215" i="57"/>
  <c r="W215" i="57"/>
  <c r="V215" i="57"/>
  <c r="X214" i="57"/>
  <c r="Y214" i="57"/>
  <c r="W214" i="57"/>
  <c r="V214" i="57"/>
  <c r="X213" i="57"/>
  <c r="Y213" i="57"/>
  <c r="AA213" i="57"/>
  <c r="W213" i="57"/>
  <c r="V213" i="57"/>
  <c r="X212" i="57"/>
  <c r="Y212" i="57"/>
  <c r="AA212" i="57"/>
  <c r="W212" i="57"/>
  <c r="V212" i="57"/>
  <c r="X211" i="57"/>
  <c r="Y211" i="57"/>
  <c r="W211" i="57"/>
  <c r="V211" i="57"/>
  <c r="X210" i="57"/>
  <c r="Y210" i="57"/>
  <c r="AA210" i="57"/>
  <c r="W210" i="57"/>
  <c r="V210" i="57"/>
  <c r="X209" i="57"/>
  <c r="Y209" i="57"/>
  <c r="W209" i="57"/>
  <c r="V209" i="57"/>
  <c r="X208" i="57"/>
  <c r="Y208" i="57"/>
  <c r="AA208" i="57"/>
  <c r="W208" i="57"/>
  <c r="V208" i="57"/>
  <c r="X207" i="57"/>
  <c r="Y207" i="57"/>
  <c r="W207" i="57"/>
  <c r="V207" i="57"/>
  <c r="X206" i="57"/>
  <c r="Y206" i="57"/>
  <c r="W206" i="57"/>
  <c r="V206" i="57"/>
  <c r="X205" i="57"/>
  <c r="Y205" i="57"/>
  <c r="AA205" i="57"/>
  <c r="W205" i="57"/>
  <c r="V205" i="57"/>
  <c r="X204" i="57"/>
  <c r="Y204" i="57"/>
  <c r="W204" i="57"/>
  <c r="V204" i="57"/>
  <c r="X203" i="57"/>
  <c r="Y203" i="57"/>
  <c r="W203" i="57"/>
  <c r="V203" i="57"/>
  <c r="X202" i="57"/>
  <c r="Y202" i="57"/>
  <c r="AA202" i="57"/>
  <c r="W202" i="57"/>
  <c r="V202" i="57"/>
  <c r="Y201" i="57"/>
  <c r="AA201" i="57"/>
  <c r="X201" i="57"/>
  <c r="W201" i="57"/>
  <c r="V201" i="57"/>
  <c r="X200" i="57"/>
  <c r="Y200" i="57"/>
  <c r="W200" i="57"/>
  <c r="V200" i="57"/>
  <c r="X199" i="57"/>
  <c r="Y199" i="57"/>
  <c r="AA199" i="57"/>
  <c r="W199" i="57"/>
  <c r="V199" i="57"/>
  <c r="X198" i="57"/>
  <c r="Y198" i="57"/>
  <c r="W198" i="57"/>
  <c r="V198" i="57"/>
  <c r="X197" i="57"/>
  <c r="Y197" i="57"/>
  <c r="W197" i="57"/>
  <c r="V197" i="57"/>
  <c r="X196" i="57"/>
  <c r="Y196" i="57"/>
  <c r="W196" i="57"/>
  <c r="V196" i="57"/>
  <c r="Y195" i="57"/>
  <c r="AA195" i="57"/>
  <c r="X195" i="57"/>
  <c r="W195" i="57"/>
  <c r="V195" i="57"/>
  <c r="Y194" i="57"/>
  <c r="AA194" i="57"/>
  <c r="X194" i="57"/>
  <c r="W194" i="57"/>
  <c r="V194" i="57"/>
  <c r="Y193" i="57"/>
  <c r="X193" i="57"/>
  <c r="W193" i="57"/>
  <c r="V193" i="57"/>
  <c r="Y192" i="57"/>
  <c r="X192" i="57"/>
  <c r="W192" i="57"/>
  <c r="V192" i="57"/>
  <c r="Y191" i="57"/>
  <c r="X191" i="57"/>
  <c r="W191" i="57"/>
  <c r="V191" i="57"/>
  <c r="X190" i="57"/>
  <c r="Y190" i="57"/>
  <c r="AA190" i="57"/>
  <c r="W190" i="57"/>
  <c r="V190" i="57"/>
  <c r="X189" i="57"/>
  <c r="Y189" i="57"/>
  <c r="W189" i="57"/>
  <c r="V189" i="57"/>
  <c r="X188" i="57"/>
  <c r="Y188" i="57"/>
  <c r="W188" i="57"/>
  <c r="V188" i="57"/>
  <c r="X187" i="57"/>
  <c r="Y187" i="57"/>
  <c r="AA187" i="57"/>
  <c r="W187" i="57"/>
  <c r="V187" i="57"/>
  <c r="X186" i="57"/>
  <c r="Y186" i="57"/>
  <c r="W186" i="57"/>
  <c r="V186" i="57"/>
  <c r="X185" i="57"/>
  <c r="Y185" i="57"/>
  <c r="W185" i="57"/>
  <c r="V185" i="57"/>
  <c r="X184" i="57"/>
  <c r="Y184" i="57"/>
  <c r="W184" i="57"/>
  <c r="V184" i="57"/>
  <c r="X183" i="57"/>
  <c r="Y183" i="57"/>
  <c r="W183" i="57"/>
  <c r="V183" i="57"/>
  <c r="X182" i="57"/>
  <c r="Y182" i="57"/>
  <c r="W182" i="57"/>
  <c r="V182" i="57"/>
  <c r="AA181" i="57"/>
  <c r="X181" i="57"/>
  <c r="Y181" i="57"/>
  <c r="W181" i="57"/>
  <c r="V181" i="57"/>
  <c r="X180" i="57"/>
  <c r="Y180" i="57"/>
  <c r="W180" i="57"/>
  <c r="AA180" i="57"/>
  <c r="V180" i="57"/>
  <c r="X179" i="57"/>
  <c r="Y179" i="57"/>
  <c r="AA179" i="57"/>
  <c r="W179" i="57"/>
  <c r="V179" i="57"/>
  <c r="X178" i="57"/>
  <c r="Y178" i="57"/>
  <c r="W178" i="57"/>
  <c r="V178" i="57"/>
  <c r="X177" i="57"/>
  <c r="Y177" i="57"/>
  <c r="W177" i="57"/>
  <c r="V177" i="57"/>
  <c r="X176" i="57"/>
  <c r="Y176" i="57"/>
  <c r="W176" i="57"/>
  <c r="V176" i="57"/>
  <c r="X175" i="57"/>
  <c r="Y175" i="57"/>
  <c r="AA175" i="57"/>
  <c r="W175" i="57"/>
  <c r="V175" i="57"/>
  <c r="X174" i="57"/>
  <c r="Y174" i="57"/>
  <c r="W174" i="57"/>
  <c r="V174" i="57"/>
  <c r="X173" i="57"/>
  <c r="Y173" i="57"/>
  <c r="AA173" i="57"/>
  <c r="W173" i="57"/>
  <c r="V173" i="57"/>
  <c r="X172" i="57"/>
  <c r="Y172" i="57"/>
  <c r="AA172" i="57"/>
  <c r="W172" i="57"/>
  <c r="V172" i="57"/>
  <c r="X171" i="57"/>
  <c r="Y171" i="57"/>
  <c r="W171" i="57"/>
  <c r="V171" i="57"/>
  <c r="X170" i="57"/>
  <c r="Y170" i="57"/>
  <c r="AA170" i="57"/>
  <c r="W170" i="57"/>
  <c r="V170" i="57"/>
  <c r="X169" i="57"/>
  <c r="Y169" i="57"/>
  <c r="W169" i="57"/>
  <c r="V169" i="57"/>
  <c r="X168" i="57"/>
  <c r="Y168" i="57"/>
  <c r="AA168" i="57"/>
  <c r="W168" i="57"/>
  <c r="V168" i="57"/>
  <c r="X167" i="57"/>
  <c r="Y167" i="57"/>
  <c r="W167" i="57"/>
  <c r="V167" i="57"/>
  <c r="X166" i="57"/>
  <c r="Y166" i="57"/>
  <c r="W166" i="57"/>
  <c r="V166" i="57"/>
  <c r="X165" i="57"/>
  <c r="Y165" i="57"/>
  <c r="W165" i="57"/>
  <c r="V165" i="57"/>
  <c r="X164" i="57"/>
  <c r="Y164" i="57"/>
  <c r="AA164" i="57"/>
  <c r="W164" i="57"/>
  <c r="V164" i="57"/>
  <c r="Y163" i="57"/>
  <c r="X163" i="57"/>
  <c r="W163" i="57"/>
  <c r="AA163" i="57"/>
  <c r="V163" i="57"/>
  <c r="Y162" i="57"/>
  <c r="AA162" i="57"/>
  <c r="X162" i="57"/>
  <c r="W162" i="57"/>
  <c r="V162" i="57"/>
  <c r="Y161" i="57"/>
  <c r="X161" i="57"/>
  <c r="W161" i="57"/>
  <c r="V161" i="57"/>
  <c r="Y160" i="57"/>
  <c r="AA160" i="57"/>
  <c r="X160" i="57"/>
  <c r="W160" i="57"/>
  <c r="V160" i="57"/>
  <c r="Y159" i="57"/>
  <c r="X159" i="57"/>
  <c r="W159" i="57"/>
  <c r="V159" i="57"/>
  <c r="X158" i="57"/>
  <c r="Y158" i="57"/>
  <c r="AA158" i="57"/>
  <c r="W158" i="57"/>
  <c r="V158" i="57"/>
  <c r="X157" i="57"/>
  <c r="Y157" i="57"/>
  <c r="AA157" i="57"/>
  <c r="W157" i="57"/>
  <c r="V157" i="57"/>
  <c r="X156" i="57"/>
  <c r="Y156" i="57"/>
  <c r="W156" i="57"/>
  <c r="V156" i="57"/>
  <c r="X155" i="57"/>
  <c r="Y155" i="57"/>
  <c r="W155" i="57"/>
  <c r="V155" i="57"/>
  <c r="X154" i="57"/>
  <c r="Y154" i="57"/>
  <c r="AA154" i="57"/>
  <c r="W154" i="57"/>
  <c r="V154" i="57"/>
  <c r="X153" i="57"/>
  <c r="Y153" i="57"/>
  <c r="W153" i="57"/>
  <c r="V153" i="57"/>
  <c r="X152" i="57"/>
  <c r="Y152" i="57"/>
  <c r="W152" i="57"/>
  <c r="V152" i="57"/>
  <c r="X151" i="57"/>
  <c r="Y151" i="57"/>
  <c r="W151" i="57"/>
  <c r="V151" i="57"/>
  <c r="X150" i="57"/>
  <c r="Y150" i="57"/>
  <c r="W150" i="57"/>
  <c r="V150" i="57"/>
  <c r="AA149" i="57"/>
  <c r="X149" i="57"/>
  <c r="Y149" i="57"/>
  <c r="W149" i="57"/>
  <c r="V149" i="57"/>
  <c r="X148" i="57"/>
  <c r="Y148" i="57"/>
  <c r="W148" i="57"/>
  <c r="AA148" i="57"/>
  <c r="V148" i="57"/>
  <c r="Y147" i="57"/>
  <c r="X147" i="57"/>
  <c r="W147" i="57"/>
  <c r="V147" i="57"/>
  <c r="Y146" i="57"/>
  <c r="X146" i="57"/>
  <c r="W146" i="57"/>
  <c r="V146" i="57"/>
  <c r="Y145" i="57"/>
  <c r="X145" i="57"/>
  <c r="W145" i="57"/>
  <c r="V145" i="57"/>
  <c r="Y144" i="57"/>
  <c r="X144" i="57"/>
  <c r="W144" i="57"/>
  <c r="V144" i="57"/>
  <c r="X143" i="57"/>
  <c r="Y143" i="57"/>
  <c r="AA143" i="57"/>
  <c r="W143" i="57"/>
  <c r="V143" i="57"/>
  <c r="X142" i="57"/>
  <c r="Y142" i="57"/>
  <c r="W142" i="57"/>
  <c r="V142" i="57"/>
  <c r="X141" i="57"/>
  <c r="Y141" i="57"/>
  <c r="W141" i="57"/>
  <c r="V141" i="57"/>
  <c r="X140" i="57"/>
  <c r="Y140" i="57"/>
  <c r="W140" i="57"/>
  <c r="V140" i="57"/>
  <c r="Y139" i="57"/>
  <c r="X139" i="57"/>
  <c r="W139" i="57"/>
  <c r="V139" i="57"/>
  <c r="X138" i="57"/>
  <c r="Y138" i="57"/>
  <c r="AA138" i="57"/>
  <c r="W138" i="57"/>
  <c r="V138" i="57"/>
  <c r="X137" i="57"/>
  <c r="Y137" i="57"/>
  <c r="W137" i="57"/>
  <c r="V137" i="57"/>
  <c r="X136" i="57"/>
  <c r="Y136" i="57"/>
  <c r="W136" i="57"/>
  <c r="V136" i="57"/>
  <c r="X135" i="57"/>
  <c r="Y135" i="57"/>
  <c r="W135" i="57"/>
  <c r="V135" i="57"/>
  <c r="X134" i="57"/>
  <c r="Y134" i="57"/>
  <c r="W134" i="57"/>
  <c r="V134" i="57"/>
  <c r="X133" i="57"/>
  <c r="Y133" i="57"/>
  <c r="AA133" i="57"/>
  <c r="W133" i="57"/>
  <c r="V133" i="57"/>
  <c r="X132" i="57"/>
  <c r="Y132" i="57"/>
  <c r="W132" i="57"/>
  <c r="AA132" i="57"/>
  <c r="V132" i="57"/>
  <c r="X131" i="57"/>
  <c r="Y131" i="57"/>
  <c r="AA131" i="57"/>
  <c r="W131" i="57"/>
  <c r="V131" i="57"/>
  <c r="X130" i="57"/>
  <c r="Y130" i="57"/>
  <c r="W130" i="57"/>
  <c r="V130" i="57"/>
  <c r="X129" i="57"/>
  <c r="Y129" i="57"/>
  <c r="W129" i="57"/>
  <c r="V129" i="57"/>
  <c r="X128" i="57"/>
  <c r="Y128" i="57"/>
  <c r="W128" i="57"/>
  <c r="V128" i="57"/>
  <c r="X127" i="57"/>
  <c r="Y127" i="57"/>
  <c r="W127" i="57"/>
  <c r="V127" i="57"/>
  <c r="X126" i="57"/>
  <c r="Y126" i="57"/>
  <c r="W126" i="57"/>
  <c r="V126" i="57"/>
  <c r="X125" i="57"/>
  <c r="Y125" i="57"/>
  <c r="W125" i="57"/>
  <c r="V125" i="57"/>
  <c r="X124" i="57"/>
  <c r="Y124" i="57"/>
  <c r="W124" i="57"/>
  <c r="V124" i="57"/>
  <c r="X123" i="57"/>
  <c r="Y123" i="57"/>
  <c r="W123" i="57"/>
  <c r="V123" i="57"/>
  <c r="X122" i="57"/>
  <c r="Y122" i="57"/>
  <c r="W122" i="57"/>
  <c r="V122" i="57"/>
  <c r="X121" i="57"/>
  <c r="Y121" i="57"/>
  <c r="W121" i="57"/>
  <c r="V121" i="57"/>
  <c r="X120" i="57"/>
  <c r="Y120" i="57"/>
  <c r="W120" i="57"/>
  <c r="V120" i="57"/>
  <c r="X119" i="57"/>
  <c r="Y119" i="57"/>
  <c r="W119" i="57"/>
  <c r="V119" i="57"/>
  <c r="X118" i="57"/>
  <c r="Y118" i="57"/>
  <c r="W118" i="57"/>
  <c r="V118" i="57"/>
  <c r="X117" i="57"/>
  <c r="Y117" i="57"/>
  <c r="W117" i="57"/>
  <c r="V117" i="57"/>
  <c r="X116" i="57"/>
  <c r="Y116" i="57"/>
  <c r="W116" i="57"/>
  <c r="V116" i="57"/>
  <c r="X115" i="57"/>
  <c r="Y115" i="57"/>
  <c r="W115" i="57"/>
  <c r="V115" i="57"/>
  <c r="X114" i="57"/>
  <c r="Y114" i="57"/>
  <c r="W114" i="57"/>
  <c r="V114" i="57"/>
  <c r="X113" i="57"/>
  <c r="Y113" i="57"/>
  <c r="W113" i="57"/>
  <c r="V113" i="57"/>
  <c r="X112" i="57"/>
  <c r="Y112" i="57"/>
  <c r="W112" i="57"/>
  <c r="V112" i="57"/>
  <c r="X111" i="57"/>
  <c r="Y111" i="57"/>
  <c r="W111" i="57"/>
  <c r="V111" i="57"/>
  <c r="X110" i="57"/>
  <c r="Y110" i="57"/>
  <c r="W110" i="57"/>
  <c r="V110" i="57"/>
  <c r="X109" i="57"/>
  <c r="Y109" i="57"/>
  <c r="W109" i="57"/>
  <c r="V109" i="57"/>
  <c r="X108" i="57"/>
  <c r="Y108" i="57"/>
  <c r="W108" i="57"/>
  <c r="V108" i="57"/>
  <c r="X107" i="57"/>
  <c r="Y107" i="57"/>
  <c r="W107" i="57"/>
  <c r="V107" i="57"/>
  <c r="X106" i="57"/>
  <c r="Y106" i="57"/>
  <c r="W106" i="57"/>
  <c r="V106" i="57"/>
  <c r="X105" i="57"/>
  <c r="Y105" i="57"/>
  <c r="W105" i="57"/>
  <c r="V105" i="57"/>
  <c r="X104" i="57"/>
  <c r="Y104" i="57"/>
  <c r="W104" i="57"/>
  <c r="V104" i="57"/>
  <c r="X103" i="57"/>
  <c r="Y103" i="57"/>
  <c r="W103" i="57"/>
  <c r="V103" i="57"/>
  <c r="X102" i="57"/>
  <c r="Y102" i="57"/>
  <c r="W102" i="57"/>
  <c r="V102" i="57"/>
  <c r="X101" i="57"/>
  <c r="Y101" i="57"/>
  <c r="W101" i="57"/>
  <c r="V101" i="57"/>
  <c r="X100" i="57"/>
  <c r="Y100" i="57"/>
  <c r="W100" i="57"/>
  <c r="V100" i="57"/>
  <c r="X99" i="57"/>
  <c r="Y99" i="57"/>
  <c r="W99" i="57"/>
  <c r="V99" i="57"/>
  <c r="X98" i="57"/>
  <c r="Y98" i="57"/>
  <c r="W98" i="57"/>
  <c r="V98" i="57"/>
  <c r="X97" i="57"/>
  <c r="Y97" i="57"/>
  <c r="W97" i="57"/>
  <c r="V97" i="57"/>
  <c r="X96" i="57"/>
  <c r="Y96" i="57"/>
  <c r="W96" i="57"/>
  <c r="V96" i="57"/>
  <c r="X95" i="57"/>
  <c r="Y95" i="57"/>
  <c r="W95" i="57"/>
  <c r="V95" i="57"/>
  <c r="X94" i="57"/>
  <c r="Y94" i="57"/>
  <c r="W94" i="57"/>
  <c r="V94" i="57"/>
  <c r="X93" i="57"/>
  <c r="Y93" i="57"/>
  <c r="W93" i="57"/>
  <c r="V93" i="57"/>
  <c r="X92" i="57"/>
  <c r="Y92" i="57"/>
  <c r="W92" i="57"/>
  <c r="V92" i="57"/>
  <c r="X91" i="57"/>
  <c r="Y91" i="57"/>
  <c r="W91" i="57"/>
  <c r="V91" i="57"/>
  <c r="X90" i="57"/>
  <c r="Y90" i="57"/>
  <c r="W90" i="57"/>
  <c r="V90" i="57"/>
  <c r="X89" i="57"/>
  <c r="Y89" i="57"/>
  <c r="W89" i="57"/>
  <c r="V89" i="57"/>
  <c r="X88" i="57"/>
  <c r="Y88" i="57"/>
  <c r="W88" i="57"/>
  <c r="V88" i="57"/>
  <c r="X87" i="57"/>
  <c r="Y87" i="57"/>
  <c r="W87" i="57"/>
  <c r="V87" i="57"/>
  <c r="X86" i="57"/>
  <c r="Y86" i="57"/>
  <c r="W86" i="57"/>
  <c r="V86" i="57"/>
  <c r="X85" i="57"/>
  <c r="Y85" i="57"/>
  <c r="W85" i="57"/>
  <c r="V85" i="57"/>
  <c r="X84" i="57"/>
  <c r="Y84" i="57"/>
  <c r="W84" i="57"/>
  <c r="V84" i="57"/>
  <c r="X83" i="57"/>
  <c r="Y83" i="57"/>
  <c r="W83" i="57"/>
  <c r="V83" i="57"/>
  <c r="X82" i="57"/>
  <c r="Y82" i="57"/>
  <c r="W82" i="57"/>
  <c r="V82" i="57"/>
  <c r="X81" i="57"/>
  <c r="W81" i="57"/>
  <c r="V81" i="57"/>
  <c r="X80" i="57"/>
  <c r="Y80" i="57"/>
  <c r="W80" i="57"/>
  <c r="V80" i="57"/>
  <c r="X79" i="57"/>
  <c r="W79" i="57"/>
  <c r="V79" i="57"/>
  <c r="X78" i="57"/>
  <c r="W78" i="57"/>
  <c r="V78" i="57"/>
  <c r="X77" i="57"/>
  <c r="Y77" i="57"/>
  <c r="W77" i="57"/>
  <c r="V77" i="57"/>
  <c r="X76" i="57"/>
  <c r="Y76" i="57"/>
  <c r="W76" i="57"/>
  <c r="V76" i="57"/>
  <c r="X75" i="57"/>
  <c r="W75" i="57"/>
  <c r="V75" i="57"/>
  <c r="X74" i="57"/>
  <c r="Y74" i="57"/>
  <c r="W74" i="57"/>
  <c r="V74" i="57"/>
  <c r="X73" i="57"/>
  <c r="Y73" i="57"/>
  <c r="W73" i="57"/>
  <c r="V73" i="57"/>
  <c r="X72" i="57"/>
  <c r="Y72" i="57"/>
  <c r="W72" i="57"/>
  <c r="V72" i="57"/>
  <c r="X71" i="57"/>
  <c r="W71" i="57"/>
  <c r="V71" i="57"/>
  <c r="X70" i="57"/>
  <c r="Y70" i="57"/>
  <c r="W70" i="57"/>
  <c r="V70" i="57"/>
  <c r="X69" i="57"/>
  <c r="Y69" i="57"/>
  <c r="W69" i="57"/>
  <c r="V69" i="57"/>
  <c r="X68" i="57"/>
  <c r="Y68" i="57"/>
  <c r="W68" i="57"/>
  <c r="V68" i="57"/>
  <c r="X67" i="57"/>
  <c r="Y67" i="57"/>
  <c r="W67" i="57"/>
  <c r="V67" i="57"/>
  <c r="X66" i="57"/>
  <c r="Y66" i="57"/>
  <c r="W66" i="57"/>
  <c r="V66" i="57"/>
  <c r="X65" i="57"/>
  <c r="Y65" i="57"/>
  <c r="W65" i="57"/>
  <c r="V65" i="57"/>
  <c r="X64" i="57"/>
  <c r="Y64" i="57"/>
  <c r="W64" i="57"/>
  <c r="V64" i="57"/>
  <c r="X63" i="57"/>
  <c r="W63" i="57"/>
  <c r="V63" i="57"/>
  <c r="X62" i="57"/>
  <c r="W62" i="57"/>
  <c r="V62" i="57"/>
  <c r="X61" i="57"/>
  <c r="W61" i="57"/>
  <c r="V61" i="57"/>
  <c r="X60" i="57"/>
  <c r="Y60" i="57"/>
  <c r="W60" i="57"/>
  <c r="V60" i="57"/>
  <c r="X59" i="57"/>
  <c r="Y59" i="57"/>
  <c r="W59" i="57"/>
  <c r="V59" i="57"/>
  <c r="X58" i="57"/>
  <c r="Y58" i="57"/>
  <c r="W58" i="57"/>
  <c r="V58" i="57"/>
  <c r="X57" i="57"/>
  <c r="Y57" i="57"/>
  <c r="W57" i="57"/>
  <c r="V57" i="57"/>
  <c r="X56" i="57"/>
  <c r="Y56" i="57"/>
  <c r="W56" i="57"/>
  <c r="V56" i="57"/>
  <c r="X55" i="57"/>
  <c r="W55" i="57"/>
  <c r="V55" i="57"/>
  <c r="X54" i="57"/>
  <c r="Y54" i="57"/>
  <c r="W54" i="57"/>
  <c r="V54" i="57"/>
  <c r="X53" i="57"/>
  <c r="Y53" i="57"/>
  <c r="W53" i="57"/>
  <c r="V53" i="57"/>
  <c r="X52" i="57"/>
  <c r="Y52" i="57"/>
  <c r="W52" i="57"/>
  <c r="V52" i="57"/>
  <c r="X51" i="57"/>
  <c r="Y51" i="57"/>
  <c r="W51" i="57"/>
  <c r="V51" i="57"/>
  <c r="X50" i="57"/>
  <c r="Y50" i="57"/>
  <c r="W50" i="57"/>
  <c r="V50" i="57"/>
  <c r="X49" i="57"/>
  <c r="Y49" i="57"/>
  <c r="W49" i="57"/>
  <c r="V49" i="57"/>
  <c r="X48" i="57"/>
  <c r="Y48" i="57"/>
  <c r="W48" i="57"/>
  <c r="V48" i="57"/>
  <c r="X47" i="57"/>
  <c r="W47" i="57"/>
  <c r="V47" i="57"/>
  <c r="X46" i="57"/>
  <c r="W46" i="57"/>
  <c r="V46" i="57"/>
  <c r="X45" i="57"/>
  <c r="Y45" i="57"/>
  <c r="W45" i="57"/>
  <c r="V45" i="57"/>
  <c r="X44" i="57"/>
  <c r="Y44" i="57"/>
  <c r="W44" i="57"/>
  <c r="V44" i="57"/>
  <c r="X43" i="57"/>
  <c r="W43" i="57"/>
  <c r="V43" i="57"/>
  <c r="X42" i="57"/>
  <c r="Y42" i="57"/>
  <c r="W42" i="57"/>
  <c r="V42" i="57"/>
  <c r="X41" i="57"/>
  <c r="W41" i="57"/>
  <c r="V41" i="57"/>
  <c r="X40" i="57"/>
  <c r="Y40" i="57"/>
  <c r="W40" i="57"/>
  <c r="V40" i="57"/>
  <c r="X39" i="57"/>
  <c r="W39" i="57"/>
  <c r="V39" i="57"/>
  <c r="X38" i="57"/>
  <c r="W38" i="57"/>
  <c r="V38" i="57"/>
  <c r="X37" i="57"/>
  <c r="Y37" i="57"/>
  <c r="W37" i="57"/>
  <c r="V37" i="57"/>
  <c r="X36" i="57"/>
  <c r="Y36" i="57"/>
  <c r="W36" i="57"/>
  <c r="V36" i="57"/>
  <c r="X35" i="57"/>
  <c r="W35" i="57"/>
  <c r="V35" i="57"/>
  <c r="X34" i="57"/>
  <c r="W34" i="57"/>
  <c r="V34" i="57"/>
  <c r="X33" i="57"/>
  <c r="Y33" i="57"/>
  <c r="W33" i="57"/>
  <c r="V33" i="57"/>
  <c r="X32" i="57"/>
  <c r="W32" i="57"/>
  <c r="V32" i="57"/>
  <c r="X31" i="57"/>
  <c r="W31" i="57"/>
  <c r="V31" i="57"/>
  <c r="X30" i="57"/>
  <c r="Y30" i="57"/>
  <c r="W30" i="57"/>
  <c r="V30" i="57"/>
  <c r="X29" i="57"/>
  <c r="Y29" i="57"/>
  <c r="W29" i="57"/>
  <c r="V29" i="57"/>
  <c r="X28" i="57"/>
  <c r="Y28" i="57"/>
  <c r="W28" i="57"/>
  <c r="V28" i="57"/>
  <c r="X27" i="57"/>
  <c r="W27" i="57"/>
  <c r="V27" i="57"/>
  <c r="X26" i="57"/>
  <c r="W26" i="57"/>
  <c r="V26" i="57"/>
  <c r="X25" i="57"/>
  <c r="Y25" i="57"/>
  <c r="W25" i="57"/>
  <c r="V25" i="57"/>
  <c r="X24" i="57"/>
  <c r="Y24" i="57"/>
  <c r="W24" i="57"/>
  <c r="V24" i="57"/>
  <c r="X23" i="57"/>
  <c r="W23" i="57"/>
  <c r="V23" i="57"/>
  <c r="X22" i="57"/>
  <c r="Y22" i="57"/>
  <c r="W22" i="57"/>
  <c r="V22" i="57"/>
  <c r="X21" i="57"/>
  <c r="Y21" i="57"/>
  <c r="W21" i="57"/>
  <c r="V21" i="57"/>
  <c r="X20" i="57"/>
  <c r="W20" i="57"/>
  <c r="V20" i="57"/>
  <c r="X19" i="57"/>
  <c r="W19" i="57"/>
  <c r="V19" i="57"/>
  <c r="X18" i="57"/>
  <c r="W18" i="57"/>
  <c r="V18" i="57"/>
  <c r="X17" i="57"/>
  <c r="W17" i="57"/>
  <c r="V17" i="57"/>
  <c r="X16" i="57"/>
  <c r="Y16" i="57"/>
  <c r="W16" i="57"/>
  <c r="V16" i="57"/>
  <c r="X15" i="57"/>
  <c r="W15" i="57"/>
  <c r="V15" i="57"/>
  <c r="X14" i="57"/>
  <c r="W14" i="57"/>
  <c r="V14" i="57"/>
  <c r="X13" i="57"/>
  <c r="Y13" i="57"/>
  <c r="W13" i="57"/>
  <c r="V13" i="57"/>
  <c r="X12" i="57"/>
  <c r="Y12" i="57"/>
  <c r="W12" i="57"/>
  <c r="V12" i="57"/>
  <c r="X11" i="57"/>
  <c r="W11" i="57"/>
  <c r="V11" i="57"/>
  <c r="X10" i="57"/>
  <c r="Y10" i="57"/>
  <c r="W10" i="57"/>
  <c r="V10" i="57"/>
  <c r="X9" i="57"/>
  <c r="Y9" i="57"/>
  <c r="W9" i="57"/>
  <c r="V9" i="57"/>
  <c r="X8" i="57"/>
  <c r="Y8" i="57"/>
  <c r="W8" i="57"/>
  <c r="V8" i="57"/>
  <c r="X7" i="57"/>
  <c r="W7" i="57"/>
  <c r="V7" i="57"/>
  <c r="X6" i="57"/>
  <c r="Y6" i="57"/>
  <c r="W6" i="57"/>
  <c r="V6" i="57"/>
  <c r="X5" i="57"/>
  <c r="W5" i="57"/>
  <c r="V5" i="57"/>
  <c r="X4" i="57"/>
  <c r="W4" i="57"/>
  <c r="V4" i="57"/>
  <c r="X3" i="57"/>
  <c r="W3" i="57"/>
  <c r="V3" i="57"/>
  <c r="W2" i="57"/>
  <c r="D2431" i="48"/>
  <c r="N2431" i="48"/>
  <c r="N2904" i="48"/>
  <c r="N2896" i="48"/>
  <c r="N2888" i="48"/>
  <c r="N2880" i="48"/>
  <c r="N2872" i="48"/>
  <c r="N2864" i="48"/>
  <c r="N2856" i="48"/>
  <c r="N2848" i="48"/>
  <c r="N2840" i="48"/>
  <c r="N2832" i="48"/>
  <c r="N2824" i="48"/>
  <c r="N2816" i="48"/>
  <c r="N2808" i="48"/>
  <c r="N2800" i="48"/>
  <c r="N2792" i="48"/>
  <c r="N2784" i="48"/>
  <c r="N2776" i="48"/>
  <c r="N2768" i="48"/>
  <c r="N2760" i="48"/>
  <c r="N2752" i="48"/>
  <c r="N2744" i="48"/>
  <c r="N2736" i="48"/>
  <c r="N2728" i="48"/>
  <c r="N2720" i="48"/>
  <c r="N2712" i="48"/>
  <c r="N2704" i="48"/>
  <c r="N2696" i="48"/>
  <c r="N2688" i="48"/>
  <c r="N2680" i="48"/>
  <c r="N2672" i="48"/>
  <c r="N2664" i="48"/>
  <c r="N2656" i="48"/>
  <c r="N2648" i="48"/>
  <c r="N2640" i="48"/>
  <c r="N2632" i="48"/>
  <c r="N2624" i="48"/>
  <c r="N2616" i="48"/>
  <c r="N2608" i="48"/>
  <c r="N2600" i="48"/>
  <c r="N2592" i="48"/>
  <c r="N2584" i="48"/>
  <c r="N2576" i="48"/>
  <c r="N2568" i="48"/>
  <c r="N2560" i="48"/>
  <c r="N2552" i="48"/>
  <c r="N2544" i="48"/>
  <c r="N2536" i="48"/>
  <c r="N2528" i="48"/>
  <c r="N2520" i="48"/>
  <c r="N2512" i="48"/>
  <c r="N2504" i="48"/>
  <c r="N2496" i="48"/>
  <c r="N2488" i="48"/>
  <c r="N2480" i="48"/>
  <c r="N2472" i="48"/>
  <c r="N2464" i="48"/>
  <c r="N2456" i="48"/>
  <c r="N2448" i="48"/>
  <c r="N2440" i="48"/>
  <c r="N2432" i="48"/>
  <c r="N2424" i="48"/>
  <c r="N2416" i="48"/>
  <c r="N2408" i="48"/>
  <c r="N2400" i="48"/>
  <c r="N2392" i="48"/>
  <c r="N2384" i="48"/>
  <c r="N2376" i="48"/>
  <c r="N2368" i="48"/>
  <c r="N2360" i="48"/>
  <c r="N2352" i="48"/>
  <c r="N2344" i="48"/>
  <c r="N2336" i="48"/>
  <c r="N2328" i="48"/>
  <c r="N2320" i="48"/>
  <c r="N2312" i="48"/>
  <c r="N2304" i="48"/>
  <c r="N2296" i="48"/>
  <c r="N2288" i="48"/>
  <c r="N2280" i="48"/>
  <c r="N2272" i="48"/>
  <c r="N2264" i="48"/>
  <c r="N2256" i="48"/>
  <c r="N2248" i="48"/>
  <c r="N2240" i="48"/>
  <c r="N2232" i="48"/>
  <c r="N2224" i="48"/>
  <c r="N2216" i="48"/>
  <c r="N2208" i="48"/>
  <c r="N2200" i="48"/>
  <c r="N2192" i="48"/>
  <c r="N2184" i="48"/>
  <c r="N2176" i="48"/>
  <c r="N2168" i="48"/>
  <c r="N2160" i="48"/>
  <c r="N2152" i="48"/>
  <c r="N2144" i="48"/>
  <c r="N2136" i="48"/>
  <c r="N2128" i="48"/>
  <c r="N2120" i="48"/>
  <c r="N2112" i="48"/>
  <c r="N2104" i="48"/>
  <c r="N2096" i="48"/>
  <c r="N2088" i="48"/>
  <c r="N2080" i="48"/>
  <c r="N2072" i="48"/>
  <c r="N2064" i="48"/>
  <c r="N2056" i="48"/>
  <c r="N2048" i="48"/>
  <c r="N2040" i="48"/>
  <c r="N2032" i="48"/>
  <c r="N2024" i="48"/>
  <c r="N2016" i="48"/>
  <c r="N2008" i="48"/>
  <c r="N2000" i="48"/>
  <c r="N1992" i="48"/>
  <c r="N1984" i="48"/>
  <c r="N1976" i="48"/>
  <c r="N1968" i="48"/>
  <c r="N1960" i="48"/>
  <c r="N1952" i="48"/>
  <c r="N1944" i="48"/>
  <c r="N1936" i="48"/>
  <c r="N1928" i="48"/>
  <c r="N1920" i="48"/>
  <c r="N1912" i="48"/>
  <c r="N1904" i="48"/>
  <c r="N1896" i="48"/>
  <c r="N1888" i="48"/>
  <c r="N1880" i="48"/>
  <c r="N1872" i="48"/>
  <c r="N1864" i="48"/>
  <c r="N1856" i="48"/>
  <c r="N1848" i="48"/>
  <c r="N1840" i="48"/>
  <c r="N1832" i="48"/>
  <c r="N1824" i="48"/>
  <c r="N1816" i="48"/>
  <c r="N1808" i="48"/>
  <c r="N1800" i="48"/>
  <c r="N1792" i="48"/>
  <c r="N1784" i="48"/>
  <c r="N1776" i="48"/>
  <c r="N1768" i="48"/>
  <c r="N1760" i="48"/>
  <c r="N1752" i="48"/>
  <c r="N1744" i="48"/>
  <c r="N1736" i="48"/>
  <c r="N1728" i="48"/>
  <c r="N1720" i="48"/>
  <c r="N1712" i="48"/>
  <c r="N1704" i="48"/>
  <c r="N1696" i="48"/>
  <c r="N1688" i="48"/>
  <c r="N1680" i="48"/>
  <c r="N1672" i="48"/>
  <c r="N1664" i="48"/>
  <c r="N1656" i="48"/>
  <c r="N1648" i="48"/>
  <c r="N1640" i="48"/>
  <c r="N1632" i="48"/>
  <c r="N1624" i="48"/>
  <c r="N1616" i="48"/>
  <c r="N1608" i="48"/>
  <c r="N1600" i="48"/>
  <c r="N1592" i="48"/>
  <c r="N1584" i="48"/>
  <c r="N1576" i="48"/>
  <c r="N1568" i="48"/>
  <c r="N1560" i="48"/>
  <c r="N1552" i="48"/>
  <c r="N1544" i="48"/>
  <c r="N1536" i="48"/>
  <c r="N1528" i="48"/>
  <c r="N1520" i="48"/>
  <c r="N1512" i="48"/>
  <c r="N1504" i="48"/>
  <c r="N1496" i="48"/>
  <c r="N1488" i="48"/>
  <c r="N1480" i="48"/>
  <c r="N1472" i="48"/>
  <c r="N1464" i="48"/>
  <c r="N1456" i="48"/>
  <c r="N1448" i="48"/>
  <c r="N1440" i="48"/>
  <c r="N1432" i="48"/>
  <c r="N1424" i="48"/>
  <c r="N1416" i="48"/>
  <c r="N1408" i="48"/>
  <c r="N1400" i="48"/>
  <c r="N1392" i="48"/>
  <c r="N1384" i="48"/>
  <c r="N1376" i="48"/>
  <c r="N1368" i="48"/>
  <c r="N1360" i="48"/>
  <c r="N1352" i="48"/>
  <c r="N1344" i="48"/>
  <c r="N1336" i="48"/>
  <c r="N1328" i="48"/>
  <c r="N1320" i="48"/>
  <c r="N1312" i="48"/>
  <c r="N1304" i="48"/>
  <c r="N1296" i="48"/>
  <c r="N1288" i="48"/>
  <c r="N1280" i="48"/>
  <c r="N1272" i="48"/>
  <c r="N1264" i="48"/>
  <c r="N1256" i="48"/>
  <c r="N1248" i="48"/>
  <c r="N1240" i="48"/>
  <c r="N1232" i="48"/>
  <c r="N1224" i="48"/>
  <c r="N1216" i="48"/>
  <c r="N1208" i="48"/>
  <c r="N1200" i="48"/>
  <c r="N1192" i="48"/>
  <c r="N1184" i="48"/>
  <c r="N1176" i="48"/>
  <c r="N1168" i="48"/>
  <c r="N1160" i="48"/>
  <c r="N1152" i="48"/>
  <c r="N1144" i="48"/>
  <c r="N1136" i="48"/>
  <c r="N1128" i="48"/>
  <c r="N1120" i="48"/>
  <c r="N1112" i="48"/>
  <c r="N1104" i="48"/>
  <c r="N1096" i="48"/>
  <c r="N1088" i="48"/>
  <c r="N1080" i="48"/>
  <c r="N1072" i="48"/>
  <c r="N1064" i="48"/>
  <c r="N1056" i="48"/>
  <c r="N1048" i="48"/>
  <c r="N1040" i="48"/>
  <c r="N1032" i="48"/>
  <c r="N1024" i="48"/>
  <c r="N1016" i="48"/>
  <c r="N1008" i="48"/>
  <c r="N1000" i="48"/>
  <c r="N992" i="48"/>
  <c r="N984" i="48"/>
  <c r="N976" i="48"/>
  <c r="N968" i="48"/>
  <c r="N960" i="48"/>
  <c r="N952" i="48"/>
  <c r="N944" i="48"/>
  <c r="N936" i="48"/>
  <c r="N928" i="48"/>
  <c r="N920" i="48"/>
  <c r="N912" i="48"/>
  <c r="N904" i="48"/>
  <c r="N896" i="48"/>
  <c r="N888" i="48"/>
  <c r="N880" i="48"/>
  <c r="N872" i="48"/>
  <c r="N864" i="48"/>
  <c r="N856" i="48"/>
  <c r="N848" i="48"/>
  <c r="N840" i="48"/>
  <c r="N832" i="48"/>
  <c r="N824" i="48"/>
  <c r="N816" i="48"/>
  <c r="N808" i="48"/>
  <c r="N800" i="48"/>
  <c r="N792" i="48"/>
  <c r="N784" i="48"/>
  <c r="N776" i="48"/>
  <c r="N768" i="48"/>
  <c r="N760" i="48"/>
  <c r="N752" i="48"/>
  <c r="N744" i="48"/>
  <c r="N736" i="48"/>
  <c r="N728" i="48"/>
  <c r="N720" i="48"/>
  <c r="N712" i="48"/>
  <c r="N704" i="48"/>
  <c r="N696" i="48"/>
  <c r="N688" i="48"/>
  <c r="N680" i="48"/>
  <c r="N672" i="48"/>
  <c r="N664" i="48"/>
  <c r="N656" i="48"/>
  <c r="N648" i="48"/>
  <c r="N640" i="48"/>
  <c r="N632" i="48"/>
  <c r="N624" i="48"/>
  <c r="N616" i="48"/>
  <c r="N608" i="48"/>
  <c r="N600" i="48"/>
  <c r="N592" i="48"/>
  <c r="N584" i="48"/>
  <c r="N576" i="48"/>
  <c r="N568" i="48"/>
  <c r="N560" i="48"/>
  <c r="N552" i="48"/>
  <c r="N544" i="48"/>
  <c r="N536" i="48"/>
  <c r="N528" i="48"/>
  <c r="N520" i="48"/>
  <c r="N512" i="48"/>
  <c r="N504" i="48"/>
  <c r="N496" i="48"/>
  <c r="N488" i="48"/>
  <c r="N480" i="48"/>
  <c r="N472" i="48"/>
  <c r="N464" i="48"/>
  <c r="N456" i="48"/>
  <c r="N448" i="48"/>
  <c r="N440" i="48"/>
  <c r="N432" i="48"/>
  <c r="N424" i="48"/>
  <c r="N416" i="48"/>
  <c r="N408" i="48"/>
  <c r="N400" i="48"/>
  <c r="N392" i="48"/>
  <c r="N384" i="48"/>
  <c r="N376" i="48"/>
  <c r="N368" i="48"/>
  <c r="N360" i="48"/>
  <c r="N352" i="48"/>
  <c r="N350" i="48"/>
  <c r="N344" i="48"/>
  <c r="N342" i="48"/>
  <c r="N336" i="48"/>
  <c r="N334" i="48"/>
  <c r="N328" i="48"/>
  <c r="N320" i="48"/>
  <c r="N318" i="48"/>
  <c r="N312" i="48"/>
  <c r="N304" i="48"/>
  <c r="N302" i="48"/>
  <c r="N296" i="48"/>
  <c r="N294" i="48"/>
  <c r="N288" i="48"/>
  <c r="N286" i="48"/>
  <c r="N280" i="48"/>
  <c r="N278" i="48"/>
  <c r="N272" i="48"/>
  <c r="N270" i="48"/>
  <c r="N264" i="48"/>
  <c r="N256" i="48"/>
  <c r="N254" i="48"/>
  <c r="N248" i="48"/>
  <c r="N240" i="48"/>
  <c r="N238" i="48"/>
  <c r="N232" i="48"/>
  <c r="N230" i="48"/>
  <c r="N224" i="48"/>
  <c r="N222" i="48"/>
  <c r="N221" i="48"/>
  <c r="N216" i="48"/>
  <c r="N214" i="48"/>
  <c r="N213" i="48"/>
  <c r="N208" i="48"/>
  <c r="N206" i="48"/>
  <c r="N205" i="48"/>
  <c r="N203" i="48"/>
  <c r="N204" i="48"/>
  <c r="N207" i="48"/>
  <c r="N209" i="48"/>
  <c r="N210" i="48"/>
  <c r="N211" i="48"/>
  <c r="N212" i="48"/>
  <c r="N215" i="48"/>
  <c r="N217" i="48"/>
  <c r="N218" i="48"/>
  <c r="N219" i="48"/>
  <c r="N220" i="48"/>
  <c r="N223" i="48"/>
  <c r="N225" i="48"/>
  <c r="N226" i="48"/>
  <c r="N227" i="48"/>
  <c r="N228" i="48"/>
  <c r="N229" i="48"/>
  <c r="N231" i="48"/>
  <c r="N233" i="48"/>
  <c r="N234" i="48"/>
  <c r="N235" i="48"/>
  <c r="N236" i="48"/>
  <c r="N237" i="48"/>
  <c r="N239" i="48"/>
  <c r="N241" i="48"/>
  <c r="N242" i="48"/>
  <c r="N243" i="48"/>
  <c r="N244" i="48"/>
  <c r="N245" i="48"/>
  <c r="N246" i="48"/>
  <c r="N247" i="48"/>
  <c r="N249" i="48"/>
  <c r="N250" i="48"/>
  <c r="N251" i="48"/>
  <c r="N252" i="48"/>
  <c r="N253" i="48"/>
  <c r="N255" i="48"/>
  <c r="N257" i="48"/>
  <c r="N258" i="48"/>
  <c r="N259" i="48"/>
  <c r="N260" i="48"/>
  <c r="N261" i="48"/>
  <c r="N262" i="48"/>
  <c r="N263" i="48"/>
  <c r="N265" i="48"/>
  <c r="N266" i="48"/>
  <c r="N267" i="48"/>
  <c r="N268" i="48"/>
  <c r="N269" i="48"/>
  <c r="N271" i="48"/>
  <c r="N273" i="48"/>
  <c r="N274" i="48"/>
  <c r="N275" i="48"/>
  <c r="N276" i="48"/>
  <c r="N277" i="48"/>
  <c r="N279" i="48"/>
  <c r="N281" i="48"/>
  <c r="N282" i="48"/>
  <c r="N283" i="48"/>
  <c r="N284" i="48"/>
  <c r="N285" i="48"/>
  <c r="N287" i="48"/>
  <c r="N289" i="48"/>
  <c r="N290" i="48"/>
  <c r="N291" i="48"/>
  <c r="N292" i="48"/>
  <c r="N293" i="48"/>
  <c r="N295" i="48"/>
  <c r="N297" i="48"/>
  <c r="N298" i="48"/>
  <c r="N299" i="48"/>
  <c r="N300" i="48"/>
  <c r="N301" i="48"/>
  <c r="N303" i="48"/>
  <c r="N305" i="48"/>
  <c r="N306" i="48"/>
  <c r="N307" i="48"/>
  <c r="N308" i="48"/>
  <c r="N309" i="48"/>
  <c r="N310" i="48"/>
  <c r="N311" i="48"/>
  <c r="N313" i="48"/>
  <c r="N314" i="48"/>
  <c r="N315" i="48"/>
  <c r="N316" i="48"/>
  <c r="N317" i="48"/>
  <c r="N319" i="48"/>
  <c r="N321" i="48"/>
  <c r="N322" i="48"/>
  <c r="N323" i="48"/>
  <c r="N324" i="48"/>
  <c r="N325" i="48"/>
  <c r="N326" i="48"/>
  <c r="N327" i="48"/>
  <c r="N329" i="48"/>
  <c r="N330" i="48"/>
  <c r="N331" i="48"/>
  <c r="N332" i="48"/>
  <c r="N333" i="48"/>
  <c r="N335" i="48"/>
  <c r="N337" i="48"/>
  <c r="N338" i="48"/>
  <c r="N339" i="48"/>
  <c r="N340" i="48"/>
  <c r="N341" i="48"/>
  <c r="N343" i="48"/>
  <c r="N345" i="48"/>
  <c r="N346" i="48"/>
  <c r="N347" i="48"/>
  <c r="N348" i="48"/>
  <c r="N349" i="48"/>
  <c r="N351" i="48"/>
  <c r="N353" i="48"/>
  <c r="N354" i="48"/>
  <c r="N355" i="48"/>
  <c r="N356" i="48"/>
  <c r="N357" i="48"/>
  <c r="N358" i="48"/>
  <c r="N359" i="48"/>
  <c r="N361" i="48"/>
  <c r="N362" i="48"/>
  <c r="N363" i="48"/>
  <c r="N364" i="48"/>
  <c r="N365" i="48"/>
  <c r="N366" i="48"/>
  <c r="N367" i="48"/>
  <c r="N369" i="48"/>
  <c r="N370" i="48"/>
  <c r="N371" i="48"/>
  <c r="N372" i="48"/>
  <c r="N373" i="48"/>
  <c r="N374" i="48"/>
  <c r="N375" i="48"/>
  <c r="N377" i="48"/>
  <c r="N378" i="48"/>
  <c r="N379" i="48"/>
  <c r="N380" i="48"/>
  <c r="N381" i="48"/>
  <c r="N382" i="48"/>
  <c r="N383" i="48"/>
  <c r="N385" i="48"/>
  <c r="N386" i="48"/>
  <c r="N387" i="48"/>
  <c r="N388" i="48"/>
  <c r="N389" i="48"/>
  <c r="N390" i="48"/>
  <c r="N391" i="48"/>
  <c r="N393" i="48"/>
  <c r="N394" i="48"/>
  <c r="N395" i="48"/>
  <c r="N396" i="48"/>
  <c r="N397" i="48"/>
  <c r="N398" i="48"/>
  <c r="N399" i="48"/>
  <c r="N401" i="48"/>
  <c r="N402" i="48"/>
  <c r="N403" i="48"/>
  <c r="N404" i="48"/>
  <c r="N405" i="48"/>
  <c r="N406" i="48"/>
  <c r="N407" i="48"/>
  <c r="N409" i="48"/>
  <c r="N410" i="48"/>
  <c r="N411" i="48"/>
  <c r="N412" i="48"/>
  <c r="N413" i="48"/>
  <c r="N414" i="48"/>
  <c r="N415" i="48"/>
  <c r="N417" i="48"/>
  <c r="N418" i="48"/>
  <c r="N419" i="48"/>
  <c r="N420" i="48"/>
  <c r="N421" i="48"/>
  <c r="N422" i="48"/>
  <c r="N423" i="48"/>
  <c r="N425" i="48"/>
  <c r="N426" i="48"/>
  <c r="N427" i="48"/>
  <c r="N428" i="48"/>
  <c r="N429" i="48"/>
  <c r="N430" i="48"/>
  <c r="N431" i="48"/>
  <c r="N433" i="48"/>
  <c r="N434" i="48"/>
  <c r="N435" i="48"/>
  <c r="N436" i="48"/>
  <c r="N437" i="48"/>
  <c r="N438" i="48"/>
  <c r="N439" i="48"/>
  <c r="N441" i="48"/>
  <c r="N442" i="48"/>
  <c r="N443" i="48"/>
  <c r="N444" i="48"/>
  <c r="N445" i="48"/>
  <c r="N446" i="48"/>
  <c r="N447" i="48"/>
  <c r="N449" i="48"/>
  <c r="N450" i="48"/>
  <c r="N451" i="48"/>
  <c r="N452" i="48"/>
  <c r="N453" i="48"/>
  <c r="N454" i="48"/>
  <c r="N455" i="48"/>
  <c r="N457" i="48"/>
  <c r="N458" i="48"/>
  <c r="N459" i="48"/>
  <c r="N460" i="48"/>
  <c r="N461" i="48"/>
  <c r="N462" i="48"/>
  <c r="N463" i="48"/>
  <c r="N465" i="48"/>
  <c r="N466" i="48"/>
  <c r="N467" i="48"/>
  <c r="N468" i="48"/>
  <c r="N469" i="48"/>
  <c r="N470" i="48"/>
  <c r="N471" i="48"/>
  <c r="N473" i="48"/>
  <c r="N474" i="48"/>
  <c r="N475" i="48"/>
  <c r="N476" i="48"/>
  <c r="N477" i="48"/>
  <c r="N478" i="48"/>
  <c r="N479" i="48"/>
  <c r="N481" i="48"/>
  <c r="N482" i="48"/>
  <c r="N483" i="48"/>
  <c r="N484" i="48"/>
  <c r="N485" i="48"/>
  <c r="N486" i="48"/>
  <c r="N487" i="48"/>
  <c r="N489" i="48"/>
  <c r="N490" i="48"/>
  <c r="N491" i="48"/>
  <c r="N492" i="48"/>
  <c r="N493" i="48"/>
  <c r="N494" i="48"/>
  <c r="N495" i="48"/>
  <c r="N497" i="48"/>
  <c r="N498" i="48"/>
  <c r="N499" i="48"/>
  <c r="N500" i="48"/>
  <c r="N501" i="48"/>
  <c r="N502" i="48"/>
  <c r="N503" i="48"/>
  <c r="N505" i="48"/>
  <c r="N506" i="48"/>
  <c r="N507" i="48"/>
  <c r="N508" i="48"/>
  <c r="N509" i="48"/>
  <c r="N510" i="48"/>
  <c r="N511" i="48"/>
  <c r="N513" i="48"/>
  <c r="N514" i="48"/>
  <c r="N515" i="48"/>
  <c r="N516" i="48"/>
  <c r="N517" i="48"/>
  <c r="N518" i="48"/>
  <c r="N519" i="48"/>
  <c r="N521" i="48"/>
  <c r="N522" i="48"/>
  <c r="N523" i="48"/>
  <c r="N524" i="48"/>
  <c r="N525" i="48"/>
  <c r="N526" i="48"/>
  <c r="N527" i="48"/>
  <c r="N529" i="48"/>
  <c r="N530" i="48"/>
  <c r="N531" i="48"/>
  <c r="N532" i="48"/>
  <c r="N533" i="48"/>
  <c r="N534" i="48"/>
  <c r="N535" i="48"/>
  <c r="N537" i="48"/>
  <c r="N538" i="48"/>
  <c r="N539" i="48"/>
  <c r="N540" i="48"/>
  <c r="N541" i="48"/>
  <c r="N542" i="48"/>
  <c r="N543" i="48"/>
  <c r="N545" i="48"/>
  <c r="N546" i="48"/>
  <c r="N547" i="48"/>
  <c r="N548" i="48"/>
  <c r="N549" i="48"/>
  <c r="N550" i="48"/>
  <c r="N551" i="48"/>
  <c r="N553" i="48"/>
  <c r="N554" i="48"/>
  <c r="N555" i="48"/>
  <c r="N556" i="48"/>
  <c r="N557" i="48"/>
  <c r="N558" i="48"/>
  <c r="N559" i="48"/>
  <c r="N561" i="48"/>
  <c r="N562" i="48"/>
  <c r="N563" i="48"/>
  <c r="N564" i="48"/>
  <c r="N565" i="48"/>
  <c r="N566" i="48"/>
  <c r="N567" i="48"/>
  <c r="N569" i="48"/>
  <c r="N570" i="48"/>
  <c r="N571" i="48"/>
  <c r="N572" i="48"/>
  <c r="N573" i="48"/>
  <c r="N574" i="48"/>
  <c r="N575" i="48"/>
  <c r="N577" i="48"/>
  <c r="N578" i="48"/>
  <c r="N579" i="48"/>
  <c r="N580" i="48"/>
  <c r="N581" i="48"/>
  <c r="N582" i="48"/>
  <c r="N583" i="48"/>
  <c r="N585" i="48"/>
  <c r="N586" i="48"/>
  <c r="N587" i="48"/>
  <c r="N588" i="48"/>
  <c r="N589" i="48"/>
  <c r="N590" i="48"/>
  <c r="N591" i="48"/>
  <c r="N593" i="48"/>
  <c r="N594" i="48"/>
  <c r="N595" i="48"/>
  <c r="N596" i="48"/>
  <c r="N597" i="48"/>
  <c r="N598" i="48"/>
  <c r="N599" i="48"/>
  <c r="N601" i="48"/>
  <c r="N602" i="48"/>
  <c r="N603" i="48"/>
  <c r="N604" i="48"/>
  <c r="N605" i="48"/>
  <c r="N606" i="48"/>
  <c r="N607" i="48"/>
  <c r="N609" i="48"/>
  <c r="N610" i="48"/>
  <c r="N611" i="48"/>
  <c r="N612" i="48"/>
  <c r="N613" i="48"/>
  <c r="N614" i="48"/>
  <c r="N615" i="48"/>
  <c r="N617" i="48"/>
  <c r="N618" i="48"/>
  <c r="N619" i="48"/>
  <c r="N620" i="48"/>
  <c r="N621" i="48"/>
  <c r="N622" i="48"/>
  <c r="N623" i="48"/>
  <c r="N625" i="48"/>
  <c r="N626" i="48"/>
  <c r="N627" i="48"/>
  <c r="N628" i="48"/>
  <c r="N629" i="48"/>
  <c r="N630" i="48"/>
  <c r="N631" i="48"/>
  <c r="N633" i="48"/>
  <c r="N634" i="48"/>
  <c r="N635" i="48"/>
  <c r="N636" i="48"/>
  <c r="N637" i="48"/>
  <c r="N638" i="48"/>
  <c r="N639" i="48"/>
  <c r="N641" i="48"/>
  <c r="N642" i="48"/>
  <c r="N643" i="48"/>
  <c r="N644" i="48"/>
  <c r="N645" i="48"/>
  <c r="N646" i="48"/>
  <c r="N647" i="48"/>
  <c r="N649" i="48"/>
  <c r="N650" i="48"/>
  <c r="N651" i="48"/>
  <c r="N652" i="48"/>
  <c r="N653" i="48"/>
  <c r="N654" i="48"/>
  <c r="N655" i="48"/>
  <c r="N657" i="48"/>
  <c r="N658" i="48"/>
  <c r="N659" i="48"/>
  <c r="N660" i="48"/>
  <c r="N661" i="48"/>
  <c r="N662" i="48"/>
  <c r="N663" i="48"/>
  <c r="N665" i="48"/>
  <c r="N666" i="48"/>
  <c r="N667" i="48"/>
  <c r="N668" i="48"/>
  <c r="N669" i="48"/>
  <c r="N670" i="48"/>
  <c r="N671" i="48"/>
  <c r="N673" i="48"/>
  <c r="N674" i="48"/>
  <c r="N675" i="48"/>
  <c r="N676" i="48"/>
  <c r="N677" i="48"/>
  <c r="N678" i="48"/>
  <c r="N679" i="48"/>
  <c r="N681" i="48"/>
  <c r="N682" i="48"/>
  <c r="N683" i="48"/>
  <c r="N684" i="48"/>
  <c r="N685" i="48"/>
  <c r="N686" i="48"/>
  <c r="N687" i="48"/>
  <c r="N689" i="48"/>
  <c r="N690" i="48"/>
  <c r="N691" i="48"/>
  <c r="N692" i="48"/>
  <c r="N693" i="48"/>
  <c r="N694" i="48"/>
  <c r="N695" i="48"/>
  <c r="N697" i="48"/>
  <c r="N698" i="48"/>
  <c r="N699" i="48"/>
  <c r="N700" i="48"/>
  <c r="N701" i="48"/>
  <c r="N702" i="48"/>
  <c r="N703" i="48"/>
  <c r="N705" i="48"/>
  <c r="N706" i="48"/>
  <c r="N707" i="48"/>
  <c r="N708" i="48"/>
  <c r="N709" i="48"/>
  <c r="N710" i="48"/>
  <c r="N711" i="48"/>
  <c r="N713" i="48"/>
  <c r="N714" i="48"/>
  <c r="N715" i="48"/>
  <c r="N716" i="48"/>
  <c r="N717" i="48"/>
  <c r="N718" i="48"/>
  <c r="N719" i="48"/>
  <c r="N721" i="48"/>
  <c r="N722" i="48"/>
  <c r="N723" i="48"/>
  <c r="N724" i="48"/>
  <c r="N725" i="48"/>
  <c r="N726" i="48"/>
  <c r="N727" i="48"/>
  <c r="N729" i="48"/>
  <c r="N730" i="48"/>
  <c r="N731" i="48"/>
  <c r="N732" i="48"/>
  <c r="N733" i="48"/>
  <c r="N734" i="48"/>
  <c r="N735" i="48"/>
  <c r="N737" i="48"/>
  <c r="N738" i="48"/>
  <c r="N739" i="48"/>
  <c r="N740" i="48"/>
  <c r="N741" i="48"/>
  <c r="N742" i="48"/>
  <c r="N743" i="48"/>
  <c r="N745" i="48"/>
  <c r="N746" i="48"/>
  <c r="N747" i="48"/>
  <c r="N748" i="48"/>
  <c r="N749" i="48"/>
  <c r="N750" i="48"/>
  <c r="N751" i="48"/>
  <c r="N753" i="48"/>
  <c r="N754" i="48"/>
  <c r="N755" i="48"/>
  <c r="N756" i="48"/>
  <c r="N757" i="48"/>
  <c r="N758" i="48"/>
  <c r="N759" i="48"/>
  <c r="N761" i="48"/>
  <c r="N762" i="48"/>
  <c r="N763" i="48"/>
  <c r="N764" i="48"/>
  <c r="N765" i="48"/>
  <c r="N766" i="48"/>
  <c r="N767" i="48"/>
  <c r="N769" i="48"/>
  <c r="N770" i="48"/>
  <c r="N771" i="48"/>
  <c r="N772" i="48"/>
  <c r="N773" i="48"/>
  <c r="N774" i="48"/>
  <c r="N775" i="48"/>
  <c r="N777" i="48"/>
  <c r="N778" i="48"/>
  <c r="N779" i="48"/>
  <c r="N780" i="48"/>
  <c r="N781" i="48"/>
  <c r="N782" i="48"/>
  <c r="N783" i="48"/>
  <c r="N785" i="48"/>
  <c r="N786" i="48"/>
  <c r="N787" i="48"/>
  <c r="N788" i="48"/>
  <c r="N789" i="48"/>
  <c r="N790" i="48"/>
  <c r="N791" i="48"/>
  <c r="N793" i="48"/>
  <c r="N794" i="48"/>
  <c r="N795" i="48"/>
  <c r="N796" i="48"/>
  <c r="N797" i="48"/>
  <c r="N798" i="48"/>
  <c r="N799" i="48"/>
  <c r="N801" i="48"/>
  <c r="N802" i="48"/>
  <c r="N803" i="48"/>
  <c r="N804" i="48"/>
  <c r="N805" i="48"/>
  <c r="N806" i="48"/>
  <c r="N807" i="48"/>
  <c r="N809" i="48"/>
  <c r="N810" i="48"/>
  <c r="N811" i="48"/>
  <c r="N812" i="48"/>
  <c r="N813" i="48"/>
  <c r="N814" i="48"/>
  <c r="N815" i="48"/>
  <c r="N817" i="48"/>
  <c r="N818" i="48"/>
  <c r="N819" i="48"/>
  <c r="N820" i="48"/>
  <c r="N821" i="48"/>
  <c r="N822" i="48"/>
  <c r="N823" i="48"/>
  <c r="N825" i="48"/>
  <c r="N826" i="48"/>
  <c r="N827" i="48"/>
  <c r="N828" i="48"/>
  <c r="N829" i="48"/>
  <c r="N830" i="48"/>
  <c r="N831" i="48"/>
  <c r="N833" i="48"/>
  <c r="N834" i="48"/>
  <c r="N835" i="48"/>
  <c r="N836" i="48"/>
  <c r="N837" i="48"/>
  <c r="N838" i="48"/>
  <c r="N839" i="48"/>
  <c r="N841" i="48"/>
  <c r="N842" i="48"/>
  <c r="N843" i="48"/>
  <c r="N844" i="48"/>
  <c r="N845" i="48"/>
  <c r="N846" i="48"/>
  <c r="N847" i="48"/>
  <c r="N849" i="48"/>
  <c r="N850" i="48"/>
  <c r="N851" i="48"/>
  <c r="N852" i="48"/>
  <c r="N853" i="48"/>
  <c r="N854" i="48"/>
  <c r="N855" i="48"/>
  <c r="N857" i="48"/>
  <c r="N858" i="48"/>
  <c r="N859" i="48"/>
  <c r="N860" i="48"/>
  <c r="N861" i="48"/>
  <c r="N862" i="48"/>
  <c r="N863" i="48"/>
  <c r="N865" i="48"/>
  <c r="N866" i="48"/>
  <c r="N867" i="48"/>
  <c r="N868" i="48"/>
  <c r="N869" i="48"/>
  <c r="N870" i="48"/>
  <c r="N871" i="48"/>
  <c r="N873" i="48"/>
  <c r="N874" i="48"/>
  <c r="N875" i="48"/>
  <c r="N876" i="48"/>
  <c r="N877" i="48"/>
  <c r="N878" i="48"/>
  <c r="N879" i="48"/>
  <c r="N881" i="48"/>
  <c r="N882" i="48"/>
  <c r="N883" i="48"/>
  <c r="N884" i="48"/>
  <c r="N885" i="48"/>
  <c r="N886" i="48"/>
  <c r="N887" i="48"/>
  <c r="N889" i="48"/>
  <c r="N890" i="48"/>
  <c r="N891" i="48"/>
  <c r="N892" i="48"/>
  <c r="N893" i="48"/>
  <c r="N894" i="48"/>
  <c r="N895" i="48"/>
  <c r="N897" i="48"/>
  <c r="N898" i="48"/>
  <c r="N899" i="48"/>
  <c r="N900" i="48"/>
  <c r="N901" i="48"/>
  <c r="N902" i="48"/>
  <c r="N903" i="48"/>
  <c r="N905" i="48"/>
  <c r="N906" i="48"/>
  <c r="N907" i="48"/>
  <c r="N908" i="48"/>
  <c r="N909" i="48"/>
  <c r="N910" i="48"/>
  <c r="N911" i="48"/>
  <c r="N913" i="48"/>
  <c r="N914" i="48"/>
  <c r="N915" i="48"/>
  <c r="N916" i="48"/>
  <c r="N917" i="48"/>
  <c r="N918" i="48"/>
  <c r="N919" i="48"/>
  <c r="N921" i="48"/>
  <c r="N922" i="48"/>
  <c r="N923" i="48"/>
  <c r="N924" i="48"/>
  <c r="N925" i="48"/>
  <c r="N926" i="48"/>
  <c r="N927" i="48"/>
  <c r="N929" i="48"/>
  <c r="N930" i="48"/>
  <c r="N931" i="48"/>
  <c r="N932" i="48"/>
  <c r="N933" i="48"/>
  <c r="N934" i="48"/>
  <c r="N935" i="48"/>
  <c r="N937" i="48"/>
  <c r="N938" i="48"/>
  <c r="N939" i="48"/>
  <c r="N940" i="48"/>
  <c r="N941" i="48"/>
  <c r="N942" i="48"/>
  <c r="N943" i="48"/>
  <c r="N945" i="48"/>
  <c r="N946" i="48"/>
  <c r="N947" i="48"/>
  <c r="N948" i="48"/>
  <c r="N949" i="48"/>
  <c r="N950" i="48"/>
  <c r="N951" i="48"/>
  <c r="N953" i="48"/>
  <c r="N954" i="48"/>
  <c r="N955" i="48"/>
  <c r="N956" i="48"/>
  <c r="N957" i="48"/>
  <c r="N958" i="48"/>
  <c r="N959" i="48"/>
  <c r="N961" i="48"/>
  <c r="N962" i="48"/>
  <c r="N963" i="48"/>
  <c r="N964" i="48"/>
  <c r="N965" i="48"/>
  <c r="N966" i="48"/>
  <c r="N967" i="48"/>
  <c r="N969" i="48"/>
  <c r="N970" i="48"/>
  <c r="N971" i="48"/>
  <c r="N972" i="48"/>
  <c r="N973" i="48"/>
  <c r="N974" i="48"/>
  <c r="N975" i="48"/>
  <c r="N977" i="48"/>
  <c r="N978" i="48"/>
  <c r="N979" i="48"/>
  <c r="N980" i="48"/>
  <c r="N981" i="48"/>
  <c r="N982" i="48"/>
  <c r="N983" i="48"/>
  <c r="N985" i="48"/>
  <c r="N986" i="48"/>
  <c r="N987" i="48"/>
  <c r="N988" i="48"/>
  <c r="N989" i="48"/>
  <c r="N990" i="48"/>
  <c r="N991" i="48"/>
  <c r="N993" i="48"/>
  <c r="N994" i="48"/>
  <c r="N995" i="48"/>
  <c r="N996" i="48"/>
  <c r="N997" i="48"/>
  <c r="N998" i="48"/>
  <c r="N999" i="48"/>
  <c r="N1001" i="48"/>
  <c r="N1002" i="48"/>
  <c r="N1003" i="48"/>
  <c r="N1004" i="48"/>
  <c r="N1005" i="48"/>
  <c r="N1006" i="48"/>
  <c r="N1007" i="48"/>
  <c r="N1009" i="48"/>
  <c r="N1010" i="48"/>
  <c r="N1011" i="48"/>
  <c r="N1012" i="48"/>
  <c r="N1013" i="48"/>
  <c r="N1014" i="48"/>
  <c r="N1015" i="48"/>
  <c r="N1017" i="48"/>
  <c r="N1018" i="48"/>
  <c r="N1019" i="48"/>
  <c r="N1020" i="48"/>
  <c r="N1021" i="48"/>
  <c r="N1022" i="48"/>
  <c r="N1023" i="48"/>
  <c r="N1025" i="48"/>
  <c r="N1026" i="48"/>
  <c r="N1027" i="48"/>
  <c r="N1028" i="48"/>
  <c r="N1029" i="48"/>
  <c r="N1030" i="48"/>
  <c r="N1031" i="48"/>
  <c r="N1033" i="48"/>
  <c r="N1034" i="48"/>
  <c r="N1035" i="48"/>
  <c r="N1036" i="48"/>
  <c r="N1037" i="48"/>
  <c r="N1038" i="48"/>
  <c r="N1039" i="48"/>
  <c r="N1041" i="48"/>
  <c r="N1042" i="48"/>
  <c r="N1043" i="48"/>
  <c r="N1044" i="48"/>
  <c r="N1045" i="48"/>
  <c r="N1046" i="48"/>
  <c r="N1047" i="48"/>
  <c r="N1049" i="48"/>
  <c r="N1050" i="48"/>
  <c r="N1051" i="48"/>
  <c r="N1052" i="48"/>
  <c r="N1053" i="48"/>
  <c r="N1054" i="48"/>
  <c r="N1055" i="48"/>
  <c r="N1057" i="48"/>
  <c r="N1058" i="48"/>
  <c r="N1059" i="48"/>
  <c r="N1060" i="48"/>
  <c r="N1061" i="48"/>
  <c r="N1062" i="48"/>
  <c r="N1063" i="48"/>
  <c r="N1065" i="48"/>
  <c r="N1066" i="48"/>
  <c r="N1067" i="48"/>
  <c r="N1068" i="48"/>
  <c r="N1069" i="48"/>
  <c r="N1070" i="48"/>
  <c r="N1071" i="48"/>
  <c r="N1073" i="48"/>
  <c r="N1074" i="48"/>
  <c r="N1075" i="48"/>
  <c r="N1076" i="48"/>
  <c r="N1077" i="48"/>
  <c r="N1078" i="48"/>
  <c r="N1079" i="48"/>
  <c r="N1081" i="48"/>
  <c r="N1082" i="48"/>
  <c r="N1083" i="48"/>
  <c r="N1084" i="48"/>
  <c r="N1085" i="48"/>
  <c r="N1086" i="48"/>
  <c r="N1087" i="48"/>
  <c r="N1089" i="48"/>
  <c r="N1090" i="48"/>
  <c r="N1091" i="48"/>
  <c r="N1092" i="48"/>
  <c r="N1093" i="48"/>
  <c r="N1094" i="48"/>
  <c r="N1095" i="48"/>
  <c r="N1097" i="48"/>
  <c r="N1098" i="48"/>
  <c r="N1099" i="48"/>
  <c r="N1100" i="48"/>
  <c r="N1101" i="48"/>
  <c r="N1102" i="48"/>
  <c r="N1103" i="48"/>
  <c r="N1105" i="48"/>
  <c r="N1106" i="48"/>
  <c r="N1107" i="48"/>
  <c r="N1108" i="48"/>
  <c r="N1109" i="48"/>
  <c r="N1110" i="48"/>
  <c r="N1111" i="48"/>
  <c r="N1113" i="48"/>
  <c r="N1114" i="48"/>
  <c r="N1115" i="48"/>
  <c r="N1116" i="48"/>
  <c r="N1117" i="48"/>
  <c r="N1118" i="48"/>
  <c r="N1119" i="48"/>
  <c r="N1121" i="48"/>
  <c r="N1122" i="48"/>
  <c r="N1123" i="48"/>
  <c r="N1124" i="48"/>
  <c r="N1125" i="48"/>
  <c r="N1126" i="48"/>
  <c r="N1127" i="48"/>
  <c r="N1129" i="48"/>
  <c r="N1130" i="48"/>
  <c r="N1131" i="48"/>
  <c r="N1132" i="48"/>
  <c r="N1133" i="48"/>
  <c r="N1134" i="48"/>
  <c r="N1135" i="48"/>
  <c r="N1137" i="48"/>
  <c r="N1138" i="48"/>
  <c r="N1139" i="48"/>
  <c r="N1140" i="48"/>
  <c r="N1141" i="48"/>
  <c r="N1142" i="48"/>
  <c r="N1143" i="48"/>
  <c r="N1145" i="48"/>
  <c r="N1146" i="48"/>
  <c r="N1147" i="48"/>
  <c r="N1148" i="48"/>
  <c r="N1149" i="48"/>
  <c r="N1150" i="48"/>
  <c r="N1151" i="48"/>
  <c r="N1153" i="48"/>
  <c r="N1154" i="48"/>
  <c r="N1155" i="48"/>
  <c r="N1156" i="48"/>
  <c r="N1157" i="48"/>
  <c r="N1158" i="48"/>
  <c r="N1159" i="48"/>
  <c r="N1161" i="48"/>
  <c r="N1162" i="48"/>
  <c r="N1163" i="48"/>
  <c r="N1164" i="48"/>
  <c r="N1165" i="48"/>
  <c r="N1166" i="48"/>
  <c r="N1167" i="48"/>
  <c r="N1169" i="48"/>
  <c r="N1170" i="48"/>
  <c r="N1171" i="48"/>
  <c r="N1172" i="48"/>
  <c r="N1173" i="48"/>
  <c r="N1174" i="48"/>
  <c r="N1175" i="48"/>
  <c r="N1177" i="48"/>
  <c r="N1178" i="48"/>
  <c r="N1179" i="48"/>
  <c r="N1180" i="48"/>
  <c r="N1181" i="48"/>
  <c r="N1182" i="48"/>
  <c r="N1183" i="48"/>
  <c r="N1185" i="48"/>
  <c r="N1186" i="48"/>
  <c r="N1187" i="48"/>
  <c r="N1188" i="48"/>
  <c r="N1189" i="48"/>
  <c r="N1190" i="48"/>
  <c r="N1191" i="48"/>
  <c r="N1193" i="48"/>
  <c r="N1194" i="48"/>
  <c r="N1195" i="48"/>
  <c r="N1196" i="48"/>
  <c r="N1197" i="48"/>
  <c r="N1198" i="48"/>
  <c r="N1199" i="48"/>
  <c r="N1201" i="48"/>
  <c r="N1202" i="48"/>
  <c r="N1203" i="48"/>
  <c r="N1204" i="48"/>
  <c r="N1205" i="48"/>
  <c r="N1206" i="48"/>
  <c r="N1207" i="48"/>
  <c r="N1209" i="48"/>
  <c r="N1210" i="48"/>
  <c r="N1211" i="48"/>
  <c r="N1212" i="48"/>
  <c r="N1213" i="48"/>
  <c r="N1214" i="48"/>
  <c r="N1215" i="48"/>
  <c r="N1217" i="48"/>
  <c r="N1218" i="48"/>
  <c r="N1219" i="48"/>
  <c r="N1220" i="48"/>
  <c r="N1221" i="48"/>
  <c r="N1222" i="48"/>
  <c r="N1223" i="48"/>
  <c r="N1225" i="48"/>
  <c r="N1226" i="48"/>
  <c r="N1227" i="48"/>
  <c r="N1228" i="48"/>
  <c r="N1229" i="48"/>
  <c r="N1230" i="48"/>
  <c r="N1231" i="48"/>
  <c r="N1233" i="48"/>
  <c r="N1234" i="48"/>
  <c r="N1235" i="48"/>
  <c r="N1236" i="48"/>
  <c r="N1237" i="48"/>
  <c r="N1238" i="48"/>
  <c r="N1239" i="48"/>
  <c r="N1241" i="48"/>
  <c r="N1242" i="48"/>
  <c r="N1243" i="48"/>
  <c r="N1244" i="48"/>
  <c r="N1245" i="48"/>
  <c r="N1246" i="48"/>
  <c r="N1247" i="48"/>
  <c r="N1249" i="48"/>
  <c r="N1250" i="48"/>
  <c r="N1251" i="48"/>
  <c r="N1252" i="48"/>
  <c r="N1253" i="48"/>
  <c r="N1254" i="48"/>
  <c r="N1255" i="48"/>
  <c r="N1257" i="48"/>
  <c r="N1258" i="48"/>
  <c r="N1259" i="48"/>
  <c r="N1260" i="48"/>
  <c r="N1261" i="48"/>
  <c r="N1262" i="48"/>
  <c r="N1263" i="48"/>
  <c r="N1265" i="48"/>
  <c r="N1266" i="48"/>
  <c r="N1267" i="48"/>
  <c r="N1268" i="48"/>
  <c r="N1269" i="48"/>
  <c r="N1270" i="48"/>
  <c r="N1271" i="48"/>
  <c r="N1273" i="48"/>
  <c r="N1274" i="48"/>
  <c r="N1275" i="48"/>
  <c r="N1276" i="48"/>
  <c r="N1277" i="48"/>
  <c r="N1278" i="48"/>
  <c r="N1279" i="48"/>
  <c r="N1281" i="48"/>
  <c r="N1282" i="48"/>
  <c r="N1283" i="48"/>
  <c r="N1284" i="48"/>
  <c r="N1285" i="48"/>
  <c r="N1286" i="48"/>
  <c r="N1287" i="48"/>
  <c r="N1289" i="48"/>
  <c r="N1290" i="48"/>
  <c r="N1291" i="48"/>
  <c r="N1292" i="48"/>
  <c r="N1293" i="48"/>
  <c r="N1294" i="48"/>
  <c r="N1295" i="48"/>
  <c r="N1297" i="48"/>
  <c r="N1298" i="48"/>
  <c r="N1299" i="48"/>
  <c r="N1300" i="48"/>
  <c r="N1301" i="48"/>
  <c r="N1302" i="48"/>
  <c r="N1303" i="48"/>
  <c r="N1305" i="48"/>
  <c r="N1306" i="48"/>
  <c r="N1307" i="48"/>
  <c r="N1308" i="48"/>
  <c r="N1309" i="48"/>
  <c r="N1310" i="48"/>
  <c r="N1311" i="48"/>
  <c r="N1313" i="48"/>
  <c r="N1314" i="48"/>
  <c r="N1315" i="48"/>
  <c r="N1316" i="48"/>
  <c r="N1317" i="48"/>
  <c r="N1318" i="48"/>
  <c r="N1319" i="48"/>
  <c r="N1321" i="48"/>
  <c r="N1322" i="48"/>
  <c r="N1323" i="48"/>
  <c r="N1324" i="48"/>
  <c r="N1325" i="48"/>
  <c r="N1326" i="48"/>
  <c r="N1327" i="48"/>
  <c r="N1329" i="48"/>
  <c r="N1330" i="48"/>
  <c r="N1331" i="48"/>
  <c r="N1332" i="48"/>
  <c r="N1333" i="48"/>
  <c r="N1334" i="48"/>
  <c r="N1335" i="48"/>
  <c r="N1337" i="48"/>
  <c r="N1338" i="48"/>
  <c r="N1339" i="48"/>
  <c r="N1340" i="48"/>
  <c r="N1341" i="48"/>
  <c r="N1342" i="48"/>
  <c r="N1343" i="48"/>
  <c r="N1345" i="48"/>
  <c r="N1346" i="48"/>
  <c r="N1347" i="48"/>
  <c r="N1348" i="48"/>
  <c r="N1349" i="48"/>
  <c r="N1350" i="48"/>
  <c r="N1351" i="48"/>
  <c r="N1353" i="48"/>
  <c r="N1354" i="48"/>
  <c r="N1355" i="48"/>
  <c r="N1356" i="48"/>
  <c r="N1357" i="48"/>
  <c r="N1358" i="48"/>
  <c r="N1359" i="48"/>
  <c r="N1361" i="48"/>
  <c r="N1362" i="48"/>
  <c r="N1363" i="48"/>
  <c r="N1364" i="48"/>
  <c r="N1365" i="48"/>
  <c r="N1366" i="48"/>
  <c r="N1367" i="48"/>
  <c r="N1369" i="48"/>
  <c r="N1370" i="48"/>
  <c r="N1371" i="48"/>
  <c r="N1372" i="48"/>
  <c r="N1373" i="48"/>
  <c r="N1374" i="48"/>
  <c r="N1375" i="48"/>
  <c r="N1377" i="48"/>
  <c r="N1378" i="48"/>
  <c r="N1379" i="48"/>
  <c r="N1380" i="48"/>
  <c r="N1381" i="48"/>
  <c r="N1382" i="48"/>
  <c r="N1383" i="48"/>
  <c r="N1385" i="48"/>
  <c r="N1386" i="48"/>
  <c r="N1387" i="48"/>
  <c r="N1388" i="48"/>
  <c r="N1389" i="48"/>
  <c r="N1390" i="48"/>
  <c r="N1391" i="48"/>
  <c r="N1393" i="48"/>
  <c r="N1394" i="48"/>
  <c r="N1395" i="48"/>
  <c r="N1396" i="48"/>
  <c r="N1397" i="48"/>
  <c r="N1398" i="48"/>
  <c r="N1399" i="48"/>
  <c r="N1401" i="48"/>
  <c r="N1402" i="48"/>
  <c r="N1403" i="48"/>
  <c r="N1404" i="48"/>
  <c r="N1405" i="48"/>
  <c r="N1406" i="48"/>
  <c r="N1407" i="48"/>
  <c r="N1409" i="48"/>
  <c r="N1410" i="48"/>
  <c r="N1411" i="48"/>
  <c r="N1412" i="48"/>
  <c r="N1413" i="48"/>
  <c r="N1414" i="48"/>
  <c r="N1415" i="48"/>
  <c r="N1417" i="48"/>
  <c r="N1418" i="48"/>
  <c r="N1419" i="48"/>
  <c r="N1420" i="48"/>
  <c r="N1421" i="48"/>
  <c r="N1422" i="48"/>
  <c r="N1423" i="48"/>
  <c r="N1425" i="48"/>
  <c r="N1426" i="48"/>
  <c r="N1427" i="48"/>
  <c r="N1428" i="48"/>
  <c r="N1429" i="48"/>
  <c r="N1430" i="48"/>
  <c r="N1431" i="48"/>
  <c r="N1433" i="48"/>
  <c r="N1434" i="48"/>
  <c r="N1435" i="48"/>
  <c r="N1436" i="48"/>
  <c r="N1437" i="48"/>
  <c r="N1438" i="48"/>
  <c r="N1439" i="48"/>
  <c r="N1441" i="48"/>
  <c r="N1442" i="48"/>
  <c r="N1443" i="48"/>
  <c r="N1444" i="48"/>
  <c r="N1445" i="48"/>
  <c r="N1446" i="48"/>
  <c r="N1447" i="48"/>
  <c r="N1449" i="48"/>
  <c r="N1450" i="48"/>
  <c r="N1451" i="48"/>
  <c r="N1452" i="48"/>
  <c r="N1453" i="48"/>
  <c r="N1454" i="48"/>
  <c r="N1455" i="48"/>
  <c r="N1457" i="48"/>
  <c r="N1458" i="48"/>
  <c r="N1459" i="48"/>
  <c r="N1460" i="48"/>
  <c r="N1461" i="48"/>
  <c r="N1462" i="48"/>
  <c r="N1463" i="48"/>
  <c r="N1465" i="48"/>
  <c r="N1466" i="48"/>
  <c r="N1467" i="48"/>
  <c r="N1468" i="48"/>
  <c r="N1469" i="48"/>
  <c r="N1470" i="48"/>
  <c r="N1471" i="48"/>
  <c r="N1473" i="48"/>
  <c r="N1474" i="48"/>
  <c r="N1475" i="48"/>
  <c r="N1476" i="48"/>
  <c r="N1477" i="48"/>
  <c r="N1478" i="48"/>
  <c r="N1479" i="48"/>
  <c r="N1481" i="48"/>
  <c r="N1482" i="48"/>
  <c r="N1483" i="48"/>
  <c r="N1484" i="48"/>
  <c r="N1485" i="48"/>
  <c r="N1486" i="48"/>
  <c r="N1487" i="48"/>
  <c r="N1489" i="48"/>
  <c r="N1490" i="48"/>
  <c r="N1491" i="48"/>
  <c r="N1492" i="48"/>
  <c r="N1493" i="48"/>
  <c r="N1494" i="48"/>
  <c r="N1495" i="48"/>
  <c r="N1497" i="48"/>
  <c r="N1498" i="48"/>
  <c r="N1499" i="48"/>
  <c r="N1500" i="48"/>
  <c r="N1501" i="48"/>
  <c r="N1502" i="48"/>
  <c r="N1503" i="48"/>
  <c r="N1505" i="48"/>
  <c r="N1506" i="48"/>
  <c r="N1507" i="48"/>
  <c r="N1508" i="48"/>
  <c r="N1509" i="48"/>
  <c r="N1510" i="48"/>
  <c r="N1511" i="48"/>
  <c r="N1513" i="48"/>
  <c r="N1514" i="48"/>
  <c r="N1515" i="48"/>
  <c r="N1516" i="48"/>
  <c r="N1517" i="48"/>
  <c r="N1518" i="48"/>
  <c r="N1519" i="48"/>
  <c r="N1521" i="48"/>
  <c r="N1522" i="48"/>
  <c r="N1523" i="48"/>
  <c r="N1524" i="48"/>
  <c r="N1525" i="48"/>
  <c r="N1526" i="48"/>
  <c r="N1527" i="48"/>
  <c r="N1529" i="48"/>
  <c r="N1530" i="48"/>
  <c r="N1531" i="48"/>
  <c r="N1532" i="48"/>
  <c r="N1533" i="48"/>
  <c r="N1534" i="48"/>
  <c r="N1535" i="48"/>
  <c r="N1537" i="48"/>
  <c r="N1538" i="48"/>
  <c r="N1539" i="48"/>
  <c r="N1540" i="48"/>
  <c r="N1541" i="48"/>
  <c r="N1542" i="48"/>
  <c r="N1543" i="48"/>
  <c r="N1545" i="48"/>
  <c r="N1546" i="48"/>
  <c r="N1547" i="48"/>
  <c r="N1548" i="48"/>
  <c r="N1549" i="48"/>
  <c r="N1550" i="48"/>
  <c r="N1551" i="48"/>
  <c r="N1553" i="48"/>
  <c r="N1554" i="48"/>
  <c r="N1555" i="48"/>
  <c r="N1556" i="48"/>
  <c r="N1557" i="48"/>
  <c r="N1558" i="48"/>
  <c r="N1559" i="48"/>
  <c r="N1561" i="48"/>
  <c r="N1562" i="48"/>
  <c r="N1563" i="48"/>
  <c r="N1564" i="48"/>
  <c r="N1565" i="48"/>
  <c r="N1566" i="48"/>
  <c r="N1567" i="48"/>
  <c r="N1569" i="48"/>
  <c r="N1570" i="48"/>
  <c r="N1571" i="48"/>
  <c r="N1572" i="48"/>
  <c r="N1573" i="48"/>
  <c r="N1574" i="48"/>
  <c r="N1575" i="48"/>
  <c r="N1577" i="48"/>
  <c r="N1578" i="48"/>
  <c r="N1579" i="48"/>
  <c r="N1580" i="48"/>
  <c r="N1581" i="48"/>
  <c r="N1582" i="48"/>
  <c r="N1583" i="48"/>
  <c r="N1585" i="48"/>
  <c r="N1586" i="48"/>
  <c r="N1587" i="48"/>
  <c r="N1588" i="48"/>
  <c r="N1589" i="48"/>
  <c r="N1590" i="48"/>
  <c r="N1591" i="48"/>
  <c r="N1593" i="48"/>
  <c r="N1594" i="48"/>
  <c r="N1595" i="48"/>
  <c r="N1596" i="48"/>
  <c r="N1597" i="48"/>
  <c r="N1598" i="48"/>
  <c r="N1599" i="48"/>
  <c r="N1601" i="48"/>
  <c r="N1602" i="48"/>
  <c r="N1603" i="48"/>
  <c r="N1604" i="48"/>
  <c r="N1605" i="48"/>
  <c r="N1606" i="48"/>
  <c r="N1607" i="48"/>
  <c r="N1609" i="48"/>
  <c r="N1610" i="48"/>
  <c r="N1611" i="48"/>
  <c r="N1612" i="48"/>
  <c r="N1613" i="48"/>
  <c r="N1614" i="48"/>
  <c r="N1615" i="48"/>
  <c r="N1617" i="48"/>
  <c r="N1618" i="48"/>
  <c r="N1619" i="48"/>
  <c r="N1620" i="48"/>
  <c r="N1621" i="48"/>
  <c r="N1622" i="48"/>
  <c r="N1623" i="48"/>
  <c r="N1625" i="48"/>
  <c r="N1626" i="48"/>
  <c r="N1627" i="48"/>
  <c r="N1628" i="48"/>
  <c r="N1629" i="48"/>
  <c r="N1630" i="48"/>
  <c r="N1631" i="48"/>
  <c r="N1633" i="48"/>
  <c r="N1634" i="48"/>
  <c r="N1635" i="48"/>
  <c r="N1636" i="48"/>
  <c r="N1637" i="48"/>
  <c r="N1638" i="48"/>
  <c r="N1639" i="48"/>
  <c r="N1641" i="48"/>
  <c r="N1642" i="48"/>
  <c r="N1643" i="48"/>
  <c r="N1644" i="48"/>
  <c r="N1645" i="48"/>
  <c r="N1646" i="48"/>
  <c r="N1647" i="48"/>
  <c r="N1649" i="48"/>
  <c r="N1650" i="48"/>
  <c r="N1651" i="48"/>
  <c r="N1652" i="48"/>
  <c r="N1653" i="48"/>
  <c r="N1654" i="48"/>
  <c r="N1655" i="48"/>
  <c r="N1657" i="48"/>
  <c r="N1658" i="48"/>
  <c r="N1659" i="48"/>
  <c r="N1660" i="48"/>
  <c r="N1661" i="48"/>
  <c r="N1662" i="48"/>
  <c r="N1663" i="48"/>
  <c r="N1665" i="48"/>
  <c r="N1666" i="48"/>
  <c r="N1667" i="48"/>
  <c r="N1668" i="48"/>
  <c r="N1669" i="48"/>
  <c r="N1670" i="48"/>
  <c r="N1671" i="48"/>
  <c r="N1673" i="48"/>
  <c r="N1674" i="48"/>
  <c r="N1675" i="48"/>
  <c r="N1676" i="48"/>
  <c r="N1677" i="48"/>
  <c r="N1678" i="48"/>
  <c r="N1679" i="48"/>
  <c r="N1681" i="48"/>
  <c r="N1682" i="48"/>
  <c r="N1683" i="48"/>
  <c r="N1684" i="48"/>
  <c r="N1685" i="48"/>
  <c r="N1686" i="48"/>
  <c r="N1687" i="48"/>
  <c r="N1689" i="48"/>
  <c r="N1690" i="48"/>
  <c r="N1691" i="48"/>
  <c r="N1692" i="48"/>
  <c r="N1693" i="48"/>
  <c r="N1694" i="48"/>
  <c r="N1695" i="48"/>
  <c r="N1697" i="48"/>
  <c r="N1698" i="48"/>
  <c r="N1699" i="48"/>
  <c r="N1700" i="48"/>
  <c r="N1701" i="48"/>
  <c r="N1702" i="48"/>
  <c r="N1703" i="48"/>
  <c r="N1705" i="48"/>
  <c r="N1706" i="48"/>
  <c r="N1707" i="48"/>
  <c r="N1708" i="48"/>
  <c r="N1709" i="48"/>
  <c r="N1710" i="48"/>
  <c r="N1711" i="48"/>
  <c r="N1713" i="48"/>
  <c r="N1714" i="48"/>
  <c r="N1715" i="48"/>
  <c r="N1716" i="48"/>
  <c r="N1717" i="48"/>
  <c r="N1718" i="48"/>
  <c r="N1719" i="48"/>
  <c r="N1721" i="48"/>
  <c r="N1722" i="48"/>
  <c r="N1723" i="48"/>
  <c r="N1724" i="48"/>
  <c r="N1725" i="48"/>
  <c r="N1726" i="48"/>
  <c r="N1727" i="48"/>
  <c r="N1729" i="48"/>
  <c r="N1730" i="48"/>
  <c r="N1731" i="48"/>
  <c r="N1732" i="48"/>
  <c r="N1733" i="48"/>
  <c r="N1734" i="48"/>
  <c r="N1735" i="48"/>
  <c r="N1737" i="48"/>
  <c r="N1738" i="48"/>
  <c r="N1739" i="48"/>
  <c r="N1740" i="48"/>
  <c r="N1741" i="48"/>
  <c r="N1742" i="48"/>
  <c r="N1743" i="48"/>
  <c r="N1745" i="48"/>
  <c r="N1746" i="48"/>
  <c r="N1747" i="48"/>
  <c r="N1748" i="48"/>
  <c r="N1749" i="48"/>
  <c r="N1750" i="48"/>
  <c r="N1751" i="48"/>
  <c r="N1753" i="48"/>
  <c r="N1754" i="48"/>
  <c r="N1755" i="48"/>
  <c r="N1756" i="48"/>
  <c r="N1757" i="48"/>
  <c r="N1758" i="48"/>
  <c r="N1759" i="48"/>
  <c r="N1761" i="48"/>
  <c r="N1762" i="48"/>
  <c r="N1763" i="48"/>
  <c r="N1764" i="48"/>
  <c r="N1765" i="48"/>
  <c r="N1766" i="48"/>
  <c r="N1767" i="48"/>
  <c r="N1769" i="48"/>
  <c r="N1770" i="48"/>
  <c r="N1771" i="48"/>
  <c r="N1772" i="48"/>
  <c r="N1773" i="48"/>
  <c r="N1774" i="48"/>
  <c r="N1775" i="48"/>
  <c r="N1777" i="48"/>
  <c r="N1778" i="48"/>
  <c r="N1779" i="48"/>
  <c r="N1780" i="48"/>
  <c r="N1781" i="48"/>
  <c r="N1782" i="48"/>
  <c r="N1783" i="48"/>
  <c r="N1785" i="48"/>
  <c r="N1786" i="48"/>
  <c r="N1787" i="48"/>
  <c r="N1788" i="48"/>
  <c r="N1789" i="48"/>
  <c r="N1790" i="48"/>
  <c r="N1791" i="48"/>
  <c r="N1793" i="48"/>
  <c r="N1794" i="48"/>
  <c r="N1795" i="48"/>
  <c r="N1796" i="48"/>
  <c r="N1797" i="48"/>
  <c r="N1798" i="48"/>
  <c r="N1799" i="48"/>
  <c r="N1801" i="48"/>
  <c r="N1802" i="48"/>
  <c r="N1803" i="48"/>
  <c r="N1804" i="48"/>
  <c r="N1805" i="48"/>
  <c r="N1806" i="48"/>
  <c r="N1807" i="48"/>
  <c r="N1809" i="48"/>
  <c r="N1810" i="48"/>
  <c r="N1811" i="48"/>
  <c r="N1812" i="48"/>
  <c r="N1813" i="48"/>
  <c r="N1814" i="48"/>
  <c r="N1815" i="48"/>
  <c r="N1817" i="48"/>
  <c r="N1818" i="48"/>
  <c r="N1819" i="48"/>
  <c r="N1820" i="48"/>
  <c r="N1821" i="48"/>
  <c r="N1822" i="48"/>
  <c r="N1823" i="48"/>
  <c r="N1825" i="48"/>
  <c r="N1826" i="48"/>
  <c r="N1827" i="48"/>
  <c r="N1828" i="48"/>
  <c r="N1829" i="48"/>
  <c r="N1830" i="48"/>
  <c r="N1831" i="48"/>
  <c r="N1833" i="48"/>
  <c r="N1834" i="48"/>
  <c r="N1835" i="48"/>
  <c r="N1836" i="48"/>
  <c r="N1837" i="48"/>
  <c r="N1838" i="48"/>
  <c r="N1839" i="48"/>
  <c r="N1841" i="48"/>
  <c r="N1842" i="48"/>
  <c r="N1843" i="48"/>
  <c r="N1844" i="48"/>
  <c r="N1845" i="48"/>
  <c r="N1846" i="48"/>
  <c r="N1847" i="48"/>
  <c r="N1849" i="48"/>
  <c r="N1850" i="48"/>
  <c r="N1851" i="48"/>
  <c r="N1852" i="48"/>
  <c r="N1853" i="48"/>
  <c r="N1854" i="48"/>
  <c r="N1855" i="48"/>
  <c r="N1857" i="48"/>
  <c r="N1858" i="48"/>
  <c r="N1859" i="48"/>
  <c r="N1860" i="48"/>
  <c r="N1861" i="48"/>
  <c r="N1862" i="48"/>
  <c r="N1863" i="48"/>
  <c r="N1865" i="48"/>
  <c r="N1866" i="48"/>
  <c r="N1867" i="48"/>
  <c r="N1868" i="48"/>
  <c r="N1869" i="48"/>
  <c r="N1870" i="48"/>
  <c r="N1871" i="48"/>
  <c r="N1873" i="48"/>
  <c r="N1874" i="48"/>
  <c r="N1875" i="48"/>
  <c r="N1876" i="48"/>
  <c r="N1877" i="48"/>
  <c r="N1878" i="48"/>
  <c r="N1879" i="48"/>
  <c r="N1881" i="48"/>
  <c r="N1882" i="48"/>
  <c r="N1883" i="48"/>
  <c r="N1884" i="48"/>
  <c r="N1885" i="48"/>
  <c r="N1886" i="48"/>
  <c r="N1887" i="48"/>
  <c r="N1889" i="48"/>
  <c r="N1890" i="48"/>
  <c r="N1891" i="48"/>
  <c r="N1892" i="48"/>
  <c r="N1893" i="48"/>
  <c r="N1894" i="48"/>
  <c r="N1895" i="48"/>
  <c r="N1897" i="48"/>
  <c r="N1898" i="48"/>
  <c r="N1899" i="48"/>
  <c r="N1900" i="48"/>
  <c r="N1901" i="48"/>
  <c r="N1902" i="48"/>
  <c r="N1903" i="48"/>
  <c r="N1905" i="48"/>
  <c r="N1906" i="48"/>
  <c r="N1907" i="48"/>
  <c r="N1908" i="48"/>
  <c r="N1909" i="48"/>
  <c r="N1910" i="48"/>
  <c r="N1911" i="48"/>
  <c r="N1913" i="48"/>
  <c r="N1914" i="48"/>
  <c r="N1915" i="48"/>
  <c r="N1916" i="48"/>
  <c r="N1917" i="48"/>
  <c r="N1918" i="48"/>
  <c r="N1919" i="48"/>
  <c r="N1921" i="48"/>
  <c r="N1922" i="48"/>
  <c r="N1923" i="48"/>
  <c r="N1924" i="48"/>
  <c r="N1925" i="48"/>
  <c r="N1926" i="48"/>
  <c r="N1927" i="48"/>
  <c r="N1929" i="48"/>
  <c r="N1930" i="48"/>
  <c r="N1931" i="48"/>
  <c r="N1932" i="48"/>
  <c r="N1933" i="48"/>
  <c r="N1934" i="48"/>
  <c r="N1935" i="48"/>
  <c r="N1937" i="48"/>
  <c r="N1938" i="48"/>
  <c r="N1939" i="48"/>
  <c r="N1940" i="48"/>
  <c r="N1941" i="48"/>
  <c r="N1942" i="48"/>
  <c r="N1943" i="48"/>
  <c r="N1945" i="48"/>
  <c r="N1946" i="48"/>
  <c r="N1947" i="48"/>
  <c r="N1948" i="48"/>
  <c r="N1949" i="48"/>
  <c r="N1950" i="48"/>
  <c r="N1951" i="48"/>
  <c r="N1953" i="48"/>
  <c r="N1954" i="48"/>
  <c r="N1955" i="48"/>
  <c r="N1956" i="48"/>
  <c r="N1957" i="48"/>
  <c r="N1958" i="48"/>
  <c r="N1959" i="48"/>
  <c r="N1961" i="48"/>
  <c r="N1962" i="48"/>
  <c r="N1963" i="48"/>
  <c r="N1964" i="48"/>
  <c r="N1965" i="48"/>
  <c r="N1966" i="48"/>
  <c r="N1967" i="48"/>
  <c r="N1969" i="48"/>
  <c r="N1970" i="48"/>
  <c r="N1971" i="48"/>
  <c r="N1972" i="48"/>
  <c r="N1973" i="48"/>
  <c r="N1974" i="48"/>
  <c r="N1975" i="48"/>
  <c r="N1977" i="48"/>
  <c r="N1978" i="48"/>
  <c r="N1979" i="48"/>
  <c r="N1980" i="48"/>
  <c r="N1981" i="48"/>
  <c r="N1982" i="48"/>
  <c r="N1983" i="48"/>
  <c r="N1985" i="48"/>
  <c r="N1986" i="48"/>
  <c r="N1987" i="48"/>
  <c r="N1988" i="48"/>
  <c r="N1989" i="48"/>
  <c r="N1990" i="48"/>
  <c r="N1991" i="48"/>
  <c r="N1993" i="48"/>
  <c r="N1994" i="48"/>
  <c r="N1995" i="48"/>
  <c r="N1996" i="48"/>
  <c r="N1997" i="48"/>
  <c r="N1998" i="48"/>
  <c r="N1999" i="48"/>
  <c r="N2001" i="48"/>
  <c r="N2002" i="48"/>
  <c r="N2003" i="48"/>
  <c r="N2004" i="48"/>
  <c r="N2005" i="48"/>
  <c r="N2006" i="48"/>
  <c r="N2007" i="48"/>
  <c r="N2009" i="48"/>
  <c r="N2010" i="48"/>
  <c r="N2011" i="48"/>
  <c r="N2012" i="48"/>
  <c r="N2013" i="48"/>
  <c r="N2014" i="48"/>
  <c r="N2015" i="48"/>
  <c r="N2017" i="48"/>
  <c r="N2018" i="48"/>
  <c r="N2019" i="48"/>
  <c r="N2020" i="48"/>
  <c r="N2021" i="48"/>
  <c r="N2022" i="48"/>
  <c r="N2023" i="48"/>
  <c r="N2025" i="48"/>
  <c r="N2026" i="48"/>
  <c r="N2027" i="48"/>
  <c r="N2028" i="48"/>
  <c r="N2029" i="48"/>
  <c r="N2030" i="48"/>
  <c r="N2031" i="48"/>
  <c r="N2033" i="48"/>
  <c r="N2034" i="48"/>
  <c r="N2035" i="48"/>
  <c r="N2036" i="48"/>
  <c r="N2037" i="48"/>
  <c r="N2038" i="48"/>
  <c r="N2039" i="48"/>
  <c r="N2041" i="48"/>
  <c r="N2042" i="48"/>
  <c r="N2043" i="48"/>
  <c r="N2044" i="48"/>
  <c r="N2045" i="48"/>
  <c r="N2046" i="48"/>
  <c r="N2047" i="48"/>
  <c r="N2049" i="48"/>
  <c r="N2050" i="48"/>
  <c r="N2051" i="48"/>
  <c r="N2052" i="48"/>
  <c r="N2053" i="48"/>
  <c r="N2054" i="48"/>
  <c r="N2055" i="48"/>
  <c r="N2057" i="48"/>
  <c r="N2058" i="48"/>
  <c r="N2059" i="48"/>
  <c r="N2060" i="48"/>
  <c r="N2061" i="48"/>
  <c r="N2062" i="48"/>
  <c r="N2063" i="48"/>
  <c r="N2065" i="48"/>
  <c r="N2066" i="48"/>
  <c r="N2067" i="48"/>
  <c r="N2068" i="48"/>
  <c r="N2069" i="48"/>
  <c r="N2070" i="48"/>
  <c r="N2071" i="48"/>
  <c r="N2073" i="48"/>
  <c r="N2074" i="48"/>
  <c r="N2075" i="48"/>
  <c r="N2076" i="48"/>
  <c r="N2077" i="48"/>
  <c r="N2078" i="48"/>
  <c r="N2079" i="48"/>
  <c r="N2081" i="48"/>
  <c r="N2082" i="48"/>
  <c r="N2083" i="48"/>
  <c r="N2084" i="48"/>
  <c r="N2085" i="48"/>
  <c r="N2086" i="48"/>
  <c r="N2087" i="48"/>
  <c r="N2089" i="48"/>
  <c r="N2090" i="48"/>
  <c r="N2091" i="48"/>
  <c r="N2092" i="48"/>
  <c r="N2093" i="48"/>
  <c r="N2094" i="48"/>
  <c r="N2095" i="48"/>
  <c r="N2097" i="48"/>
  <c r="N2098" i="48"/>
  <c r="N2099" i="48"/>
  <c r="N2100" i="48"/>
  <c r="N2101" i="48"/>
  <c r="N2102" i="48"/>
  <c r="N2103" i="48"/>
  <c r="N2105" i="48"/>
  <c r="N2106" i="48"/>
  <c r="N2107" i="48"/>
  <c r="N2108" i="48"/>
  <c r="N2109" i="48"/>
  <c r="N2110" i="48"/>
  <c r="N2111" i="48"/>
  <c r="N2113" i="48"/>
  <c r="N2114" i="48"/>
  <c r="N2115" i="48"/>
  <c r="N2116" i="48"/>
  <c r="N2117" i="48"/>
  <c r="N2118" i="48"/>
  <c r="N2119" i="48"/>
  <c r="N2121" i="48"/>
  <c r="N2122" i="48"/>
  <c r="N2123" i="48"/>
  <c r="N2124" i="48"/>
  <c r="N2125" i="48"/>
  <c r="N2126" i="48"/>
  <c r="N2127" i="48"/>
  <c r="N2129" i="48"/>
  <c r="N2130" i="48"/>
  <c r="N2131" i="48"/>
  <c r="N2132" i="48"/>
  <c r="N2133" i="48"/>
  <c r="N2134" i="48"/>
  <c r="N2135" i="48"/>
  <c r="N2137" i="48"/>
  <c r="N2138" i="48"/>
  <c r="N2139" i="48"/>
  <c r="N2140" i="48"/>
  <c r="N2141" i="48"/>
  <c r="N2142" i="48"/>
  <c r="N2143" i="48"/>
  <c r="N2145" i="48"/>
  <c r="N2146" i="48"/>
  <c r="N2147" i="48"/>
  <c r="N2148" i="48"/>
  <c r="N2149" i="48"/>
  <c r="N2150" i="48"/>
  <c r="N2151" i="48"/>
  <c r="N2153" i="48"/>
  <c r="N2154" i="48"/>
  <c r="N2155" i="48"/>
  <c r="N2156" i="48"/>
  <c r="N2157" i="48"/>
  <c r="N2158" i="48"/>
  <c r="N2159" i="48"/>
  <c r="N2161" i="48"/>
  <c r="N2162" i="48"/>
  <c r="N2163" i="48"/>
  <c r="N2164" i="48"/>
  <c r="N2165" i="48"/>
  <c r="N2166" i="48"/>
  <c r="N2167" i="48"/>
  <c r="N2169" i="48"/>
  <c r="N2170" i="48"/>
  <c r="N2171" i="48"/>
  <c r="N2172" i="48"/>
  <c r="N2173" i="48"/>
  <c r="N2174" i="48"/>
  <c r="N2175" i="48"/>
  <c r="N2177" i="48"/>
  <c r="N2178" i="48"/>
  <c r="N2179" i="48"/>
  <c r="N2180" i="48"/>
  <c r="N2181" i="48"/>
  <c r="N2182" i="48"/>
  <c r="N2183" i="48"/>
  <c r="N2185" i="48"/>
  <c r="N2186" i="48"/>
  <c r="N2187" i="48"/>
  <c r="N2188" i="48"/>
  <c r="N2189" i="48"/>
  <c r="N2190" i="48"/>
  <c r="N2191" i="48"/>
  <c r="N2193" i="48"/>
  <c r="N2194" i="48"/>
  <c r="N2195" i="48"/>
  <c r="N2196" i="48"/>
  <c r="N2197" i="48"/>
  <c r="N2198" i="48"/>
  <c r="N2199" i="48"/>
  <c r="N2201" i="48"/>
  <c r="N2202" i="48"/>
  <c r="N2203" i="48"/>
  <c r="N2204" i="48"/>
  <c r="N2205" i="48"/>
  <c r="N2206" i="48"/>
  <c r="N2207" i="48"/>
  <c r="N2209" i="48"/>
  <c r="N2210" i="48"/>
  <c r="N2211" i="48"/>
  <c r="N2212" i="48"/>
  <c r="N2213" i="48"/>
  <c r="N2214" i="48"/>
  <c r="N2215" i="48"/>
  <c r="N2217" i="48"/>
  <c r="N2218" i="48"/>
  <c r="N2219" i="48"/>
  <c r="N2220" i="48"/>
  <c r="N2221" i="48"/>
  <c r="N2222" i="48"/>
  <c r="N2223" i="48"/>
  <c r="N2225" i="48"/>
  <c r="N2226" i="48"/>
  <c r="N2227" i="48"/>
  <c r="N2228" i="48"/>
  <c r="N2229" i="48"/>
  <c r="N2230" i="48"/>
  <c r="N2231" i="48"/>
  <c r="N2233" i="48"/>
  <c r="N2234" i="48"/>
  <c r="N2235" i="48"/>
  <c r="N2236" i="48"/>
  <c r="N2237" i="48"/>
  <c r="N2238" i="48"/>
  <c r="N2239" i="48"/>
  <c r="N2241" i="48"/>
  <c r="N2242" i="48"/>
  <c r="N2243" i="48"/>
  <c r="N2244" i="48"/>
  <c r="N2245" i="48"/>
  <c r="N2246" i="48"/>
  <c r="N2247" i="48"/>
  <c r="N2249" i="48"/>
  <c r="N2250" i="48"/>
  <c r="N2251" i="48"/>
  <c r="N2252" i="48"/>
  <c r="N2253" i="48"/>
  <c r="N2254" i="48"/>
  <c r="N2255" i="48"/>
  <c r="N2257" i="48"/>
  <c r="N2258" i="48"/>
  <c r="N2259" i="48"/>
  <c r="N2260" i="48"/>
  <c r="N2261" i="48"/>
  <c r="N2262" i="48"/>
  <c r="N2263" i="48"/>
  <c r="N2265" i="48"/>
  <c r="N2266" i="48"/>
  <c r="N2267" i="48"/>
  <c r="N2268" i="48"/>
  <c r="N2269" i="48"/>
  <c r="N2270" i="48"/>
  <c r="N2271" i="48"/>
  <c r="N2273" i="48"/>
  <c r="N2274" i="48"/>
  <c r="N2275" i="48"/>
  <c r="N2276" i="48"/>
  <c r="N2277" i="48"/>
  <c r="N2278" i="48"/>
  <c r="N2279" i="48"/>
  <c r="N2281" i="48"/>
  <c r="N2282" i="48"/>
  <c r="N2283" i="48"/>
  <c r="N2284" i="48"/>
  <c r="N2285" i="48"/>
  <c r="N2286" i="48"/>
  <c r="N2287" i="48"/>
  <c r="N2289" i="48"/>
  <c r="N2290" i="48"/>
  <c r="N2291" i="48"/>
  <c r="N2292" i="48"/>
  <c r="N2293" i="48"/>
  <c r="N2294" i="48"/>
  <c r="N2295" i="48"/>
  <c r="N2297" i="48"/>
  <c r="N2298" i="48"/>
  <c r="N2299" i="48"/>
  <c r="N2300" i="48"/>
  <c r="N2301" i="48"/>
  <c r="N2302" i="48"/>
  <c r="N2303" i="48"/>
  <c r="N2305" i="48"/>
  <c r="N2306" i="48"/>
  <c r="N2307" i="48"/>
  <c r="N2308" i="48"/>
  <c r="N2309" i="48"/>
  <c r="N2310" i="48"/>
  <c r="N2311" i="48"/>
  <c r="N2313" i="48"/>
  <c r="N2314" i="48"/>
  <c r="N2315" i="48"/>
  <c r="N2316" i="48"/>
  <c r="N2317" i="48"/>
  <c r="N2318" i="48"/>
  <c r="N2319" i="48"/>
  <c r="N2321" i="48"/>
  <c r="N2322" i="48"/>
  <c r="N2323" i="48"/>
  <c r="N2324" i="48"/>
  <c r="N2325" i="48"/>
  <c r="N2326" i="48"/>
  <c r="N2327" i="48"/>
  <c r="N2329" i="48"/>
  <c r="N2330" i="48"/>
  <c r="N2331" i="48"/>
  <c r="N2332" i="48"/>
  <c r="N2333" i="48"/>
  <c r="N2334" i="48"/>
  <c r="N2335" i="48"/>
  <c r="N2337" i="48"/>
  <c r="N2338" i="48"/>
  <c r="N2339" i="48"/>
  <c r="N2340" i="48"/>
  <c r="N2341" i="48"/>
  <c r="N2342" i="48"/>
  <c r="N2343" i="48"/>
  <c r="N2345" i="48"/>
  <c r="N2346" i="48"/>
  <c r="N2347" i="48"/>
  <c r="N2348" i="48"/>
  <c r="N2349" i="48"/>
  <c r="N2350" i="48"/>
  <c r="N2351" i="48"/>
  <c r="N2353" i="48"/>
  <c r="N2354" i="48"/>
  <c r="N2355" i="48"/>
  <c r="N2356" i="48"/>
  <c r="N2357" i="48"/>
  <c r="N2358" i="48"/>
  <c r="N2359" i="48"/>
  <c r="N2361" i="48"/>
  <c r="N2362" i="48"/>
  <c r="N2363" i="48"/>
  <c r="N2364" i="48"/>
  <c r="N2365" i="48"/>
  <c r="N2366" i="48"/>
  <c r="N2367" i="48"/>
  <c r="N2369" i="48"/>
  <c r="N2370" i="48"/>
  <c r="N2371" i="48"/>
  <c r="N2372" i="48"/>
  <c r="N2373" i="48"/>
  <c r="N2374" i="48"/>
  <c r="N2375" i="48"/>
  <c r="N2377" i="48"/>
  <c r="N2378" i="48"/>
  <c r="N2379" i="48"/>
  <c r="N2380" i="48"/>
  <c r="N2381" i="48"/>
  <c r="N2382" i="48"/>
  <c r="N2383" i="48"/>
  <c r="N2385" i="48"/>
  <c r="N2386" i="48"/>
  <c r="N2387" i="48"/>
  <c r="N2388" i="48"/>
  <c r="N2389" i="48"/>
  <c r="N2390" i="48"/>
  <c r="N2391" i="48"/>
  <c r="N2393" i="48"/>
  <c r="N2394" i="48"/>
  <c r="N2395" i="48"/>
  <c r="N2396" i="48"/>
  <c r="N2397" i="48"/>
  <c r="N2398" i="48"/>
  <c r="N2399" i="48"/>
  <c r="N2401" i="48"/>
  <c r="N2402" i="48"/>
  <c r="N2403" i="48"/>
  <c r="N2404" i="48"/>
  <c r="N2405" i="48"/>
  <c r="N2406" i="48"/>
  <c r="N2407" i="48"/>
  <c r="N2409" i="48"/>
  <c r="N2410" i="48"/>
  <c r="N2411" i="48"/>
  <c r="N2412" i="48"/>
  <c r="N2413" i="48"/>
  <c r="N2414" i="48"/>
  <c r="N2415" i="48"/>
  <c r="N2417" i="48"/>
  <c r="N2418" i="48"/>
  <c r="N2419" i="48"/>
  <c r="N2420" i="48"/>
  <c r="N2421" i="48"/>
  <c r="N2422" i="48"/>
  <c r="N2423" i="48"/>
  <c r="N2425" i="48"/>
  <c r="N2426" i="48"/>
  <c r="N2427" i="48"/>
  <c r="N2428" i="48"/>
  <c r="N2429" i="48"/>
  <c r="N2430" i="48"/>
  <c r="N2433" i="48"/>
  <c r="N2434" i="48"/>
  <c r="N2435" i="48"/>
  <c r="N2436" i="48"/>
  <c r="N2437" i="48"/>
  <c r="N2438" i="48"/>
  <c r="N2439" i="48"/>
  <c r="N2441" i="48"/>
  <c r="N2442" i="48"/>
  <c r="N2443" i="48"/>
  <c r="N2444" i="48"/>
  <c r="N2445" i="48"/>
  <c r="N2446" i="48"/>
  <c r="N2447" i="48"/>
  <c r="N2449" i="48"/>
  <c r="N2450" i="48"/>
  <c r="N2451" i="48"/>
  <c r="N2452" i="48"/>
  <c r="N2453" i="48"/>
  <c r="N2454" i="48"/>
  <c r="N2455" i="48"/>
  <c r="N2457" i="48"/>
  <c r="N2458" i="48"/>
  <c r="N2459" i="48"/>
  <c r="N2460" i="48"/>
  <c r="N2461" i="48"/>
  <c r="N2462" i="48"/>
  <c r="N2463" i="48"/>
  <c r="N2465" i="48"/>
  <c r="N2466" i="48"/>
  <c r="N2467" i="48"/>
  <c r="N2468" i="48"/>
  <c r="N2469" i="48"/>
  <c r="N2470" i="48"/>
  <c r="N2471" i="48"/>
  <c r="N2473" i="48"/>
  <c r="N2474" i="48"/>
  <c r="N2475" i="48"/>
  <c r="N2476" i="48"/>
  <c r="N2477" i="48"/>
  <c r="N2478" i="48"/>
  <c r="N2479" i="48"/>
  <c r="N2481" i="48"/>
  <c r="N2482" i="48"/>
  <c r="N2483" i="48"/>
  <c r="N2484" i="48"/>
  <c r="N2485" i="48"/>
  <c r="N2486" i="48"/>
  <c r="N2487" i="48"/>
  <c r="N2489" i="48"/>
  <c r="N2490" i="48"/>
  <c r="N2491" i="48"/>
  <c r="N2492" i="48"/>
  <c r="N2493" i="48"/>
  <c r="N2494" i="48"/>
  <c r="N2495" i="48"/>
  <c r="N2497" i="48"/>
  <c r="N2498" i="48"/>
  <c r="N2499" i="48"/>
  <c r="N2500" i="48"/>
  <c r="N2501" i="48"/>
  <c r="N2502" i="48"/>
  <c r="N2503" i="48"/>
  <c r="N2505" i="48"/>
  <c r="N2506" i="48"/>
  <c r="N2507" i="48"/>
  <c r="N2508" i="48"/>
  <c r="N2509" i="48"/>
  <c r="N2510" i="48"/>
  <c r="N2511" i="48"/>
  <c r="N2513" i="48"/>
  <c r="N2514" i="48"/>
  <c r="N2515" i="48"/>
  <c r="N2516" i="48"/>
  <c r="N2517" i="48"/>
  <c r="N2518" i="48"/>
  <c r="N2519" i="48"/>
  <c r="N2521" i="48"/>
  <c r="N2522" i="48"/>
  <c r="N2523" i="48"/>
  <c r="N2524" i="48"/>
  <c r="N2525" i="48"/>
  <c r="N2526" i="48"/>
  <c r="N2527" i="48"/>
  <c r="N2529" i="48"/>
  <c r="N2530" i="48"/>
  <c r="N2531" i="48"/>
  <c r="N2532" i="48"/>
  <c r="N2533" i="48"/>
  <c r="N2534" i="48"/>
  <c r="N2535" i="48"/>
  <c r="N2537" i="48"/>
  <c r="N2538" i="48"/>
  <c r="N2539" i="48"/>
  <c r="N2540" i="48"/>
  <c r="N2541" i="48"/>
  <c r="N2542" i="48"/>
  <c r="N2543" i="48"/>
  <c r="N2545" i="48"/>
  <c r="N2546" i="48"/>
  <c r="N2547" i="48"/>
  <c r="N2548" i="48"/>
  <c r="N2549" i="48"/>
  <c r="N2550" i="48"/>
  <c r="N2551" i="48"/>
  <c r="N2553" i="48"/>
  <c r="N2554" i="48"/>
  <c r="N2555" i="48"/>
  <c r="N2556" i="48"/>
  <c r="N2557" i="48"/>
  <c r="N2558" i="48"/>
  <c r="N2559" i="48"/>
  <c r="N2561" i="48"/>
  <c r="N2562" i="48"/>
  <c r="N2563" i="48"/>
  <c r="N2564" i="48"/>
  <c r="N2565" i="48"/>
  <c r="N2566" i="48"/>
  <c r="N2567" i="48"/>
  <c r="N2569" i="48"/>
  <c r="N2570" i="48"/>
  <c r="N2571" i="48"/>
  <c r="N2572" i="48"/>
  <c r="N2573" i="48"/>
  <c r="N2574" i="48"/>
  <c r="N2575" i="48"/>
  <c r="N2577" i="48"/>
  <c r="N2578" i="48"/>
  <c r="N2579" i="48"/>
  <c r="N2580" i="48"/>
  <c r="N2581" i="48"/>
  <c r="N2582" i="48"/>
  <c r="N2583" i="48"/>
  <c r="N2585" i="48"/>
  <c r="N2586" i="48"/>
  <c r="N2587" i="48"/>
  <c r="N2588" i="48"/>
  <c r="N2589" i="48"/>
  <c r="N2590" i="48"/>
  <c r="N2591" i="48"/>
  <c r="N2593" i="48"/>
  <c r="N2594" i="48"/>
  <c r="N2595" i="48"/>
  <c r="N2596" i="48"/>
  <c r="N2597" i="48"/>
  <c r="N2598" i="48"/>
  <c r="N2599" i="48"/>
  <c r="N2601" i="48"/>
  <c r="N2602" i="48"/>
  <c r="N2603" i="48"/>
  <c r="N2604" i="48"/>
  <c r="N2605" i="48"/>
  <c r="N2606" i="48"/>
  <c r="N2607" i="48"/>
  <c r="N2609" i="48"/>
  <c r="N2610" i="48"/>
  <c r="N2611" i="48"/>
  <c r="N2612" i="48"/>
  <c r="N2613" i="48"/>
  <c r="N2614" i="48"/>
  <c r="N2615" i="48"/>
  <c r="N2617" i="48"/>
  <c r="N2618" i="48"/>
  <c r="N2619" i="48"/>
  <c r="N2620" i="48"/>
  <c r="N2621" i="48"/>
  <c r="N2622" i="48"/>
  <c r="N2623" i="48"/>
  <c r="N2625" i="48"/>
  <c r="N2626" i="48"/>
  <c r="N2627" i="48"/>
  <c r="N2628" i="48"/>
  <c r="N2629" i="48"/>
  <c r="N2630" i="48"/>
  <c r="N2631" i="48"/>
  <c r="N2633" i="48"/>
  <c r="N2634" i="48"/>
  <c r="N2635" i="48"/>
  <c r="N2636" i="48"/>
  <c r="N2637" i="48"/>
  <c r="N2638" i="48"/>
  <c r="N2639" i="48"/>
  <c r="N2641" i="48"/>
  <c r="N2642" i="48"/>
  <c r="N2643" i="48"/>
  <c r="N2644" i="48"/>
  <c r="N2645" i="48"/>
  <c r="N2646" i="48"/>
  <c r="N2647" i="48"/>
  <c r="N2649" i="48"/>
  <c r="N2650" i="48"/>
  <c r="N2651" i="48"/>
  <c r="N2652" i="48"/>
  <c r="N2653" i="48"/>
  <c r="N2654" i="48"/>
  <c r="N2655" i="48"/>
  <c r="N2657" i="48"/>
  <c r="N2658" i="48"/>
  <c r="N2659" i="48"/>
  <c r="N2660" i="48"/>
  <c r="N2661" i="48"/>
  <c r="N2662" i="48"/>
  <c r="N2663" i="48"/>
  <c r="N2665" i="48"/>
  <c r="N2666" i="48"/>
  <c r="N2667" i="48"/>
  <c r="N2668" i="48"/>
  <c r="N2669" i="48"/>
  <c r="N2670" i="48"/>
  <c r="N2671" i="48"/>
  <c r="N2673" i="48"/>
  <c r="N2674" i="48"/>
  <c r="N2675" i="48"/>
  <c r="N2676" i="48"/>
  <c r="N2677" i="48"/>
  <c r="N2678" i="48"/>
  <c r="N2679" i="48"/>
  <c r="N2681" i="48"/>
  <c r="N2682" i="48"/>
  <c r="N2683" i="48"/>
  <c r="N2684" i="48"/>
  <c r="N2685" i="48"/>
  <c r="N2686" i="48"/>
  <c r="N2687" i="48"/>
  <c r="N2689" i="48"/>
  <c r="N2690" i="48"/>
  <c r="N2691" i="48"/>
  <c r="N2692" i="48"/>
  <c r="N2693" i="48"/>
  <c r="N2694" i="48"/>
  <c r="N2695" i="48"/>
  <c r="N2697" i="48"/>
  <c r="N2698" i="48"/>
  <c r="N2699" i="48"/>
  <c r="N2700" i="48"/>
  <c r="N2701" i="48"/>
  <c r="N2702" i="48"/>
  <c r="N2703" i="48"/>
  <c r="N2705" i="48"/>
  <c r="N2706" i="48"/>
  <c r="N2707" i="48"/>
  <c r="N2708" i="48"/>
  <c r="N2709" i="48"/>
  <c r="N2710" i="48"/>
  <c r="N2711" i="48"/>
  <c r="N2713" i="48"/>
  <c r="N2714" i="48"/>
  <c r="N2715" i="48"/>
  <c r="N2716" i="48"/>
  <c r="N2717" i="48"/>
  <c r="N2718" i="48"/>
  <c r="N2719" i="48"/>
  <c r="N2721" i="48"/>
  <c r="N2722" i="48"/>
  <c r="N2723" i="48"/>
  <c r="N2724" i="48"/>
  <c r="N2725" i="48"/>
  <c r="N2726" i="48"/>
  <c r="N2727" i="48"/>
  <c r="N2729" i="48"/>
  <c r="N2730" i="48"/>
  <c r="N2731" i="48"/>
  <c r="N2732" i="48"/>
  <c r="N2733" i="48"/>
  <c r="N2734" i="48"/>
  <c r="N2735" i="48"/>
  <c r="N2737" i="48"/>
  <c r="N2738" i="48"/>
  <c r="N2739" i="48"/>
  <c r="N2740" i="48"/>
  <c r="N2741" i="48"/>
  <c r="N2742" i="48"/>
  <c r="N2743" i="48"/>
  <c r="N2745" i="48"/>
  <c r="N2746" i="48"/>
  <c r="N2747" i="48"/>
  <c r="N2748" i="48"/>
  <c r="N2749" i="48"/>
  <c r="N2750" i="48"/>
  <c r="N2751" i="48"/>
  <c r="N2753" i="48"/>
  <c r="N2754" i="48"/>
  <c r="N2755" i="48"/>
  <c r="N2756" i="48"/>
  <c r="N2757" i="48"/>
  <c r="N2758" i="48"/>
  <c r="N2759" i="48"/>
  <c r="N2761" i="48"/>
  <c r="N2762" i="48"/>
  <c r="N2763" i="48"/>
  <c r="N2764" i="48"/>
  <c r="N2765" i="48"/>
  <c r="N2766" i="48"/>
  <c r="N2767" i="48"/>
  <c r="N2769" i="48"/>
  <c r="N2770" i="48"/>
  <c r="N2771" i="48"/>
  <c r="N2772" i="48"/>
  <c r="N2773" i="48"/>
  <c r="N2774" i="48"/>
  <c r="N2775" i="48"/>
  <c r="N2777" i="48"/>
  <c r="N2778" i="48"/>
  <c r="N2779" i="48"/>
  <c r="N2780" i="48"/>
  <c r="N2781" i="48"/>
  <c r="N2782" i="48"/>
  <c r="N2783" i="48"/>
  <c r="N2785" i="48"/>
  <c r="N2786" i="48"/>
  <c r="N2787" i="48"/>
  <c r="N2788" i="48"/>
  <c r="N2789" i="48"/>
  <c r="N2790" i="48"/>
  <c r="N2791" i="48"/>
  <c r="N2793" i="48"/>
  <c r="N2794" i="48"/>
  <c r="N2795" i="48"/>
  <c r="N2796" i="48"/>
  <c r="N2797" i="48"/>
  <c r="N2798" i="48"/>
  <c r="N2799" i="48"/>
  <c r="N2801" i="48"/>
  <c r="N2802" i="48"/>
  <c r="N2803" i="48"/>
  <c r="N2804" i="48"/>
  <c r="N2805" i="48"/>
  <c r="N2806" i="48"/>
  <c r="N2807" i="48"/>
  <c r="N2809" i="48"/>
  <c r="N2810" i="48"/>
  <c r="N2811" i="48"/>
  <c r="N2812" i="48"/>
  <c r="N2813" i="48"/>
  <c r="N2814" i="48"/>
  <c r="N2815" i="48"/>
  <c r="N2817" i="48"/>
  <c r="N2818" i="48"/>
  <c r="N2819" i="48"/>
  <c r="N2820" i="48"/>
  <c r="N2821" i="48"/>
  <c r="N2822" i="48"/>
  <c r="N2823" i="48"/>
  <c r="N2825" i="48"/>
  <c r="N2826" i="48"/>
  <c r="N2827" i="48"/>
  <c r="N2828" i="48"/>
  <c r="N2829" i="48"/>
  <c r="N2830" i="48"/>
  <c r="N2831" i="48"/>
  <c r="N2833" i="48"/>
  <c r="N2834" i="48"/>
  <c r="N2835" i="48"/>
  <c r="N2836" i="48"/>
  <c r="N2837" i="48"/>
  <c r="N2838" i="48"/>
  <c r="N2839" i="48"/>
  <c r="N2841" i="48"/>
  <c r="N2842" i="48"/>
  <c r="N2843" i="48"/>
  <c r="N2844" i="48"/>
  <c r="N2845" i="48"/>
  <c r="N2846" i="48"/>
  <c r="N2847" i="48"/>
  <c r="N2849" i="48"/>
  <c r="N2850" i="48"/>
  <c r="N2851" i="48"/>
  <c r="N2852" i="48"/>
  <c r="N2853" i="48"/>
  <c r="N2854" i="48"/>
  <c r="N2855" i="48"/>
  <c r="N2857" i="48"/>
  <c r="N2858" i="48"/>
  <c r="N2859" i="48"/>
  <c r="N2860" i="48"/>
  <c r="N2861" i="48"/>
  <c r="N2862" i="48"/>
  <c r="N2863" i="48"/>
  <c r="N2865" i="48"/>
  <c r="N2866" i="48"/>
  <c r="N2867" i="48"/>
  <c r="N2868" i="48"/>
  <c r="N2869" i="48"/>
  <c r="N2870" i="48"/>
  <c r="N2871" i="48"/>
  <c r="N2873" i="48"/>
  <c r="N2874" i="48"/>
  <c r="N2875" i="48"/>
  <c r="N2876" i="48"/>
  <c r="N2877" i="48"/>
  <c r="N2878" i="48"/>
  <c r="N2879" i="48"/>
  <c r="N2881" i="48"/>
  <c r="N2882" i="48"/>
  <c r="N2883" i="48"/>
  <c r="N2884" i="48"/>
  <c r="N2885" i="48"/>
  <c r="N2886" i="48"/>
  <c r="N2887" i="48"/>
  <c r="N2889" i="48"/>
  <c r="N2890" i="48"/>
  <c r="N2891" i="48"/>
  <c r="N2892" i="48"/>
  <c r="N2893" i="48"/>
  <c r="N2894" i="48"/>
  <c r="N2895" i="48"/>
  <c r="N2897" i="48"/>
  <c r="N2898" i="48"/>
  <c r="N2899" i="48"/>
  <c r="N2900" i="48"/>
  <c r="N2901" i="48"/>
  <c r="N2902" i="48"/>
  <c r="N2903" i="48"/>
  <c r="N2905" i="48"/>
  <c r="N2906" i="48"/>
  <c r="N2907" i="48"/>
  <c r="N2908" i="48"/>
  <c r="N2909" i="48"/>
  <c r="N2910" i="48"/>
  <c r="N2911" i="48"/>
  <c r="N2912" i="48"/>
  <c r="N2913" i="48"/>
  <c r="N2914" i="48"/>
  <c r="N2915" i="48"/>
  <c r="N2916" i="48"/>
  <c r="N2917" i="48"/>
  <c r="N2918" i="48"/>
  <c r="N2919" i="48"/>
  <c r="N2920" i="48"/>
  <c r="N2921" i="48"/>
  <c r="N2922" i="48"/>
  <c r="N2923" i="48"/>
  <c r="N2924" i="48"/>
  <c r="N2925" i="48"/>
  <c r="N2926" i="48"/>
  <c r="N2927" i="48"/>
  <c r="N2928" i="48"/>
  <c r="N2929" i="48"/>
  <c r="N2930" i="48"/>
  <c r="N2931" i="48"/>
  <c r="N2932" i="48"/>
  <c r="N2933" i="48"/>
  <c r="N2934" i="48"/>
  <c r="N2935" i="48"/>
  <c r="N2936" i="48"/>
  <c r="N2937" i="48"/>
  <c r="N2938" i="48"/>
  <c r="N2939" i="48"/>
  <c r="N2940" i="48"/>
  <c r="N2941" i="48"/>
  <c r="N2942" i="48"/>
  <c r="N2943" i="48"/>
  <c r="N2944" i="48"/>
  <c r="N2945" i="48"/>
  <c r="N2946" i="48"/>
  <c r="N2947" i="48"/>
  <c r="N2948" i="48"/>
  <c r="N2949" i="48"/>
  <c r="N2950" i="48"/>
  <c r="N2951" i="48"/>
  <c r="N2952" i="48"/>
  <c r="N2953" i="48"/>
  <c r="N2954" i="48"/>
  <c r="N2955" i="48"/>
  <c r="N2956" i="48"/>
  <c r="N2957" i="48"/>
  <c r="N2958" i="48"/>
  <c r="N2959" i="48"/>
  <c r="N2960" i="48"/>
  <c r="N2961" i="48"/>
  <c r="N2962" i="48"/>
  <c r="N2963" i="48"/>
  <c r="N2964" i="48"/>
  <c r="N2965" i="48"/>
  <c r="N2966" i="48"/>
  <c r="N2967" i="48"/>
  <c r="N2968" i="48"/>
  <c r="N2969" i="48"/>
  <c r="N2970" i="48"/>
  <c r="N2971" i="48"/>
  <c r="N2972" i="48"/>
  <c r="N2973" i="48"/>
  <c r="N2974" i="48"/>
  <c r="N2975" i="48"/>
  <c r="N2976" i="48"/>
  <c r="N2977" i="48"/>
  <c r="N2978" i="48"/>
  <c r="N2979" i="48"/>
  <c r="N2980" i="48"/>
  <c r="N2981" i="48"/>
  <c r="N2982" i="48"/>
  <c r="N2983" i="48"/>
  <c r="N2984" i="48"/>
  <c r="N2985" i="48"/>
  <c r="N2986" i="48"/>
  <c r="N2987" i="48"/>
  <c r="N2988" i="48"/>
  <c r="N2989" i="48"/>
  <c r="N2990" i="48"/>
  <c r="N2991" i="48"/>
  <c r="N2992" i="48"/>
  <c r="N2993" i="48"/>
  <c r="N2994" i="48"/>
  <c r="N2995" i="48"/>
  <c r="N2996" i="48"/>
  <c r="N2997" i="48"/>
  <c r="N2998" i="48"/>
  <c r="N2999" i="48"/>
  <c r="N3000" i="48"/>
  <c r="N3001" i="48"/>
  <c r="N3002" i="48"/>
  <c r="N3003" i="48"/>
  <c r="N3004" i="48"/>
  <c r="N3005" i="48"/>
  <c r="N3006" i="48"/>
  <c r="N3007" i="48"/>
  <c r="N3008" i="48"/>
  <c r="N3009" i="48"/>
  <c r="N3010" i="48"/>
  <c r="N3011" i="48"/>
  <c r="N3012" i="48"/>
  <c r="N3013" i="48"/>
  <c r="N3014" i="48"/>
  <c r="N3015" i="48"/>
  <c r="N3016" i="48"/>
  <c r="N3017" i="48"/>
  <c r="N3018" i="48"/>
  <c r="N3019" i="48"/>
  <c r="N3020" i="48"/>
  <c r="N3021" i="48"/>
  <c r="N3022" i="48"/>
  <c r="N3023" i="48"/>
  <c r="N3024" i="48"/>
  <c r="N3025" i="48"/>
  <c r="N3026" i="48"/>
  <c r="N3027" i="48"/>
  <c r="N3028" i="48"/>
  <c r="N3029" i="48"/>
  <c r="N3030" i="48"/>
  <c r="N3031" i="48"/>
  <c r="N3032" i="48"/>
  <c r="N3033" i="48"/>
  <c r="N3034" i="48"/>
  <c r="N3035" i="48"/>
  <c r="N3036" i="48"/>
  <c r="N3037" i="48"/>
  <c r="N3038" i="48"/>
  <c r="N3039" i="48"/>
  <c r="N3040" i="48"/>
  <c r="N3041" i="48"/>
  <c r="N3042" i="48"/>
  <c r="N3043" i="48"/>
  <c r="N3044" i="48"/>
  <c r="N3045" i="48"/>
  <c r="N3046" i="48"/>
  <c r="N3047" i="48"/>
  <c r="N3048" i="48"/>
  <c r="N3049" i="48"/>
  <c r="N3050" i="48"/>
  <c r="N3051" i="48"/>
  <c r="N3052" i="48"/>
  <c r="N3053" i="48"/>
  <c r="N3054" i="48"/>
  <c r="N3055" i="48"/>
  <c r="N3056" i="48"/>
  <c r="N3057" i="48"/>
  <c r="N3058" i="48"/>
  <c r="N3059" i="48"/>
  <c r="N3060" i="48"/>
  <c r="N3061" i="48"/>
  <c r="N3062" i="48"/>
  <c r="N3063" i="48"/>
  <c r="N3064" i="48"/>
  <c r="N3065" i="48"/>
  <c r="N3066" i="48"/>
  <c r="N3067" i="48"/>
  <c r="N3068" i="48"/>
  <c r="N3069" i="48"/>
  <c r="N3070" i="48"/>
  <c r="N3071" i="48"/>
  <c r="N3072" i="48"/>
  <c r="N3073" i="48"/>
  <c r="N3074" i="48"/>
  <c r="N3075" i="48"/>
  <c r="N3076" i="48"/>
  <c r="N3077" i="48"/>
  <c r="N3078" i="48"/>
  <c r="N3079" i="48"/>
  <c r="N3080" i="48"/>
  <c r="N3081" i="48"/>
  <c r="N3082" i="48"/>
  <c r="N3083" i="48"/>
  <c r="N3084" i="48"/>
  <c r="N3085" i="48"/>
  <c r="N3086" i="48"/>
  <c r="N3087" i="48"/>
  <c r="N3088" i="48"/>
  <c r="N3089" i="48"/>
  <c r="N3090" i="48"/>
  <c r="N3091" i="48"/>
  <c r="N3092" i="48"/>
  <c r="N3093" i="48"/>
  <c r="N3094" i="48"/>
  <c r="N3095" i="48"/>
  <c r="N3096" i="48"/>
  <c r="N3097" i="48"/>
  <c r="N3098" i="48"/>
  <c r="N3099" i="48"/>
  <c r="N3100" i="48"/>
  <c r="N3101" i="48"/>
  <c r="N3102" i="48"/>
  <c r="N3103" i="48"/>
  <c r="N3104" i="48"/>
  <c r="N3105" i="48"/>
  <c r="N3106" i="48"/>
  <c r="N3107" i="48"/>
  <c r="N3108" i="48"/>
  <c r="N3109" i="48"/>
  <c r="N3110" i="48"/>
  <c r="N3111" i="48"/>
  <c r="N3112" i="48"/>
  <c r="N3113" i="48"/>
  <c r="N3114" i="48"/>
  <c r="N3115" i="48"/>
  <c r="N3116" i="48"/>
  <c r="N3117" i="48"/>
  <c r="N3118" i="48"/>
  <c r="N3119" i="48"/>
  <c r="N3120" i="48"/>
  <c r="N3121" i="48"/>
  <c r="N3122" i="48"/>
  <c r="N3123" i="48"/>
  <c r="N3124" i="48"/>
  <c r="N3125" i="48"/>
  <c r="N3126" i="48"/>
  <c r="N3127" i="48"/>
  <c r="N3128" i="48"/>
  <c r="N3129" i="48"/>
  <c r="N3130" i="48"/>
  <c r="N3131" i="48"/>
  <c r="N3132" i="48"/>
  <c r="N3133" i="48"/>
  <c r="N3134" i="48"/>
  <c r="N3135" i="48"/>
  <c r="N3136" i="48"/>
  <c r="N3137" i="48"/>
  <c r="N3138" i="48"/>
  <c r="N3139" i="48"/>
  <c r="N3140" i="48"/>
  <c r="N3141" i="48"/>
  <c r="N3142" i="48"/>
  <c r="N3143" i="48"/>
  <c r="N3144" i="48"/>
  <c r="N3145" i="48"/>
  <c r="N3146" i="48"/>
  <c r="N3147" i="48"/>
  <c r="N3148" i="48"/>
  <c r="N3149" i="48"/>
  <c r="N3150" i="48"/>
  <c r="N3151" i="48"/>
  <c r="N3152" i="48"/>
  <c r="N3153" i="48"/>
  <c r="N3154" i="48"/>
  <c r="N3155" i="48"/>
  <c r="N3156" i="48"/>
  <c r="N3157" i="48"/>
  <c r="N3158" i="48"/>
  <c r="N3159" i="48"/>
  <c r="N3160" i="48"/>
  <c r="N3161" i="48"/>
  <c r="N3162" i="48"/>
  <c r="N3163" i="48"/>
  <c r="N3164" i="48"/>
  <c r="N3165" i="48"/>
  <c r="N3166" i="48"/>
  <c r="N3167" i="48"/>
  <c r="N3168" i="48"/>
  <c r="N3169" i="48"/>
  <c r="N3170" i="48"/>
  <c r="N3171" i="48"/>
  <c r="N3172" i="48"/>
  <c r="N3173" i="48"/>
  <c r="N3174" i="48"/>
  <c r="N3175" i="48"/>
  <c r="N3176" i="48"/>
  <c r="N3177" i="48"/>
  <c r="N3178" i="48"/>
  <c r="N3179" i="48"/>
  <c r="N3180" i="48"/>
  <c r="N3181" i="48"/>
  <c r="N3182" i="48"/>
  <c r="N3183" i="48"/>
  <c r="N3184" i="48"/>
  <c r="N3185" i="48"/>
  <c r="N3186" i="48"/>
  <c r="N3187" i="48"/>
  <c r="N3188" i="48"/>
  <c r="N3189" i="48"/>
  <c r="N3190" i="48"/>
  <c r="N3191" i="48"/>
  <c r="N3192" i="48"/>
  <c r="N3193" i="48"/>
  <c r="N3194" i="48"/>
  <c r="N3195" i="48"/>
  <c r="N3196" i="48"/>
  <c r="N3197" i="48"/>
  <c r="N3198" i="48"/>
  <c r="N3199" i="48"/>
  <c r="N3200" i="48"/>
  <c r="N3201" i="48"/>
  <c r="N3202" i="48"/>
  <c r="N3203" i="48"/>
  <c r="N3204" i="48"/>
  <c r="N3205" i="48"/>
  <c r="N3206" i="48"/>
  <c r="N3207" i="48"/>
  <c r="N3208" i="48"/>
  <c r="N3209" i="48"/>
  <c r="N3210" i="48"/>
  <c r="N3211" i="48"/>
  <c r="N3212" i="48"/>
  <c r="N3213" i="48"/>
  <c r="N3214" i="48"/>
  <c r="N3215" i="48"/>
  <c r="N3216" i="48"/>
  <c r="N3217" i="48"/>
  <c r="N3218" i="48"/>
  <c r="N3219" i="48"/>
  <c r="N3220" i="48"/>
  <c r="N3221" i="48"/>
  <c r="N3222" i="48"/>
  <c r="N3223" i="48"/>
  <c r="N3224" i="48"/>
  <c r="N3225" i="48"/>
  <c r="N3226" i="48"/>
  <c r="N3227" i="48"/>
  <c r="N3228" i="48"/>
  <c r="N3229" i="48"/>
  <c r="N3230" i="48"/>
  <c r="N3231" i="48"/>
  <c r="N3232" i="48"/>
  <c r="N3233" i="48"/>
  <c r="N3234" i="48"/>
  <c r="N3235" i="48"/>
  <c r="N3236" i="48"/>
  <c r="N3237" i="48"/>
  <c r="N3238" i="48"/>
  <c r="N3239" i="48"/>
  <c r="N3240" i="48"/>
  <c r="N3241" i="48"/>
  <c r="N3242" i="48"/>
  <c r="N3243" i="48"/>
  <c r="N3244" i="48"/>
  <c r="N3245" i="48"/>
  <c r="N3246" i="48"/>
  <c r="N3247" i="48"/>
  <c r="N3248" i="48"/>
  <c r="N3249" i="48"/>
  <c r="N3250" i="48"/>
  <c r="N3251" i="48"/>
  <c r="N3252" i="48"/>
  <c r="N3253" i="48"/>
  <c r="N3254" i="48"/>
  <c r="N3255" i="48"/>
  <c r="N3256" i="48"/>
  <c r="N3257" i="48"/>
  <c r="N3258" i="48"/>
  <c r="N3259" i="48"/>
  <c r="N3260" i="48"/>
  <c r="N3261" i="48"/>
  <c r="N3262" i="48"/>
  <c r="N3263" i="48"/>
  <c r="N3264" i="48"/>
  <c r="N3265" i="48"/>
  <c r="N3266" i="48"/>
  <c r="N3267" i="48"/>
  <c r="N3268" i="48"/>
  <c r="N3269" i="48"/>
  <c r="N3270" i="48"/>
  <c r="N3271" i="48"/>
  <c r="N3272" i="48"/>
  <c r="N3273" i="48"/>
  <c r="N3274" i="48"/>
  <c r="N3275" i="48"/>
  <c r="N3276" i="48"/>
  <c r="N3277" i="48"/>
  <c r="N3278" i="48"/>
  <c r="N3279" i="48"/>
  <c r="N3280" i="48"/>
  <c r="N3281" i="48"/>
  <c r="N3282" i="48"/>
  <c r="N3283" i="48"/>
  <c r="N3284" i="48"/>
  <c r="N3285" i="48"/>
  <c r="N3286" i="48"/>
  <c r="N3287" i="48"/>
  <c r="N3288" i="48"/>
  <c r="N3289" i="48"/>
  <c r="N3290" i="48"/>
  <c r="N3291" i="48"/>
  <c r="N3292" i="48"/>
  <c r="N3293" i="48"/>
  <c r="N3294" i="48"/>
  <c r="N3295" i="48"/>
  <c r="N3296" i="48"/>
  <c r="N3297" i="48"/>
  <c r="N3298" i="48"/>
  <c r="N3299" i="48"/>
  <c r="N3300" i="48"/>
  <c r="N3301" i="48"/>
  <c r="N3302" i="48"/>
  <c r="N3303" i="48"/>
  <c r="N3304" i="48"/>
  <c r="N3305" i="48"/>
  <c r="N3306" i="48"/>
  <c r="N3307" i="48"/>
  <c r="N3308" i="48"/>
  <c r="N3309" i="48"/>
  <c r="N3310" i="48"/>
  <c r="N3311" i="48"/>
  <c r="N3312" i="48"/>
  <c r="N3313" i="48"/>
  <c r="N3314" i="48"/>
  <c r="N3315" i="48"/>
  <c r="N3316" i="48"/>
  <c r="N3317" i="48"/>
  <c r="N3318" i="48"/>
  <c r="N3319" i="48"/>
  <c r="N3320" i="48"/>
  <c r="N3321" i="48"/>
  <c r="N3322" i="48"/>
  <c r="N3323" i="48"/>
  <c r="N3324" i="48"/>
  <c r="N3325" i="48"/>
  <c r="N3326" i="48"/>
  <c r="N3327" i="48"/>
  <c r="N3328" i="48"/>
  <c r="N3329" i="48"/>
  <c r="N3330" i="48"/>
  <c r="N3331" i="48"/>
  <c r="N3332" i="48"/>
  <c r="N3333" i="48"/>
  <c r="N3334" i="48"/>
  <c r="N3335" i="48"/>
  <c r="N3336" i="48"/>
  <c r="N3337" i="48"/>
  <c r="N3338" i="48"/>
  <c r="N3339" i="48"/>
  <c r="N3340" i="48"/>
  <c r="N3341" i="48"/>
  <c r="N3342" i="48"/>
  <c r="N3343" i="48"/>
  <c r="N3344" i="48"/>
  <c r="N3345" i="48"/>
  <c r="N3346" i="48"/>
  <c r="N3347" i="48"/>
  <c r="N3348" i="48"/>
  <c r="N3349" i="48"/>
  <c r="N3350" i="48"/>
  <c r="N3351" i="48"/>
  <c r="N3352" i="48"/>
  <c r="N3353" i="48"/>
  <c r="N3354" i="48"/>
  <c r="N3355" i="48"/>
  <c r="N3356" i="48"/>
  <c r="N3357" i="48"/>
  <c r="N3358" i="48"/>
  <c r="N3359" i="48"/>
  <c r="N3360" i="48"/>
  <c r="N3361" i="48"/>
  <c r="N3362" i="48"/>
  <c r="N3363" i="48"/>
  <c r="N3364" i="48"/>
  <c r="N3365" i="48"/>
  <c r="N3366" i="48"/>
  <c r="N3367" i="48"/>
  <c r="N3368" i="48"/>
  <c r="N3369" i="48"/>
  <c r="N3370" i="48"/>
  <c r="N3371" i="48"/>
  <c r="N3372" i="48"/>
  <c r="N3373" i="48"/>
  <c r="N3374" i="48"/>
  <c r="N3375" i="48"/>
  <c r="N3376" i="48"/>
  <c r="N3377" i="48"/>
  <c r="N3378" i="48"/>
  <c r="N3379" i="48"/>
  <c r="N3380" i="48"/>
  <c r="N3381" i="48"/>
  <c r="N3382" i="48"/>
  <c r="N3383" i="48"/>
  <c r="N3384" i="48"/>
  <c r="N3385" i="48"/>
  <c r="N3386" i="48"/>
  <c r="N3387" i="48"/>
  <c r="N3388" i="48"/>
  <c r="N3389" i="48"/>
  <c r="N3390" i="48"/>
  <c r="N3391" i="48"/>
  <c r="N3392" i="48"/>
  <c r="N3393" i="48"/>
  <c r="N3394" i="48"/>
  <c r="N3395" i="48"/>
  <c r="N3396" i="48"/>
  <c r="N3397" i="48"/>
  <c r="N3398" i="48"/>
  <c r="N3399" i="48"/>
  <c r="N3400" i="48"/>
  <c r="N3401" i="48"/>
  <c r="N3402" i="48"/>
  <c r="N3403" i="48"/>
  <c r="N3404" i="48"/>
  <c r="N3405" i="48"/>
  <c r="N3406" i="48"/>
  <c r="N3407" i="48"/>
  <c r="N3408" i="48"/>
  <c r="N3409" i="48"/>
  <c r="N3410" i="48"/>
  <c r="N3411" i="48"/>
  <c r="N3412" i="48"/>
  <c r="N3413" i="48"/>
  <c r="N3414" i="48"/>
  <c r="N3415" i="48"/>
  <c r="N3416" i="48"/>
  <c r="N3417" i="48"/>
  <c r="N3418" i="48"/>
  <c r="N3419" i="48"/>
  <c r="N3420" i="48"/>
  <c r="N3421" i="48"/>
  <c r="N3422" i="48"/>
  <c r="N3423" i="48"/>
  <c r="N3424" i="48"/>
  <c r="N3425" i="48"/>
  <c r="N3426" i="48"/>
  <c r="N3427" i="48"/>
  <c r="N3428" i="48"/>
  <c r="N3429" i="48"/>
  <c r="N3430" i="48"/>
  <c r="N3431" i="48"/>
  <c r="N3432" i="48"/>
  <c r="N3433" i="48"/>
  <c r="N3434" i="48"/>
  <c r="N3435" i="48"/>
  <c r="N3436" i="48"/>
  <c r="N3437" i="48"/>
  <c r="N3438" i="48"/>
  <c r="N3439" i="48"/>
  <c r="N3440" i="48"/>
  <c r="N3441" i="48"/>
  <c r="N3442" i="48"/>
  <c r="N3443" i="48"/>
  <c r="N3444" i="48"/>
  <c r="N3445" i="48"/>
  <c r="N3446" i="48"/>
  <c r="N3447" i="48"/>
  <c r="N3448" i="48"/>
  <c r="N3449" i="48"/>
  <c r="N3450" i="48"/>
  <c r="N3451" i="48"/>
  <c r="N3452" i="48"/>
  <c r="N3453" i="48"/>
  <c r="N3454" i="48"/>
  <c r="N3455" i="48"/>
  <c r="N3456" i="48"/>
  <c r="N3457" i="48"/>
  <c r="N3458" i="48"/>
  <c r="N3459" i="48"/>
  <c r="N3460" i="48"/>
  <c r="N3461" i="48"/>
  <c r="N3462" i="48"/>
  <c r="N3463" i="48"/>
  <c r="N3464" i="48"/>
  <c r="N3465" i="48"/>
  <c r="N3466" i="48"/>
  <c r="N3467" i="48"/>
  <c r="N3468" i="48"/>
  <c r="N3469" i="48"/>
  <c r="N3470" i="48"/>
  <c r="N3471" i="48"/>
  <c r="N3472" i="48"/>
  <c r="N3473" i="48"/>
  <c r="N3474" i="48"/>
  <c r="N3475" i="48"/>
  <c r="N3476" i="48"/>
  <c r="N3477" i="48"/>
  <c r="N3478" i="48"/>
  <c r="N3479" i="48"/>
  <c r="N3480" i="48"/>
  <c r="N3481" i="48"/>
  <c r="N3482" i="48"/>
  <c r="N3483" i="48"/>
  <c r="N3484" i="48"/>
  <c r="N3485" i="48"/>
  <c r="N3486" i="48"/>
  <c r="N3487" i="48"/>
  <c r="N3488" i="48"/>
  <c r="N3489" i="48"/>
  <c r="N3490" i="48"/>
  <c r="N3491" i="48"/>
  <c r="N3492" i="48"/>
  <c r="N3493" i="48"/>
  <c r="N3494" i="48"/>
  <c r="N3495" i="48"/>
  <c r="N3496" i="48"/>
  <c r="N3497" i="48"/>
  <c r="N3498" i="48"/>
  <c r="N3499" i="48"/>
  <c r="N3500" i="48"/>
  <c r="N3501" i="48"/>
  <c r="N3502" i="48"/>
  <c r="N3503" i="48"/>
  <c r="N3504" i="48"/>
  <c r="N3505" i="48"/>
  <c r="N3506" i="48"/>
  <c r="N3507" i="48"/>
  <c r="N3508" i="48"/>
  <c r="N3509" i="48"/>
  <c r="N3510" i="48"/>
  <c r="N3511" i="48"/>
  <c r="N3512" i="48"/>
  <c r="N3513" i="48"/>
  <c r="N3514" i="48"/>
  <c r="N3515" i="48"/>
  <c r="N3516" i="48"/>
  <c r="N3517" i="48"/>
  <c r="N3518" i="48"/>
  <c r="N3519" i="48"/>
  <c r="N3520" i="48"/>
  <c r="N3521" i="48"/>
  <c r="N3522" i="48"/>
  <c r="N3523" i="48"/>
  <c r="N3524" i="48"/>
  <c r="N3525" i="48"/>
  <c r="N3526" i="48"/>
  <c r="N3527" i="48"/>
  <c r="N3528" i="48"/>
  <c r="N3529" i="48"/>
  <c r="N3530" i="48"/>
  <c r="N3531" i="48"/>
  <c r="N3532" i="48"/>
  <c r="N3533" i="48"/>
  <c r="N3534" i="48"/>
  <c r="N3535" i="48"/>
  <c r="N3536" i="48"/>
  <c r="N3537" i="48"/>
  <c r="N3538" i="48"/>
  <c r="N3539" i="48"/>
  <c r="N3540" i="48"/>
  <c r="N3541" i="48"/>
  <c r="N3542" i="48"/>
  <c r="N3543" i="48"/>
  <c r="N3544" i="48"/>
  <c r="N3545" i="48"/>
  <c r="N3546" i="48"/>
  <c r="N3547" i="48"/>
  <c r="N3548" i="48"/>
  <c r="N3549" i="48"/>
  <c r="N3550" i="48"/>
  <c r="N3551" i="48"/>
  <c r="N3552" i="48"/>
  <c r="N3553" i="48"/>
  <c r="N3554" i="48"/>
  <c r="N3555" i="48"/>
  <c r="N3556" i="48"/>
  <c r="N3557" i="48"/>
  <c r="N3558" i="48"/>
  <c r="N3559" i="48"/>
  <c r="N3560" i="48"/>
  <c r="N3561" i="48"/>
  <c r="N3562" i="48"/>
  <c r="N3563" i="48"/>
  <c r="N3564" i="48"/>
  <c r="N3565" i="48"/>
  <c r="N3566" i="48"/>
  <c r="N3567" i="48"/>
  <c r="N3568" i="48"/>
  <c r="N3569" i="48"/>
  <c r="N3570" i="48"/>
  <c r="N3571" i="48"/>
  <c r="N3572" i="48"/>
  <c r="N3573" i="48"/>
  <c r="N3574" i="48"/>
  <c r="N3575" i="48"/>
  <c r="N3576" i="48"/>
  <c r="N3577" i="48"/>
  <c r="N3578" i="48"/>
  <c r="N3579" i="48"/>
  <c r="N3580" i="48"/>
  <c r="N3581" i="48"/>
  <c r="N3582" i="48"/>
  <c r="N3583" i="48"/>
  <c r="N3584" i="48"/>
  <c r="N3585" i="48"/>
  <c r="N3586" i="48"/>
  <c r="N3587" i="48"/>
  <c r="N3588" i="48"/>
  <c r="N3589" i="48"/>
  <c r="N3590" i="48"/>
  <c r="N3591" i="48"/>
  <c r="N3592" i="48"/>
  <c r="N3593" i="48"/>
  <c r="N3594" i="48"/>
  <c r="N3595" i="48"/>
  <c r="N3596" i="48"/>
  <c r="N3597" i="48"/>
  <c r="N3598" i="48"/>
  <c r="N3599" i="48"/>
  <c r="N3600" i="48"/>
  <c r="N3601" i="48"/>
  <c r="N3602" i="48"/>
  <c r="N3603" i="48"/>
  <c r="N3604" i="48"/>
  <c r="N3605" i="48"/>
  <c r="N3606" i="48"/>
  <c r="N3607" i="48"/>
  <c r="N3608" i="48"/>
  <c r="N3609" i="48"/>
  <c r="N3610" i="48"/>
  <c r="N3611" i="48"/>
  <c r="N3612" i="48"/>
  <c r="N3613" i="48"/>
  <c r="N3614" i="48"/>
  <c r="N3615" i="48"/>
  <c r="N3616" i="48"/>
  <c r="N3617" i="48"/>
  <c r="N3618" i="48"/>
  <c r="N3619" i="48"/>
  <c r="N3620" i="48"/>
  <c r="N3621" i="48"/>
  <c r="N3622" i="48"/>
  <c r="N3623" i="48"/>
  <c r="N3624" i="48"/>
  <c r="N3625" i="48"/>
  <c r="N3626" i="48"/>
  <c r="N3627" i="48"/>
  <c r="N3628" i="48"/>
  <c r="N3629" i="48"/>
  <c r="N3630" i="48"/>
  <c r="N3631" i="48"/>
  <c r="N3632" i="48"/>
  <c r="N3633" i="48"/>
  <c r="N3634" i="48"/>
  <c r="N3635" i="48"/>
  <c r="N3636" i="48"/>
  <c r="N3637" i="48"/>
  <c r="N3638" i="48"/>
  <c r="N3639" i="48"/>
  <c r="N3640" i="48"/>
  <c r="N3641" i="48"/>
  <c r="N3642" i="48"/>
  <c r="N3643" i="48"/>
  <c r="N3644" i="48"/>
  <c r="N3645" i="48"/>
  <c r="N3646" i="48"/>
  <c r="N3647" i="48"/>
  <c r="N3648" i="48"/>
  <c r="N3649" i="48"/>
  <c r="N3650" i="48"/>
  <c r="N3651" i="48"/>
  <c r="N3652" i="48"/>
  <c r="N3653" i="48"/>
  <c r="N3654" i="48"/>
  <c r="N3655" i="48"/>
  <c r="N3656" i="48"/>
  <c r="N3657" i="48"/>
  <c r="N3658" i="48"/>
  <c r="N3659" i="48"/>
  <c r="N3660" i="48"/>
  <c r="N3661" i="48"/>
  <c r="N3662" i="48"/>
  <c r="N3663" i="48"/>
  <c r="N3664" i="48"/>
  <c r="N3665" i="48"/>
  <c r="N3666" i="48"/>
  <c r="N3667" i="48"/>
  <c r="N3668" i="48"/>
  <c r="N3669" i="48"/>
  <c r="N3670" i="48"/>
  <c r="N3671" i="48"/>
  <c r="N3672" i="48"/>
  <c r="N3673" i="48"/>
  <c r="N3674" i="48"/>
  <c r="N3675" i="48"/>
  <c r="N3676" i="48"/>
  <c r="N3677" i="48"/>
  <c r="N3678" i="48"/>
  <c r="N3679" i="48"/>
  <c r="N3680" i="48"/>
  <c r="N3681" i="48"/>
  <c r="N3682" i="48"/>
  <c r="N3683" i="48"/>
  <c r="N3684" i="48"/>
  <c r="N3685" i="48"/>
  <c r="N3686" i="48"/>
  <c r="N3687" i="48"/>
  <c r="N3688" i="48"/>
  <c r="N3689" i="48"/>
  <c r="N3690" i="48"/>
  <c r="N3691" i="48"/>
  <c r="N3692" i="48"/>
  <c r="N3693" i="48"/>
  <c r="N3694" i="48"/>
  <c r="N3695" i="48"/>
  <c r="N3696" i="48"/>
  <c r="N3697" i="48"/>
  <c r="N3698" i="48"/>
  <c r="N3699" i="48"/>
  <c r="N3700" i="48"/>
  <c r="N3701" i="48"/>
  <c r="N3702" i="48"/>
  <c r="N3703" i="48"/>
  <c r="N3704" i="48"/>
  <c r="N3705" i="48"/>
  <c r="N3706" i="48"/>
  <c r="N3707" i="48"/>
  <c r="N3708" i="48"/>
  <c r="N3709" i="48"/>
  <c r="N3710" i="48"/>
  <c r="N3711" i="48"/>
  <c r="N3712" i="48"/>
  <c r="N3713" i="48"/>
  <c r="N3714" i="48"/>
  <c r="N3715" i="48"/>
  <c r="N3716" i="48"/>
  <c r="N3717" i="48"/>
  <c r="N3718" i="48"/>
  <c r="N3719" i="48"/>
  <c r="N3720" i="48"/>
  <c r="N3721" i="48"/>
  <c r="N3722" i="48"/>
  <c r="N3723" i="48"/>
  <c r="N3724" i="48"/>
  <c r="N3725" i="48"/>
  <c r="N3726" i="48"/>
  <c r="N3727" i="48"/>
  <c r="N3728" i="48"/>
  <c r="N3729" i="48"/>
  <c r="N3730" i="48"/>
  <c r="N3731" i="48"/>
  <c r="N3732" i="48"/>
  <c r="N3733" i="48"/>
  <c r="N3734" i="48"/>
  <c r="N3735" i="48"/>
  <c r="N3736" i="48"/>
  <c r="N3737" i="48"/>
  <c r="N3738" i="48"/>
  <c r="N3739" i="48"/>
  <c r="N3740" i="48"/>
  <c r="N3741" i="48"/>
  <c r="N3742" i="48"/>
  <c r="N3743" i="48"/>
  <c r="N3744" i="48"/>
  <c r="N3745" i="48"/>
  <c r="N3746" i="48"/>
  <c r="N3747" i="48"/>
  <c r="N3748" i="48"/>
  <c r="N3749" i="48"/>
  <c r="N3750" i="48"/>
  <c r="N3751" i="48"/>
  <c r="N3752" i="48"/>
  <c r="N3753" i="48"/>
  <c r="N3754" i="48"/>
  <c r="N3755" i="48"/>
  <c r="N3756" i="48"/>
  <c r="N3757" i="48"/>
  <c r="N3758" i="48"/>
  <c r="N3759" i="48"/>
  <c r="N3760" i="48"/>
  <c r="N3761" i="48"/>
  <c r="N3762" i="48"/>
  <c r="N3763" i="48"/>
  <c r="N3764" i="48"/>
  <c r="N3765" i="48"/>
  <c r="N3766" i="48"/>
  <c r="N3767" i="48"/>
  <c r="N3768" i="48"/>
  <c r="N3769" i="48"/>
  <c r="N3770" i="48"/>
  <c r="N3771" i="48"/>
  <c r="N3772" i="48"/>
  <c r="N3773" i="48"/>
  <c r="N3774" i="48"/>
  <c r="N3775" i="48"/>
  <c r="N3776" i="48"/>
  <c r="N3777" i="48"/>
  <c r="N3778" i="48"/>
  <c r="N3779" i="48"/>
  <c r="N3780" i="48"/>
  <c r="N3781" i="48"/>
  <c r="N3782" i="48"/>
  <c r="N3783" i="48"/>
  <c r="N3784" i="48"/>
  <c r="N3785" i="48"/>
  <c r="N3786" i="48"/>
  <c r="N3787" i="48"/>
  <c r="N3788" i="48"/>
  <c r="N3789" i="48"/>
  <c r="N3790" i="48"/>
  <c r="N3791" i="48"/>
  <c r="N3792" i="48"/>
  <c r="N3793" i="48"/>
  <c r="N3794" i="48"/>
  <c r="N3795" i="48"/>
  <c r="N3796" i="48"/>
  <c r="N3797" i="48"/>
  <c r="N3798" i="48"/>
  <c r="N3799" i="48"/>
  <c r="N3800" i="48"/>
  <c r="N3801" i="48"/>
  <c r="N3802" i="48"/>
  <c r="N3803" i="48"/>
  <c r="N3804" i="48"/>
  <c r="N3805" i="48"/>
  <c r="N3806" i="48"/>
  <c r="N3807" i="48"/>
  <c r="N3808" i="48"/>
  <c r="N3809" i="48"/>
  <c r="N3810" i="48"/>
  <c r="N3811" i="48"/>
  <c r="N3812" i="48"/>
  <c r="N3813" i="48"/>
  <c r="N3814" i="48"/>
  <c r="N3815" i="48"/>
  <c r="N3816" i="48"/>
  <c r="N3817" i="48"/>
  <c r="N3818" i="48"/>
  <c r="N3819" i="48"/>
  <c r="N3820" i="48"/>
  <c r="N3821" i="48"/>
  <c r="N3822" i="48"/>
  <c r="N3823" i="48"/>
  <c r="N3824" i="48"/>
  <c r="N3825" i="48"/>
  <c r="N3826" i="48"/>
  <c r="N3827" i="48"/>
  <c r="N3828" i="48"/>
  <c r="N3829" i="48"/>
  <c r="N3830" i="48"/>
  <c r="N202" i="48"/>
  <c r="L2322" i="48"/>
  <c r="U71" i="59"/>
  <c r="U72" i="59"/>
  <c r="U73" i="59"/>
  <c r="U74" i="59"/>
  <c r="U67" i="59"/>
  <c r="V67" i="59"/>
  <c r="U63" i="59"/>
  <c r="V63" i="59"/>
  <c r="U59" i="59"/>
  <c r="V59" i="59"/>
  <c r="U55" i="59"/>
  <c r="V55" i="59"/>
  <c r="U51" i="59"/>
  <c r="V51" i="59"/>
  <c r="U47" i="59"/>
  <c r="V47" i="59"/>
  <c r="U43" i="59"/>
  <c r="U44" i="59"/>
  <c r="U45" i="59"/>
  <c r="U46" i="59"/>
  <c r="U39" i="59"/>
  <c r="V39" i="59"/>
  <c r="U35" i="59"/>
  <c r="V35" i="59"/>
  <c r="U31" i="59"/>
  <c r="U32" i="59"/>
  <c r="U33" i="59"/>
  <c r="U34" i="59"/>
  <c r="U27" i="59"/>
  <c r="V27" i="59"/>
  <c r="R75" i="59"/>
  <c r="Q75" i="59"/>
  <c r="P75" i="59"/>
  <c r="R74" i="59"/>
  <c r="O74" i="59"/>
  <c r="R73" i="59"/>
  <c r="R72" i="59"/>
  <c r="O72" i="59"/>
  <c r="P72" i="59"/>
  <c r="Q72" i="59"/>
  <c r="M75" i="59"/>
  <c r="N75" i="59"/>
  <c r="O75" i="59"/>
  <c r="N74" i="59"/>
  <c r="Q74" i="59"/>
  <c r="N73" i="59"/>
  <c r="Q73" i="59"/>
  <c r="N72" i="59"/>
  <c r="T8" i="59"/>
  <c r="T9" i="59"/>
  <c r="T10" i="59"/>
  <c r="T11" i="59"/>
  <c r="T12" i="59"/>
  <c r="T13" i="59"/>
  <c r="T14" i="59"/>
  <c r="T15" i="59"/>
  <c r="T16" i="59"/>
  <c r="T17" i="59"/>
  <c r="T7" i="59"/>
  <c r="T6" i="59"/>
  <c r="R17" i="59"/>
  <c r="N14" i="59"/>
  <c r="S12" i="59"/>
  <c r="N12" i="59"/>
  <c r="K88" i="59"/>
  <c r="J88" i="59"/>
  <c r="I88" i="59"/>
  <c r="K87" i="59"/>
  <c r="J87" i="59"/>
  <c r="I87" i="59"/>
  <c r="K86" i="59"/>
  <c r="J86" i="59"/>
  <c r="I86" i="59"/>
  <c r="K85" i="59"/>
  <c r="J85" i="59"/>
  <c r="I85" i="59"/>
  <c r="K84" i="59"/>
  <c r="J84" i="59"/>
  <c r="I84" i="59"/>
  <c r="K83" i="59"/>
  <c r="J83" i="59"/>
  <c r="I83" i="59"/>
  <c r="K82" i="59"/>
  <c r="J82" i="59"/>
  <c r="I82" i="59"/>
  <c r="K81" i="59"/>
  <c r="J81" i="59"/>
  <c r="I81" i="59"/>
  <c r="K80" i="59"/>
  <c r="J80" i="59"/>
  <c r="I80" i="59"/>
  <c r="K79" i="59"/>
  <c r="J79" i="59"/>
  <c r="I79" i="59"/>
  <c r="K78" i="59"/>
  <c r="J78" i="59"/>
  <c r="I78" i="59"/>
  <c r="K77" i="59"/>
  <c r="J77" i="59"/>
  <c r="I77" i="59"/>
  <c r="K76" i="59"/>
  <c r="J76" i="59"/>
  <c r="I76" i="59"/>
  <c r="K75" i="59"/>
  <c r="J75" i="59"/>
  <c r="I75" i="59"/>
  <c r="K74" i="59"/>
  <c r="J74" i="59"/>
  <c r="I74" i="59"/>
  <c r="K73" i="59"/>
  <c r="J73" i="59"/>
  <c r="I73" i="59"/>
  <c r="K72" i="59"/>
  <c r="J72" i="59"/>
  <c r="I72" i="59"/>
  <c r="R71" i="59"/>
  <c r="M71" i="59"/>
  <c r="N71" i="59"/>
  <c r="Q71" i="59"/>
  <c r="K71" i="59"/>
  <c r="J71" i="59"/>
  <c r="I71" i="59"/>
  <c r="R70" i="59"/>
  <c r="N70" i="59"/>
  <c r="P70" i="59"/>
  <c r="K70" i="59"/>
  <c r="J70" i="59"/>
  <c r="I70" i="59"/>
  <c r="R69" i="59"/>
  <c r="N69" i="59"/>
  <c r="Q69" i="59"/>
  <c r="K69" i="59"/>
  <c r="J69" i="59"/>
  <c r="I69" i="59"/>
  <c r="R68" i="59"/>
  <c r="N68" i="59"/>
  <c r="O68" i="59"/>
  <c r="P68" i="59"/>
  <c r="Q68" i="59"/>
  <c r="K68" i="59"/>
  <c r="J68" i="59"/>
  <c r="I68" i="59"/>
  <c r="R67" i="59"/>
  <c r="M67" i="59"/>
  <c r="N67" i="59"/>
  <c r="K67" i="59"/>
  <c r="J67" i="59"/>
  <c r="I67" i="59"/>
  <c r="R66" i="59"/>
  <c r="N66" i="59"/>
  <c r="Q66" i="59"/>
  <c r="K66" i="59"/>
  <c r="J66" i="59"/>
  <c r="I66" i="59"/>
  <c r="R65" i="59"/>
  <c r="N65" i="59"/>
  <c r="Q65" i="59"/>
  <c r="K65" i="59"/>
  <c r="J65" i="59"/>
  <c r="I65" i="59"/>
  <c r="R64" i="59"/>
  <c r="N64" i="59"/>
  <c r="O64" i="59"/>
  <c r="P64" i="59"/>
  <c r="Q64" i="59"/>
  <c r="K64" i="59"/>
  <c r="J64" i="59"/>
  <c r="I64" i="59"/>
  <c r="R63" i="59"/>
  <c r="M63" i="59"/>
  <c r="N63" i="59"/>
  <c r="K63" i="59"/>
  <c r="J63" i="59"/>
  <c r="I63" i="59"/>
  <c r="R62" i="59"/>
  <c r="P62" i="59"/>
  <c r="O62" i="59"/>
  <c r="N62" i="59"/>
  <c r="Q62" i="59"/>
  <c r="K62" i="59"/>
  <c r="J62" i="59"/>
  <c r="I62" i="59"/>
  <c r="R61" i="59"/>
  <c r="N61" i="59"/>
  <c r="O61" i="59"/>
  <c r="K61" i="59"/>
  <c r="J61" i="59"/>
  <c r="I61" i="59"/>
  <c r="R60" i="59"/>
  <c r="N60" i="59"/>
  <c r="O60" i="59"/>
  <c r="P60" i="59"/>
  <c r="Q60" i="59"/>
  <c r="K60" i="59"/>
  <c r="J60" i="59"/>
  <c r="I60" i="59"/>
  <c r="R59" i="59"/>
  <c r="M59" i="59"/>
  <c r="N59" i="59"/>
  <c r="K59" i="59"/>
  <c r="J59" i="59"/>
  <c r="I59" i="59"/>
  <c r="R58" i="59"/>
  <c r="N58" i="59"/>
  <c r="Q58" i="59"/>
  <c r="K58" i="59"/>
  <c r="J58" i="59"/>
  <c r="I58" i="59"/>
  <c r="R57" i="59"/>
  <c r="N57" i="59"/>
  <c r="O57" i="59"/>
  <c r="K57" i="59"/>
  <c r="J57" i="59"/>
  <c r="I57" i="59"/>
  <c r="R56" i="59"/>
  <c r="N56" i="59"/>
  <c r="O56" i="59"/>
  <c r="P56" i="59"/>
  <c r="Q56" i="59"/>
  <c r="K56" i="59"/>
  <c r="J56" i="59"/>
  <c r="I56" i="59"/>
  <c r="R55" i="59"/>
  <c r="M55" i="59"/>
  <c r="N55" i="59"/>
  <c r="K55" i="59"/>
  <c r="J55" i="59"/>
  <c r="I55" i="59"/>
  <c r="R54" i="59"/>
  <c r="N54" i="59"/>
  <c r="P54" i="59"/>
  <c r="K54" i="59"/>
  <c r="J54" i="59"/>
  <c r="I54" i="59"/>
  <c r="R53" i="59"/>
  <c r="N53" i="59"/>
  <c r="Q53" i="59"/>
  <c r="K53" i="59"/>
  <c r="J53" i="59"/>
  <c r="I53" i="59"/>
  <c r="R52" i="59"/>
  <c r="N52" i="59"/>
  <c r="O52" i="59"/>
  <c r="P52" i="59"/>
  <c r="Q52" i="59"/>
  <c r="K52" i="59"/>
  <c r="J52" i="59"/>
  <c r="I52" i="59"/>
  <c r="R51" i="59"/>
  <c r="M51" i="59"/>
  <c r="N51" i="59"/>
  <c r="K51" i="59"/>
  <c r="J51" i="59"/>
  <c r="I51" i="59"/>
  <c r="R50" i="59"/>
  <c r="N50" i="59"/>
  <c r="P50" i="59"/>
  <c r="K50" i="59"/>
  <c r="J50" i="59"/>
  <c r="I50" i="59"/>
  <c r="R49" i="59"/>
  <c r="N49" i="59"/>
  <c r="Q49" i="59"/>
  <c r="K49" i="59"/>
  <c r="J49" i="59"/>
  <c r="I49" i="59"/>
  <c r="R48" i="59"/>
  <c r="N48" i="59"/>
  <c r="O48" i="59"/>
  <c r="P48" i="59"/>
  <c r="Q48" i="59"/>
  <c r="K48" i="59"/>
  <c r="J48" i="59"/>
  <c r="I48" i="59"/>
  <c r="R47" i="59"/>
  <c r="M47" i="59"/>
  <c r="N47" i="59"/>
  <c r="K47" i="59"/>
  <c r="J47" i="59"/>
  <c r="I47" i="59"/>
  <c r="R46" i="59"/>
  <c r="N46" i="59"/>
  <c r="Q46" i="59"/>
  <c r="K46" i="59"/>
  <c r="J46" i="59"/>
  <c r="I46" i="59"/>
  <c r="R45" i="59"/>
  <c r="O45" i="59"/>
  <c r="N45" i="59"/>
  <c r="Q45" i="59"/>
  <c r="K45" i="59"/>
  <c r="J45" i="59"/>
  <c r="I45" i="59"/>
  <c r="R44" i="59"/>
  <c r="N44" i="59"/>
  <c r="O44" i="59"/>
  <c r="P44" i="59"/>
  <c r="Q44" i="59"/>
  <c r="K44" i="59"/>
  <c r="J44" i="59"/>
  <c r="I44" i="59"/>
  <c r="R43" i="59"/>
  <c r="M43" i="59"/>
  <c r="N43" i="59"/>
  <c r="Q43" i="59"/>
  <c r="K43" i="59"/>
  <c r="J43" i="59"/>
  <c r="I43" i="59"/>
  <c r="R42" i="59"/>
  <c r="N42" i="59"/>
  <c r="O42" i="59"/>
  <c r="K42" i="59"/>
  <c r="J42" i="59"/>
  <c r="I42" i="59"/>
  <c r="R41" i="59"/>
  <c r="O41" i="59"/>
  <c r="N41" i="59"/>
  <c r="P41" i="59"/>
  <c r="K41" i="59"/>
  <c r="J41" i="59"/>
  <c r="I41" i="59"/>
  <c r="R40" i="59"/>
  <c r="N40" i="59"/>
  <c r="O40" i="59"/>
  <c r="P40" i="59"/>
  <c r="Q40" i="59"/>
  <c r="K40" i="59"/>
  <c r="J40" i="59"/>
  <c r="I40" i="59"/>
  <c r="R39" i="59"/>
  <c r="N39" i="59"/>
  <c r="Q39" i="59"/>
  <c r="M39" i="59"/>
  <c r="K39" i="59"/>
  <c r="J39" i="59"/>
  <c r="I39" i="59"/>
  <c r="R38" i="59"/>
  <c r="N38" i="59"/>
  <c r="O38" i="59"/>
  <c r="K38" i="59"/>
  <c r="J38" i="59"/>
  <c r="I38" i="59"/>
  <c r="R37" i="59"/>
  <c r="N37" i="59"/>
  <c r="Q37" i="59"/>
  <c r="K37" i="59"/>
  <c r="J37" i="59"/>
  <c r="I37" i="59"/>
  <c r="R36" i="59"/>
  <c r="N36" i="59"/>
  <c r="O36" i="59"/>
  <c r="P36" i="59"/>
  <c r="Q36" i="59"/>
  <c r="K36" i="59"/>
  <c r="J36" i="59"/>
  <c r="I36" i="59"/>
  <c r="R35" i="59"/>
  <c r="M35" i="59"/>
  <c r="N35" i="59"/>
  <c r="K35" i="59"/>
  <c r="J35" i="59"/>
  <c r="I35" i="59"/>
  <c r="R34" i="59"/>
  <c r="O34" i="59"/>
  <c r="N34" i="59"/>
  <c r="Q34" i="59"/>
  <c r="K34" i="59"/>
  <c r="J34" i="59"/>
  <c r="I34" i="59"/>
  <c r="R33" i="59"/>
  <c r="N33" i="59"/>
  <c r="Q33" i="59"/>
  <c r="K33" i="59"/>
  <c r="J33" i="59"/>
  <c r="I33" i="59"/>
  <c r="R32" i="59"/>
  <c r="O32" i="59"/>
  <c r="P32" i="59"/>
  <c r="Q32" i="59"/>
  <c r="N32" i="59"/>
  <c r="K32" i="59"/>
  <c r="J32" i="59"/>
  <c r="I32" i="59"/>
  <c r="R31" i="59"/>
  <c r="M31" i="59"/>
  <c r="N31" i="59"/>
  <c r="K31" i="59"/>
  <c r="J31" i="59"/>
  <c r="I31" i="59"/>
  <c r="R30" i="59"/>
  <c r="O30" i="59"/>
  <c r="N30" i="59"/>
  <c r="Q30" i="59"/>
  <c r="K30" i="59"/>
  <c r="J30" i="59"/>
  <c r="I30" i="59"/>
  <c r="R29" i="59"/>
  <c r="N29" i="59"/>
  <c r="O29" i="59"/>
  <c r="K29" i="59"/>
  <c r="J29" i="59"/>
  <c r="I29" i="59"/>
  <c r="R28" i="59"/>
  <c r="O28" i="59"/>
  <c r="P28" i="59"/>
  <c r="Q28" i="59"/>
  <c r="N28" i="59"/>
  <c r="K28" i="59"/>
  <c r="J28" i="59"/>
  <c r="I28" i="59"/>
  <c r="R27" i="59"/>
  <c r="M27" i="59"/>
  <c r="N27" i="59"/>
  <c r="K27" i="59"/>
  <c r="J27" i="59"/>
  <c r="I27" i="59"/>
  <c r="R26" i="59"/>
  <c r="O26" i="59"/>
  <c r="N26" i="59"/>
  <c r="Q26" i="59"/>
  <c r="K26" i="59"/>
  <c r="J26" i="59"/>
  <c r="I26" i="59"/>
  <c r="R25" i="59"/>
  <c r="N25" i="59"/>
  <c r="O25" i="59"/>
  <c r="K25" i="59"/>
  <c r="J25" i="59"/>
  <c r="I25" i="59"/>
  <c r="R24" i="59"/>
  <c r="N24" i="59"/>
  <c r="Q24" i="59"/>
  <c r="K24" i="59"/>
  <c r="J24" i="59"/>
  <c r="I24" i="59"/>
  <c r="R23" i="59"/>
  <c r="Q23" i="59"/>
  <c r="N23" i="59"/>
  <c r="P23" i="59"/>
  <c r="K23" i="59"/>
  <c r="J23" i="59"/>
  <c r="I23" i="59"/>
  <c r="R22" i="59"/>
  <c r="Q22" i="59"/>
  <c r="N22" i="59"/>
  <c r="O22" i="59"/>
  <c r="K22" i="59"/>
  <c r="J22" i="59"/>
  <c r="I22" i="59"/>
  <c r="R21" i="59"/>
  <c r="O21" i="59"/>
  <c r="N21" i="59"/>
  <c r="P21" i="59"/>
  <c r="K21" i="59"/>
  <c r="J21" i="59"/>
  <c r="I21" i="59"/>
  <c r="R20" i="59"/>
  <c r="N20" i="59"/>
  <c r="Q20" i="59"/>
  <c r="K20" i="59"/>
  <c r="J20" i="59"/>
  <c r="I20" i="59"/>
  <c r="R19" i="59"/>
  <c r="N19" i="59"/>
  <c r="Q19" i="59"/>
  <c r="K19" i="59"/>
  <c r="J19" i="59"/>
  <c r="I19" i="59"/>
  <c r="R18" i="59"/>
  <c r="N18" i="59"/>
  <c r="O18" i="59"/>
  <c r="K18" i="59"/>
  <c r="J18" i="59"/>
  <c r="I18" i="59"/>
  <c r="K17" i="59"/>
  <c r="J17" i="59"/>
  <c r="I17" i="59"/>
  <c r="K16" i="59"/>
  <c r="J16" i="59"/>
  <c r="I16" i="59"/>
  <c r="K15" i="59"/>
  <c r="J15" i="59"/>
  <c r="I15" i="59"/>
  <c r="K14" i="59"/>
  <c r="J14" i="59"/>
  <c r="I14" i="59"/>
  <c r="K13" i="59"/>
  <c r="J13" i="59"/>
  <c r="I13" i="59"/>
  <c r="K12" i="59"/>
  <c r="J12" i="59"/>
  <c r="I12" i="59"/>
  <c r="K11" i="59"/>
  <c r="J11" i="59"/>
  <c r="I11" i="59"/>
  <c r="N10" i="59"/>
  <c r="K10" i="59"/>
  <c r="J10" i="59"/>
  <c r="I10" i="59"/>
  <c r="K9" i="59"/>
  <c r="J9" i="59"/>
  <c r="I9" i="59"/>
  <c r="N8" i="59"/>
  <c r="K8" i="59"/>
  <c r="J8" i="59"/>
  <c r="I8" i="59"/>
  <c r="V7" i="59"/>
  <c r="K7" i="59"/>
  <c r="J7" i="59"/>
  <c r="I7" i="59"/>
  <c r="K6" i="59"/>
  <c r="J6" i="59"/>
  <c r="I6" i="59"/>
  <c r="K5" i="59"/>
  <c r="J5" i="59"/>
  <c r="I5" i="59"/>
  <c r="K4" i="59"/>
  <c r="J4" i="59"/>
  <c r="I4" i="59"/>
  <c r="K3" i="59"/>
  <c r="J3" i="59"/>
  <c r="I3" i="59"/>
  <c r="AD61" i="34"/>
  <c r="AD62" i="34"/>
  <c r="AD63" i="34"/>
  <c r="AD64" i="34"/>
  <c r="AD65" i="34"/>
  <c r="AD66" i="34"/>
  <c r="AD67" i="34"/>
  <c r="AD68" i="34"/>
  <c r="AD69" i="34"/>
  <c r="AD70" i="34"/>
  <c r="AD71" i="34"/>
  <c r="AD72" i="34"/>
  <c r="AD73" i="34"/>
  <c r="AD74" i="34"/>
  <c r="AD75" i="34"/>
  <c r="AD60" i="34"/>
  <c r="AD59" i="34"/>
  <c r="AD57" i="34"/>
  <c r="AD56" i="34"/>
  <c r="AD55" i="34"/>
  <c r="AD54" i="34"/>
  <c r="AD53" i="34"/>
  <c r="AD52" i="34"/>
  <c r="AD51" i="34"/>
  <c r="AD39" i="34"/>
  <c r="AD43" i="34"/>
  <c r="AD22" i="34"/>
  <c r="AD23" i="34"/>
  <c r="AD24" i="34"/>
  <c r="AD25" i="34"/>
  <c r="AD26" i="34"/>
  <c r="AD27" i="34"/>
  <c r="AD28" i="34"/>
  <c r="AD29" i="34"/>
  <c r="AD30" i="34"/>
  <c r="AD31" i="34"/>
  <c r="AD32" i="34"/>
  <c r="AD33" i="34"/>
  <c r="AD34" i="34"/>
  <c r="AD35" i="34"/>
  <c r="AD36" i="34"/>
  <c r="AD37" i="34"/>
  <c r="AD38" i="34"/>
  <c r="AD40" i="34"/>
  <c r="AD41" i="34"/>
  <c r="AD42" i="34"/>
  <c r="AD44" i="34"/>
  <c r="AD45" i="34"/>
  <c r="AD46" i="34"/>
  <c r="AD47" i="34"/>
  <c r="AD48" i="34"/>
  <c r="AD49" i="34"/>
  <c r="AD50" i="34"/>
  <c r="AD58" i="34"/>
  <c r="AD21" i="34"/>
  <c r="K78" i="57"/>
  <c r="L78" i="57"/>
  <c r="M78" i="57"/>
  <c r="J78" i="57"/>
  <c r="I78" i="57"/>
  <c r="K77" i="57"/>
  <c r="L77" i="57"/>
  <c r="M77" i="57"/>
  <c r="J77" i="57"/>
  <c r="I77" i="57"/>
  <c r="K76" i="57"/>
  <c r="L76" i="57"/>
  <c r="J76" i="57"/>
  <c r="I76" i="57"/>
  <c r="K75" i="57"/>
  <c r="L75" i="57"/>
  <c r="J75" i="57"/>
  <c r="I75" i="57"/>
  <c r="K74" i="57"/>
  <c r="L74" i="57"/>
  <c r="J74" i="57"/>
  <c r="I74" i="57"/>
  <c r="L73" i="57"/>
  <c r="M73" i="57"/>
  <c r="K73" i="57"/>
  <c r="J73" i="57"/>
  <c r="I73" i="57"/>
  <c r="L72" i="57"/>
  <c r="K72" i="57"/>
  <c r="J72" i="57"/>
  <c r="I72" i="57"/>
  <c r="K71" i="57"/>
  <c r="L71" i="57"/>
  <c r="M71" i="57"/>
  <c r="J71" i="57"/>
  <c r="I71" i="57"/>
  <c r="K70" i="57"/>
  <c r="L70" i="57"/>
  <c r="J70" i="57"/>
  <c r="I70" i="57"/>
  <c r="K69" i="57"/>
  <c r="L69" i="57"/>
  <c r="J69" i="57"/>
  <c r="I69" i="57"/>
  <c r="K68" i="57"/>
  <c r="L68" i="57"/>
  <c r="M68" i="57"/>
  <c r="J68" i="57"/>
  <c r="I68" i="57"/>
  <c r="K67" i="57"/>
  <c r="L67" i="57"/>
  <c r="M67" i="57"/>
  <c r="J67" i="57"/>
  <c r="I67" i="57"/>
  <c r="K66" i="57"/>
  <c r="L66" i="57"/>
  <c r="J66" i="57"/>
  <c r="I66" i="57"/>
  <c r="K65" i="57"/>
  <c r="L65" i="57"/>
  <c r="M65" i="57"/>
  <c r="J65" i="57"/>
  <c r="I65" i="57"/>
  <c r="K64" i="57"/>
  <c r="L64" i="57"/>
  <c r="M64" i="57"/>
  <c r="J64" i="57"/>
  <c r="I64" i="57"/>
  <c r="K63" i="57"/>
  <c r="L63" i="57"/>
  <c r="J63" i="57"/>
  <c r="I63" i="57"/>
  <c r="K62" i="57"/>
  <c r="L62" i="57"/>
  <c r="J62" i="57"/>
  <c r="I62" i="57"/>
  <c r="K61" i="57"/>
  <c r="L61" i="57"/>
  <c r="M61" i="57"/>
  <c r="J61" i="57"/>
  <c r="I61" i="57"/>
  <c r="K60" i="57"/>
  <c r="L60" i="57"/>
  <c r="J60" i="57"/>
  <c r="I60" i="57"/>
  <c r="K59" i="57"/>
  <c r="L59" i="57"/>
  <c r="J59" i="57"/>
  <c r="I59" i="57"/>
  <c r="K58" i="57"/>
  <c r="L58" i="57"/>
  <c r="M58" i="57"/>
  <c r="J58" i="57"/>
  <c r="I58" i="57"/>
  <c r="L57" i="57"/>
  <c r="K57" i="57"/>
  <c r="J57" i="57"/>
  <c r="I57" i="57"/>
  <c r="L56" i="57"/>
  <c r="M56" i="57"/>
  <c r="K56" i="57"/>
  <c r="J56" i="57"/>
  <c r="I56" i="57"/>
  <c r="K55" i="57"/>
  <c r="L55" i="57"/>
  <c r="M55" i="57"/>
  <c r="J55" i="57"/>
  <c r="I55" i="57"/>
  <c r="K54" i="57"/>
  <c r="L54" i="57"/>
  <c r="J54" i="57"/>
  <c r="I54" i="57"/>
  <c r="K53" i="57"/>
  <c r="L53" i="57"/>
  <c r="J53" i="57"/>
  <c r="I53" i="57"/>
  <c r="K52" i="57"/>
  <c r="L52" i="57"/>
  <c r="J52" i="57"/>
  <c r="I52" i="57"/>
  <c r="K51" i="57"/>
  <c r="L51" i="57"/>
  <c r="M51" i="57"/>
  <c r="J51" i="57"/>
  <c r="I51" i="57"/>
  <c r="K50" i="57"/>
  <c r="L50" i="57"/>
  <c r="J50" i="57"/>
  <c r="I50" i="57"/>
  <c r="K49" i="57"/>
  <c r="L49" i="57"/>
  <c r="J49" i="57"/>
  <c r="I49" i="57"/>
  <c r="K48" i="57"/>
  <c r="L48" i="57"/>
  <c r="M48" i="57"/>
  <c r="J48" i="57"/>
  <c r="I48" i="57"/>
  <c r="K47" i="57"/>
  <c r="L47" i="57"/>
  <c r="J47" i="57"/>
  <c r="I47" i="57"/>
  <c r="K46" i="57"/>
  <c r="L46" i="57"/>
  <c r="M46" i="57"/>
  <c r="J46" i="57"/>
  <c r="I46" i="57"/>
  <c r="K45" i="57"/>
  <c r="L45" i="57"/>
  <c r="M45" i="57"/>
  <c r="J45" i="57"/>
  <c r="I45" i="57"/>
  <c r="K44" i="57"/>
  <c r="L44" i="57"/>
  <c r="J44" i="57"/>
  <c r="I44" i="57"/>
  <c r="K43" i="57"/>
  <c r="L43" i="57"/>
  <c r="J43" i="57"/>
  <c r="I43" i="57"/>
  <c r="K42" i="57"/>
  <c r="L42" i="57"/>
  <c r="J42" i="57"/>
  <c r="I42" i="57"/>
  <c r="L41" i="57"/>
  <c r="M41" i="57"/>
  <c r="K41" i="57"/>
  <c r="J41" i="57"/>
  <c r="I41" i="57"/>
  <c r="L40" i="57"/>
  <c r="K40" i="57"/>
  <c r="J40" i="57"/>
  <c r="I40" i="57"/>
  <c r="K39" i="57"/>
  <c r="L39" i="57"/>
  <c r="M39" i="57"/>
  <c r="J39" i="57"/>
  <c r="I39" i="57"/>
  <c r="K38" i="57"/>
  <c r="L38" i="57"/>
  <c r="J38" i="57"/>
  <c r="I38" i="57"/>
  <c r="K37" i="57"/>
  <c r="L37" i="57"/>
  <c r="J37" i="57"/>
  <c r="I37" i="57"/>
  <c r="K36" i="57"/>
  <c r="L36" i="57"/>
  <c r="M36" i="57"/>
  <c r="J36" i="57"/>
  <c r="I36" i="57"/>
  <c r="K35" i="57"/>
  <c r="L35" i="57"/>
  <c r="M35" i="57"/>
  <c r="J35" i="57"/>
  <c r="I35" i="57"/>
  <c r="K34" i="57"/>
  <c r="L34" i="57"/>
  <c r="J34" i="57"/>
  <c r="I34" i="57"/>
  <c r="K33" i="57"/>
  <c r="L33" i="57"/>
  <c r="M33" i="57"/>
  <c r="J33" i="57"/>
  <c r="I33" i="57"/>
  <c r="K32" i="57"/>
  <c r="L32" i="57"/>
  <c r="M32" i="57"/>
  <c r="J32" i="57"/>
  <c r="I32" i="57"/>
  <c r="K31" i="57"/>
  <c r="L31" i="57"/>
  <c r="J31" i="57"/>
  <c r="I31" i="57"/>
  <c r="K30" i="57"/>
  <c r="L30" i="57"/>
  <c r="J30" i="57"/>
  <c r="I30" i="57"/>
  <c r="K29" i="57"/>
  <c r="L29" i="57"/>
  <c r="M29" i="57"/>
  <c r="J29" i="57"/>
  <c r="I29" i="57"/>
  <c r="K28" i="57"/>
  <c r="L28" i="57"/>
  <c r="J28" i="57"/>
  <c r="I28" i="57"/>
  <c r="K27" i="57"/>
  <c r="L27" i="57"/>
  <c r="J27" i="57"/>
  <c r="I27" i="57"/>
  <c r="K26" i="57"/>
  <c r="L26" i="57"/>
  <c r="M26" i="57"/>
  <c r="J26" i="57"/>
  <c r="I26" i="57"/>
  <c r="K25" i="57"/>
  <c r="L25" i="57"/>
  <c r="M25" i="57"/>
  <c r="J25" i="57"/>
  <c r="I25" i="57"/>
  <c r="L24" i="57"/>
  <c r="M24" i="57"/>
  <c r="K24" i="57"/>
  <c r="J24" i="57"/>
  <c r="I24" i="57"/>
  <c r="K23" i="57"/>
  <c r="L23" i="57"/>
  <c r="M23" i="57"/>
  <c r="J23" i="57"/>
  <c r="I23" i="57"/>
  <c r="K22" i="57"/>
  <c r="L22" i="57"/>
  <c r="J22" i="57"/>
  <c r="I22" i="57"/>
  <c r="K21" i="57"/>
  <c r="L21" i="57"/>
  <c r="J21" i="57"/>
  <c r="I21" i="57"/>
  <c r="K20" i="57"/>
  <c r="L20" i="57"/>
  <c r="J20" i="57"/>
  <c r="I20" i="57"/>
  <c r="K19" i="57"/>
  <c r="L19" i="57"/>
  <c r="J19" i="57"/>
  <c r="I19" i="57"/>
  <c r="K18" i="57"/>
  <c r="L18" i="57"/>
  <c r="J18" i="57"/>
  <c r="I18" i="57"/>
  <c r="L17" i="57"/>
  <c r="M17" i="57"/>
  <c r="K17" i="57"/>
  <c r="J17" i="57"/>
  <c r="I17" i="57"/>
  <c r="K16" i="57"/>
  <c r="L16" i="57"/>
  <c r="M16" i="57"/>
  <c r="J16" i="57"/>
  <c r="I16" i="57"/>
  <c r="K15" i="57"/>
  <c r="L15" i="57"/>
  <c r="M15" i="57"/>
  <c r="J15" i="57"/>
  <c r="I15" i="57"/>
  <c r="K14" i="57"/>
  <c r="L14" i="57"/>
  <c r="J14" i="57"/>
  <c r="I14" i="57"/>
  <c r="K13" i="57"/>
  <c r="L13" i="57"/>
  <c r="J13" i="57"/>
  <c r="I13" i="57"/>
  <c r="K12" i="57"/>
  <c r="L12" i="57"/>
  <c r="M12" i="57"/>
  <c r="J12" i="57"/>
  <c r="I12" i="57"/>
  <c r="K11" i="57"/>
  <c r="L11" i="57"/>
  <c r="J11" i="57"/>
  <c r="I11" i="57"/>
  <c r="K10" i="57"/>
  <c r="L10" i="57"/>
  <c r="M10" i="57"/>
  <c r="J10" i="57"/>
  <c r="I10" i="57"/>
  <c r="K9" i="57"/>
  <c r="L9" i="57"/>
  <c r="J9" i="57"/>
  <c r="I9" i="57"/>
  <c r="K8" i="57"/>
  <c r="L8" i="57"/>
  <c r="J8" i="57"/>
  <c r="I8" i="57"/>
  <c r="K7" i="57"/>
  <c r="L7" i="57"/>
  <c r="J7" i="57"/>
  <c r="I7" i="57"/>
  <c r="K6" i="57"/>
  <c r="L6" i="57"/>
  <c r="J6" i="57"/>
  <c r="I6" i="57"/>
  <c r="K5" i="57"/>
  <c r="L5" i="57"/>
  <c r="J5" i="57"/>
  <c r="I5" i="57"/>
  <c r="K4" i="57"/>
  <c r="L4" i="57"/>
  <c r="J4" i="57"/>
  <c r="I4" i="57"/>
  <c r="M3575" i="48"/>
  <c r="AJ35" i="22"/>
  <c r="AJ34" i="22"/>
  <c r="AJ28" i="22"/>
  <c r="AD37" i="22"/>
  <c r="AG34" i="22"/>
  <c r="AF34" i="22"/>
  <c r="AE34" i="22"/>
  <c r="AD34" i="22"/>
  <c r="Y34" i="22"/>
  <c r="X34" i="22"/>
  <c r="AI34" i="22"/>
  <c r="AH34" i="22"/>
  <c r="AC34" i="22"/>
  <c r="AB34" i="22"/>
  <c r="AA34" i="22"/>
  <c r="Z34" i="22"/>
  <c r="AG28" i="22"/>
  <c r="AG36" i="22"/>
  <c r="AF28" i="22"/>
  <c r="AF36" i="22"/>
  <c r="AE28" i="22"/>
  <c r="AE36" i="22"/>
  <c r="AD28" i="22"/>
  <c r="AD36" i="22"/>
  <c r="Y28" i="22"/>
  <c r="X28" i="22"/>
  <c r="AI28" i="22"/>
  <c r="AH28" i="22"/>
  <c r="AC28" i="22"/>
  <c r="AB28" i="22"/>
  <c r="AA28" i="22"/>
  <c r="Z28" i="22"/>
  <c r="AI17" i="22"/>
  <c r="AH17" i="22"/>
  <c r="AG17" i="22"/>
  <c r="AF17" i="22"/>
  <c r="AE17" i="22"/>
  <c r="AD17" i="22"/>
  <c r="AC17" i="22"/>
  <c r="AB17" i="22"/>
  <c r="AA17" i="22"/>
  <c r="Z17" i="22"/>
  <c r="Y17" i="22"/>
  <c r="X17" i="22"/>
  <c r="CX30" i="1"/>
  <c r="A4" i="38"/>
  <c r="A5" i="38"/>
  <c r="A6" i="38"/>
  <c r="A7" i="38"/>
  <c r="A8" i="38"/>
  <c r="A9" i="38"/>
  <c r="A10" i="38"/>
  <c r="A11" i="38"/>
  <c r="A12" i="38"/>
  <c r="A13" i="38"/>
  <c r="A16" i="38"/>
  <c r="A21" i="38"/>
  <c r="A22" i="38"/>
  <c r="A23" i="38"/>
  <c r="A24" i="38"/>
  <c r="A25" i="38"/>
  <c r="A26" i="38"/>
  <c r="A27" i="38"/>
  <c r="A28" i="38"/>
  <c r="A29" i="38"/>
  <c r="A30" i="38"/>
  <c r="A3" i="38"/>
  <c r="AN54" i="31"/>
  <c r="AM54" i="31"/>
  <c r="AL54" i="31"/>
  <c r="AK54" i="31"/>
  <c r="AJ54" i="31"/>
  <c r="AI54" i="31"/>
  <c r="AH54" i="31"/>
  <c r="AG54" i="31"/>
  <c r="AF54" i="31"/>
  <c r="AE54" i="31"/>
  <c r="AD54" i="31"/>
  <c r="AC54" i="31"/>
  <c r="AB54" i="31"/>
  <c r="AA46" i="31"/>
  <c r="AA47" i="31"/>
  <c r="AA54" i="31"/>
  <c r="Z54" i="31"/>
  <c r="Y54" i="31"/>
  <c r="Z107" i="57"/>
  <c r="M20" i="57"/>
  <c r="AA531" i="57"/>
  <c r="AA1129" i="57"/>
  <c r="M49" i="57"/>
  <c r="AA165" i="57"/>
  <c r="AA178" i="57"/>
  <c r="AA251" i="57"/>
  <c r="AA467" i="57"/>
  <c r="AA137" i="57"/>
  <c r="AA176" i="57"/>
  <c r="AA403" i="57"/>
  <c r="AA659" i="57"/>
  <c r="AA731" i="57"/>
  <c r="M44" i="57"/>
  <c r="AA139" i="57"/>
  <c r="AA275" i="57"/>
  <c r="AA646" i="57"/>
  <c r="AA760" i="57"/>
  <c r="AA767" i="57"/>
  <c r="AA779" i="57"/>
  <c r="AA821" i="57"/>
  <c r="AA842" i="57"/>
  <c r="AA919" i="57"/>
  <c r="AA975" i="57"/>
  <c r="AA1073" i="57"/>
  <c r="AA1101" i="57"/>
  <c r="AA1145" i="57"/>
  <c r="AA1195" i="57"/>
  <c r="AA1467" i="57"/>
  <c r="AA1571" i="57"/>
  <c r="AA1645" i="57"/>
  <c r="AA1655" i="57"/>
  <c r="X2972" i="57"/>
  <c r="Y2972" i="57"/>
  <c r="W2972" i="57"/>
  <c r="V2972" i="57"/>
  <c r="M8" i="57"/>
  <c r="AA188" i="57"/>
  <c r="AA326" i="57"/>
  <c r="AA550" i="57"/>
  <c r="M11" i="57"/>
  <c r="M13" i="57"/>
  <c r="M27" i="57"/>
  <c r="M37" i="57"/>
  <c r="M47" i="57"/>
  <c r="M59" i="57"/>
  <c r="M69" i="57"/>
  <c r="AA135" i="57"/>
  <c r="AA197" i="57"/>
  <c r="AA219" i="57"/>
  <c r="AA221" i="57"/>
  <c r="AA236" i="57"/>
  <c r="AA253" i="57"/>
  <c r="AA268" i="57"/>
  <c r="AA309" i="57"/>
  <c r="AA341" i="57"/>
  <c r="AA373" i="57"/>
  <c r="AA405" i="57"/>
  <c r="AA437" i="57"/>
  <c r="AA469" i="57"/>
  <c r="AA501" i="57"/>
  <c r="AA533" i="57"/>
  <c r="AA565" i="57"/>
  <c r="AA597" i="57"/>
  <c r="AA629" i="57"/>
  <c r="AA661" i="57"/>
  <c r="AA784" i="57"/>
  <c r="AA791" i="57"/>
  <c r="AA811" i="57"/>
  <c r="AA816" i="57"/>
  <c r="AA850" i="57"/>
  <c r="AA917" i="57"/>
  <c r="AA943" i="57"/>
  <c r="AA968" i="57"/>
  <c r="AA1004" i="57"/>
  <c r="AA1026" i="57"/>
  <c r="AA1047" i="57"/>
  <c r="AA1050" i="57"/>
  <c r="AA1094" i="57"/>
  <c r="AA1122" i="57"/>
  <c r="AA1127" i="57"/>
  <c r="AA1453" i="57"/>
  <c r="AA1460" i="57"/>
  <c r="AA1508" i="57"/>
  <c r="AA2507" i="57"/>
  <c r="M34" i="57"/>
  <c r="M66" i="57"/>
  <c r="AA141" i="57"/>
  <c r="AA167" i="57"/>
  <c r="M18" i="57"/>
  <c r="M30" i="57"/>
  <c r="M42" i="57"/>
  <c r="M52" i="57"/>
  <c r="M62" i="57"/>
  <c r="M74" i="57"/>
  <c r="AA144" i="57"/>
  <c r="AA146" i="57"/>
  <c r="AA191" i="57"/>
  <c r="AA193" i="57"/>
  <c r="AA211" i="57"/>
  <c r="AA215" i="57"/>
  <c r="AA232" i="57"/>
  <c r="AA234" i="57"/>
  <c r="AA247" i="57"/>
  <c r="AA271" i="57"/>
  <c r="AA286" i="57"/>
  <c r="AA288" i="57"/>
  <c r="AA290" i="57"/>
  <c r="AA318" i="57"/>
  <c r="AA320" i="57"/>
  <c r="AA322" i="57"/>
  <c r="AA350" i="57"/>
  <c r="AA352" i="57"/>
  <c r="AA354" i="57"/>
  <c r="AA382" i="57"/>
  <c r="AA384" i="57"/>
  <c r="AA386" i="57"/>
  <c r="AA414" i="57"/>
  <c r="AA416" i="57"/>
  <c r="AA418" i="57"/>
  <c r="AA446" i="57"/>
  <c r="AA448" i="57"/>
  <c r="AA450" i="57"/>
  <c r="AA478" i="57"/>
  <c r="AA480" i="57"/>
  <c r="AA482" i="57"/>
  <c r="AA495" i="57"/>
  <c r="AA510" i="57"/>
  <c r="AA512" i="57"/>
  <c r="AA514" i="57"/>
  <c r="AA527" i="57"/>
  <c r="AA542" i="57"/>
  <c r="AA544" i="57"/>
  <c r="AA546" i="57"/>
  <c r="AA559" i="57"/>
  <c r="AA574" i="57"/>
  <c r="AA576" i="57"/>
  <c r="AA578" i="57"/>
  <c r="AA591" i="57"/>
  <c r="AA606" i="57"/>
  <c r="AA608" i="57"/>
  <c r="AA610" i="57"/>
  <c r="AA623" i="57"/>
  <c r="AA638" i="57"/>
  <c r="AA640" i="57"/>
  <c r="AA642" i="57"/>
  <c r="AA655" i="57"/>
  <c r="AA670" i="57"/>
  <c r="AA672" i="57"/>
  <c r="AA674" i="57"/>
  <c r="AA679" i="57"/>
  <c r="AA826" i="57"/>
  <c r="AA864" i="57"/>
  <c r="AA896" i="57"/>
  <c r="AA1031" i="57"/>
  <c r="AA1033" i="57"/>
  <c r="AA1055" i="57"/>
  <c r="AA1057" i="57"/>
  <c r="AA1064" i="57"/>
  <c r="AA1210" i="57"/>
  <c r="AA1233" i="57"/>
  <c r="AA1377" i="57"/>
  <c r="AA1514" i="57"/>
  <c r="V2025" i="57"/>
  <c r="W2025" i="57"/>
  <c r="X2025" i="57"/>
  <c r="Y2025" i="57"/>
  <c r="X2183" i="57"/>
  <c r="Y2183" i="57"/>
  <c r="W2183" i="57"/>
  <c r="M22" i="57"/>
  <c r="AA156" i="57"/>
  <c r="AA390" i="57"/>
  <c r="AA422" i="57"/>
  <c r="AA486" i="57"/>
  <c r="AA614" i="57"/>
  <c r="M57" i="57"/>
  <c r="AA155" i="57"/>
  <c r="AA189" i="57"/>
  <c r="AA204" i="57"/>
  <c r="AA230" i="57"/>
  <c r="AA260" i="57"/>
  <c r="AA301" i="57"/>
  <c r="AA333" i="57"/>
  <c r="AA365" i="57"/>
  <c r="AA397" i="57"/>
  <c r="AA429" i="57"/>
  <c r="AA461" i="57"/>
  <c r="AA493" i="57"/>
  <c r="AA525" i="57"/>
  <c r="AA557" i="57"/>
  <c r="AA589" i="57"/>
  <c r="AA621" i="57"/>
  <c r="AA653" i="57"/>
  <c r="AA702" i="57"/>
  <c r="AA711" i="57"/>
  <c r="AA718" i="57"/>
  <c r="AA775" i="57"/>
  <c r="AA814" i="57"/>
  <c r="AA822" i="57"/>
  <c r="AA932" i="57"/>
  <c r="AA1086" i="57"/>
  <c r="AA1088" i="57"/>
  <c r="AA1434" i="57"/>
  <c r="V1761" i="57"/>
  <c r="X1761" i="57"/>
  <c r="Y1761" i="57"/>
  <c r="X2817" i="57"/>
  <c r="Y2817" i="57"/>
  <c r="AA2817" i="57"/>
  <c r="W2817" i="57"/>
  <c r="V2817" i="57"/>
  <c r="X2833" i="57"/>
  <c r="Y2833" i="57"/>
  <c r="W2833" i="57"/>
  <c r="X2882" i="57"/>
  <c r="Y2882" i="57"/>
  <c r="V2882" i="57"/>
  <c r="AA279" i="57"/>
  <c r="AA454" i="57"/>
  <c r="M72" i="57"/>
  <c r="M14" i="57"/>
  <c r="M28" i="57"/>
  <c r="M38" i="57"/>
  <c r="M50" i="57"/>
  <c r="M60" i="57"/>
  <c r="M70" i="57"/>
  <c r="AA147" i="57"/>
  <c r="AA151" i="57"/>
  <c r="AA183" i="57"/>
  <c r="AA207" i="57"/>
  <c r="AA222" i="57"/>
  <c r="AA228" i="57"/>
  <c r="AA235" i="57"/>
  <c r="AA237" i="57"/>
  <c r="AA250" i="57"/>
  <c r="AA254" i="57"/>
  <c r="AA267" i="57"/>
  <c r="AA269" i="57"/>
  <c r="AA284" i="57"/>
  <c r="AA310" i="57"/>
  <c r="AA342" i="57"/>
  <c r="AA374" i="57"/>
  <c r="AA406" i="57"/>
  <c r="AA438" i="57"/>
  <c r="AA470" i="57"/>
  <c r="AA502" i="57"/>
  <c r="AA534" i="57"/>
  <c r="AA566" i="57"/>
  <c r="AA598" i="57"/>
  <c r="AA630" i="57"/>
  <c r="AA662" i="57"/>
  <c r="AA677" i="57"/>
  <c r="AA734" i="57"/>
  <c r="AA743" i="57"/>
  <c r="AA750" i="57"/>
  <c r="AA802" i="57"/>
  <c r="AA804" i="57"/>
  <c r="AA809" i="57"/>
  <c r="AA817" i="57"/>
  <c r="AA860" i="57"/>
  <c r="AA880" i="57"/>
  <c r="AA887" i="57"/>
  <c r="AA979" i="57"/>
  <c r="AA1082" i="57"/>
  <c r="AA1084" i="57"/>
  <c r="AA1156" i="57"/>
  <c r="AA1227" i="57"/>
  <c r="AA1282" i="57"/>
  <c r="AA1284" i="57"/>
  <c r="V2397" i="57"/>
  <c r="X2397" i="57"/>
  <c r="Y2397" i="57"/>
  <c r="W2397" i="57"/>
  <c r="V2468" i="57"/>
  <c r="W2468" i="57"/>
  <c r="M54" i="57"/>
  <c r="AA294" i="57"/>
  <c r="AA358" i="57"/>
  <c r="AA518" i="57"/>
  <c r="AA582" i="57"/>
  <c r="M40" i="57"/>
  <c r="M19" i="57"/>
  <c r="M21" i="57"/>
  <c r="M31" i="57"/>
  <c r="M43" i="57"/>
  <c r="M53" i="57"/>
  <c r="M63" i="57"/>
  <c r="M75" i="57"/>
  <c r="Z105" i="57"/>
  <c r="AA140" i="57"/>
  <c r="AA166" i="57"/>
  <c r="AA196" i="57"/>
  <c r="AA263" i="57"/>
  <c r="AA293" i="57"/>
  <c r="AA325" i="57"/>
  <c r="AA357" i="57"/>
  <c r="AA389" i="57"/>
  <c r="AA421" i="57"/>
  <c r="AA453" i="57"/>
  <c r="AA485" i="57"/>
  <c r="AA517" i="57"/>
  <c r="AA549" i="57"/>
  <c r="AA581" i="57"/>
  <c r="AA613" i="57"/>
  <c r="AA645" i="57"/>
  <c r="AA698" i="57"/>
  <c r="AA766" i="57"/>
  <c r="AA820" i="57"/>
  <c r="AA846" i="57"/>
  <c r="AA851" i="57"/>
  <c r="AA928" i="57"/>
  <c r="AA954" i="57"/>
  <c r="AA959" i="57"/>
  <c r="AA964" i="57"/>
  <c r="AA996" i="57"/>
  <c r="AA1455" i="57"/>
  <c r="AA1481" i="57"/>
  <c r="V1873" i="57"/>
  <c r="W1873" i="57"/>
  <c r="X1873" i="57"/>
  <c r="Y1873" i="57"/>
  <c r="M76" i="57"/>
  <c r="AA171" i="57"/>
  <c r="AA186" i="57"/>
  <c r="AA203" i="57"/>
  <c r="AA818" i="57"/>
  <c r="AA839" i="57"/>
  <c r="AA1018" i="57"/>
  <c r="AA1098" i="57"/>
  <c r="AA1114" i="57"/>
  <c r="AA1201" i="57"/>
  <c r="AA1242" i="57"/>
  <c r="W1737" i="57"/>
  <c r="V1737" i="57"/>
  <c r="X1737" i="57"/>
  <c r="Y1737" i="57"/>
  <c r="X2040" i="57"/>
  <c r="Y2040" i="57"/>
  <c r="W2040" i="57"/>
  <c r="V2040" i="57"/>
  <c r="V2140" i="57"/>
  <c r="W2140" i="57"/>
  <c r="AA937" i="57"/>
  <c r="AA944" i="57"/>
  <c r="AA951" i="57"/>
  <c r="AA978" i="57"/>
  <c r="AA999" i="57"/>
  <c r="AA1001" i="57"/>
  <c r="AA1063" i="57"/>
  <c r="AA1074" i="57"/>
  <c r="AA1087" i="57"/>
  <c r="AA1146" i="57"/>
  <c r="AA1183" i="57"/>
  <c r="AA1185" i="57"/>
  <c r="AA1194" i="57"/>
  <c r="AA1217" i="57"/>
  <c r="AA1226" i="57"/>
  <c r="AA1249" i="57"/>
  <c r="AA1279" i="57"/>
  <c r="AA1306" i="57"/>
  <c r="AA1329" i="57"/>
  <c r="AA1367" i="57"/>
  <c r="AA1386" i="57"/>
  <c r="AA1471" i="57"/>
  <c r="AA1505" i="57"/>
  <c r="AA1603" i="57"/>
  <c r="X1752" i="57"/>
  <c r="Y1752" i="57"/>
  <c r="V1752" i="57"/>
  <c r="W1752" i="57"/>
  <c r="V1965" i="57"/>
  <c r="W1965" i="57"/>
  <c r="X1976" i="57"/>
  <c r="Y1976" i="57"/>
  <c r="W1976" i="57"/>
  <c r="V1976" i="57"/>
  <c r="AA1976" i="57"/>
  <c r="X2155" i="57"/>
  <c r="Y2155" i="57"/>
  <c r="W2155" i="57"/>
  <c r="V2155" i="57"/>
  <c r="V2520" i="57"/>
  <c r="X2520" i="57"/>
  <c r="Y2520" i="57"/>
  <c r="W2520" i="57"/>
  <c r="V3053" i="57"/>
  <c r="X3053" i="57"/>
  <c r="Y3053" i="57"/>
  <c r="AA3053" i="57"/>
  <c r="W3053" i="57"/>
  <c r="AA685" i="57"/>
  <c r="AA717" i="57"/>
  <c r="AA749" i="57"/>
  <c r="AA777" i="57"/>
  <c r="AA786" i="57"/>
  <c r="AA790" i="57"/>
  <c r="AA799" i="57"/>
  <c r="AA803" i="57"/>
  <c r="AA849" i="57"/>
  <c r="AA867" i="57"/>
  <c r="AA889" i="57"/>
  <c r="AA909" i="57"/>
  <c r="AA914" i="57"/>
  <c r="AA918" i="57"/>
  <c r="AA927" i="57"/>
  <c r="AA938" i="57"/>
  <c r="AA940" i="57"/>
  <c r="AA963" i="57"/>
  <c r="AA965" i="57"/>
  <c r="AA974" i="57"/>
  <c r="AA1002" i="57"/>
  <c r="AA1037" i="57"/>
  <c r="AA1083" i="57"/>
  <c r="AA1142" i="57"/>
  <c r="AA1157" i="57"/>
  <c r="AA1173" i="57"/>
  <c r="AA1186" i="57"/>
  <c r="AA1190" i="57"/>
  <c r="AA1218" i="57"/>
  <c r="AA1222" i="57"/>
  <c r="AA1250" i="57"/>
  <c r="AA1254" i="57"/>
  <c r="AA1283" i="57"/>
  <c r="AA1285" i="57"/>
  <c r="AA1323" i="57"/>
  <c r="AA1359" i="57"/>
  <c r="AA1381" i="57"/>
  <c r="AA1405" i="57"/>
  <c r="AA1431" i="57"/>
  <c r="AA1433" i="57"/>
  <c r="AA1450" i="57"/>
  <c r="AA1475" i="57"/>
  <c r="AA1485" i="57"/>
  <c r="AA1499" i="57"/>
  <c r="AA1513" i="57"/>
  <c r="AA1545" i="57"/>
  <c r="AA1663" i="57"/>
  <c r="AA1678" i="57"/>
  <c r="AA1707" i="57"/>
  <c r="W1732" i="57"/>
  <c r="X1732" i="57"/>
  <c r="Y1732" i="57"/>
  <c r="V1732" i="57"/>
  <c r="W1741" i="57"/>
  <c r="V1741" i="57"/>
  <c r="X1741" i="57"/>
  <c r="Y1741" i="57"/>
  <c r="AA1741" i="57"/>
  <c r="X1992" i="57"/>
  <c r="Y1992" i="57"/>
  <c r="W1992" i="57"/>
  <c r="V1992" i="57"/>
  <c r="X2128" i="57"/>
  <c r="Y2128" i="57"/>
  <c r="W2128" i="57"/>
  <c r="AA694" i="57"/>
  <c r="AA726" i="57"/>
  <c r="AA758" i="57"/>
  <c r="AA773" i="57"/>
  <c r="AA778" i="57"/>
  <c r="AA797" i="57"/>
  <c r="AA865" i="57"/>
  <c r="AA907" i="57"/>
  <c r="AA930" i="57"/>
  <c r="AA945" i="57"/>
  <c r="AA970" i="57"/>
  <c r="AA989" i="57"/>
  <c r="AA1013" i="57"/>
  <c r="AA1022" i="57"/>
  <c r="AA1035" i="57"/>
  <c r="AA1042" i="57"/>
  <c r="AA1044" i="57"/>
  <c r="AA1059" i="57"/>
  <c r="AA1066" i="57"/>
  <c r="AA1068" i="57"/>
  <c r="AA1090" i="57"/>
  <c r="AA1107" i="57"/>
  <c r="AA1118" i="57"/>
  <c r="AA1138" i="57"/>
  <c r="AA1162" i="57"/>
  <c r="AA1164" i="57"/>
  <c r="AA1191" i="57"/>
  <c r="AA1203" i="57"/>
  <c r="AA1205" i="57"/>
  <c r="AA1223" i="57"/>
  <c r="AA1235" i="57"/>
  <c r="AA1237" i="57"/>
  <c r="AA1255" i="57"/>
  <c r="AA1259" i="57"/>
  <c r="AA1261" i="57"/>
  <c r="AA1297" i="57"/>
  <c r="AA1309" i="57"/>
  <c r="AA1335" i="57"/>
  <c r="AA1337" i="57"/>
  <c r="AA1354" i="57"/>
  <c r="AA1379" i="57"/>
  <c r="AA1389" i="57"/>
  <c r="AA1403" i="57"/>
  <c r="AA1417" i="57"/>
  <c r="AA1422" i="57"/>
  <c r="AA1439" i="57"/>
  <c r="AA1483" i="57"/>
  <c r="AA1530" i="57"/>
  <c r="AA1535" i="57"/>
  <c r="AA1578" i="57"/>
  <c r="AA1588" i="57"/>
  <c r="AA1635" i="57"/>
  <c r="X1780" i="57"/>
  <c r="Y1780" i="57"/>
  <c r="V1780" i="57"/>
  <c r="AA701" i="57"/>
  <c r="AA733" i="57"/>
  <c r="AA765" i="57"/>
  <c r="AA815" i="57"/>
  <c r="AA819" i="57"/>
  <c r="AA879" i="57"/>
  <c r="AA897" i="57"/>
  <c r="AA948" i="57"/>
  <c r="AA955" i="57"/>
  <c r="AA1005" i="57"/>
  <c r="AA1014" i="57"/>
  <c r="AA1034" i="57"/>
  <c r="AA1045" i="57"/>
  <c r="AA1058" i="57"/>
  <c r="AA1060" i="57"/>
  <c r="AA1069" i="57"/>
  <c r="AA1106" i="57"/>
  <c r="AA1108" i="57"/>
  <c r="AA1123" i="57"/>
  <c r="AA1130" i="57"/>
  <c r="AA1132" i="57"/>
  <c r="AA1154" i="57"/>
  <c r="AA1165" i="57"/>
  <c r="AA1202" i="57"/>
  <c r="AA1206" i="57"/>
  <c r="AA1234" i="57"/>
  <c r="AA1238" i="57"/>
  <c r="AA1258" i="57"/>
  <c r="AA1262" i="57"/>
  <c r="AA1287" i="57"/>
  <c r="AA1303" i="57"/>
  <c r="AA1305" i="57"/>
  <c r="AA1322" i="57"/>
  <c r="AA1347" i="57"/>
  <c r="AA1357" i="57"/>
  <c r="AA1371" i="57"/>
  <c r="AA1385" i="57"/>
  <c r="AA1390" i="57"/>
  <c r="AA1407" i="57"/>
  <c r="AA1451" i="57"/>
  <c r="AA1487" i="57"/>
  <c r="AA1498" i="57"/>
  <c r="AA1521" i="57"/>
  <c r="AA1561" i="57"/>
  <c r="AA1622" i="57"/>
  <c r="AA1643" i="57"/>
  <c r="AA1674" i="57"/>
  <c r="W1717" i="57"/>
  <c r="AA1717" i="57"/>
  <c r="V1717" i="57"/>
  <c r="V2013" i="57"/>
  <c r="X2013" i="57"/>
  <c r="Y2013" i="57"/>
  <c r="AA2013" i="57"/>
  <c r="W2013" i="57"/>
  <c r="V2029" i="57"/>
  <c r="X2029" i="57"/>
  <c r="Y2029" i="57"/>
  <c r="W2104" i="57"/>
  <c r="V2104" i="57"/>
  <c r="AA682" i="57"/>
  <c r="AA695" i="57"/>
  <c r="AA710" i="57"/>
  <c r="AA712" i="57"/>
  <c r="AA714" i="57"/>
  <c r="AA727" i="57"/>
  <c r="AA742" i="57"/>
  <c r="AA744" i="57"/>
  <c r="AA746" i="57"/>
  <c r="AA759" i="57"/>
  <c r="AA774" i="57"/>
  <c r="AA787" i="57"/>
  <c r="AA798" i="57"/>
  <c r="AA813" i="57"/>
  <c r="AA841" i="57"/>
  <c r="AA848" i="57"/>
  <c r="AA857" i="57"/>
  <c r="AA877" i="57"/>
  <c r="AA882" i="57"/>
  <c r="AA886" i="57"/>
  <c r="AA895" i="57"/>
  <c r="AA908" i="57"/>
  <c r="AA915" i="57"/>
  <c r="AA926" i="57"/>
  <c r="AA953" i="57"/>
  <c r="AA958" i="57"/>
  <c r="AA960" i="57"/>
  <c r="AA973" i="57"/>
  <c r="AA1003" i="57"/>
  <c r="AA1010" i="57"/>
  <c r="AA1023" i="57"/>
  <c r="AA1025" i="57"/>
  <c r="AA1078" i="57"/>
  <c r="AA1093" i="57"/>
  <c r="AA1095" i="57"/>
  <c r="AA1097" i="57"/>
  <c r="AA1119" i="57"/>
  <c r="AA1121" i="57"/>
  <c r="AA1126" i="57"/>
  <c r="AA1128" i="57"/>
  <c r="AA1150" i="57"/>
  <c r="AA1152" i="57"/>
  <c r="AA1170" i="57"/>
  <c r="AA1172" i="57"/>
  <c r="AA1187" i="57"/>
  <c r="AA1189" i="57"/>
  <c r="AA1207" i="57"/>
  <c r="AA1219" i="57"/>
  <c r="AA1221" i="57"/>
  <c r="AA1239" i="57"/>
  <c r="AA1251" i="57"/>
  <c r="AA1253" i="57"/>
  <c r="AA1263" i="57"/>
  <c r="AA1273" i="57"/>
  <c r="AA1278" i="57"/>
  <c r="AA1289" i="57"/>
  <c r="AA1311" i="57"/>
  <c r="AA1345" i="57"/>
  <c r="AA1391" i="57"/>
  <c r="AA1402" i="57"/>
  <c r="AA1413" i="57"/>
  <c r="AA1425" i="57"/>
  <c r="AA1437" i="57"/>
  <c r="AA1463" i="57"/>
  <c r="AA1465" i="57"/>
  <c r="AA1482" i="57"/>
  <c r="AA1484" i="57"/>
  <c r="AA1559" i="57"/>
  <c r="AA1626" i="57"/>
  <c r="AA1653" i="57"/>
  <c r="V1757" i="57"/>
  <c r="W1757" i="57"/>
  <c r="X1965" i="57"/>
  <c r="Y1965" i="57"/>
  <c r="AA1965" i="57"/>
  <c r="AA1314" i="57"/>
  <c r="AA1318" i="57"/>
  <c r="AA1346" i="57"/>
  <c r="AA1350" i="57"/>
  <c r="AA1378" i="57"/>
  <c r="AA1382" i="57"/>
  <c r="AA1410" i="57"/>
  <c r="AA1414" i="57"/>
  <c r="AA1442" i="57"/>
  <c r="AA1446" i="57"/>
  <c r="AA1474" i="57"/>
  <c r="AA1478" i="57"/>
  <c r="AA1506" i="57"/>
  <c r="AA1510" i="57"/>
  <c r="AA1618" i="57"/>
  <c r="AA1633" i="57"/>
  <c r="AA1661" i="57"/>
  <c r="AA1668" i="57"/>
  <c r="AA1687" i="57"/>
  <c r="AA1701" i="57"/>
  <c r="AA1718" i="57"/>
  <c r="AA1730" i="57"/>
  <c r="W1744" i="57"/>
  <c r="AA1744" i="57"/>
  <c r="V1744" i="57"/>
  <c r="AA1751" i="57"/>
  <c r="X1756" i="57"/>
  <c r="Y1756" i="57"/>
  <c r="W1756" i="57"/>
  <c r="AA1756" i="57"/>
  <c r="V1756" i="57"/>
  <c r="AA1785" i="57"/>
  <c r="AA1820" i="57"/>
  <c r="W2071" i="57"/>
  <c r="X2071" i="57"/>
  <c r="Y2071" i="57"/>
  <c r="W2077" i="57"/>
  <c r="X2077" i="57"/>
  <c r="Y2077" i="57"/>
  <c r="AA2089" i="57"/>
  <c r="X2112" i="57"/>
  <c r="Y2112" i="57"/>
  <c r="W2112" i="57"/>
  <c r="V2112" i="57"/>
  <c r="AA1299" i="57"/>
  <c r="AA1301" i="57"/>
  <c r="AA1319" i="57"/>
  <c r="AA1331" i="57"/>
  <c r="AA1333" i="57"/>
  <c r="AA1351" i="57"/>
  <c r="AA1363" i="57"/>
  <c r="AA1365" i="57"/>
  <c r="AA1383" i="57"/>
  <c r="AA1395" i="57"/>
  <c r="AA1397" i="57"/>
  <c r="AA1415" i="57"/>
  <c r="AA1427" i="57"/>
  <c r="AA1429" i="57"/>
  <c r="AA1447" i="57"/>
  <c r="AA1459" i="57"/>
  <c r="AA1461" i="57"/>
  <c r="AA1479" i="57"/>
  <c r="AA1491" i="57"/>
  <c r="AA1493" i="57"/>
  <c r="AA1511" i="57"/>
  <c r="AA1523" i="57"/>
  <c r="AA1525" i="57"/>
  <c r="AA1542" i="57"/>
  <c r="AA1557" i="57"/>
  <c r="AA1609" i="57"/>
  <c r="AA1614" i="57"/>
  <c r="AA1629" i="57"/>
  <c r="AA1642" i="57"/>
  <c r="AA1649" i="57"/>
  <c r="AA1659" i="57"/>
  <c r="AA1666" i="57"/>
  <c r="AA1685" i="57"/>
  <c r="AA1699" i="57"/>
  <c r="W1718" i="57"/>
  <c r="V1718" i="57"/>
  <c r="AA1749" i="57"/>
  <c r="V1957" i="57"/>
  <c r="X1957" i="57"/>
  <c r="Y1957" i="57"/>
  <c r="AA1957" i="57"/>
  <c r="W1957" i="57"/>
  <c r="X1972" i="57"/>
  <c r="Y1972" i="57"/>
  <c r="W1972" i="57"/>
  <c r="V1972" i="57"/>
  <c r="V2009" i="57"/>
  <c r="X2009" i="57"/>
  <c r="Y2009" i="57"/>
  <c r="AA2009" i="57"/>
  <c r="W2009" i="57"/>
  <c r="X2064" i="57"/>
  <c r="Y2064" i="57"/>
  <c r="W2064" i="57"/>
  <c r="V2064" i="57"/>
  <c r="AA2068" i="57"/>
  <c r="V2082" i="57"/>
  <c r="X2082" i="57"/>
  <c r="Y2082" i="57"/>
  <c r="W2082" i="57"/>
  <c r="V2089" i="57"/>
  <c r="W2089" i="57"/>
  <c r="X2103" i="57"/>
  <c r="Y2103" i="57"/>
  <c r="W2103" i="57"/>
  <c r="V2103" i="57"/>
  <c r="AA2108" i="57"/>
  <c r="V2121" i="57"/>
  <c r="X2121" i="57"/>
  <c r="Y2121" i="57"/>
  <c r="AA2121" i="57"/>
  <c r="W2121" i="57"/>
  <c r="V2461" i="57"/>
  <c r="X2461" i="57"/>
  <c r="Y2461" i="57"/>
  <c r="W2461" i="57"/>
  <c r="AA1515" i="57"/>
  <c r="AA1517" i="57"/>
  <c r="AA1540" i="57"/>
  <c r="AA1582" i="57"/>
  <c r="AA1616" i="57"/>
  <c r="W1716" i="57"/>
  <c r="X1716" i="57"/>
  <c r="Y1716" i="57"/>
  <c r="AA1716" i="57"/>
  <c r="V1716" i="57"/>
  <c r="AA1719" i="57"/>
  <c r="W1738" i="57"/>
  <c r="X1738" i="57"/>
  <c r="Y1738" i="57"/>
  <c r="V1765" i="57"/>
  <c r="X1765" i="57"/>
  <c r="Y1765" i="57"/>
  <c r="W1765" i="57"/>
  <c r="V1881" i="57"/>
  <c r="X1881" i="57"/>
  <c r="Y1881" i="57"/>
  <c r="AA1881" i="57"/>
  <c r="W2073" i="57"/>
  <c r="X2073" i="57"/>
  <c r="Y2073" i="57"/>
  <c r="V2185" i="57"/>
  <c r="X2185" i="57"/>
  <c r="Y2185" i="57"/>
  <c r="W2185" i="57"/>
  <c r="W2196" i="57"/>
  <c r="V2196" i="57"/>
  <c r="X2463" i="57"/>
  <c r="Y2463" i="57"/>
  <c r="W2463" i="57"/>
  <c r="V2463" i="57"/>
  <c r="AA2463" i="57"/>
  <c r="V2691" i="57"/>
  <c r="X2691" i="57"/>
  <c r="Y2691" i="57"/>
  <c r="W2691" i="57"/>
  <c r="AA1266" i="57"/>
  <c r="AA1270" i="57"/>
  <c r="AA1298" i="57"/>
  <c r="AA1302" i="57"/>
  <c r="AA1330" i="57"/>
  <c r="AA1334" i="57"/>
  <c r="AA1362" i="57"/>
  <c r="AA1366" i="57"/>
  <c r="AA1394" i="57"/>
  <c r="AA1398" i="57"/>
  <c r="AA1426" i="57"/>
  <c r="AA1430" i="57"/>
  <c r="AA1458" i="57"/>
  <c r="AA1462" i="57"/>
  <c r="AA1490" i="57"/>
  <c r="AA1494" i="57"/>
  <c r="AA1522" i="57"/>
  <c r="AA1526" i="57"/>
  <c r="AA1536" i="57"/>
  <c r="AA1547" i="57"/>
  <c r="AA1553" i="57"/>
  <c r="AA1555" i="57"/>
  <c r="AA1562" i="57"/>
  <c r="AA1572" i="57"/>
  <c r="AA1610" i="57"/>
  <c r="AA1679" i="57"/>
  <c r="AA1695" i="57"/>
  <c r="AA1706" i="57"/>
  <c r="X1729" i="57"/>
  <c r="Y1729" i="57"/>
  <c r="AA1729" i="57"/>
  <c r="W1731" i="57"/>
  <c r="AA1731" i="57"/>
  <c r="V1731" i="57"/>
  <c r="AA1748" i="57"/>
  <c r="X1772" i="57"/>
  <c r="Y1772" i="57"/>
  <c r="V1772" i="57"/>
  <c r="AA1866" i="57"/>
  <c r="V2017" i="57"/>
  <c r="X2017" i="57"/>
  <c r="Y2017" i="57"/>
  <c r="W2017" i="57"/>
  <c r="V2033" i="57"/>
  <c r="X2033" i="57"/>
  <c r="Y2033" i="57"/>
  <c r="AA2033" i="57"/>
  <c r="W2056" i="57"/>
  <c r="V2056" i="57"/>
  <c r="V2074" i="57"/>
  <c r="X2074" i="57"/>
  <c r="Y2074" i="57"/>
  <c r="AA2074" i="57"/>
  <c r="AA2083" i="57"/>
  <c r="V2132" i="57"/>
  <c r="X2132" i="57"/>
  <c r="Y2132" i="57"/>
  <c r="X2399" i="57"/>
  <c r="Y2399" i="57"/>
  <c r="W2399" i="57"/>
  <c r="V2399" i="57"/>
  <c r="AA1495" i="57"/>
  <c r="AA1507" i="57"/>
  <c r="AA1509" i="57"/>
  <c r="AA1527" i="57"/>
  <c r="AA1537" i="57"/>
  <c r="AA1551" i="57"/>
  <c r="AA1566" i="57"/>
  <c r="AA1576" i="57"/>
  <c r="AA1579" i="57"/>
  <c r="AA1585" i="57"/>
  <c r="AA1587" i="57"/>
  <c r="AA1594" i="57"/>
  <c r="AA1630" i="57"/>
  <c r="AA1632" i="57"/>
  <c r="AA1650" i="57"/>
  <c r="AA1672" i="57"/>
  <c r="AA1677" i="57"/>
  <c r="AA1682" i="57"/>
  <c r="W1720" i="57"/>
  <c r="AA1720" i="57"/>
  <c r="X1720" i="57"/>
  <c r="Y1720" i="57"/>
  <c r="V1720" i="57"/>
  <c r="W1739" i="57"/>
  <c r="X1739" i="57"/>
  <c r="Y1739" i="57"/>
  <c r="AA1739" i="57"/>
  <c r="V1739" i="57"/>
  <c r="W1743" i="57"/>
  <c r="X1743" i="57"/>
  <c r="Y1743" i="57"/>
  <c r="AA1743" i="57"/>
  <c r="X1784" i="57"/>
  <c r="Y1784" i="57"/>
  <c r="V1784" i="57"/>
  <c r="V1823" i="57"/>
  <c r="W1823" i="57"/>
  <c r="AA1823" i="57"/>
  <c r="V1877" i="57"/>
  <c r="X1877" i="57"/>
  <c r="Y1877" i="57"/>
  <c r="AA1969" i="57"/>
  <c r="AA2044" i="57"/>
  <c r="X2052" i="57"/>
  <c r="Y2052" i="57"/>
  <c r="W2052" i="57"/>
  <c r="V2052" i="57"/>
  <c r="V2061" i="57"/>
  <c r="X2061" i="57"/>
  <c r="Y2061" i="57"/>
  <c r="AA2061" i="57"/>
  <c r="W2061" i="57"/>
  <c r="X2080" i="57"/>
  <c r="Y2080" i="57"/>
  <c r="AA2080" i="57"/>
  <c r="W2080" i="57"/>
  <c r="V2080" i="57"/>
  <c r="X2084" i="57"/>
  <c r="Y2084" i="57"/>
  <c r="W2084" i="57"/>
  <c r="V2084" i="57"/>
  <c r="AA2287" i="57"/>
  <c r="AA1836" i="57"/>
  <c r="AA1980" i="57"/>
  <c r="AA1984" i="57"/>
  <c r="AA2093" i="57"/>
  <c r="X2139" i="57"/>
  <c r="Y2139" i="57"/>
  <c r="V2139" i="57"/>
  <c r="X2143" i="57"/>
  <c r="Y2143" i="57"/>
  <c r="W2143" i="57"/>
  <c r="V2192" i="57"/>
  <c r="X2192" i="57"/>
  <c r="Y2192" i="57"/>
  <c r="AA2192" i="57"/>
  <c r="V2248" i="57"/>
  <c r="W2248" i="57"/>
  <c r="X2323" i="57"/>
  <c r="Y2323" i="57"/>
  <c r="W2323" i="57"/>
  <c r="V2323" i="57"/>
  <c r="X2356" i="57"/>
  <c r="Y2356" i="57"/>
  <c r="AA2356" i="57"/>
  <c r="W2356" i="57"/>
  <c r="X2362" i="57"/>
  <c r="Y2362" i="57"/>
  <c r="AA2362" i="57"/>
  <c r="W2362" i="57"/>
  <c r="AA2391" i="57"/>
  <c r="V2411" i="57"/>
  <c r="X2411" i="57"/>
  <c r="Y2411" i="57"/>
  <c r="AA2411" i="57"/>
  <c r="W2411" i="57"/>
  <c r="V2420" i="57"/>
  <c r="X2420" i="57"/>
  <c r="Y2420" i="57"/>
  <c r="W2420" i="57"/>
  <c r="AA2429" i="57"/>
  <c r="AA2651" i="57"/>
  <c r="X2722" i="57"/>
  <c r="Y2722" i="57"/>
  <c r="W2722" i="57"/>
  <c r="V2745" i="57"/>
  <c r="X2745" i="57"/>
  <c r="Y2745" i="57"/>
  <c r="AA1681" i="57"/>
  <c r="AA1697" i="57"/>
  <c r="AA1747" i="57"/>
  <c r="W1776" i="57"/>
  <c r="W1790" i="57"/>
  <c r="V1816" i="57"/>
  <c r="AA1834" i="57"/>
  <c r="X1839" i="57"/>
  <c r="Y1839" i="57"/>
  <c r="AA1839" i="57"/>
  <c r="W1916" i="57"/>
  <c r="AA1936" i="57"/>
  <c r="AA1940" i="57"/>
  <c r="W1956" i="57"/>
  <c r="X1981" i="57"/>
  <c r="Y1981" i="57"/>
  <c r="AA1981" i="57"/>
  <c r="X1985" i="57"/>
  <c r="Y1985" i="57"/>
  <c r="AA1985" i="57"/>
  <c r="AA2000" i="57"/>
  <c r="W2008" i="57"/>
  <c r="V2012" i="57"/>
  <c r="V2072" i="57"/>
  <c r="AA2072" i="57"/>
  <c r="V2075" i="57"/>
  <c r="W2090" i="57"/>
  <c r="X2102" i="57"/>
  <c r="Y2102" i="57"/>
  <c r="AA2102" i="57"/>
  <c r="V2105" i="57"/>
  <c r="W2123" i="57"/>
  <c r="W2144" i="57"/>
  <c r="V2201" i="57"/>
  <c r="W2201" i="57"/>
  <c r="AA2201" i="57"/>
  <c r="X2255" i="57"/>
  <c r="Y2255" i="57"/>
  <c r="W2255" i="57"/>
  <c r="V2255" i="57"/>
  <c r="X2263" i="57"/>
  <c r="Y2263" i="57"/>
  <c r="W2263" i="57"/>
  <c r="V2263" i="57"/>
  <c r="V2272" i="57"/>
  <c r="X2272" i="57"/>
  <c r="Y2272" i="57"/>
  <c r="AA2272" i="57"/>
  <c r="W2272" i="57"/>
  <c r="X2311" i="57"/>
  <c r="Y2311" i="57"/>
  <c r="W2311" i="57"/>
  <c r="V2311" i="57"/>
  <c r="X2364" i="57"/>
  <c r="Y2364" i="57"/>
  <c r="W2364" i="57"/>
  <c r="V2364" i="57"/>
  <c r="AA2426" i="57"/>
  <c r="AA2493" i="57"/>
  <c r="AA2593" i="57"/>
  <c r="X2636" i="57"/>
  <c r="Y2636" i="57"/>
  <c r="W2636" i="57"/>
  <c r="AA2644" i="57"/>
  <c r="X2781" i="57"/>
  <c r="Y2781" i="57"/>
  <c r="V2781" i="57"/>
  <c r="W2781" i="57"/>
  <c r="X2872" i="57"/>
  <c r="Y2872" i="57"/>
  <c r="W2872" i="57"/>
  <c r="V2872" i="57"/>
  <c r="AA1787" i="57"/>
  <c r="AA1832" i="57"/>
  <c r="AA1857" i="57"/>
  <c r="AA1864" i="57"/>
  <c r="AA1989" i="57"/>
  <c r="AA2223" i="57"/>
  <c r="X2279" i="57"/>
  <c r="Y2279" i="57"/>
  <c r="V2279" i="57"/>
  <c r="X2295" i="57"/>
  <c r="Y2295" i="57"/>
  <c r="W2295" i="57"/>
  <c r="V2295" i="57"/>
  <c r="AA2295" i="57"/>
  <c r="X2319" i="57"/>
  <c r="Y2319" i="57"/>
  <c r="W2319" i="57"/>
  <c r="V2319" i="57"/>
  <c r="V2341" i="57"/>
  <c r="X2341" i="57"/>
  <c r="Y2341" i="57"/>
  <c r="AA2341" i="57"/>
  <c r="W2341" i="57"/>
  <c r="X2352" i="57"/>
  <c r="Y2352" i="57"/>
  <c r="V2352" i="57"/>
  <c r="V2365" i="57"/>
  <c r="X2365" i="57"/>
  <c r="Y2365" i="57"/>
  <c r="W2365" i="57"/>
  <c r="V2393" i="57"/>
  <c r="W2393" i="57"/>
  <c r="X2688" i="57"/>
  <c r="Y2688" i="57"/>
  <c r="AA2688" i="57"/>
  <c r="V2688" i="57"/>
  <c r="W2688" i="57"/>
  <c r="X2776" i="57"/>
  <c r="Y2776" i="57"/>
  <c r="W2776" i="57"/>
  <c r="X2936" i="57"/>
  <c r="Y2936" i="57"/>
  <c r="W2936" i="57"/>
  <c r="V2936" i="57"/>
  <c r="AA1604" i="57"/>
  <c r="AA1638" i="57"/>
  <c r="AA1669" i="57"/>
  <c r="AA1693" i="57"/>
  <c r="W1769" i="57"/>
  <c r="W1773" i="57"/>
  <c r="W1813" i="57"/>
  <c r="V1846" i="57"/>
  <c r="X1860" i="57"/>
  <c r="Y1860" i="57"/>
  <c r="X1913" i="57"/>
  <c r="Y1913" i="57"/>
  <c r="AA1913" i="57"/>
  <c r="AA1925" i="57"/>
  <c r="AA1937" i="57"/>
  <c r="AA1941" i="57"/>
  <c r="AA1949" i="57"/>
  <c r="X1953" i="57"/>
  <c r="Y1953" i="57"/>
  <c r="AA1960" i="57"/>
  <c r="V1968" i="57"/>
  <c r="AA1968" i="57"/>
  <c r="AA1997" i="57"/>
  <c r="AA2001" i="57"/>
  <c r="X2005" i="57"/>
  <c r="Y2005" i="57"/>
  <c r="AA2005" i="57"/>
  <c r="V2028" i="57"/>
  <c r="V2032" i="57"/>
  <c r="V2036" i="57"/>
  <c r="AA2045" i="57"/>
  <c r="X2069" i="57"/>
  <c r="Y2069" i="57"/>
  <c r="AA2069" i="57"/>
  <c r="AA2088" i="57"/>
  <c r="V2091" i="57"/>
  <c r="X2094" i="57"/>
  <c r="Y2094" i="57"/>
  <c r="W2117" i="57"/>
  <c r="V2137" i="57"/>
  <c r="W2137" i="57"/>
  <c r="AA2137" i="57"/>
  <c r="X2235" i="57"/>
  <c r="Y2235" i="57"/>
  <c r="W2235" i="57"/>
  <c r="AA2240" i="57"/>
  <c r="V2268" i="57"/>
  <c r="X2268" i="57"/>
  <c r="Y2268" i="57"/>
  <c r="AA2336" i="57"/>
  <c r="V2353" i="57"/>
  <c r="X2353" i="57"/>
  <c r="Y2353" i="57"/>
  <c r="AA2353" i="57"/>
  <c r="W2353" i="57"/>
  <c r="X2359" i="57"/>
  <c r="Y2359" i="57"/>
  <c r="AA2359" i="57"/>
  <c r="W2359" i="57"/>
  <c r="X2394" i="57"/>
  <c r="Y2394" i="57"/>
  <c r="W2394" i="57"/>
  <c r="V2394" i="57"/>
  <c r="X2487" i="57"/>
  <c r="Y2487" i="57"/>
  <c r="W2487" i="57"/>
  <c r="X2498" i="57"/>
  <c r="Y2498" i="57"/>
  <c r="W2498" i="57"/>
  <c r="AA2586" i="57"/>
  <c r="W2611" i="57"/>
  <c r="X2611" i="57"/>
  <c r="Y2611" i="57"/>
  <c r="AA1608" i="57"/>
  <c r="AA1613" i="57"/>
  <c r="AA1625" i="57"/>
  <c r="AA1634" i="57"/>
  <c r="AA1644" i="57"/>
  <c r="AA1667" i="57"/>
  <c r="AA1691" i="57"/>
  <c r="AA1702" i="57"/>
  <c r="AA1704" i="57"/>
  <c r="AA1713" i="57"/>
  <c r="X1769" i="57"/>
  <c r="Y1769" i="57"/>
  <c r="X1773" i="57"/>
  <c r="Y1773" i="57"/>
  <c r="AA1773" i="57"/>
  <c r="AA1786" i="57"/>
  <c r="X1813" i="57"/>
  <c r="Y1813" i="57"/>
  <c r="W1826" i="57"/>
  <c r="V1863" i="57"/>
  <c r="AA1863" i="57"/>
  <c r="V1865" i="57"/>
  <c r="AA1867" i="57"/>
  <c r="V1880" i="57"/>
  <c r="W1884" i="57"/>
  <c r="W1897" i="57"/>
  <c r="W1961" i="57"/>
  <c r="W1968" i="57"/>
  <c r="W2021" i="57"/>
  <c r="W2028" i="57"/>
  <c r="W2032" i="57"/>
  <c r="AA2032" i="57"/>
  <c r="W2036" i="57"/>
  <c r="W2049" i="57"/>
  <c r="W2086" i="57"/>
  <c r="W2091" i="57"/>
  <c r="X2117" i="57"/>
  <c r="Y2117" i="57"/>
  <c r="V2176" i="57"/>
  <c r="X2176" i="57"/>
  <c r="Y2176" i="57"/>
  <c r="X2215" i="57"/>
  <c r="Y2215" i="57"/>
  <c r="V2215" i="57"/>
  <c r="V2300" i="57"/>
  <c r="X2300" i="57"/>
  <c r="Y2300" i="57"/>
  <c r="X2327" i="57"/>
  <c r="Y2327" i="57"/>
  <c r="W2327" i="57"/>
  <c r="V2327" i="57"/>
  <c r="X2367" i="57"/>
  <c r="Y2367" i="57"/>
  <c r="W2367" i="57"/>
  <c r="AA2367" i="57"/>
  <c r="V2367" i="57"/>
  <c r="X2743" i="57"/>
  <c r="Y2743" i="57"/>
  <c r="AA2743" i="57"/>
  <c r="V2743" i="57"/>
  <c r="W2743" i="57"/>
  <c r="V2787" i="57"/>
  <c r="W2787" i="57"/>
  <c r="X2787" i="57"/>
  <c r="Y2787" i="57"/>
  <c r="AA1835" i="57"/>
  <c r="AA1838" i="57"/>
  <c r="AA1854" i="57"/>
  <c r="X1961" i="57"/>
  <c r="Y1961" i="57"/>
  <c r="V1980" i="57"/>
  <c r="V1984" i="57"/>
  <c r="V1988" i="57"/>
  <c r="AA1988" i="57"/>
  <c r="X2021" i="57"/>
  <c r="Y2021" i="57"/>
  <c r="AA2021" i="57"/>
  <c r="X2049" i="57"/>
  <c r="Y2049" i="57"/>
  <c r="AA2049" i="57"/>
  <c r="X2086" i="57"/>
  <c r="Y2086" i="57"/>
  <c r="X2101" i="57"/>
  <c r="Y2101" i="57"/>
  <c r="W2125" i="57"/>
  <c r="V2135" i="57"/>
  <c r="W2139" i="57"/>
  <c r="X2168" i="57"/>
  <c r="Y2168" i="57"/>
  <c r="W2168" i="57"/>
  <c r="V2181" i="57"/>
  <c r="W2181" i="57"/>
  <c r="X2199" i="57"/>
  <c r="Y2199" i="57"/>
  <c r="AA2199" i="57"/>
  <c r="W2199" i="57"/>
  <c r="X2315" i="57"/>
  <c r="Y2315" i="57"/>
  <c r="W2315" i="57"/>
  <c r="V2315" i="57"/>
  <c r="V2328" i="57"/>
  <c r="X2328" i="57"/>
  <c r="Y2328" i="57"/>
  <c r="W2328" i="57"/>
  <c r="AA2376" i="57"/>
  <c r="V2385" i="57"/>
  <c r="X2385" i="57"/>
  <c r="Y2385" i="57"/>
  <c r="AA2385" i="57"/>
  <c r="W2385" i="57"/>
  <c r="X2396" i="57"/>
  <c r="Y2396" i="57"/>
  <c r="AA2396" i="57"/>
  <c r="W2396" i="57"/>
  <c r="V2396" i="57"/>
  <c r="V2405" i="57"/>
  <c r="X2405" i="57"/>
  <c r="Y2405" i="57"/>
  <c r="W2405" i="57"/>
  <c r="AA2432" i="57"/>
  <c r="V2455" i="57"/>
  <c r="AA2455" i="57"/>
  <c r="X2455" i="57"/>
  <c r="Y2455" i="57"/>
  <c r="W2455" i="57"/>
  <c r="W2500" i="57"/>
  <c r="X2500" i="57"/>
  <c r="Y2500" i="57"/>
  <c r="X2516" i="57"/>
  <c r="Y2516" i="57"/>
  <c r="W2516" i="57"/>
  <c r="V2516" i="57"/>
  <c r="W2546" i="57"/>
  <c r="AA2546" i="57"/>
  <c r="X2546" i="57"/>
  <c r="Y2546" i="57"/>
  <c r="V2546" i="57"/>
  <c r="X2564" i="57"/>
  <c r="Y2564" i="57"/>
  <c r="W2564" i="57"/>
  <c r="V2791" i="57"/>
  <c r="X2791" i="57"/>
  <c r="Y2791" i="57"/>
  <c r="W2791" i="57"/>
  <c r="AA2344" i="57"/>
  <c r="AA2473" i="57"/>
  <c r="W2504" i="57"/>
  <c r="X2504" i="57"/>
  <c r="Y2504" i="57"/>
  <c r="V2508" i="57"/>
  <c r="W2508" i="57"/>
  <c r="W2542" i="57"/>
  <c r="V2542" i="57"/>
  <c r="AA2551" i="57"/>
  <c r="AA2556" i="57"/>
  <c r="AA2577" i="57"/>
  <c r="AA2606" i="57"/>
  <c r="X2653" i="57"/>
  <c r="Y2653" i="57"/>
  <c r="V2653" i="57"/>
  <c r="X2657" i="57"/>
  <c r="Y2657" i="57"/>
  <c r="V2657" i="57"/>
  <c r="V2729" i="57"/>
  <c r="W2729" i="57"/>
  <c r="AA2729" i="57"/>
  <c r="V2734" i="57"/>
  <c r="V2754" i="57"/>
  <c r="X2754" i="57"/>
  <c r="Y2754" i="57"/>
  <c r="AA2754" i="57"/>
  <c r="W2754" i="57"/>
  <c r="V2766" i="57"/>
  <c r="X2766" i="57"/>
  <c r="Y2766" i="57"/>
  <c r="W2766" i="57"/>
  <c r="W2777" i="57"/>
  <c r="X2777" i="57"/>
  <c r="Y2777" i="57"/>
  <c r="V2789" i="57"/>
  <c r="V2797" i="57"/>
  <c r="X2797" i="57"/>
  <c r="Y2797" i="57"/>
  <c r="AA2802" i="57"/>
  <c r="V2831" i="57"/>
  <c r="X2831" i="57"/>
  <c r="Y2831" i="57"/>
  <c r="AA2831" i="57"/>
  <c r="X2860" i="57"/>
  <c r="Y2860" i="57"/>
  <c r="W2860" i="57"/>
  <c r="V2860" i="57"/>
  <c r="X2216" i="57"/>
  <c r="Y2216" i="57"/>
  <c r="AA2216" i="57"/>
  <c r="W2220" i="57"/>
  <c r="V2350" i="57"/>
  <c r="AA2370" i="57"/>
  <c r="V2387" i="57"/>
  <c r="V2422" i="57"/>
  <c r="V2426" i="57"/>
  <c r="W2429" i="57"/>
  <c r="W2434" i="57"/>
  <c r="AA2434" i="57"/>
  <c r="W2457" i="57"/>
  <c r="W2460" i="57"/>
  <c r="AA2460" i="57"/>
  <c r="AA2485" i="57"/>
  <c r="X2488" i="57"/>
  <c r="Y2488" i="57"/>
  <c r="AA2488" i="57"/>
  <c r="W2513" i="57"/>
  <c r="AA2557" i="57"/>
  <c r="X2604" i="57"/>
  <c r="Y2604" i="57"/>
  <c r="AA2604" i="57"/>
  <c r="W2612" i="57"/>
  <c r="AA2612" i="57"/>
  <c r="V2612" i="57"/>
  <c r="V2709" i="57"/>
  <c r="X2709" i="57"/>
  <c r="Y2709" i="57"/>
  <c r="V2761" i="57"/>
  <c r="X2761" i="57"/>
  <c r="Y2761" i="57"/>
  <c r="V2798" i="57"/>
  <c r="W2798" i="57"/>
  <c r="AA2855" i="57"/>
  <c r="W2861" i="57"/>
  <c r="X2861" i="57"/>
  <c r="Y2861" i="57"/>
  <c r="W2934" i="57"/>
  <c r="X2934" i="57"/>
  <c r="Y2934" i="57"/>
  <c r="X2220" i="57"/>
  <c r="Y2220" i="57"/>
  <c r="V2331" i="57"/>
  <c r="W2350" i="57"/>
  <c r="AA2350" i="57"/>
  <c r="X2513" i="57"/>
  <c r="Y2513" i="57"/>
  <c r="AA2513" i="57"/>
  <c r="X2522" i="57"/>
  <c r="Y2522" i="57"/>
  <c r="V2522" i="57"/>
  <c r="AA2522" i="57"/>
  <c r="AA2529" i="57"/>
  <c r="AA2592" i="57"/>
  <c r="AA2599" i="57"/>
  <c r="AA2607" i="57"/>
  <c r="AA2619" i="57"/>
  <c r="AA2624" i="57"/>
  <c r="V2685" i="57"/>
  <c r="W2685" i="57"/>
  <c r="AA2685" i="57"/>
  <c r="X2706" i="57"/>
  <c r="Y2706" i="57"/>
  <c r="V2706" i="57"/>
  <c r="X2726" i="57"/>
  <c r="Y2726" i="57"/>
  <c r="V2726" i="57"/>
  <c r="V2773" i="57"/>
  <c r="X2773" i="57"/>
  <c r="Y2773" i="57"/>
  <c r="W2773" i="57"/>
  <c r="V2799" i="57"/>
  <c r="X2799" i="57"/>
  <c r="Y2799" i="57"/>
  <c r="X2816" i="57"/>
  <c r="Y2816" i="57"/>
  <c r="V2816" i="57"/>
  <c r="AA2820" i="57"/>
  <c r="V2823" i="57"/>
  <c r="X2823" i="57"/>
  <c r="Y2823" i="57"/>
  <c r="AA2823" i="57"/>
  <c r="X2837" i="57"/>
  <c r="Y2837" i="57"/>
  <c r="W2837" i="57"/>
  <c r="X2849" i="57"/>
  <c r="Y2849" i="57"/>
  <c r="V2849" i="57"/>
  <c r="V2878" i="57"/>
  <c r="X2878" i="57"/>
  <c r="Y2878" i="57"/>
  <c r="AA2878" i="57"/>
  <c r="V3025" i="57"/>
  <c r="X3025" i="57"/>
  <c r="Y3025" i="57"/>
  <c r="AA2267" i="57"/>
  <c r="W2312" i="57"/>
  <c r="AA2388" i="57"/>
  <c r="AA2416" i="57"/>
  <c r="AA2423" i="57"/>
  <c r="W2440" i="57"/>
  <c r="AA2440" i="57"/>
  <c r="W2458" i="57"/>
  <c r="AA2458" i="57"/>
  <c r="V2464" i="57"/>
  <c r="W2478" i="57"/>
  <c r="AA2481" i="57"/>
  <c r="W2484" i="57"/>
  <c r="AA2491" i="57"/>
  <c r="W2507" i="57"/>
  <c r="AA2510" i="57"/>
  <c r="AA2517" i="57"/>
  <c r="AA2537" i="57"/>
  <c r="X2560" i="57"/>
  <c r="Y2560" i="57"/>
  <c r="V2560" i="57"/>
  <c r="AA2605" i="57"/>
  <c r="AA2622" i="57"/>
  <c r="X2681" i="57"/>
  <c r="Y2681" i="57"/>
  <c r="V2681" i="57"/>
  <c r="V2703" i="57"/>
  <c r="X2703" i="57"/>
  <c r="Y2703" i="57"/>
  <c r="AA2703" i="57"/>
  <c r="X2763" i="57"/>
  <c r="Y2763" i="57"/>
  <c r="W2763" i="57"/>
  <c r="V2763" i="57"/>
  <c r="W2774" i="57"/>
  <c r="AA2774" i="57"/>
  <c r="V2774" i="57"/>
  <c r="V2794" i="57"/>
  <c r="X2794" i="57"/>
  <c r="Y2794" i="57"/>
  <c r="V2843" i="57"/>
  <c r="X2843" i="57"/>
  <c r="Y2843" i="57"/>
  <c r="W2843" i="57"/>
  <c r="X2857" i="57"/>
  <c r="Y2857" i="57"/>
  <c r="V2857" i="57"/>
  <c r="V2875" i="57"/>
  <c r="X2875" i="57"/>
  <c r="Y2875" i="57"/>
  <c r="AA2875" i="57"/>
  <c r="X2901" i="57"/>
  <c r="Y2901" i="57"/>
  <c r="W2901" i="57"/>
  <c r="V2901" i="57"/>
  <c r="V2918" i="57"/>
  <c r="X2918" i="57"/>
  <c r="Y2918" i="57"/>
  <c r="W2918" i="57"/>
  <c r="W2197" i="57"/>
  <c r="W2231" i="57"/>
  <c r="AA2231" i="57"/>
  <c r="W2251" i="57"/>
  <c r="X2280" i="57"/>
  <c r="Y2280" i="57"/>
  <c r="W2284" i="57"/>
  <c r="W2304" i="57"/>
  <c r="X2312" i="57"/>
  <c r="Y2312" i="57"/>
  <c r="X2316" i="57"/>
  <c r="Y2316" i="57"/>
  <c r="X2320" i="57"/>
  <c r="Y2320" i="57"/>
  <c r="AA2320" i="57"/>
  <c r="X2324" i="57"/>
  <c r="Y2324" i="57"/>
  <c r="AA2324" i="57"/>
  <c r="V2332" i="57"/>
  <c r="AA2332" i="57"/>
  <c r="W2338" i="57"/>
  <c r="X2347" i="57"/>
  <c r="Y2347" i="57"/>
  <c r="AA2347" i="57"/>
  <c r="V2355" i="57"/>
  <c r="V2358" i="57"/>
  <c r="W2361" i="57"/>
  <c r="X2373" i="57"/>
  <c r="Y2373" i="57"/>
  <c r="AA2373" i="57"/>
  <c r="V2382" i="57"/>
  <c r="X2413" i="57"/>
  <c r="Y2413" i="57"/>
  <c r="W2464" i="57"/>
  <c r="AA2464" i="57"/>
  <c r="V2517" i="57"/>
  <c r="W2517" i="57"/>
  <c r="AA2523" i="57"/>
  <c r="AA2530" i="57"/>
  <c r="AA2550" i="57"/>
  <c r="W2561" i="57"/>
  <c r="V2565" i="57"/>
  <c r="X2565" i="57"/>
  <c r="Y2565" i="57"/>
  <c r="V2576" i="57"/>
  <c r="X2608" i="57"/>
  <c r="Y2608" i="57"/>
  <c r="AA2628" i="57"/>
  <c r="V2637" i="57"/>
  <c r="X2637" i="57"/>
  <c r="Y2637" i="57"/>
  <c r="X2677" i="57"/>
  <c r="Y2677" i="57"/>
  <c r="V2677" i="57"/>
  <c r="X2693" i="57"/>
  <c r="Y2693" i="57"/>
  <c r="W2696" i="57"/>
  <c r="V2696" i="57"/>
  <c r="X2700" i="57"/>
  <c r="Y2700" i="57"/>
  <c r="AA2700" i="57"/>
  <c r="V2723" i="57"/>
  <c r="W2723" i="57"/>
  <c r="AA2723" i="57"/>
  <c r="X2740" i="57"/>
  <c r="Y2740" i="57"/>
  <c r="W2740" i="57"/>
  <c r="X2744" i="57"/>
  <c r="Y2744" i="57"/>
  <c r="W2744" i="57"/>
  <c r="X2752" i="57"/>
  <c r="Y2752" i="57"/>
  <c r="V2795" i="57"/>
  <c r="X2795" i="57"/>
  <c r="Y2795" i="57"/>
  <c r="W2810" i="57"/>
  <c r="X2810" i="57"/>
  <c r="Y2810" i="57"/>
  <c r="AA2819" i="57"/>
  <c r="W2829" i="57"/>
  <c r="X2829" i="57"/>
  <c r="Y2829" i="57"/>
  <c r="X2834" i="57"/>
  <c r="Y2834" i="57"/>
  <c r="V2834" i="57"/>
  <c r="V2902" i="57"/>
  <c r="X2902" i="57"/>
  <c r="Y2902" i="57"/>
  <c r="AA2902" i="57"/>
  <c r="AA2906" i="57"/>
  <c r="W2928" i="57"/>
  <c r="X2284" i="57"/>
  <c r="Y2284" i="57"/>
  <c r="AA2284" i="57"/>
  <c r="X2304" i="57"/>
  <c r="Y2304" i="57"/>
  <c r="AA2304" i="57"/>
  <c r="AA2338" i="57"/>
  <c r="W2382" i="57"/>
  <c r="V2428" i="57"/>
  <c r="AA2428" i="57"/>
  <c r="V2431" i="57"/>
  <c r="AA2431" i="57"/>
  <c r="W2437" i="57"/>
  <c r="AA2437" i="57"/>
  <c r="V2482" i="57"/>
  <c r="X2514" i="57"/>
  <c r="Y2514" i="57"/>
  <c r="V2514" i="57"/>
  <c r="V2539" i="57"/>
  <c r="AA2539" i="57"/>
  <c r="X2542" i="57"/>
  <c r="Y2542" i="57"/>
  <c r="AA2542" i="57"/>
  <c r="AA2582" i="57"/>
  <c r="AA2587" i="57"/>
  <c r="AA2591" i="57"/>
  <c r="AA2602" i="57"/>
  <c r="AA2608" i="57"/>
  <c r="AA2618" i="57"/>
  <c r="V2633" i="57"/>
  <c r="X2633" i="57"/>
  <c r="Y2633" i="57"/>
  <c r="AA2633" i="57"/>
  <c r="AA2645" i="57"/>
  <c r="V2661" i="57"/>
  <c r="AA2661" i="57"/>
  <c r="V2665" i="57"/>
  <c r="V2669" i="57"/>
  <c r="AA2669" i="57"/>
  <c r="X2673" i="57"/>
  <c r="Y2673" i="57"/>
  <c r="V2673" i="57"/>
  <c r="V2737" i="57"/>
  <c r="W2737" i="57"/>
  <c r="V2749" i="57"/>
  <c r="W2749" i="57"/>
  <c r="V2807" i="57"/>
  <c r="X2807" i="57"/>
  <c r="Y2807" i="57"/>
  <c r="V2858" i="57"/>
  <c r="W2858" i="57"/>
  <c r="V2886" i="57"/>
  <c r="X2886" i="57"/>
  <c r="Y2886" i="57"/>
  <c r="AA2886" i="57"/>
  <c r="V2914" i="57"/>
  <c r="X2914" i="57"/>
  <c r="Y2914" i="57"/>
  <c r="AA2914" i="57"/>
  <c r="W2914" i="57"/>
  <c r="X3036" i="57"/>
  <c r="Y3036" i="57"/>
  <c r="W3036" i="57"/>
  <c r="V3036" i="57"/>
  <c r="AA2697" i="57"/>
  <c r="AA2717" i="57"/>
  <c r="AA2728" i="57"/>
  <c r="AA2738" i="57"/>
  <c r="AA2779" i="57"/>
  <c r="AA2808" i="57"/>
  <c r="AA2828" i="57"/>
  <c r="AA2662" i="57"/>
  <c r="AA2666" i="57"/>
  <c r="AA2735" i="57"/>
  <c r="AA2746" i="57"/>
  <c r="AA2757" i="57"/>
  <c r="AA2790" i="57"/>
  <c r="AA2814" i="57"/>
  <c r="AA2825" i="57"/>
  <c r="V2874" i="57"/>
  <c r="AA2933" i="57"/>
  <c r="AA2940" i="57"/>
  <c r="W2511" i="57"/>
  <c r="AA2511" i="57"/>
  <c r="AA2549" i="57"/>
  <c r="X2569" i="57"/>
  <c r="Y2569" i="57"/>
  <c r="AA2569" i="57"/>
  <c r="AA2600" i="57"/>
  <c r="V2607" i="57"/>
  <c r="AA2616" i="57"/>
  <c r="AA2620" i="57"/>
  <c r="AA2627" i="57"/>
  <c r="AA2708" i="57"/>
  <c r="V2714" i="57"/>
  <c r="X2732" i="57"/>
  <c r="Y2732" i="57"/>
  <c r="V2770" i="57"/>
  <c r="AA2770" i="57"/>
  <c r="V2784" i="57"/>
  <c r="AA2784" i="57"/>
  <c r="W2820" i="57"/>
  <c r="W2826" i="57"/>
  <c r="AA2826" i="57"/>
  <c r="V2840" i="57"/>
  <c r="AA2840" i="57"/>
  <c r="W2846" i="57"/>
  <c r="X2874" i="57"/>
  <c r="Y2874" i="57"/>
  <c r="X2877" i="57"/>
  <c r="Y2877" i="57"/>
  <c r="V2889" i="57"/>
  <c r="AA2897" i="57"/>
  <c r="W2905" i="57"/>
  <c r="X2922" i="57"/>
  <c r="Y2922" i="57"/>
  <c r="AA2922" i="57"/>
  <c r="V2941" i="57"/>
  <c r="W2949" i="57"/>
  <c r="AA2949" i="57"/>
  <c r="X2953" i="57"/>
  <c r="Y2953" i="57"/>
  <c r="W2957" i="57"/>
  <c r="V2968" i="57"/>
  <c r="W3008" i="57"/>
  <c r="W3052" i="57"/>
  <c r="AA3052" i="57"/>
  <c r="V3004" i="57"/>
  <c r="AA3004" i="57"/>
  <c r="AA2536" i="57"/>
  <c r="AA2581" i="57"/>
  <c r="AA2714" i="57"/>
  <c r="W2852" i="57"/>
  <c r="W2865" i="57"/>
  <c r="W2868" i="57"/>
  <c r="X2938" i="57"/>
  <c r="Y2938" i="57"/>
  <c r="AA2938" i="57"/>
  <c r="W3004" i="57"/>
  <c r="W2964" i="57"/>
  <c r="W2985" i="57"/>
  <c r="X2993" i="57"/>
  <c r="Y2993" i="57"/>
  <c r="AA2848" i="57"/>
  <c r="W3021" i="57"/>
  <c r="AA3021" i="57"/>
  <c r="X3045" i="57"/>
  <c r="Y3045" i="57"/>
  <c r="R5" i="24"/>
  <c r="R2" i="24"/>
  <c r="R1" i="24"/>
  <c r="Z106" i="57"/>
  <c r="Z104" i="57"/>
  <c r="AA112" i="57"/>
  <c r="Z102" i="57"/>
  <c r="AA129" i="57"/>
  <c r="AA116" i="57"/>
  <c r="Z99" i="57"/>
  <c r="Z98" i="57"/>
  <c r="DF17" i="1"/>
  <c r="R6" i="24"/>
  <c r="DF14" i="1"/>
  <c r="DF16" i="1"/>
  <c r="Z97" i="57"/>
  <c r="Z103" i="57"/>
  <c r="AA126" i="57"/>
  <c r="AA104" i="57"/>
  <c r="AA114" i="57"/>
  <c r="AA127" i="57"/>
  <c r="N6" i="38"/>
  <c r="R16" i="38"/>
  <c r="Z96" i="57"/>
  <c r="AA94" i="57"/>
  <c r="Z95" i="57"/>
  <c r="Z82" i="57"/>
  <c r="AA90" i="57"/>
  <c r="AA100" i="57"/>
  <c r="AA130" i="57"/>
  <c r="AA101" i="57"/>
  <c r="AA106" i="57"/>
  <c r="AA111" i="57"/>
  <c r="AA123" i="57"/>
  <c r="Z100" i="57"/>
  <c r="Z101" i="57"/>
  <c r="AA115" i="57"/>
  <c r="Z89" i="57"/>
  <c r="AA99" i="57"/>
  <c r="AA107" i="57"/>
  <c r="AA109" i="57"/>
  <c r="AA117" i="57"/>
  <c r="Z94" i="57"/>
  <c r="Z93" i="57"/>
  <c r="AA122" i="57"/>
  <c r="M4" i="57"/>
  <c r="M6" i="57"/>
  <c r="M9" i="57"/>
  <c r="M7" i="57"/>
  <c r="M5" i="57"/>
  <c r="Z83" i="57"/>
  <c r="AA119" i="57"/>
  <c r="AA125" i="57"/>
  <c r="Z86" i="57"/>
  <c r="Z91" i="57"/>
  <c r="AA102" i="57"/>
  <c r="AA96" i="57"/>
  <c r="AA98" i="57"/>
  <c r="Z88" i="57"/>
  <c r="AA108" i="57"/>
  <c r="Z68" i="57"/>
  <c r="Z76" i="57"/>
  <c r="Z87" i="57"/>
  <c r="Z92" i="57"/>
  <c r="AA103" i="57"/>
  <c r="AA124" i="57"/>
  <c r="Z60" i="57"/>
  <c r="Z90" i="57"/>
  <c r="Z66" i="57"/>
  <c r="Z74" i="57"/>
  <c r="Z84" i="57"/>
  <c r="AA77" i="57"/>
  <c r="Z72" i="57"/>
  <c r="Z80" i="57"/>
  <c r="AA92" i="57"/>
  <c r="Z85" i="57"/>
  <c r="AA91" i="57"/>
  <c r="AA93" i="57"/>
  <c r="Z70" i="57"/>
  <c r="AA87" i="57"/>
  <c r="AA73" i="57"/>
  <c r="AA83" i="57"/>
  <c r="Z73" i="57"/>
  <c r="Z77" i="57"/>
  <c r="AA76" i="57"/>
  <c r="Z69" i="57"/>
  <c r="AA84" i="57"/>
  <c r="AA67" i="57"/>
  <c r="Z65" i="57"/>
  <c r="Z67" i="57"/>
  <c r="AA64" i="57"/>
  <c r="AA66" i="57"/>
  <c r="Z64" i="57"/>
  <c r="Z57" i="57"/>
  <c r="Z22" i="57"/>
  <c r="Z42" i="57"/>
  <c r="Z53" i="57"/>
  <c r="Z30" i="57"/>
  <c r="Z54" i="57"/>
  <c r="Z59" i="57"/>
  <c r="Z28" i="57"/>
  <c r="Z36" i="57"/>
  <c r="Z44" i="57"/>
  <c r="AA52" i="57"/>
  <c r="Z50" i="57"/>
  <c r="Z37" i="57"/>
  <c r="Z58" i="57"/>
  <c r="Z40" i="57"/>
  <c r="Z48" i="57"/>
  <c r="Z56" i="57"/>
  <c r="AA51" i="57"/>
  <c r="Z51" i="57"/>
  <c r="AA33" i="57"/>
  <c r="Z33" i="57"/>
  <c r="Z52" i="57"/>
  <c r="AA21" i="57"/>
  <c r="AA60" i="57"/>
  <c r="Z10" i="57"/>
  <c r="AA36" i="57"/>
  <c r="AA49" i="57"/>
  <c r="AA56" i="57"/>
  <c r="AA28" i="57"/>
  <c r="Z24" i="57"/>
  <c r="AA29" i="57"/>
  <c r="AA44" i="57"/>
  <c r="Z49" i="57"/>
  <c r="Z12" i="57"/>
  <c r="AA40" i="57"/>
  <c r="AA45" i="57"/>
  <c r="AA59" i="57"/>
  <c r="Z45" i="57"/>
  <c r="Z29" i="57"/>
  <c r="N16" i="38"/>
  <c r="AA9" i="57"/>
  <c r="Z9" i="57"/>
  <c r="AA25" i="57"/>
  <c r="Z25" i="57"/>
  <c r="AA13" i="57"/>
  <c r="Z13" i="57"/>
  <c r="AA16" i="57"/>
  <c r="Z16" i="57"/>
  <c r="Z6" i="57"/>
  <c r="Y41" i="57"/>
  <c r="Y61" i="57"/>
  <c r="AA80" i="57"/>
  <c r="AA37" i="57"/>
  <c r="AA72" i="57"/>
  <c r="AA30" i="57"/>
  <c r="AA48" i="57"/>
  <c r="Y78" i="57"/>
  <c r="AA68" i="57"/>
  <c r="AA22" i="57"/>
  <c r="Y32" i="57"/>
  <c r="Y46" i="57"/>
  <c r="Y81" i="57"/>
  <c r="AA24" i="57"/>
  <c r="AA42" i="57"/>
  <c r="Y62" i="57"/>
  <c r="AA8" i="57"/>
  <c r="Y34" i="57"/>
  <c r="Z21" i="57"/>
  <c r="AA6" i="57"/>
  <c r="Z8" i="57"/>
  <c r="Y4" i="57"/>
  <c r="AA10" i="57"/>
  <c r="Y17" i="57"/>
  <c r="Y2" i="57"/>
  <c r="Z2" i="57"/>
  <c r="AA12" i="57"/>
  <c r="Y14" i="57"/>
  <c r="Z14" i="57"/>
  <c r="Y20" i="57"/>
  <c r="Y5" i="57"/>
  <c r="Y18" i="57"/>
  <c r="Y26" i="57"/>
  <c r="AA292" i="57"/>
  <c r="AA316" i="57"/>
  <c r="AA332" i="57"/>
  <c r="AA380" i="57"/>
  <c r="AA484" i="57"/>
  <c r="AA516" i="57"/>
  <c r="AA556" i="57"/>
  <c r="AA620" i="57"/>
  <c r="AA660" i="57"/>
  <c r="AA692" i="57"/>
  <c r="AA732" i="57"/>
  <c r="Y3" i="57"/>
  <c r="Y7" i="57"/>
  <c r="Y11" i="57"/>
  <c r="Y15" i="57"/>
  <c r="Y19" i="57"/>
  <c r="Y23" i="57"/>
  <c r="Y27" i="57"/>
  <c r="Y31" i="57"/>
  <c r="Y35" i="57"/>
  <c r="Y38" i="57"/>
  <c r="Y43" i="57"/>
  <c r="AA53" i="57"/>
  <c r="AA58" i="57"/>
  <c r="Y75" i="57"/>
  <c r="AA85" i="57"/>
  <c r="AA110" i="57"/>
  <c r="AA145" i="57"/>
  <c r="AA174" i="57"/>
  <c r="AA209" i="57"/>
  <c r="AA238" i="57"/>
  <c r="AA273" i="57"/>
  <c r="AA831" i="57"/>
  <c r="AA863" i="57"/>
  <c r="AA900" i="57"/>
  <c r="AA939" i="57"/>
  <c r="AA1019" i="57"/>
  <c r="AA1099" i="57"/>
  <c r="V1889" i="57"/>
  <c r="X1889" i="57"/>
  <c r="Y1889" i="57"/>
  <c r="W1889" i="57"/>
  <c r="V1827" i="57"/>
  <c r="X1827" i="57"/>
  <c r="Y1827" i="57"/>
  <c r="W1827" i="57"/>
  <c r="AA340" i="57"/>
  <c r="AA372" i="57"/>
  <c r="AA404" i="57"/>
  <c r="AA428" i="57"/>
  <c r="AA468" i="57"/>
  <c r="AA508" i="57"/>
  <c r="AA564" i="57"/>
  <c r="AA604" i="57"/>
  <c r="AA628" i="57"/>
  <c r="AA668" i="57"/>
  <c r="AA700" i="57"/>
  <c r="AA724" i="57"/>
  <c r="AA756" i="57"/>
  <c r="Y55" i="57"/>
  <c r="AA65" i="57"/>
  <c r="AA70" i="57"/>
  <c r="AA89" i="57"/>
  <c r="AA118" i="57"/>
  <c r="AA120" i="57"/>
  <c r="AA153" i="57"/>
  <c r="AA182" i="57"/>
  <c r="AA184" i="57"/>
  <c r="AA217" i="57"/>
  <c r="AA246" i="57"/>
  <c r="AA248" i="57"/>
  <c r="AA281" i="57"/>
  <c r="AA781" i="57"/>
  <c r="AA783" i="57"/>
  <c r="AA806" i="57"/>
  <c r="AA827" i="57"/>
  <c r="AA829" i="57"/>
  <c r="AA859" i="57"/>
  <c r="AA861" i="57"/>
  <c r="AA870" i="57"/>
  <c r="AA911" i="57"/>
  <c r="AA995" i="57"/>
  <c r="V1929" i="57"/>
  <c r="X1929" i="57"/>
  <c r="Y1929" i="57"/>
  <c r="W1929" i="57"/>
  <c r="AA356" i="57"/>
  <c r="AA412" i="57"/>
  <c r="AA436" i="57"/>
  <c r="AA460" i="57"/>
  <c r="AA500" i="57"/>
  <c r="AA580" i="57"/>
  <c r="AA652" i="57"/>
  <c r="AA684" i="57"/>
  <c r="AA716" i="57"/>
  <c r="AA740" i="57"/>
  <c r="AA961" i="57"/>
  <c r="AA50" i="57"/>
  <c r="AA82" i="57"/>
  <c r="AA95" i="57"/>
  <c r="AA97" i="57"/>
  <c r="AA128" i="57"/>
  <c r="AA159" i="57"/>
  <c r="AA161" i="57"/>
  <c r="AA192" i="57"/>
  <c r="AA223" i="57"/>
  <c r="AA225" i="57"/>
  <c r="AA256" i="57"/>
  <c r="AA287" i="57"/>
  <c r="AA289" i="57"/>
  <c r="AA295" i="57"/>
  <c r="AA297" i="57"/>
  <c r="AA303" i="57"/>
  <c r="AA305" i="57"/>
  <c r="AA311" i="57"/>
  <c r="AA313" i="57"/>
  <c r="AA319" i="57"/>
  <c r="AA321" i="57"/>
  <c r="AA327" i="57"/>
  <c r="AA329" i="57"/>
  <c r="AA335" i="57"/>
  <c r="AA337" i="57"/>
  <c r="AA343" i="57"/>
  <c r="AA345" i="57"/>
  <c r="AA351" i="57"/>
  <c r="AA353" i="57"/>
  <c r="AA359" i="57"/>
  <c r="AA361" i="57"/>
  <c r="AA367" i="57"/>
  <c r="AA369" i="57"/>
  <c r="AA375" i="57"/>
  <c r="AA377" i="57"/>
  <c r="AA383" i="57"/>
  <c r="AA385" i="57"/>
  <c r="AA391" i="57"/>
  <c r="AA393" i="57"/>
  <c r="AA399" i="57"/>
  <c r="AA401" i="57"/>
  <c r="AA407" i="57"/>
  <c r="AA409" i="57"/>
  <c r="AA415" i="57"/>
  <c r="AA417" i="57"/>
  <c r="AA423" i="57"/>
  <c r="AA425" i="57"/>
  <c r="AA431" i="57"/>
  <c r="AA433" i="57"/>
  <c r="AA439" i="57"/>
  <c r="AA441" i="57"/>
  <c r="AA447" i="57"/>
  <c r="AA449" i="57"/>
  <c r="AA455" i="57"/>
  <c r="AA457" i="57"/>
  <c r="AA463" i="57"/>
  <c r="AA465" i="57"/>
  <c r="AA471" i="57"/>
  <c r="AA473" i="57"/>
  <c r="AA479" i="57"/>
  <c r="AA481" i="57"/>
  <c r="AA487" i="57"/>
  <c r="AA489" i="57"/>
  <c r="AA497" i="57"/>
  <c r="AA505" i="57"/>
  <c r="AA513" i="57"/>
  <c r="AA521" i="57"/>
  <c r="AA529" i="57"/>
  <c r="AA537" i="57"/>
  <c r="AA545" i="57"/>
  <c r="AA553" i="57"/>
  <c r="AA561" i="57"/>
  <c r="AA569" i="57"/>
  <c r="AA577" i="57"/>
  <c r="AA585" i="57"/>
  <c r="AA593" i="57"/>
  <c r="AA601" i="57"/>
  <c r="AA609" i="57"/>
  <c r="AA617" i="57"/>
  <c r="AA625" i="57"/>
  <c r="AA633" i="57"/>
  <c r="AA641" i="57"/>
  <c r="AA649" i="57"/>
  <c r="AA657" i="57"/>
  <c r="AA665" i="57"/>
  <c r="AA673" i="57"/>
  <c r="AA681" i="57"/>
  <c r="AA689" i="57"/>
  <c r="AA697" i="57"/>
  <c r="AA705" i="57"/>
  <c r="AA713" i="57"/>
  <c r="AA721" i="57"/>
  <c r="AA729" i="57"/>
  <c r="AA737" i="57"/>
  <c r="AA745" i="57"/>
  <c r="AA753" i="57"/>
  <c r="AA761" i="57"/>
  <c r="X1874" i="57"/>
  <c r="Y1874" i="57"/>
  <c r="V1874" i="57"/>
  <c r="W1874" i="57"/>
  <c r="X1922" i="57"/>
  <c r="Y1922" i="57"/>
  <c r="W1922" i="57"/>
  <c r="V1922" i="57"/>
  <c r="Y63" i="57"/>
  <c r="AA300" i="57"/>
  <c r="AA324" i="57"/>
  <c r="AA388" i="57"/>
  <c r="AA420" i="57"/>
  <c r="AA476" i="57"/>
  <c r="AA540" i="57"/>
  <c r="AA572" i="57"/>
  <c r="AA596" i="57"/>
  <c r="AA644" i="57"/>
  <c r="AA764" i="57"/>
  <c r="Y47" i="57"/>
  <c r="AA57" i="57"/>
  <c r="Y79" i="57"/>
  <c r="AA105" i="57"/>
  <c r="AA134" i="57"/>
  <c r="AA136" i="57"/>
  <c r="AA169" i="57"/>
  <c r="AA198" i="57"/>
  <c r="AA200" i="57"/>
  <c r="AA233" i="57"/>
  <c r="AA262" i="57"/>
  <c r="AA264" i="57"/>
  <c r="AA771" i="57"/>
  <c r="AA838" i="57"/>
  <c r="AA1011" i="57"/>
  <c r="W1742" i="57"/>
  <c r="X1742" i="57"/>
  <c r="Y1742" i="57"/>
  <c r="V1742" i="57"/>
  <c r="X1845" i="57"/>
  <c r="Y1845" i="57"/>
  <c r="V1845" i="57"/>
  <c r="W1845" i="57"/>
  <c r="AA2016" i="57"/>
  <c r="X1775" i="57"/>
  <c r="Y1775" i="57"/>
  <c r="V1775" i="57"/>
  <c r="W1775" i="57"/>
  <c r="AA348" i="57"/>
  <c r="AA396" i="57"/>
  <c r="AA444" i="57"/>
  <c r="AA492" i="57"/>
  <c r="AA532" i="57"/>
  <c r="AA588" i="57"/>
  <c r="AA636" i="57"/>
  <c r="AA676" i="57"/>
  <c r="AA748" i="57"/>
  <c r="AA891" i="57"/>
  <c r="X1764" i="57"/>
  <c r="Y1764" i="57"/>
  <c r="W1764" i="57"/>
  <c r="V1764" i="57"/>
  <c r="AA69" i="57"/>
  <c r="AA74" i="57"/>
  <c r="AA113" i="57"/>
  <c r="AA142" i="57"/>
  <c r="AA177" i="57"/>
  <c r="AA206" i="57"/>
  <c r="AA241" i="57"/>
  <c r="AA270" i="57"/>
  <c r="AA990" i="57"/>
  <c r="AA1628" i="57"/>
  <c r="X1904" i="57"/>
  <c r="Y1904" i="57"/>
  <c r="W1904" i="57"/>
  <c r="V1904" i="57"/>
  <c r="X1990" i="57"/>
  <c r="Y1990" i="57"/>
  <c r="W1990" i="57"/>
  <c r="V1990" i="57"/>
  <c r="X2070" i="57"/>
  <c r="Y2070" i="57"/>
  <c r="W2070" i="57"/>
  <c r="V2070" i="57"/>
  <c r="AA308" i="57"/>
  <c r="AA364" i="57"/>
  <c r="AA452" i="57"/>
  <c r="AA524" i="57"/>
  <c r="AA548" i="57"/>
  <c r="AA612" i="57"/>
  <c r="AA708" i="57"/>
  <c r="AA795" i="57"/>
  <c r="AA950" i="57"/>
  <c r="Y39" i="57"/>
  <c r="AA54" i="57"/>
  <c r="Y71" i="57"/>
  <c r="AA86" i="57"/>
  <c r="AA88" i="57"/>
  <c r="AA121" i="57"/>
  <c r="AA150" i="57"/>
  <c r="AA152" i="57"/>
  <c r="AA185" i="57"/>
  <c r="AA214" i="57"/>
  <c r="AA216" i="57"/>
  <c r="AA249" i="57"/>
  <c r="AA278" i="57"/>
  <c r="AA280" i="57"/>
  <c r="AA788" i="57"/>
  <c r="AA847" i="57"/>
  <c r="AA884" i="57"/>
  <c r="AA923" i="57"/>
  <c r="AA925" i="57"/>
  <c r="AA934" i="57"/>
  <c r="AA1027" i="57"/>
  <c r="AA1163" i="57"/>
  <c r="AA1784" i="57"/>
  <c r="AA1972" i="57"/>
  <c r="X2076" i="57"/>
  <c r="Y2076" i="57"/>
  <c r="W2076" i="57"/>
  <c r="V2076" i="57"/>
  <c r="AA2133" i="57"/>
  <c r="X2806" i="57"/>
  <c r="Y2806" i="57"/>
  <c r="W2806" i="57"/>
  <c r="V2806" i="57"/>
  <c r="AA976" i="57"/>
  <c r="AA1056" i="57"/>
  <c r="AA1085" i="57"/>
  <c r="AA1091" i="57"/>
  <c r="AA1120" i="57"/>
  <c r="AA1149" i="57"/>
  <c r="AA1155" i="57"/>
  <c r="AA1184" i="57"/>
  <c r="AA1192" i="57"/>
  <c r="AA1200" i="57"/>
  <c r="AA1208" i="57"/>
  <c r="AA1216" i="57"/>
  <c r="AA1224" i="57"/>
  <c r="AA1232" i="57"/>
  <c r="AA1240" i="57"/>
  <c r="AA1248" i="57"/>
  <c r="AA1256" i="57"/>
  <c r="AA1264" i="57"/>
  <c r="AA1272" i="57"/>
  <c r="AA1280" i="57"/>
  <c r="AA1288" i="57"/>
  <c r="AA1296" i="57"/>
  <c r="AA1304" i="57"/>
  <c r="AA1312" i="57"/>
  <c r="AA1320" i="57"/>
  <c r="AA1328" i="57"/>
  <c r="AA1336" i="57"/>
  <c r="AA1344" i="57"/>
  <c r="AA1352" i="57"/>
  <c r="AA1360" i="57"/>
  <c r="AA1368" i="57"/>
  <c r="AA1376" i="57"/>
  <c r="AA1384" i="57"/>
  <c r="AA1392" i="57"/>
  <c r="AA1400" i="57"/>
  <c r="AA1408" i="57"/>
  <c r="AA1416" i="57"/>
  <c r="AA1424" i="57"/>
  <c r="AA1432" i="57"/>
  <c r="AA1440" i="57"/>
  <c r="AA1448" i="57"/>
  <c r="AA1456" i="57"/>
  <c r="AA1464" i="57"/>
  <c r="AA1472" i="57"/>
  <c r="AA1480" i="57"/>
  <c r="AA1488" i="57"/>
  <c r="AA1496" i="57"/>
  <c r="AA1504" i="57"/>
  <c r="AA1512" i="57"/>
  <c r="AA1520" i="57"/>
  <c r="AA1528" i="57"/>
  <c r="AA1548" i="57"/>
  <c r="AA1563" i="57"/>
  <c r="AA1565" i="57"/>
  <c r="AA1577" i="57"/>
  <c r="AA1590" i="57"/>
  <c r="AA1592" i="57"/>
  <c r="AA1641" i="57"/>
  <c r="AA1673" i="57"/>
  <c r="AA1705" i="57"/>
  <c r="AA1732" i="57"/>
  <c r="X1760" i="57"/>
  <c r="Y1760" i="57"/>
  <c r="W1760" i="57"/>
  <c r="V1760" i="57"/>
  <c r="AA1769" i="57"/>
  <c r="X1804" i="57"/>
  <c r="Y1804" i="57"/>
  <c r="V1804" i="57"/>
  <c r="W1804" i="57"/>
  <c r="X1841" i="57"/>
  <c r="Y1841" i="57"/>
  <c r="V1841" i="57"/>
  <c r="W1841" i="57"/>
  <c r="AA1850" i="57"/>
  <c r="V1885" i="57"/>
  <c r="X1885" i="57"/>
  <c r="Y1885" i="57"/>
  <c r="W1885" i="57"/>
  <c r="X1900" i="57"/>
  <c r="Y1900" i="57"/>
  <c r="W1900" i="57"/>
  <c r="V1900" i="57"/>
  <c r="X1934" i="57"/>
  <c r="Y1934" i="57"/>
  <c r="W1934" i="57"/>
  <c r="V1934" i="57"/>
  <c r="AA1945" i="57"/>
  <c r="X1963" i="57"/>
  <c r="Y1963" i="57"/>
  <c r="W1963" i="57"/>
  <c r="V1963" i="57"/>
  <c r="X2038" i="57"/>
  <c r="Y2038" i="57"/>
  <c r="W2038" i="57"/>
  <c r="V2038" i="57"/>
  <c r="X2242" i="57"/>
  <c r="Y2242" i="57"/>
  <c r="V2242" i="57"/>
  <c r="W2242" i="57"/>
  <c r="AA776" i="57"/>
  <c r="AA941" i="57"/>
  <c r="AA952" i="57"/>
  <c r="AA982" i="57"/>
  <c r="AA984" i="57"/>
  <c r="AA1048" i="57"/>
  <c r="AA1077" i="57"/>
  <c r="AA1112" i="57"/>
  <c r="AA1141" i="57"/>
  <c r="AA1176" i="57"/>
  <c r="AA1538" i="57"/>
  <c r="AA1573" i="57"/>
  <c r="AA1575" i="57"/>
  <c r="AA1602" i="57"/>
  <c r="AA1612" i="57"/>
  <c r="AA1639" i="57"/>
  <c r="AA1671" i="57"/>
  <c r="AA1703" i="57"/>
  <c r="V1781" i="57"/>
  <c r="X1781" i="57"/>
  <c r="Y1781" i="57"/>
  <c r="W1781" i="57"/>
  <c r="X1800" i="57"/>
  <c r="Y1800" i="57"/>
  <c r="V1800" i="57"/>
  <c r="W1800" i="57"/>
  <c r="AA1813" i="57"/>
  <c r="X1829" i="57"/>
  <c r="Y1829" i="57"/>
  <c r="V1829" i="57"/>
  <c r="W1829" i="57"/>
  <c r="AA1860" i="57"/>
  <c r="X1915" i="57"/>
  <c r="Y1915" i="57"/>
  <c r="V1915" i="57"/>
  <c r="W1915" i="57"/>
  <c r="X1927" i="57"/>
  <c r="Y1927" i="57"/>
  <c r="AA1927" i="57"/>
  <c r="V1927" i="57"/>
  <c r="W1927" i="57"/>
  <c r="X2243" i="57"/>
  <c r="Y2243" i="57"/>
  <c r="W2243" i="57"/>
  <c r="V2243" i="57"/>
  <c r="AA992" i="57"/>
  <c r="AA1040" i="57"/>
  <c r="AA1075" i="57"/>
  <c r="AA1104" i="57"/>
  <c r="AA1139" i="57"/>
  <c r="AA1168" i="57"/>
  <c r="W1728" i="57"/>
  <c r="X1728" i="57"/>
  <c r="Y1728" i="57"/>
  <c r="V1728" i="57"/>
  <c r="AA1790" i="57"/>
  <c r="AA1794" i="57"/>
  <c r="V1847" i="57"/>
  <c r="X1847" i="57"/>
  <c r="Y1847" i="57"/>
  <c r="W1847" i="57"/>
  <c r="X1872" i="57"/>
  <c r="Y1872" i="57"/>
  <c r="W1872" i="57"/>
  <c r="V1872" i="57"/>
  <c r="X1887" i="57"/>
  <c r="Y1887" i="57"/>
  <c r="V1887" i="57"/>
  <c r="W1887" i="57"/>
  <c r="AA1909" i="57"/>
  <c r="AA1920" i="57"/>
  <c r="X1942" i="57"/>
  <c r="Y1942" i="57"/>
  <c r="W1942" i="57"/>
  <c r="V1942" i="57"/>
  <c r="X2006" i="57"/>
  <c r="Y2006" i="57"/>
  <c r="W2006" i="57"/>
  <c r="V2006" i="57"/>
  <c r="V2308" i="57"/>
  <c r="X2308" i="57"/>
  <c r="Y2308" i="57"/>
  <c r="W2308" i="57"/>
  <c r="AA768" i="57"/>
  <c r="AA792" i="57"/>
  <c r="AA808" i="57"/>
  <c r="AA824" i="57"/>
  <c r="AA840" i="57"/>
  <c r="AA856" i="57"/>
  <c r="AA872" i="57"/>
  <c r="AA888" i="57"/>
  <c r="AA904" i="57"/>
  <c r="AA920" i="57"/>
  <c r="AA936" i="57"/>
  <c r="AA1000" i="57"/>
  <c r="AA1008" i="57"/>
  <c r="AA1016" i="57"/>
  <c r="AA1024" i="57"/>
  <c r="AA1032" i="57"/>
  <c r="AA1061" i="57"/>
  <c r="AA1067" i="57"/>
  <c r="AA1096" i="57"/>
  <c r="AA1125" i="57"/>
  <c r="AA1131" i="57"/>
  <c r="AA1160" i="57"/>
  <c r="AA1621" i="57"/>
  <c r="X1766" i="57"/>
  <c r="Y1766" i="57"/>
  <c r="V1766" i="57"/>
  <c r="W1766" i="57"/>
  <c r="V1777" i="57"/>
  <c r="X1777" i="57"/>
  <c r="Y1777" i="57"/>
  <c r="W1777" i="57"/>
  <c r="X1802" i="57"/>
  <c r="Y1802" i="57"/>
  <c r="W1802" i="57"/>
  <c r="V1802" i="57"/>
  <c r="AA1817" i="57"/>
  <c r="X1825" i="57"/>
  <c r="Y1825" i="57"/>
  <c r="V1825" i="57"/>
  <c r="W1825" i="57"/>
  <c r="X1943" i="57"/>
  <c r="Y1943" i="57"/>
  <c r="W1943" i="57"/>
  <c r="V1943" i="57"/>
  <c r="X1974" i="57"/>
  <c r="Y1974" i="57"/>
  <c r="W1974" i="57"/>
  <c r="V1974" i="57"/>
  <c r="AA1597" i="57"/>
  <c r="X1762" i="57"/>
  <c r="Y1762" i="57"/>
  <c r="V1762" i="57"/>
  <c r="W1762" i="57"/>
  <c r="V1843" i="57"/>
  <c r="X1843" i="57"/>
  <c r="Y1843" i="57"/>
  <c r="W1843" i="57"/>
  <c r="W1861" i="57"/>
  <c r="X1861" i="57"/>
  <c r="Y1861" i="57"/>
  <c r="V1861" i="57"/>
  <c r="X1883" i="57"/>
  <c r="Y1883" i="57"/>
  <c r="V1883" i="57"/>
  <c r="W1883" i="57"/>
  <c r="X1902" i="57"/>
  <c r="Y1902" i="57"/>
  <c r="AA1902" i="57"/>
  <c r="V1902" i="57"/>
  <c r="W1902" i="57"/>
  <c r="X1906" i="57"/>
  <c r="Y1906" i="57"/>
  <c r="AA1906" i="57"/>
  <c r="V1906" i="57"/>
  <c r="W1906" i="57"/>
  <c r="X1975" i="57"/>
  <c r="Y1975" i="57"/>
  <c r="W1975" i="57"/>
  <c r="V1975" i="57"/>
  <c r="X2079" i="57"/>
  <c r="Y2079" i="57"/>
  <c r="W2079" i="57"/>
  <c r="V2079" i="57"/>
  <c r="V2212" i="57"/>
  <c r="X2212" i="57"/>
  <c r="Y2212" i="57"/>
  <c r="AA2212" i="57"/>
  <c r="AA983" i="57"/>
  <c r="AA1051" i="57"/>
  <c r="AA1080" i="57"/>
  <c r="AA1109" i="57"/>
  <c r="AA1115" i="57"/>
  <c r="AA1144" i="57"/>
  <c r="AA1179" i="57"/>
  <c r="AA1541" i="57"/>
  <c r="AA1543" i="57"/>
  <c r="AA1568" i="57"/>
  <c r="AA1570" i="57"/>
  <c r="AA1605" i="57"/>
  <c r="AA1607" i="57"/>
  <c r="AA1721" i="57"/>
  <c r="AA1752" i="57"/>
  <c r="X1779" i="57"/>
  <c r="Y1779" i="57"/>
  <c r="V1779" i="57"/>
  <c r="W1779" i="57"/>
  <c r="X1798" i="57"/>
  <c r="Y1798" i="57"/>
  <c r="W1798" i="57"/>
  <c r="V1798" i="57"/>
  <c r="AA1826" i="57"/>
  <c r="AA1877" i="57"/>
  <c r="AA1892" i="57"/>
  <c r="AA1896" i="57"/>
  <c r="V1917" i="57"/>
  <c r="X1917" i="57"/>
  <c r="Y1917" i="57"/>
  <c r="W1917" i="57"/>
  <c r="X1954" i="57"/>
  <c r="Y1954" i="57"/>
  <c r="W1954" i="57"/>
  <c r="V1954" i="57"/>
  <c r="X2022" i="57"/>
  <c r="Y2022" i="57"/>
  <c r="W2022" i="57"/>
  <c r="V2022" i="57"/>
  <c r="AA1648" i="57"/>
  <c r="AA1680" i="57"/>
  <c r="AA1712" i="57"/>
  <c r="X1714" i="57"/>
  <c r="Y1714" i="57"/>
  <c r="AA1714" i="57"/>
  <c r="V1714" i="57"/>
  <c r="V1738" i="57"/>
  <c r="AA1746" i="57"/>
  <c r="X1758" i="57"/>
  <c r="Y1758" i="57"/>
  <c r="AA1758" i="57"/>
  <c r="V1758" i="57"/>
  <c r="W1761" i="57"/>
  <c r="AA1761" i="57"/>
  <c r="X1771" i="57"/>
  <c r="Y1771" i="57"/>
  <c r="V1771" i="57"/>
  <c r="V1776" i="57"/>
  <c r="AA1776" i="57"/>
  <c r="W1780" i="57"/>
  <c r="AA1780" i="57"/>
  <c r="X1796" i="57"/>
  <c r="Y1796" i="57"/>
  <c r="V1796" i="57"/>
  <c r="W1799" i="57"/>
  <c r="AA1799" i="57"/>
  <c r="X1815" i="57"/>
  <c r="Y1815" i="57"/>
  <c r="AA1815" i="57"/>
  <c r="V1815" i="57"/>
  <c r="AA1819" i="57"/>
  <c r="X1821" i="57"/>
  <c r="Y1821" i="57"/>
  <c r="V1821" i="57"/>
  <c r="V1826" i="57"/>
  <c r="W1830" i="57"/>
  <c r="AA1830" i="57"/>
  <c r="V1842" i="57"/>
  <c r="AA1842" i="57"/>
  <c r="W1846" i="57"/>
  <c r="AA1846" i="57"/>
  <c r="X1865" i="57"/>
  <c r="Y1865" i="57"/>
  <c r="AA1865" i="57"/>
  <c r="X1879" i="57"/>
  <c r="Y1879" i="57"/>
  <c r="AA1879" i="57"/>
  <c r="V1879" i="57"/>
  <c r="V1884" i="57"/>
  <c r="AA1884" i="57"/>
  <c r="X1898" i="57"/>
  <c r="Y1898" i="57"/>
  <c r="V1898" i="57"/>
  <c r="W1901" i="57"/>
  <c r="AA1901" i="57"/>
  <c r="X1911" i="57"/>
  <c r="Y1911" i="57"/>
  <c r="AA1911" i="57"/>
  <c r="V1911" i="57"/>
  <c r="V1916" i="57"/>
  <c r="AA1916" i="57"/>
  <c r="W1933" i="57"/>
  <c r="AA1933" i="57"/>
  <c r="X1935" i="57"/>
  <c r="Y1935" i="57"/>
  <c r="AA1935" i="57"/>
  <c r="V1935" i="57"/>
  <c r="AA1952" i="57"/>
  <c r="X1955" i="57"/>
  <c r="Y1955" i="57"/>
  <c r="W1955" i="57"/>
  <c r="V1955" i="57"/>
  <c r="X1966" i="57"/>
  <c r="Y1966" i="57"/>
  <c r="W1966" i="57"/>
  <c r="V1966" i="57"/>
  <c r="AA2048" i="57"/>
  <c r="AA2056" i="57"/>
  <c r="AA2096" i="57"/>
  <c r="AA2125" i="57"/>
  <c r="V2157" i="57"/>
  <c r="X2157" i="57"/>
  <c r="Y2157" i="57"/>
  <c r="W2157" i="57"/>
  <c r="AA2208" i="57"/>
  <c r="X2239" i="57"/>
  <c r="Y2239" i="57"/>
  <c r="W2239" i="57"/>
  <c r="V2239" i="57"/>
  <c r="X2412" i="57"/>
  <c r="Y2412" i="57"/>
  <c r="W2412" i="57"/>
  <c r="V2412" i="57"/>
  <c r="AA1652" i="57"/>
  <c r="AA1654" i="57"/>
  <c r="AA1684" i="57"/>
  <c r="AA1686" i="57"/>
  <c r="AA1734" i="57"/>
  <c r="AA1736" i="57"/>
  <c r="AA1750" i="57"/>
  <c r="X1754" i="57"/>
  <c r="Y1754" i="57"/>
  <c r="AA1754" i="57"/>
  <c r="V1754" i="57"/>
  <c r="AA1765" i="57"/>
  <c r="X1767" i="57"/>
  <c r="Y1767" i="57"/>
  <c r="AA1767" i="57"/>
  <c r="V1767" i="57"/>
  <c r="X1792" i="57"/>
  <c r="Y1792" i="57"/>
  <c r="V1792" i="57"/>
  <c r="AA1803" i="57"/>
  <c r="X1805" i="57"/>
  <c r="Y1805" i="57"/>
  <c r="V1805" i="57"/>
  <c r="AA1807" i="57"/>
  <c r="AA1809" i="57"/>
  <c r="X1811" i="57"/>
  <c r="Y1811" i="57"/>
  <c r="V1811" i="57"/>
  <c r="X1852" i="57"/>
  <c r="Y1852" i="57"/>
  <c r="AA1852" i="57"/>
  <c r="V1852" i="57"/>
  <c r="AA1873" i="57"/>
  <c r="X1875" i="57"/>
  <c r="Y1875" i="57"/>
  <c r="AA1875" i="57"/>
  <c r="V1875" i="57"/>
  <c r="AA1888" i="57"/>
  <c r="X1894" i="57"/>
  <c r="Y1894" i="57"/>
  <c r="AA1894" i="57"/>
  <c r="V1894" i="57"/>
  <c r="AA1905" i="57"/>
  <c r="X1907" i="57"/>
  <c r="Y1907" i="57"/>
  <c r="V1907" i="57"/>
  <c r="X1923" i="57"/>
  <c r="Y1923" i="57"/>
  <c r="AA1923" i="57"/>
  <c r="V1923" i="57"/>
  <c r="AA1928" i="57"/>
  <c r="X1930" i="57"/>
  <c r="Y1930" i="57"/>
  <c r="AA1930" i="57"/>
  <c r="W1930" i="57"/>
  <c r="V1930" i="57"/>
  <c r="X1946" i="57"/>
  <c r="Y1946" i="57"/>
  <c r="W1946" i="57"/>
  <c r="V1946" i="57"/>
  <c r="AA1961" i="57"/>
  <c r="AA1964" i="57"/>
  <c r="X1967" i="57"/>
  <c r="Y1967" i="57"/>
  <c r="AA1967" i="57"/>
  <c r="W1967" i="57"/>
  <c r="V1967" i="57"/>
  <c r="X1978" i="57"/>
  <c r="Y1978" i="57"/>
  <c r="W1978" i="57"/>
  <c r="V1978" i="57"/>
  <c r="X1994" i="57"/>
  <c r="Y1994" i="57"/>
  <c r="W1994" i="57"/>
  <c r="V1994" i="57"/>
  <c r="AA2004" i="57"/>
  <c r="X2010" i="57"/>
  <c r="Y2010" i="57"/>
  <c r="W2010" i="57"/>
  <c r="V2010" i="57"/>
  <c r="AA2020" i="57"/>
  <c r="X2026" i="57"/>
  <c r="Y2026" i="57"/>
  <c r="W2026" i="57"/>
  <c r="V2026" i="57"/>
  <c r="AA2036" i="57"/>
  <c r="X2042" i="57"/>
  <c r="Y2042" i="57"/>
  <c r="W2042" i="57"/>
  <c r="V2042" i="57"/>
  <c r="X2050" i="57"/>
  <c r="Y2050" i="57"/>
  <c r="W2050" i="57"/>
  <c r="V2050" i="57"/>
  <c r="X2058" i="57"/>
  <c r="Y2058" i="57"/>
  <c r="W2058" i="57"/>
  <c r="V2058" i="57"/>
  <c r="X2186" i="57"/>
  <c r="Y2186" i="57"/>
  <c r="AA2186" i="57"/>
  <c r="V2186" i="57"/>
  <c r="W2186" i="57"/>
  <c r="X2290" i="57"/>
  <c r="Y2290" i="57"/>
  <c r="AA2290" i="57"/>
  <c r="V2290" i="57"/>
  <c r="W2290" i="57"/>
  <c r="X2325" i="57"/>
  <c r="Y2325" i="57"/>
  <c r="W2325" i="57"/>
  <c r="V2325" i="57"/>
  <c r="AA1656" i="57"/>
  <c r="AA1688" i="57"/>
  <c r="V1715" i="57"/>
  <c r="AA1723" i="57"/>
  <c r="W1753" i="57"/>
  <c r="X1757" i="57"/>
  <c r="Y1757" i="57"/>
  <c r="AA1757" i="57"/>
  <c r="X1763" i="57"/>
  <c r="Y1763" i="57"/>
  <c r="AA1763" i="57"/>
  <c r="V1763" i="57"/>
  <c r="V1768" i="57"/>
  <c r="W1772" i="57"/>
  <c r="AA1772" i="57"/>
  <c r="X1782" i="57"/>
  <c r="Y1782" i="57"/>
  <c r="V1782" i="57"/>
  <c r="W1791" i="57"/>
  <c r="X1795" i="57"/>
  <c r="Y1795" i="57"/>
  <c r="AA1795" i="57"/>
  <c r="X1801" i="57"/>
  <c r="Y1801" i="57"/>
  <c r="AA1801" i="57"/>
  <c r="V1801" i="57"/>
  <c r="V1806" i="57"/>
  <c r="V1812" i="57"/>
  <c r="W1816" i="57"/>
  <c r="AA1816" i="57"/>
  <c r="W1822" i="57"/>
  <c r="AA1822" i="57"/>
  <c r="X1848" i="57"/>
  <c r="Y1848" i="57"/>
  <c r="V1848" i="57"/>
  <c r="W1851" i="57"/>
  <c r="AA1869" i="57"/>
  <c r="X1871" i="57"/>
  <c r="Y1871" i="57"/>
  <c r="V1871" i="57"/>
  <c r="V1876" i="57"/>
  <c r="W1880" i="57"/>
  <c r="AA1880" i="57"/>
  <c r="X1890" i="57"/>
  <c r="Y1890" i="57"/>
  <c r="V1890" i="57"/>
  <c r="W1893" i="57"/>
  <c r="X1897" i="57"/>
  <c r="Y1897" i="57"/>
  <c r="AA1897" i="57"/>
  <c r="X1903" i="57"/>
  <c r="Y1903" i="57"/>
  <c r="V1903" i="57"/>
  <c r="V1908" i="57"/>
  <c r="AA1908" i="57"/>
  <c r="W1912" i="57"/>
  <c r="AA1912" i="57"/>
  <c r="X1918" i="57"/>
  <c r="Y1918" i="57"/>
  <c r="W1918" i="57"/>
  <c r="V1918" i="57"/>
  <c r="X1921" i="57"/>
  <c r="Y1921" i="57"/>
  <c r="AA1921" i="57"/>
  <c r="AA1944" i="57"/>
  <c r="X1947" i="57"/>
  <c r="Y1947" i="57"/>
  <c r="W1947" i="57"/>
  <c r="V1947" i="57"/>
  <c r="X1958" i="57"/>
  <c r="Y1958" i="57"/>
  <c r="W1958" i="57"/>
  <c r="V1958" i="57"/>
  <c r="X2066" i="57"/>
  <c r="Y2066" i="57"/>
  <c r="AA2066" i="57"/>
  <c r="W2066" i="57"/>
  <c r="V2066" i="57"/>
  <c r="AA2091" i="57"/>
  <c r="X2097" i="57"/>
  <c r="Y2097" i="57"/>
  <c r="W2097" i="57"/>
  <c r="V2097" i="57"/>
  <c r="AA2105" i="57"/>
  <c r="AA2113" i="57"/>
  <c r="X2229" i="57"/>
  <c r="Y2229" i="57"/>
  <c r="V2229" i="57"/>
  <c r="W2229" i="57"/>
  <c r="V2260" i="57"/>
  <c r="X2260" i="57"/>
  <c r="Y2260" i="57"/>
  <c r="W2260" i="57"/>
  <c r="X2348" i="57"/>
  <c r="Y2348" i="57"/>
  <c r="W2348" i="57"/>
  <c r="V2348" i="57"/>
  <c r="AA2364" i="57"/>
  <c r="X2374" i="57"/>
  <c r="Y2374" i="57"/>
  <c r="W2374" i="57"/>
  <c r="V2374" i="57"/>
  <c r="AA1660" i="57"/>
  <c r="AA1662" i="57"/>
  <c r="AA1692" i="57"/>
  <c r="AA1694" i="57"/>
  <c r="X1715" i="57"/>
  <c r="Y1715" i="57"/>
  <c r="AA1727" i="57"/>
  <c r="X1753" i="57"/>
  <c r="Y1753" i="57"/>
  <c r="AA1753" i="57"/>
  <c r="X1759" i="57"/>
  <c r="Y1759" i="57"/>
  <c r="AA1759" i="57"/>
  <c r="V1759" i="57"/>
  <c r="W1768" i="57"/>
  <c r="AA1768" i="57"/>
  <c r="X1778" i="57"/>
  <c r="Y1778" i="57"/>
  <c r="V1778" i="57"/>
  <c r="X1791" i="57"/>
  <c r="Y1791" i="57"/>
  <c r="AA1791" i="57"/>
  <c r="X1797" i="57"/>
  <c r="Y1797" i="57"/>
  <c r="V1797" i="57"/>
  <c r="W1806" i="57"/>
  <c r="AA1806" i="57"/>
  <c r="W1812" i="57"/>
  <c r="X1828" i="57"/>
  <c r="Y1828" i="57"/>
  <c r="V1828" i="57"/>
  <c r="X1844" i="57"/>
  <c r="Y1844" i="57"/>
  <c r="V1844" i="57"/>
  <c r="X1851" i="57"/>
  <c r="Y1851" i="57"/>
  <c r="W1876" i="57"/>
  <c r="X1886" i="57"/>
  <c r="Y1886" i="57"/>
  <c r="AA1886" i="57"/>
  <c r="V1886" i="57"/>
  <c r="X1893" i="57"/>
  <c r="Y1893" i="57"/>
  <c r="X1899" i="57"/>
  <c r="Y1899" i="57"/>
  <c r="V1899" i="57"/>
  <c r="W1908" i="57"/>
  <c r="X1931" i="57"/>
  <c r="Y1931" i="57"/>
  <c r="V1931" i="57"/>
  <c r="X1938" i="57"/>
  <c r="Y1938" i="57"/>
  <c r="W1938" i="57"/>
  <c r="V1938" i="57"/>
  <c r="AA1953" i="57"/>
  <c r="AA1956" i="57"/>
  <c r="X1959" i="57"/>
  <c r="Y1959" i="57"/>
  <c r="W1959" i="57"/>
  <c r="V1959" i="57"/>
  <c r="X1970" i="57"/>
  <c r="Y1970" i="57"/>
  <c r="W1970" i="57"/>
  <c r="V1970" i="57"/>
  <c r="X1982" i="57"/>
  <c r="Y1982" i="57"/>
  <c r="W1982" i="57"/>
  <c r="V1982" i="57"/>
  <c r="AA1992" i="57"/>
  <c r="X1998" i="57"/>
  <c r="Y1998" i="57"/>
  <c r="W1998" i="57"/>
  <c r="V1998" i="57"/>
  <c r="AA2008" i="57"/>
  <c r="X2014" i="57"/>
  <c r="Y2014" i="57"/>
  <c r="W2014" i="57"/>
  <c r="V2014" i="57"/>
  <c r="AA2024" i="57"/>
  <c r="X2030" i="57"/>
  <c r="Y2030" i="57"/>
  <c r="W2030" i="57"/>
  <c r="V2030" i="57"/>
  <c r="AA2040" i="57"/>
  <c r="AA2078" i="57"/>
  <c r="V2092" i="57"/>
  <c r="X2092" i="57"/>
  <c r="Y2092" i="57"/>
  <c r="W2092" i="57"/>
  <c r="AA2119" i="57"/>
  <c r="AA2141" i="57"/>
  <c r="V2149" i="57"/>
  <c r="X2149" i="57"/>
  <c r="Y2149" i="57"/>
  <c r="W2149" i="57"/>
  <c r="V2173" i="57"/>
  <c r="X2173" i="57"/>
  <c r="Y2173" i="57"/>
  <c r="W2173" i="57"/>
  <c r="AA1552" i="57"/>
  <c r="AA1584" i="57"/>
  <c r="X1755" i="57"/>
  <c r="Y1755" i="57"/>
  <c r="V1755" i="57"/>
  <c r="X1774" i="57"/>
  <c r="Y1774" i="57"/>
  <c r="V1774" i="57"/>
  <c r="X1793" i="57"/>
  <c r="Y1793" i="57"/>
  <c r="AA1793" i="57"/>
  <c r="V1793" i="57"/>
  <c r="X1824" i="57"/>
  <c r="Y1824" i="57"/>
  <c r="V1824" i="57"/>
  <c r="X1840" i="57"/>
  <c r="Y1840" i="57"/>
  <c r="V1840" i="57"/>
  <c r="X1882" i="57"/>
  <c r="Y1882" i="57"/>
  <c r="AA1882" i="57"/>
  <c r="V1882" i="57"/>
  <c r="X1895" i="57"/>
  <c r="Y1895" i="57"/>
  <c r="AA1895" i="57"/>
  <c r="V1895" i="57"/>
  <c r="X1914" i="57"/>
  <c r="Y1914" i="57"/>
  <c r="V1914" i="57"/>
  <c r="X1919" i="57"/>
  <c r="Y1919" i="57"/>
  <c r="V1919" i="57"/>
  <c r="X1926" i="57"/>
  <c r="Y1926" i="57"/>
  <c r="W1926" i="57"/>
  <c r="V1926" i="57"/>
  <c r="X1939" i="57"/>
  <c r="Y1939" i="57"/>
  <c r="W1939" i="57"/>
  <c r="V1939" i="57"/>
  <c r="X1950" i="57"/>
  <c r="Y1950" i="57"/>
  <c r="W1950" i="57"/>
  <c r="V1950" i="57"/>
  <c r="X1971" i="57"/>
  <c r="Y1971" i="57"/>
  <c r="W1971" i="57"/>
  <c r="V1971" i="57"/>
  <c r="V2106" i="57"/>
  <c r="X2106" i="57"/>
  <c r="Y2106" i="57"/>
  <c r="W2106" i="57"/>
  <c r="X2109" i="57"/>
  <c r="Y2109" i="57"/>
  <c r="W2109" i="57"/>
  <c r="V2109" i="57"/>
  <c r="AA2123" i="57"/>
  <c r="X2147" i="57"/>
  <c r="Y2147" i="57"/>
  <c r="V2147" i="57"/>
  <c r="W2147" i="57"/>
  <c r="X2163" i="57"/>
  <c r="Y2163" i="57"/>
  <c r="V2163" i="57"/>
  <c r="X2170" i="57"/>
  <c r="Y2170" i="57"/>
  <c r="V2170" i="57"/>
  <c r="W2170" i="57"/>
  <c r="X2178" i="57"/>
  <c r="Y2178" i="57"/>
  <c r="V2178" i="57"/>
  <c r="W2178" i="57"/>
  <c r="X1770" i="57"/>
  <c r="Y1770" i="57"/>
  <c r="V1770" i="57"/>
  <c r="X1783" i="57"/>
  <c r="Y1783" i="57"/>
  <c r="AA1783" i="57"/>
  <c r="V1783" i="57"/>
  <c r="X1789" i="57"/>
  <c r="Y1789" i="57"/>
  <c r="V1789" i="57"/>
  <c r="X1814" i="57"/>
  <c r="Y1814" i="57"/>
  <c r="AA1814" i="57"/>
  <c r="V1814" i="57"/>
  <c r="X1849" i="57"/>
  <c r="Y1849" i="57"/>
  <c r="V1849" i="57"/>
  <c r="X1878" i="57"/>
  <c r="Y1878" i="57"/>
  <c r="AA1878" i="57"/>
  <c r="V1878" i="57"/>
  <c r="X1891" i="57"/>
  <c r="Y1891" i="57"/>
  <c r="V1891" i="57"/>
  <c r="X1910" i="57"/>
  <c r="Y1910" i="57"/>
  <c r="AA1910" i="57"/>
  <c r="V1910" i="57"/>
  <c r="AA1948" i="57"/>
  <c r="X1951" i="57"/>
  <c r="Y1951" i="57"/>
  <c r="W1951" i="57"/>
  <c r="V1951" i="57"/>
  <c r="X1962" i="57"/>
  <c r="Y1962" i="57"/>
  <c r="W1962" i="57"/>
  <c r="V1962" i="57"/>
  <c r="AA1977" i="57"/>
  <c r="X1986" i="57"/>
  <c r="Y1986" i="57"/>
  <c r="W1986" i="57"/>
  <c r="V1986" i="57"/>
  <c r="AA1996" i="57"/>
  <c r="X2002" i="57"/>
  <c r="Y2002" i="57"/>
  <c r="W2002" i="57"/>
  <c r="V2002" i="57"/>
  <c r="AA2012" i="57"/>
  <c r="X2018" i="57"/>
  <c r="Y2018" i="57"/>
  <c r="W2018" i="57"/>
  <c r="V2018" i="57"/>
  <c r="AA2028" i="57"/>
  <c r="X2034" i="57"/>
  <c r="Y2034" i="57"/>
  <c r="W2034" i="57"/>
  <c r="V2034" i="57"/>
  <c r="X2046" i="57"/>
  <c r="Y2046" i="57"/>
  <c r="W2046" i="57"/>
  <c r="V2046" i="57"/>
  <c r="X2054" i="57"/>
  <c r="Y2054" i="57"/>
  <c r="W2054" i="57"/>
  <c r="V2054" i="57"/>
  <c r="X2062" i="57"/>
  <c r="Y2062" i="57"/>
  <c r="W2062" i="57"/>
  <c r="V2062" i="57"/>
  <c r="AA2075" i="57"/>
  <c r="X2087" i="57"/>
  <c r="Y2087" i="57"/>
  <c r="W2087" i="57"/>
  <c r="V2087" i="57"/>
  <c r="X2099" i="57"/>
  <c r="Y2099" i="57"/>
  <c r="W2099" i="57"/>
  <c r="V2099" i="57"/>
  <c r="X2222" i="57"/>
  <c r="Y2222" i="57"/>
  <c r="V2222" i="57"/>
  <c r="W2222" i="57"/>
  <c r="V2256" i="57"/>
  <c r="X2256" i="57"/>
  <c r="Y2256" i="57"/>
  <c r="W2256" i="57"/>
  <c r="V1979" i="57"/>
  <c r="V1983" i="57"/>
  <c r="V1987" i="57"/>
  <c r="V1991" i="57"/>
  <c r="V1995" i="57"/>
  <c r="V1999" i="57"/>
  <c r="V2003" i="57"/>
  <c r="V2007" i="57"/>
  <c r="V2011" i="57"/>
  <c r="V2015" i="57"/>
  <c r="V2019" i="57"/>
  <c r="V2023" i="57"/>
  <c r="V2027" i="57"/>
  <c r="V2031" i="57"/>
  <c r="V2035" i="57"/>
  <c r="V2039" i="57"/>
  <c r="V2043" i="57"/>
  <c r="V2047" i="57"/>
  <c r="V2051" i="57"/>
  <c r="V2055" i="57"/>
  <c r="V2059" i="57"/>
  <c r="V2063" i="57"/>
  <c r="AA2063" i="57"/>
  <c r="V2067" i="57"/>
  <c r="AA2067" i="57"/>
  <c r="V2071" i="57"/>
  <c r="AA2071" i="57"/>
  <c r="V2077" i="57"/>
  <c r="AA2077" i="57"/>
  <c r="X2115" i="57"/>
  <c r="Y2115" i="57"/>
  <c r="AA2115" i="57"/>
  <c r="V2115" i="57"/>
  <c r="AA2127" i="57"/>
  <c r="X2131" i="57"/>
  <c r="Y2131" i="57"/>
  <c r="V2131" i="57"/>
  <c r="AA2135" i="57"/>
  <c r="AA2139" i="57"/>
  <c r="AA2143" i="57"/>
  <c r="W2153" i="57"/>
  <c r="AA2155" i="57"/>
  <c r="V2165" i="57"/>
  <c r="X2165" i="57"/>
  <c r="Y2165" i="57"/>
  <c r="X2179" i="57"/>
  <c r="Y2179" i="57"/>
  <c r="V2179" i="57"/>
  <c r="X2187" i="57"/>
  <c r="Y2187" i="57"/>
  <c r="W2187" i="57"/>
  <c r="V2193" i="57"/>
  <c r="X2193" i="57"/>
  <c r="Y2193" i="57"/>
  <c r="AA2193" i="57"/>
  <c r="AA2196" i="57"/>
  <c r="X2213" i="57"/>
  <c r="Y2213" i="57"/>
  <c r="V2213" i="57"/>
  <c r="W2213" i="57"/>
  <c r="X2261" i="57"/>
  <c r="Y2261" i="57"/>
  <c r="V2261" i="57"/>
  <c r="X2273" i="57"/>
  <c r="Y2273" i="57"/>
  <c r="V2273" i="57"/>
  <c r="W2273" i="57"/>
  <c r="X2291" i="57"/>
  <c r="Y2291" i="57"/>
  <c r="W2291" i="57"/>
  <c r="X2309" i="57"/>
  <c r="Y2309" i="57"/>
  <c r="V2309" i="57"/>
  <c r="W2309" i="57"/>
  <c r="AA2312" i="57"/>
  <c r="X2424" i="57"/>
  <c r="Y2424" i="57"/>
  <c r="W2424" i="57"/>
  <c r="V2424" i="57"/>
  <c r="X2467" i="57"/>
  <c r="Y2467" i="57"/>
  <c r="W2467" i="57"/>
  <c r="V2467" i="57"/>
  <c r="W1979" i="57"/>
  <c r="AA1979" i="57"/>
  <c r="W1983" i="57"/>
  <c r="W1987" i="57"/>
  <c r="AA1987" i="57"/>
  <c r="W1991" i="57"/>
  <c r="W1995" i="57"/>
  <c r="AA1995" i="57"/>
  <c r="W1999" i="57"/>
  <c r="W2003" i="57"/>
  <c r="AA2003" i="57"/>
  <c r="W2007" i="57"/>
  <c r="W2011" i="57"/>
  <c r="AA2011" i="57"/>
  <c r="W2015" i="57"/>
  <c r="W2019" i="57"/>
  <c r="AA2019" i="57"/>
  <c r="W2023" i="57"/>
  <c r="W2027" i="57"/>
  <c r="AA2027" i="57"/>
  <c r="W2031" i="57"/>
  <c r="AA2031" i="57"/>
  <c r="W2035" i="57"/>
  <c r="AA2035" i="57"/>
  <c r="W2039" i="57"/>
  <c r="AA2039" i="57"/>
  <c r="W2043" i="57"/>
  <c r="AA2043" i="57"/>
  <c r="W2047" i="57"/>
  <c r="W2051" i="57"/>
  <c r="AA2051" i="57"/>
  <c r="W2055" i="57"/>
  <c r="W2059" i="57"/>
  <c r="AA2059" i="57"/>
  <c r="W2074" i="57"/>
  <c r="V2128" i="57"/>
  <c r="AA2128" i="57"/>
  <c r="V2129" i="57"/>
  <c r="X2129" i="57"/>
  <c r="Y2129" i="57"/>
  <c r="AA2129" i="57"/>
  <c r="V2145" i="57"/>
  <c r="X2145" i="57"/>
  <c r="Y2145" i="57"/>
  <c r="AA2145" i="57"/>
  <c r="X2150" i="57"/>
  <c r="Y2150" i="57"/>
  <c r="V2150" i="57"/>
  <c r="W2150" i="57"/>
  <c r="X2153" i="57"/>
  <c r="Y2153" i="57"/>
  <c r="X2158" i="57"/>
  <c r="Y2158" i="57"/>
  <c r="V2158" i="57"/>
  <c r="W2158" i="57"/>
  <c r="W2169" i="57"/>
  <c r="AA2169" i="57"/>
  <c r="AA2171" i="57"/>
  <c r="X2202" i="57"/>
  <c r="Y2202" i="57"/>
  <c r="AA2202" i="57"/>
  <c r="V2202" i="57"/>
  <c r="W2202" i="57"/>
  <c r="X2226" i="57"/>
  <c r="Y2226" i="57"/>
  <c r="V2226" i="57"/>
  <c r="W2226" i="57"/>
  <c r="V2244" i="57"/>
  <c r="X2244" i="57"/>
  <c r="Y2244" i="57"/>
  <c r="AA2248" i="57"/>
  <c r="X2254" i="57"/>
  <c r="Y2254" i="57"/>
  <c r="V2254" i="57"/>
  <c r="W2254" i="57"/>
  <c r="X2274" i="57"/>
  <c r="Y2274" i="57"/>
  <c r="V2274" i="57"/>
  <c r="W2274" i="57"/>
  <c r="V2292" i="57"/>
  <c r="X2292" i="57"/>
  <c r="Y2292" i="57"/>
  <c r="W2292" i="57"/>
  <c r="AA2299" i="57"/>
  <c r="AA2316" i="57"/>
  <c r="X2386" i="57"/>
  <c r="Y2386" i="57"/>
  <c r="W2386" i="57"/>
  <c r="V2386" i="57"/>
  <c r="V2098" i="57"/>
  <c r="W2098" i="57"/>
  <c r="AA2100" i="57"/>
  <c r="V2110" i="57"/>
  <c r="X2110" i="57"/>
  <c r="Y2110" i="57"/>
  <c r="AA2110" i="57"/>
  <c r="AA2148" i="57"/>
  <c r="V2161" i="57"/>
  <c r="X2161" i="57"/>
  <c r="Y2161" i="57"/>
  <c r="X2166" i="57"/>
  <c r="Y2166" i="57"/>
  <c r="V2166" i="57"/>
  <c r="W2166" i="57"/>
  <c r="X2174" i="57"/>
  <c r="Y2174" i="57"/>
  <c r="V2174" i="57"/>
  <c r="W2174" i="57"/>
  <c r="X2191" i="57"/>
  <c r="Y2191" i="57"/>
  <c r="AA2191" i="57"/>
  <c r="V2191" i="57"/>
  <c r="X2194" i="57"/>
  <c r="Y2194" i="57"/>
  <c r="V2194" i="57"/>
  <c r="V2209" i="57"/>
  <c r="X2209" i="57"/>
  <c r="Y2209" i="57"/>
  <c r="AA2209" i="57"/>
  <c r="X2245" i="57"/>
  <c r="Y2245" i="57"/>
  <c r="V2245" i="57"/>
  <c r="W2245" i="57"/>
  <c r="X2271" i="57"/>
  <c r="Y2271" i="57"/>
  <c r="W2271" i="57"/>
  <c r="V2271" i="57"/>
  <c r="X2275" i="57"/>
  <c r="Y2275" i="57"/>
  <c r="W2275" i="57"/>
  <c r="V2275" i="57"/>
  <c r="V2288" i="57"/>
  <c r="X2288" i="57"/>
  <c r="Y2288" i="57"/>
  <c r="W2288" i="57"/>
  <c r="X2383" i="57"/>
  <c r="Y2383" i="57"/>
  <c r="AA2383" i="57"/>
  <c r="W2383" i="57"/>
  <c r="V2383" i="57"/>
  <c r="V2421" i="57"/>
  <c r="X2421" i="57"/>
  <c r="Y2421" i="57"/>
  <c r="W2421" i="57"/>
  <c r="V2073" i="57"/>
  <c r="X2090" i="57"/>
  <c r="Y2090" i="57"/>
  <c r="AA2090" i="57"/>
  <c r="X2104" i="57"/>
  <c r="Y2104" i="57"/>
  <c r="AA2104" i="57"/>
  <c r="X2107" i="57"/>
  <c r="Y2107" i="57"/>
  <c r="W2107" i="57"/>
  <c r="W2120" i="57"/>
  <c r="AA2120" i="57"/>
  <c r="X2124" i="57"/>
  <c r="Y2124" i="57"/>
  <c r="AA2124" i="57"/>
  <c r="W2136" i="57"/>
  <c r="AA2136" i="57"/>
  <c r="X2140" i="57"/>
  <c r="Y2140" i="57"/>
  <c r="X2156" i="57"/>
  <c r="Y2156" i="57"/>
  <c r="V2156" i="57"/>
  <c r="X2159" i="57"/>
  <c r="Y2159" i="57"/>
  <c r="V2159" i="57"/>
  <c r="AA2164" i="57"/>
  <c r="V2177" i="57"/>
  <c r="X2177" i="57"/>
  <c r="Y2177" i="57"/>
  <c r="X2182" i="57"/>
  <c r="Y2182" i="57"/>
  <c r="V2182" i="57"/>
  <c r="W2182" i="57"/>
  <c r="AA2185" i="57"/>
  <c r="X2188" i="57"/>
  <c r="Y2188" i="57"/>
  <c r="V2188" i="57"/>
  <c r="X2203" i="57"/>
  <c r="Y2203" i="57"/>
  <c r="W2203" i="57"/>
  <c r="X2227" i="57"/>
  <c r="Y2227" i="57"/>
  <c r="W2227" i="57"/>
  <c r="X2258" i="57"/>
  <c r="Y2258" i="57"/>
  <c r="AA2258" i="57"/>
  <c r="V2258" i="57"/>
  <c r="W2258" i="57"/>
  <c r="X2293" i="57"/>
  <c r="Y2293" i="57"/>
  <c r="V2293" i="57"/>
  <c r="X2305" i="57"/>
  <c r="Y2305" i="57"/>
  <c r="V2305" i="57"/>
  <c r="W2305" i="57"/>
  <c r="X2342" i="57"/>
  <c r="Y2342" i="57"/>
  <c r="AA2342" i="57"/>
  <c r="W2342" i="57"/>
  <c r="V2342" i="57"/>
  <c r="X2380" i="57"/>
  <c r="Y2380" i="57"/>
  <c r="W2380" i="57"/>
  <c r="V2380" i="57"/>
  <c r="X2456" i="57"/>
  <c r="Y2456" i="57"/>
  <c r="W2456" i="57"/>
  <c r="V2456" i="57"/>
  <c r="V2469" i="57"/>
  <c r="X2469" i="57"/>
  <c r="Y2469" i="57"/>
  <c r="W2469" i="57"/>
  <c r="W2094" i="57"/>
  <c r="AA2094" i="57"/>
  <c r="X2095" i="57"/>
  <c r="Y2095" i="57"/>
  <c r="V2095" i="57"/>
  <c r="V2101" i="57"/>
  <c r="AA2101" i="57"/>
  <c r="AA2116" i="57"/>
  <c r="AA2132" i="57"/>
  <c r="AA2144" i="57"/>
  <c r="X2146" i="57"/>
  <c r="Y2146" i="57"/>
  <c r="V2146" i="57"/>
  <c r="X2151" i="57"/>
  <c r="Y2151" i="57"/>
  <c r="V2151" i="57"/>
  <c r="X2172" i="57"/>
  <c r="Y2172" i="57"/>
  <c r="V2172" i="57"/>
  <c r="X2175" i="57"/>
  <c r="Y2175" i="57"/>
  <c r="V2175" i="57"/>
  <c r="X2195" i="57"/>
  <c r="Y2195" i="57"/>
  <c r="AA2195" i="57"/>
  <c r="V2195" i="57"/>
  <c r="X2210" i="57"/>
  <c r="Y2210" i="57"/>
  <c r="AA2210" i="57"/>
  <c r="V2210" i="57"/>
  <c r="V2228" i="57"/>
  <c r="X2228" i="57"/>
  <c r="Y2228" i="57"/>
  <c r="W2228" i="57"/>
  <c r="AA2263" i="57"/>
  <c r="V2276" i="57"/>
  <c r="X2276" i="57"/>
  <c r="Y2276" i="57"/>
  <c r="AA2280" i="57"/>
  <c r="X2286" i="57"/>
  <c r="Y2286" i="57"/>
  <c r="V2286" i="57"/>
  <c r="W2286" i="57"/>
  <c r="X2306" i="57"/>
  <c r="Y2306" i="57"/>
  <c r="V2306" i="57"/>
  <c r="W2306" i="57"/>
  <c r="X2314" i="57"/>
  <c r="Y2314" i="57"/>
  <c r="V2314" i="57"/>
  <c r="W2314" i="57"/>
  <c r="AA2446" i="57"/>
  <c r="X2503" i="57"/>
  <c r="Y2503" i="57"/>
  <c r="W2503" i="57"/>
  <c r="V2503" i="57"/>
  <c r="X2114" i="57"/>
  <c r="Y2114" i="57"/>
  <c r="V2114" i="57"/>
  <c r="X2118" i="57"/>
  <c r="Y2118" i="57"/>
  <c r="V2118" i="57"/>
  <c r="X2122" i="57"/>
  <c r="Y2122" i="57"/>
  <c r="V2122" i="57"/>
  <c r="W2122" i="57"/>
  <c r="X2126" i="57"/>
  <c r="Y2126" i="57"/>
  <c r="V2126" i="57"/>
  <c r="X2130" i="57"/>
  <c r="Y2130" i="57"/>
  <c r="AA2130" i="57"/>
  <c r="V2130" i="57"/>
  <c r="X2134" i="57"/>
  <c r="Y2134" i="57"/>
  <c r="V2134" i="57"/>
  <c r="X2138" i="57"/>
  <c r="Y2138" i="57"/>
  <c r="V2138" i="57"/>
  <c r="W2138" i="57"/>
  <c r="X2142" i="57"/>
  <c r="Y2142" i="57"/>
  <c r="V2142" i="57"/>
  <c r="X2154" i="57"/>
  <c r="Y2154" i="57"/>
  <c r="V2154" i="57"/>
  <c r="W2154" i="57"/>
  <c r="X2162" i="57"/>
  <c r="Y2162" i="57"/>
  <c r="V2162" i="57"/>
  <c r="W2165" i="57"/>
  <c r="X2167" i="57"/>
  <c r="Y2167" i="57"/>
  <c r="V2167" i="57"/>
  <c r="V2189" i="57"/>
  <c r="X2189" i="57"/>
  <c r="Y2189" i="57"/>
  <c r="AA2189" i="57"/>
  <c r="W2189" i="57"/>
  <c r="X2204" i="57"/>
  <c r="Y2204" i="57"/>
  <c r="W2204" i="57"/>
  <c r="V2204" i="57"/>
  <c r="X2211" i="57"/>
  <c r="Y2211" i="57"/>
  <c r="W2211" i="57"/>
  <c r="V2211" i="57"/>
  <c r="V2224" i="57"/>
  <c r="X2224" i="57"/>
  <c r="Y2224" i="57"/>
  <c r="W2224" i="57"/>
  <c r="X2241" i="57"/>
  <c r="Y2241" i="57"/>
  <c r="V2241" i="57"/>
  <c r="W2241" i="57"/>
  <c r="X2259" i="57"/>
  <c r="Y2259" i="57"/>
  <c r="W2259" i="57"/>
  <c r="X2277" i="57"/>
  <c r="Y2277" i="57"/>
  <c r="V2277" i="57"/>
  <c r="W2277" i="57"/>
  <c r="X2303" i="57"/>
  <c r="Y2303" i="57"/>
  <c r="W2303" i="57"/>
  <c r="V2303" i="57"/>
  <c r="X2307" i="57"/>
  <c r="Y2307" i="57"/>
  <c r="W2307" i="57"/>
  <c r="V2307" i="57"/>
  <c r="X2318" i="57"/>
  <c r="Y2318" i="57"/>
  <c r="W2318" i="57"/>
  <c r="V2318" i="57"/>
  <c r="AA2328" i="57"/>
  <c r="X2435" i="57"/>
  <c r="Y2435" i="57"/>
  <c r="W2435" i="57"/>
  <c r="V2435" i="57"/>
  <c r="X2190" i="57"/>
  <c r="Y2190" i="57"/>
  <c r="V2190" i="57"/>
  <c r="W2205" i="57"/>
  <c r="X2206" i="57"/>
  <c r="Y2206" i="57"/>
  <c r="AA2206" i="57"/>
  <c r="V2206" i="57"/>
  <c r="X2218" i="57"/>
  <c r="Y2218" i="57"/>
  <c r="V2218" i="57"/>
  <c r="X2237" i="57"/>
  <c r="Y2237" i="57"/>
  <c r="V2237" i="57"/>
  <c r="X2250" i="57"/>
  <c r="Y2250" i="57"/>
  <c r="V2250" i="57"/>
  <c r="X2269" i="57"/>
  <c r="Y2269" i="57"/>
  <c r="AA2269" i="57"/>
  <c r="V2269" i="57"/>
  <c r="X2282" i="57"/>
  <c r="Y2282" i="57"/>
  <c r="V2282" i="57"/>
  <c r="X2301" i="57"/>
  <c r="Y2301" i="57"/>
  <c r="AA2301" i="57"/>
  <c r="V2301" i="57"/>
  <c r="AA2323" i="57"/>
  <c r="AA2335" i="57"/>
  <c r="AA2384" i="57"/>
  <c r="AA2408" i="57"/>
  <c r="X2415" i="57"/>
  <c r="Y2415" i="57"/>
  <c r="W2415" i="57"/>
  <c r="V2415" i="57"/>
  <c r="X2418" i="57"/>
  <c r="Y2418" i="57"/>
  <c r="W2418" i="57"/>
  <c r="V2418" i="57"/>
  <c r="AA2443" i="57"/>
  <c r="X2450" i="57"/>
  <c r="Y2450" i="57"/>
  <c r="AA2450" i="57"/>
  <c r="W2450" i="57"/>
  <c r="V2450" i="57"/>
  <c r="V2453" i="57"/>
  <c r="X2453" i="57"/>
  <c r="Y2453" i="57"/>
  <c r="AA2453" i="57"/>
  <c r="W2453" i="57"/>
  <c r="AA2478" i="57"/>
  <c r="AA2496" i="57"/>
  <c r="V2152" i="57"/>
  <c r="AA2152" i="57"/>
  <c r="V2168" i="57"/>
  <c r="V2184" i="57"/>
  <c r="AA2184" i="57"/>
  <c r="V2200" i="57"/>
  <c r="AA2200" i="57"/>
  <c r="X2205" i="57"/>
  <c r="Y2205" i="57"/>
  <c r="V2207" i="57"/>
  <c r="AA2207" i="57"/>
  <c r="X2214" i="57"/>
  <c r="Y2214" i="57"/>
  <c r="AA2214" i="57"/>
  <c r="V2214" i="57"/>
  <c r="V2219" i="57"/>
  <c r="AA2219" i="57"/>
  <c r="X2233" i="57"/>
  <c r="Y2233" i="57"/>
  <c r="AA2233" i="57"/>
  <c r="V2233" i="57"/>
  <c r="W2236" i="57"/>
  <c r="AA2236" i="57"/>
  <c r="X2246" i="57"/>
  <c r="Y2246" i="57"/>
  <c r="V2246" i="57"/>
  <c r="V2251" i="57"/>
  <c r="AA2251" i="57"/>
  <c r="X2265" i="57"/>
  <c r="Y2265" i="57"/>
  <c r="V2265" i="57"/>
  <c r="W2268" i="57"/>
  <c r="AA2268" i="57"/>
  <c r="X2278" i="57"/>
  <c r="Y2278" i="57"/>
  <c r="V2278" i="57"/>
  <c r="V2283" i="57"/>
  <c r="AA2283" i="57"/>
  <c r="X2297" i="57"/>
  <c r="Y2297" i="57"/>
  <c r="AA2297" i="57"/>
  <c r="V2297" i="57"/>
  <c r="W2300" i="57"/>
  <c r="AA2300" i="57"/>
  <c r="X2310" i="57"/>
  <c r="Y2310" i="57"/>
  <c r="V2310" i="57"/>
  <c r="X2317" i="57"/>
  <c r="Y2317" i="57"/>
  <c r="W2317" i="57"/>
  <c r="V2317" i="57"/>
  <c r="X2329" i="57"/>
  <c r="Y2329" i="57"/>
  <c r="AA2329" i="57"/>
  <c r="W2329" i="57"/>
  <c r="V2329" i="57"/>
  <c r="V2345" i="57"/>
  <c r="X2345" i="57"/>
  <c r="Y2345" i="57"/>
  <c r="W2345" i="57"/>
  <c r="V2377" i="57"/>
  <c r="X2377" i="57"/>
  <c r="Y2377" i="57"/>
  <c r="W2377" i="57"/>
  <c r="AA2399" i="57"/>
  <c r="AA2405" i="57"/>
  <c r="X2447" i="57"/>
  <c r="Y2447" i="57"/>
  <c r="W2447" i="57"/>
  <c r="V2447" i="57"/>
  <c r="AA2484" i="57"/>
  <c r="V2733" i="57"/>
  <c r="X2733" i="57"/>
  <c r="Y2733" i="57"/>
  <c r="AA2733" i="57"/>
  <c r="W2733" i="57"/>
  <c r="W2215" i="57"/>
  <c r="X2225" i="57"/>
  <c r="Y2225" i="57"/>
  <c r="V2225" i="57"/>
  <c r="X2232" i="57"/>
  <c r="Y2232" i="57"/>
  <c r="AA2232" i="57"/>
  <c r="X2238" i="57"/>
  <c r="Y2238" i="57"/>
  <c r="V2238" i="57"/>
  <c r="W2247" i="57"/>
  <c r="AA2247" i="57"/>
  <c r="X2257" i="57"/>
  <c r="Y2257" i="57"/>
  <c r="AA2257" i="57"/>
  <c r="V2257" i="57"/>
  <c r="X2264" i="57"/>
  <c r="Y2264" i="57"/>
  <c r="AA2264" i="57"/>
  <c r="X2270" i="57"/>
  <c r="Y2270" i="57"/>
  <c r="AA2270" i="57"/>
  <c r="V2270" i="57"/>
  <c r="W2279" i="57"/>
  <c r="AA2279" i="57"/>
  <c r="X2289" i="57"/>
  <c r="Y2289" i="57"/>
  <c r="V2289" i="57"/>
  <c r="X2296" i="57"/>
  <c r="Y2296" i="57"/>
  <c r="AA2296" i="57"/>
  <c r="X2302" i="57"/>
  <c r="Y2302" i="57"/>
  <c r="V2302" i="57"/>
  <c r="AA2327" i="57"/>
  <c r="AA2402" i="57"/>
  <c r="V2409" i="57"/>
  <c r="X2409" i="57"/>
  <c r="Y2409" i="57"/>
  <c r="W2409" i="57"/>
  <c r="X2444" i="57"/>
  <c r="Y2444" i="57"/>
  <c r="W2444" i="57"/>
  <c r="V2444" i="57"/>
  <c r="V2489" i="57"/>
  <c r="X2489" i="57"/>
  <c r="Y2489" i="57"/>
  <c r="AA2489" i="57"/>
  <c r="W2489" i="57"/>
  <c r="V2509" i="57"/>
  <c r="X2509" i="57"/>
  <c r="Y2509" i="57"/>
  <c r="W2509" i="57"/>
  <c r="X2198" i="57"/>
  <c r="Y2198" i="57"/>
  <c r="AA2198" i="57"/>
  <c r="V2198" i="57"/>
  <c r="X2221" i="57"/>
  <c r="Y2221" i="57"/>
  <c r="V2221" i="57"/>
  <c r="X2234" i="57"/>
  <c r="Y2234" i="57"/>
  <c r="AA2234" i="57"/>
  <c r="V2234" i="57"/>
  <c r="X2253" i="57"/>
  <c r="Y2253" i="57"/>
  <c r="V2253" i="57"/>
  <c r="X2266" i="57"/>
  <c r="Y2266" i="57"/>
  <c r="V2266" i="57"/>
  <c r="X2285" i="57"/>
  <c r="Y2285" i="57"/>
  <c r="AA2285" i="57"/>
  <c r="V2285" i="57"/>
  <c r="X2298" i="57"/>
  <c r="Y2298" i="57"/>
  <c r="V2298" i="57"/>
  <c r="AA2311" i="57"/>
  <c r="X2313" i="57"/>
  <c r="Y2313" i="57"/>
  <c r="W2313" i="57"/>
  <c r="V2313" i="57"/>
  <c r="X2321" i="57"/>
  <c r="Y2321" i="57"/>
  <c r="AA2321" i="57"/>
  <c r="W2321" i="57"/>
  <c r="V2321" i="57"/>
  <c r="X2333" i="57"/>
  <c r="Y2333" i="57"/>
  <c r="W2333" i="57"/>
  <c r="V2333" i="57"/>
  <c r="X2339" i="57"/>
  <c r="Y2339" i="57"/>
  <c r="W2339" i="57"/>
  <c r="V2339" i="57"/>
  <c r="X2354" i="57"/>
  <c r="Y2354" i="57"/>
  <c r="W2354" i="57"/>
  <c r="V2354" i="57"/>
  <c r="V2357" i="57"/>
  <c r="X2357" i="57"/>
  <c r="Y2357" i="57"/>
  <c r="W2357" i="57"/>
  <c r="X2360" i="57"/>
  <c r="Y2360" i="57"/>
  <c r="W2360" i="57"/>
  <c r="V2360" i="57"/>
  <c r="X2371" i="57"/>
  <c r="Y2371" i="57"/>
  <c r="W2371" i="57"/>
  <c r="V2371" i="57"/>
  <c r="AA2379" i="57"/>
  <c r="AA2382" i="57"/>
  <c r="X2406" i="57"/>
  <c r="Y2406" i="57"/>
  <c r="W2406" i="57"/>
  <c r="V2406" i="57"/>
  <c r="V2441" i="57"/>
  <c r="X2441" i="57"/>
  <c r="Y2441" i="57"/>
  <c r="W2441" i="57"/>
  <c r="AA2466" i="57"/>
  <c r="X2474" i="57"/>
  <c r="Y2474" i="57"/>
  <c r="V2474" i="57"/>
  <c r="W2474" i="57"/>
  <c r="AA2482" i="57"/>
  <c r="X2512" i="57"/>
  <c r="Y2512" i="57"/>
  <c r="W2512" i="57"/>
  <c r="V2512" i="57"/>
  <c r="X2574" i="57"/>
  <c r="Y2574" i="57"/>
  <c r="V2574" i="57"/>
  <c r="W2574" i="57"/>
  <c r="X2181" i="57"/>
  <c r="Y2181" i="57"/>
  <c r="AA2181" i="57"/>
  <c r="V2183" i="57"/>
  <c r="AA2183" i="57"/>
  <c r="W2190" i="57"/>
  <c r="X2197" i="57"/>
  <c r="Y2197" i="57"/>
  <c r="AA2197" i="57"/>
  <c r="X2217" i="57"/>
  <c r="Y2217" i="57"/>
  <c r="AA2217" i="57"/>
  <c r="V2217" i="57"/>
  <c r="X2230" i="57"/>
  <c r="Y2230" i="57"/>
  <c r="V2230" i="57"/>
  <c r="V2235" i="57"/>
  <c r="AA2235" i="57"/>
  <c r="X2249" i="57"/>
  <c r="Y2249" i="57"/>
  <c r="AA2249" i="57"/>
  <c r="V2249" i="57"/>
  <c r="X2262" i="57"/>
  <c r="Y2262" i="57"/>
  <c r="AA2262" i="57"/>
  <c r="V2262" i="57"/>
  <c r="X2281" i="57"/>
  <c r="Y2281" i="57"/>
  <c r="AA2281" i="57"/>
  <c r="V2281" i="57"/>
  <c r="X2294" i="57"/>
  <c r="Y2294" i="57"/>
  <c r="AA2294" i="57"/>
  <c r="V2294" i="57"/>
  <c r="AA2319" i="57"/>
  <c r="X2322" i="57"/>
  <c r="Y2322" i="57"/>
  <c r="W2322" i="57"/>
  <c r="V2322" i="57"/>
  <c r="AA2331" i="57"/>
  <c r="X2351" i="57"/>
  <c r="Y2351" i="57"/>
  <c r="W2351" i="57"/>
  <c r="V2351" i="57"/>
  <c r="V2389" i="57"/>
  <c r="X2389" i="57"/>
  <c r="Y2389" i="57"/>
  <c r="W2389" i="57"/>
  <c r="X2392" i="57"/>
  <c r="Y2392" i="57"/>
  <c r="W2392" i="57"/>
  <c r="V2392" i="57"/>
  <c r="X2403" i="57"/>
  <c r="Y2403" i="57"/>
  <c r="W2403" i="57"/>
  <c r="V2403" i="57"/>
  <c r="AA2407" i="57"/>
  <c r="X2438" i="57"/>
  <c r="Y2438" i="57"/>
  <c r="W2438" i="57"/>
  <c r="V2438" i="57"/>
  <c r="X2667" i="57"/>
  <c r="Y2667" i="57"/>
  <c r="W2667" i="57"/>
  <c r="V2667" i="57"/>
  <c r="X2671" i="57"/>
  <c r="Y2671" i="57"/>
  <c r="AA2671" i="57"/>
  <c r="W2671" i="57"/>
  <c r="V2671" i="57"/>
  <c r="V2326" i="57"/>
  <c r="V2330" i="57"/>
  <c r="V2334" i="57"/>
  <c r="V2340" i="57"/>
  <c r="V2343" i="57"/>
  <c r="V2346" i="57"/>
  <c r="W2349" i="57"/>
  <c r="W2352" i="57"/>
  <c r="W2355" i="57"/>
  <c r="AA2355" i="57"/>
  <c r="W2358" i="57"/>
  <c r="AA2358" i="57"/>
  <c r="X2361" i="57"/>
  <c r="Y2361" i="57"/>
  <c r="AA2361" i="57"/>
  <c r="V2372" i="57"/>
  <c r="V2375" i="57"/>
  <c r="V2378" i="57"/>
  <c r="W2381" i="57"/>
  <c r="AA2381" i="57"/>
  <c r="W2387" i="57"/>
  <c r="AA2387" i="57"/>
  <c r="W2390" i="57"/>
  <c r="AA2390" i="57"/>
  <c r="X2393" i="57"/>
  <c r="Y2393" i="57"/>
  <c r="AA2393" i="57"/>
  <c r="V2404" i="57"/>
  <c r="AA2404" i="57"/>
  <c r="V2407" i="57"/>
  <c r="V2410" i="57"/>
  <c r="AA2410" i="57"/>
  <c r="W2413" i="57"/>
  <c r="AA2413" i="57"/>
  <c r="W2419" i="57"/>
  <c r="AA2419" i="57"/>
  <c r="W2422" i="57"/>
  <c r="AA2422" i="57"/>
  <c r="X2425" i="57"/>
  <c r="Y2425" i="57"/>
  <c r="AA2425" i="57"/>
  <c r="V2436" i="57"/>
  <c r="AA2436" i="57"/>
  <c r="V2439" i="57"/>
  <c r="V2442" i="57"/>
  <c r="AA2442" i="57"/>
  <c r="W2445" i="57"/>
  <c r="W2448" i="57"/>
  <c r="AA2448" i="57"/>
  <c r="W2451" i="57"/>
  <c r="AA2451" i="57"/>
  <c r="W2454" i="57"/>
  <c r="AA2454" i="57"/>
  <c r="X2457" i="57"/>
  <c r="Y2457" i="57"/>
  <c r="AA2457" i="57"/>
  <c r="X2468" i="57"/>
  <c r="Y2468" i="57"/>
  <c r="AA2468" i="57"/>
  <c r="V2470" i="57"/>
  <c r="W2475" i="57"/>
  <c r="AA2475" i="57"/>
  <c r="X2515" i="57"/>
  <c r="Y2515" i="57"/>
  <c r="W2515" i="57"/>
  <c r="V2515" i="57"/>
  <c r="AA2535" i="57"/>
  <c r="W2538" i="57"/>
  <c r="X2538" i="57"/>
  <c r="Y2538" i="57"/>
  <c r="V2538" i="57"/>
  <c r="AA2558" i="57"/>
  <c r="AA2589" i="57"/>
  <c r="AA2609" i="57"/>
  <c r="AA2720" i="57"/>
  <c r="W2326" i="57"/>
  <c r="AA2326" i="57"/>
  <c r="W2330" i="57"/>
  <c r="AA2330" i="57"/>
  <c r="W2334" i="57"/>
  <c r="AA2334" i="57"/>
  <c r="W2337" i="57"/>
  <c r="W2340" i="57"/>
  <c r="AA2340" i="57"/>
  <c r="W2343" i="57"/>
  <c r="W2346" i="57"/>
  <c r="AA2346" i="57"/>
  <c r="X2349" i="57"/>
  <c r="Y2349" i="57"/>
  <c r="V2363" i="57"/>
  <c r="V2366" i="57"/>
  <c r="W2369" i="57"/>
  <c r="W2372" i="57"/>
  <c r="AA2372" i="57"/>
  <c r="W2375" i="57"/>
  <c r="AA2375" i="57"/>
  <c r="W2378" i="57"/>
  <c r="AA2378" i="57"/>
  <c r="V2395" i="57"/>
  <c r="V2398" i="57"/>
  <c r="W2401" i="57"/>
  <c r="W2407" i="57"/>
  <c r="V2427" i="57"/>
  <c r="V2430" i="57"/>
  <c r="W2433" i="57"/>
  <c r="W2439" i="57"/>
  <c r="AA2439" i="57"/>
  <c r="X2445" i="57"/>
  <c r="Y2445" i="57"/>
  <c r="V2459" i="57"/>
  <c r="V2462" i="57"/>
  <c r="W2465" i="57"/>
  <c r="W2470" i="57"/>
  <c r="AA2470" i="57"/>
  <c r="V2472" i="57"/>
  <c r="V2479" i="57"/>
  <c r="AA2479" i="57"/>
  <c r="X2480" i="57"/>
  <c r="Y2480" i="57"/>
  <c r="AA2480" i="57"/>
  <c r="W2480" i="57"/>
  <c r="V2499" i="57"/>
  <c r="W2505" i="57"/>
  <c r="AA2583" i="57"/>
  <c r="X2337" i="57"/>
  <c r="Y2337" i="57"/>
  <c r="AA2337" i="57"/>
  <c r="W2363" i="57"/>
  <c r="W2366" i="57"/>
  <c r="AA2366" i="57"/>
  <c r="X2369" i="57"/>
  <c r="Y2369" i="57"/>
  <c r="AA2369" i="57"/>
  <c r="W2395" i="57"/>
  <c r="AA2395" i="57"/>
  <c r="W2398" i="57"/>
  <c r="AA2398" i="57"/>
  <c r="X2401" i="57"/>
  <c r="Y2401" i="57"/>
  <c r="AA2401" i="57"/>
  <c r="W2427" i="57"/>
  <c r="AA2427" i="57"/>
  <c r="W2430" i="57"/>
  <c r="AA2430" i="57"/>
  <c r="X2433" i="57"/>
  <c r="Y2433" i="57"/>
  <c r="W2459" i="57"/>
  <c r="AA2459" i="57"/>
  <c r="W2462" i="57"/>
  <c r="X2465" i="57"/>
  <c r="Y2465" i="57"/>
  <c r="AA2465" i="57"/>
  <c r="W2472" i="57"/>
  <c r="AA2472" i="57"/>
  <c r="X2486" i="57"/>
  <c r="Y2486" i="57"/>
  <c r="AA2486" i="57"/>
  <c r="W2486" i="57"/>
  <c r="W2499" i="57"/>
  <c r="V2502" i="57"/>
  <c r="X2505" i="57"/>
  <c r="Y2505" i="57"/>
  <c r="AA2505" i="57"/>
  <c r="X2518" i="57"/>
  <c r="Y2518" i="57"/>
  <c r="AA2518" i="57"/>
  <c r="W2518" i="57"/>
  <c r="V2518" i="57"/>
  <c r="AA2520" i="57"/>
  <c r="W2541" i="57"/>
  <c r="X2541" i="57"/>
  <c r="Y2541" i="57"/>
  <c r="V2541" i="57"/>
  <c r="X2570" i="57"/>
  <c r="Y2570" i="57"/>
  <c r="AA2570" i="57"/>
  <c r="V2570" i="57"/>
  <c r="W2570" i="57"/>
  <c r="AA2594" i="57"/>
  <c r="AA2632" i="57"/>
  <c r="X2750" i="57"/>
  <c r="Y2750" i="57"/>
  <c r="AA2750" i="57"/>
  <c r="W2750" i="57"/>
  <c r="V2750" i="57"/>
  <c r="X2492" i="57"/>
  <c r="Y2492" i="57"/>
  <c r="AA2492" i="57"/>
  <c r="V2492" i="57"/>
  <c r="AA2499" i="57"/>
  <c r="W2502" i="57"/>
  <c r="AA2502" i="57"/>
  <c r="AA2508" i="57"/>
  <c r="W2603" i="57"/>
  <c r="X2603" i="57"/>
  <c r="Y2603" i="57"/>
  <c r="V2603" i="57"/>
  <c r="X2698" i="57"/>
  <c r="Y2698" i="57"/>
  <c r="AA2698" i="57"/>
  <c r="W2698" i="57"/>
  <c r="V2698" i="57"/>
  <c r="V2771" i="57"/>
  <c r="W2771" i="57"/>
  <c r="AA2771" i="57"/>
  <c r="V2477" i="57"/>
  <c r="W2477" i="57"/>
  <c r="V2521" i="57"/>
  <c r="X2521" i="57"/>
  <c r="Y2521" i="57"/>
  <c r="W2521" i="57"/>
  <c r="X2568" i="57"/>
  <c r="Y2568" i="57"/>
  <c r="W2568" i="57"/>
  <c r="V2568" i="57"/>
  <c r="X2572" i="57"/>
  <c r="Y2572" i="57"/>
  <c r="W2572" i="57"/>
  <c r="V2572" i="57"/>
  <c r="AA2614" i="57"/>
  <c r="AA2625" i="57"/>
  <c r="AA2643" i="57"/>
  <c r="X2695" i="57"/>
  <c r="Y2695" i="57"/>
  <c r="W2695" i="57"/>
  <c r="V2695" i="57"/>
  <c r="X2736" i="57"/>
  <c r="Y2736" i="57"/>
  <c r="AA2736" i="57"/>
  <c r="W2736" i="57"/>
  <c r="V2736" i="57"/>
  <c r="V2414" i="57"/>
  <c r="AA2414" i="57"/>
  <c r="X2483" i="57"/>
  <c r="Y2483" i="57"/>
  <c r="W2483" i="57"/>
  <c r="X2495" i="57"/>
  <c r="Y2495" i="57"/>
  <c r="V2495" i="57"/>
  <c r="X2506" i="57"/>
  <c r="Y2506" i="57"/>
  <c r="W2506" i="57"/>
  <c r="V2506" i="57"/>
  <c r="AA2532" i="57"/>
  <c r="AA2641" i="57"/>
  <c r="X2692" i="57"/>
  <c r="Y2692" i="57"/>
  <c r="W2692" i="57"/>
  <c r="V2692" i="57"/>
  <c r="V2504" i="57"/>
  <c r="AA2504" i="57"/>
  <c r="X2545" i="57"/>
  <c r="Y2545" i="57"/>
  <c r="AA2545" i="57"/>
  <c r="AA2554" i="57"/>
  <c r="AA2560" i="57"/>
  <c r="X2566" i="57"/>
  <c r="Y2566" i="57"/>
  <c r="V2566" i="57"/>
  <c r="X2573" i="57"/>
  <c r="Y2573" i="57"/>
  <c r="AA2573" i="57"/>
  <c r="X2579" i="57"/>
  <c r="Y2579" i="57"/>
  <c r="AA2579" i="57"/>
  <c r="V2579" i="57"/>
  <c r="AA2596" i="57"/>
  <c r="AA2623" i="57"/>
  <c r="X2635" i="57"/>
  <c r="Y2635" i="57"/>
  <c r="AA2635" i="57"/>
  <c r="V2635" i="57"/>
  <c r="AA2653" i="57"/>
  <c r="X2655" i="57"/>
  <c r="Y2655" i="57"/>
  <c r="W2655" i="57"/>
  <c r="V2655" i="57"/>
  <c r="AA2665" i="57"/>
  <c r="X2675" i="57"/>
  <c r="Y2675" i="57"/>
  <c r="W2675" i="57"/>
  <c r="V2675" i="57"/>
  <c r="X2686" i="57"/>
  <c r="Y2686" i="57"/>
  <c r="W2686" i="57"/>
  <c r="V2686" i="57"/>
  <c r="V2689" i="57"/>
  <c r="X2689" i="57"/>
  <c r="Y2689" i="57"/>
  <c r="W2689" i="57"/>
  <c r="AA2696" i="57"/>
  <c r="AA2711" i="57"/>
  <c r="X2727" i="57"/>
  <c r="Y2727" i="57"/>
  <c r="W2727" i="57"/>
  <c r="V2727" i="57"/>
  <c r="X2730" i="57"/>
  <c r="Y2730" i="57"/>
  <c r="W2730" i="57"/>
  <c r="V2730" i="57"/>
  <c r="X2747" i="57"/>
  <c r="Y2747" i="57"/>
  <c r="W2747" i="57"/>
  <c r="V2747" i="57"/>
  <c r="AA2791" i="57"/>
  <c r="V2498" i="57"/>
  <c r="AA2498" i="57"/>
  <c r="W2501" i="57"/>
  <c r="AA2501" i="57"/>
  <c r="X2562" i="57"/>
  <c r="Y2562" i="57"/>
  <c r="V2562" i="57"/>
  <c r="X2575" i="57"/>
  <c r="Y2575" i="57"/>
  <c r="V2575" i="57"/>
  <c r="AA2598" i="57"/>
  <c r="V2611" i="57"/>
  <c r="AA2611" i="57"/>
  <c r="AA2629" i="57"/>
  <c r="X2631" i="57"/>
  <c r="Y2631" i="57"/>
  <c r="AA2631" i="57"/>
  <c r="V2631" i="57"/>
  <c r="V2636" i="57"/>
  <c r="AA2636" i="57"/>
  <c r="X2679" i="57"/>
  <c r="Y2679" i="57"/>
  <c r="W2679" i="57"/>
  <c r="V2679" i="57"/>
  <c r="X2724" i="57"/>
  <c r="Y2724" i="57"/>
  <c r="W2724" i="57"/>
  <c r="V2724" i="57"/>
  <c r="AA2740" i="57"/>
  <c r="X2950" i="57"/>
  <c r="Y2950" i="57"/>
  <c r="V2950" i="57"/>
  <c r="W2950" i="57"/>
  <c r="X2954" i="57"/>
  <c r="Y2954" i="57"/>
  <c r="V2954" i="57"/>
  <c r="W2954" i="57"/>
  <c r="AA2519" i="57"/>
  <c r="X2571" i="57"/>
  <c r="Y2571" i="57"/>
  <c r="AA2571" i="57"/>
  <c r="V2571" i="57"/>
  <c r="X2659" i="57"/>
  <c r="Y2659" i="57"/>
  <c r="W2659" i="57"/>
  <c r="V2659" i="57"/>
  <c r="X2683" i="57"/>
  <c r="Y2683" i="57"/>
  <c r="W2683" i="57"/>
  <c r="V2683" i="57"/>
  <c r="AA2690" i="57"/>
  <c r="X2718" i="57"/>
  <c r="Y2718" i="57"/>
  <c r="W2718" i="57"/>
  <c r="V2718" i="57"/>
  <c r="V2721" i="57"/>
  <c r="X2721" i="57"/>
  <c r="Y2721" i="57"/>
  <c r="W2721" i="57"/>
  <c r="W2782" i="57"/>
  <c r="AA2782" i="57"/>
  <c r="V2782" i="57"/>
  <c r="V2500" i="57"/>
  <c r="AA2500" i="57"/>
  <c r="X2561" i="57"/>
  <c r="Y2561" i="57"/>
  <c r="AA2561" i="57"/>
  <c r="X2567" i="57"/>
  <c r="Y2567" i="57"/>
  <c r="V2567" i="57"/>
  <c r="W2576" i="57"/>
  <c r="AA2576" i="57"/>
  <c r="W2632" i="57"/>
  <c r="AA2673" i="57"/>
  <c r="AA2749" i="57"/>
  <c r="X2755" i="57"/>
  <c r="Y2755" i="57"/>
  <c r="W2755" i="57"/>
  <c r="V2755" i="57"/>
  <c r="V2859" i="57"/>
  <c r="X2859" i="57"/>
  <c r="Y2859" i="57"/>
  <c r="W2859" i="57"/>
  <c r="X2876" i="57"/>
  <c r="Y2876" i="57"/>
  <c r="AA2876" i="57"/>
  <c r="W2876" i="57"/>
  <c r="V2876" i="57"/>
  <c r="V2879" i="57"/>
  <c r="X2879" i="57"/>
  <c r="Y2879" i="57"/>
  <c r="AA2879" i="57"/>
  <c r="W2879" i="57"/>
  <c r="V2494" i="57"/>
  <c r="AA2494" i="57"/>
  <c r="W2497" i="57"/>
  <c r="AA2497" i="57"/>
  <c r="X2563" i="57"/>
  <c r="Y2563" i="57"/>
  <c r="AA2563" i="57"/>
  <c r="V2563" i="57"/>
  <c r="AA2580" i="57"/>
  <c r="AA2654" i="57"/>
  <c r="AA2657" i="57"/>
  <c r="X2663" i="57"/>
  <c r="Y2663" i="57"/>
  <c r="W2663" i="57"/>
  <c r="V2663" i="57"/>
  <c r="AA2677" i="57"/>
  <c r="AA2691" i="57"/>
  <c r="AA2694" i="57"/>
  <c r="X2704" i="57"/>
  <c r="Y2704" i="57"/>
  <c r="W2704" i="57"/>
  <c r="V2704" i="57"/>
  <c r="X2715" i="57"/>
  <c r="Y2715" i="57"/>
  <c r="W2715" i="57"/>
  <c r="V2715" i="57"/>
  <c r="X2759" i="57"/>
  <c r="Y2759" i="57"/>
  <c r="W2759" i="57"/>
  <c r="V2759" i="57"/>
  <c r="AA2777" i="57"/>
  <c r="X2793" i="57"/>
  <c r="Y2793" i="57"/>
  <c r="W2793" i="57"/>
  <c r="V2793" i="57"/>
  <c r="AA2531" i="57"/>
  <c r="V2564" i="57"/>
  <c r="AA2564" i="57"/>
  <c r="X2578" i="57"/>
  <c r="Y2578" i="57"/>
  <c r="AA2578" i="57"/>
  <c r="V2578" i="57"/>
  <c r="X2634" i="57"/>
  <c r="Y2634" i="57"/>
  <c r="AA2634" i="57"/>
  <c r="V2634" i="57"/>
  <c r="W2637" i="57"/>
  <c r="AA2642" i="57"/>
  <c r="X2652" i="57"/>
  <c r="Y2652" i="57"/>
  <c r="AA2652" i="57"/>
  <c r="V2652" i="57"/>
  <c r="V2701" i="57"/>
  <c r="X2701" i="57"/>
  <c r="Y2701" i="57"/>
  <c r="W2701" i="57"/>
  <c r="AA2710" i="57"/>
  <c r="AA2732" i="57"/>
  <c r="AA2752" i="57"/>
  <c r="V2656" i="57"/>
  <c r="V2660" i="57"/>
  <c r="V2664" i="57"/>
  <c r="V2668" i="57"/>
  <c r="V2672" i="57"/>
  <c r="V2676" i="57"/>
  <c r="V2680" i="57"/>
  <c r="V2684" i="57"/>
  <c r="AA2684" i="57"/>
  <c r="V2687" i="57"/>
  <c r="AA2687" i="57"/>
  <c r="V2690" i="57"/>
  <c r="W2693" i="57"/>
  <c r="AA2693" i="57"/>
  <c r="W2699" i="57"/>
  <c r="AA2699" i="57"/>
  <c r="W2702" i="57"/>
  <c r="AA2702" i="57"/>
  <c r="X2705" i="57"/>
  <c r="Y2705" i="57"/>
  <c r="AA2705" i="57"/>
  <c r="V2716" i="57"/>
  <c r="V2719" i="57"/>
  <c r="AA2719" i="57"/>
  <c r="V2722" i="57"/>
  <c r="AA2722" i="57"/>
  <c r="W2725" i="57"/>
  <c r="AA2725" i="57"/>
  <c r="W2731" i="57"/>
  <c r="AA2731" i="57"/>
  <c r="W2734" i="57"/>
  <c r="AA2734" i="57"/>
  <c r="X2737" i="57"/>
  <c r="Y2737" i="57"/>
  <c r="V2748" i="57"/>
  <c r="X2758" i="57"/>
  <c r="Y2758" i="57"/>
  <c r="AA2758" i="57"/>
  <c r="V2778" i="57"/>
  <c r="X2780" i="57"/>
  <c r="Y2780" i="57"/>
  <c r="AA2780" i="57"/>
  <c r="W2780" i="57"/>
  <c r="X2913" i="57"/>
  <c r="Y2913" i="57"/>
  <c r="W2913" i="57"/>
  <c r="V2913" i="57"/>
  <c r="W2656" i="57"/>
  <c r="W2660" i="57"/>
  <c r="AA2660" i="57"/>
  <c r="W2664" i="57"/>
  <c r="AA2664" i="57"/>
  <c r="W2668" i="57"/>
  <c r="W2672" i="57"/>
  <c r="AA2672" i="57"/>
  <c r="W2676" i="57"/>
  <c r="AA2676" i="57"/>
  <c r="W2680" i="57"/>
  <c r="AA2680" i="57"/>
  <c r="W2684" i="57"/>
  <c r="V2707" i="57"/>
  <c r="V2710" i="57"/>
  <c r="W2713" i="57"/>
  <c r="W2716" i="57"/>
  <c r="V2739" i="57"/>
  <c r="V2742" i="57"/>
  <c r="W2745" i="57"/>
  <c r="AA2745" i="57"/>
  <c r="W2748" i="57"/>
  <c r="AA2748" i="57"/>
  <c r="X2756" i="57"/>
  <c r="Y2756" i="57"/>
  <c r="W2756" i="57"/>
  <c r="W2764" i="57"/>
  <c r="X2772" i="57"/>
  <c r="Y2772" i="57"/>
  <c r="V2772" i="57"/>
  <c r="X2778" i="57"/>
  <c r="Y2778" i="57"/>
  <c r="V2783" i="57"/>
  <c r="X2783" i="57"/>
  <c r="Y2783" i="57"/>
  <c r="W2783" i="57"/>
  <c r="AA2785" i="57"/>
  <c r="W2707" i="57"/>
  <c r="AA2707" i="57"/>
  <c r="W2710" i="57"/>
  <c r="X2713" i="57"/>
  <c r="Y2713" i="57"/>
  <c r="W2739" i="57"/>
  <c r="W2742" i="57"/>
  <c r="AA2760" i="57"/>
  <c r="X2764" i="57"/>
  <c r="Y2764" i="57"/>
  <c r="V2801" i="57"/>
  <c r="W2801" i="57"/>
  <c r="AA2801" i="57"/>
  <c r="V2898" i="57"/>
  <c r="X2898" i="57"/>
  <c r="Y2898" i="57"/>
  <c r="W2898" i="57"/>
  <c r="V2762" i="57"/>
  <c r="X2762" i="57"/>
  <c r="Y2762" i="57"/>
  <c r="V2767" i="57"/>
  <c r="X2767" i="57"/>
  <c r="Y2767" i="57"/>
  <c r="V2776" i="57"/>
  <c r="AA2776" i="57"/>
  <c r="X2844" i="57"/>
  <c r="Y2844" i="57"/>
  <c r="W2844" i="57"/>
  <c r="V2844" i="57"/>
  <c r="AA2996" i="57"/>
  <c r="V2670" i="57"/>
  <c r="AA2670" i="57"/>
  <c r="V2674" i="57"/>
  <c r="AA2674" i="57"/>
  <c r="V2678" i="57"/>
  <c r="AA2678" i="57"/>
  <c r="V2682" i="57"/>
  <c r="AA2682" i="57"/>
  <c r="X2786" i="57"/>
  <c r="Y2786" i="57"/>
  <c r="AA2786" i="57"/>
  <c r="V2786" i="57"/>
  <c r="X2805" i="57"/>
  <c r="Y2805" i="57"/>
  <c r="W2805" i="57"/>
  <c r="V2805" i="57"/>
  <c r="X2841" i="57"/>
  <c r="Y2841" i="57"/>
  <c r="W2841" i="57"/>
  <c r="V2841" i="57"/>
  <c r="X2890" i="57"/>
  <c r="Y2890" i="57"/>
  <c r="W2890" i="57"/>
  <c r="V2890" i="57"/>
  <c r="V2894" i="57"/>
  <c r="X2894" i="57"/>
  <c r="Y2894" i="57"/>
  <c r="W2894" i="57"/>
  <c r="X2753" i="57"/>
  <c r="Y2753" i="57"/>
  <c r="AA2753" i="57"/>
  <c r="W2753" i="57"/>
  <c r="W2765" i="57"/>
  <c r="V2765" i="57"/>
  <c r="X2809" i="57"/>
  <c r="Y2809" i="57"/>
  <c r="W2809" i="57"/>
  <c r="V2809" i="57"/>
  <c r="V2792" i="57"/>
  <c r="AA2792" i="57"/>
  <c r="V2803" i="57"/>
  <c r="W2803" i="57"/>
  <c r="X2818" i="57"/>
  <c r="Y2818" i="57"/>
  <c r="W2818" i="57"/>
  <c r="V2818" i="57"/>
  <c r="AA2846" i="57"/>
  <c r="AA2854" i="57"/>
  <c r="X2856" i="57"/>
  <c r="Y2856" i="57"/>
  <c r="W2856" i="57"/>
  <c r="V2856" i="57"/>
  <c r="AA2863" i="57"/>
  <c r="AA2887" i="57"/>
  <c r="X2935" i="57"/>
  <c r="Y2935" i="57"/>
  <c r="W2935" i="57"/>
  <c r="V2935" i="57"/>
  <c r="X3048" i="57"/>
  <c r="Y3048" i="57"/>
  <c r="W3048" i="57"/>
  <c r="V3048" i="57"/>
  <c r="X2768" i="57"/>
  <c r="Y2768" i="57"/>
  <c r="AA2768" i="57"/>
  <c r="V2768" i="57"/>
  <c r="V2777" i="57"/>
  <c r="W2789" i="57"/>
  <c r="AA2789" i="57"/>
  <c r="W2796" i="57"/>
  <c r="AA2796" i="57"/>
  <c r="X2798" i="57"/>
  <c r="Y2798" i="57"/>
  <c r="AA2798" i="57"/>
  <c r="X2812" i="57"/>
  <c r="Y2812" i="57"/>
  <c r="W2812" i="57"/>
  <c r="V2812" i="57"/>
  <c r="X2821" i="57"/>
  <c r="Y2821" i="57"/>
  <c r="W2821" i="57"/>
  <c r="V2821" i="57"/>
  <c r="AA2849" i="57"/>
  <c r="AA2860" i="57"/>
  <c r="AA2866" i="57"/>
  <c r="X2881" i="57"/>
  <c r="Y2881" i="57"/>
  <c r="W2881" i="57"/>
  <c r="V2881" i="57"/>
  <c r="X2888" i="57"/>
  <c r="Y2888" i="57"/>
  <c r="V2888" i="57"/>
  <c r="W2888" i="57"/>
  <c r="X2984" i="57"/>
  <c r="Y2984" i="57"/>
  <c r="W2984" i="57"/>
  <c r="V2984" i="57"/>
  <c r="X2830" i="57"/>
  <c r="Y2830" i="57"/>
  <c r="W2830" i="57"/>
  <c r="V2830" i="57"/>
  <c r="AA2833" i="57"/>
  <c r="V2847" i="57"/>
  <c r="X2847" i="57"/>
  <c r="Y2847" i="57"/>
  <c r="AA2847" i="57"/>
  <c r="W2847" i="57"/>
  <c r="X2896" i="57"/>
  <c r="Y2896" i="57"/>
  <c r="V2896" i="57"/>
  <c r="W2896" i="57"/>
  <c r="X2909" i="57"/>
  <c r="Y2909" i="57"/>
  <c r="W2909" i="57"/>
  <c r="V2909" i="57"/>
  <c r="X2769" i="57"/>
  <c r="Y2769" i="57"/>
  <c r="AA2769" i="57"/>
  <c r="AA2773" i="57"/>
  <c r="X2800" i="57"/>
  <c r="Y2800" i="57"/>
  <c r="AA2800" i="57"/>
  <c r="V2800" i="57"/>
  <c r="AA2822" i="57"/>
  <c r="X2824" i="57"/>
  <c r="Y2824" i="57"/>
  <c r="W2824" i="57"/>
  <c r="V2824" i="57"/>
  <c r="V2827" i="57"/>
  <c r="X2827" i="57"/>
  <c r="Y2827" i="57"/>
  <c r="W2827" i="57"/>
  <c r="AA2852" i="57"/>
  <c r="AA2869" i="57"/>
  <c r="AA2872" i="57"/>
  <c r="X2980" i="57"/>
  <c r="Y2980" i="57"/>
  <c r="W2980" i="57"/>
  <c r="V2980" i="57"/>
  <c r="V2775" i="57"/>
  <c r="AA2775" i="57"/>
  <c r="W2775" i="57"/>
  <c r="W2795" i="57"/>
  <c r="AA2795" i="57"/>
  <c r="W2797" i="57"/>
  <c r="W2799" i="57"/>
  <c r="AA2799" i="57"/>
  <c r="X2803" i="57"/>
  <c r="Y2803" i="57"/>
  <c r="V2815" i="57"/>
  <c r="X2815" i="57"/>
  <c r="Y2815" i="57"/>
  <c r="W2815" i="57"/>
  <c r="X2850" i="57"/>
  <c r="Y2850" i="57"/>
  <c r="W2850" i="57"/>
  <c r="V2850" i="57"/>
  <c r="AA2858" i="57"/>
  <c r="AA2889" i="57"/>
  <c r="X2915" i="57"/>
  <c r="Y2915" i="57"/>
  <c r="AA2915" i="57"/>
  <c r="V2915" i="57"/>
  <c r="W2915" i="57"/>
  <c r="W2926" i="57"/>
  <c r="V2926" i="57"/>
  <c r="X2926" i="57"/>
  <c r="Y2926" i="57"/>
  <c r="AA2961" i="57"/>
  <c r="X3027" i="57"/>
  <c r="Y3027" i="57"/>
  <c r="V3027" i="57"/>
  <c r="W3027" i="57"/>
  <c r="X2853" i="57"/>
  <c r="Y2853" i="57"/>
  <c r="W2853" i="57"/>
  <c r="V2853" i="57"/>
  <c r="X2862" i="57"/>
  <c r="Y2862" i="57"/>
  <c r="W2862" i="57"/>
  <c r="V2862" i="57"/>
  <c r="AA2865" i="57"/>
  <c r="X2873" i="57"/>
  <c r="Y2873" i="57"/>
  <c r="W2873" i="57"/>
  <c r="V2873" i="57"/>
  <c r="X2892" i="57"/>
  <c r="Y2892" i="57"/>
  <c r="V2892" i="57"/>
  <c r="W2892" i="57"/>
  <c r="X2911" i="57"/>
  <c r="Y2911" i="57"/>
  <c r="V2911" i="57"/>
  <c r="W2911" i="57"/>
  <c r="X2967" i="57"/>
  <c r="Y2967" i="57"/>
  <c r="AA2967" i="57"/>
  <c r="V2967" i="57"/>
  <c r="W2967" i="57"/>
  <c r="X3014" i="57"/>
  <c r="Y3014" i="57"/>
  <c r="V3014" i="57"/>
  <c r="W3014" i="57"/>
  <c r="W2857" i="57"/>
  <c r="AA2857" i="57"/>
  <c r="W2882" i="57"/>
  <c r="AA2882" i="57"/>
  <c r="V2893" i="57"/>
  <c r="AA2901" i="57"/>
  <c r="X2907" i="57"/>
  <c r="Y2907" i="57"/>
  <c r="V2907" i="57"/>
  <c r="W2910" i="57"/>
  <c r="X2920" i="57"/>
  <c r="Y2920" i="57"/>
  <c r="AA2920" i="57"/>
  <c r="V2920" i="57"/>
  <c r="V2925" i="57"/>
  <c r="X2963" i="57"/>
  <c r="Y2963" i="57"/>
  <c r="V2963" i="57"/>
  <c r="W2963" i="57"/>
  <c r="AA2972" i="57"/>
  <c r="V2997" i="57"/>
  <c r="X2997" i="57"/>
  <c r="Y2997" i="57"/>
  <c r="AA2997" i="57"/>
  <c r="W2997" i="57"/>
  <c r="V3033" i="57"/>
  <c r="X3033" i="57"/>
  <c r="Y3033" i="57"/>
  <c r="W3033" i="57"/>
  <c r="X3044" i="57"/>
  <c r="Y3044" i="57"/>
  <c r="W3044" i="57"/>
  <c r="V3044" i="57"/>
  <c r="V2804" i="57"/>
  <c r="AA2804" i="57"/>
  <c r="W2807" i="57"/>
  <c r="AA2807" i="57"/>
  <c r="V2833" i="57"/>
  <c r="V2836" i="57"/>
  <c r="AA2836" i="57"/>
  <c r="W2839" i="57"/>
  <c r="AA2839" i="57"/>
  <c r="V2868" i="57"/>
  <c r="AA2868" i="57"/>
  <c r="W2871" i="57"/>
  <c r="AA2871" i="57"/>
  <c r="W2893" i="57"/>
  <c r="AA2893" i="57"/>
  <c r="X2903" i="57"/>
  <c r="Y2903" i="57"/>
  <c r="V2903" i="57"/>
  <c r="X2910" i="57"/>
  <c r="Y2910" i="57"/>
  <c r="X2916" i="57"/>
  <c r="Y2916" i="57"/>
  <c r="V2916" i="57"/>
  <c r="V2921" i="57"/>
  <c r="AA2921" i="57"/>
  <c r="W2925" i="57"/>
  <c r="X2927" i="57"/>
  <c r="Y2927" i="57"/>
  <c r="AA2927" i="57"/>
  <c r="V2927" i="57"/>
  <c r="AA2941" i="57"/>
  <c r="X2948" i="57"/>
  <c r="Y2948" i="57"/>
  <c r="W2948" i="57"/>
  <c r="V2948" i="57"/>
  <c r="X2952" i="57"/>
  <c r="Y2952" i="57"/>
  <c r="W2952" i="57"/>
  <c r="V2952" i="57"/>
  <c r="AA2989" i="57"/>
  <c r="X3016" i="57"/>
  <c r="Y3016" i="57"/>
  <c r="W3016" i="57"/>
  <c r="V3016" i="57"/>
  <c r="X2880" i="57"/>
  <c r="Y2880" i="57"/>
  <c r="V2880" i="57"/>
  <c r="X2899" i="57"/>
  <c r="Y2899" i="57"/>
  <c r="V2899" i="57"/>
  <c r="W2902" i="57"/>
  <c r="X2912" i="57"/>
  <c r="Y2912" i="57"/>
  <c r="V2912" i="57"/>
  <c r="V2917" i="57"/>
  <c r="AA2917" i="57"/>
  <c r="V2969" i="57"/>
  <c r="X2969" i="57"/>
  <c r="Y2969" i="57"/>
  <c r="AA2969" i="57"/>
  <c r="W2969" i="57"/>
  <c r="X2999" i="57"/>
  <c r="Y2999" i="57"/>
  <c r="V2999" i="57"/>
  <c r="W2999" i="57"/>
  <c r="X3012" i="57"/>
  <c r="Y3012" i="57"/>
  <c r="W3012" i="57"/>
  <c r="V3012" i="57"/>
  <c r="X3050" i="57"/>
  <c r="Y3050" i="57"/>
  <c r="V3050" i="57"/>
  <c r="W3050" i="57"/>
  <c r="AA2813" i="57"/>
  <c r="V2838" i="57"/>
  <c r="AA2845" i="57"/>
  <c r="V2870" i="57"/>
  <c r="AA2877" i="57"/>
  <c r="X2895" i="57"/>
  <c r="Y2895" i="57"/>
  <c r="V2895" i="57"/>
  <c r="X2908" i="57"/>
  <c r="Y2908" i="57"/>
  <c r="AA2908" i="57"/>
  <c r="V2908" i="57"/>
  <c r="AA2928" i="57"/>
  <c r="W2930" i="57"/>
  <c r="V2930" i="57"/>
  <c r="X2939" i="57"/>
  <c r="Y2939" i="57"/>
  <c r="W2939" i="57"/>
  <c r="V2939" i="57"/>
  <c r="X2986" i="57"/>
  <c r="Y2986" i="57"/>
  <c r="V2986" i="57"/>
  <c r="W2986" i="57"/>
  <c r="V3029" i="57"/>
  <c r="X3029" i="57"/>
  <c r="Y3029" i="57"/>
  <c r="W3029" i="57"/>
  <c r="V2829" i="57"/>
  <c r="AA2829" i="57"/>
  <c r="V2832" i="57"/>
  <c r="W2835" i="57"/>
  <c r="W2838" i="57"/>
  <c r="AA2838" i="57"/>
  <c r="V2861" i="57"/>
  <c r="AA2861" i="57"/>
  <c r="V2864" i="57"/>
  <c r="W2867" i="57"/>
  <c r="W2870" i="57"/>
  <c r="AA2870" i="57"/>
  <c r="W2883" i="57"/>
  <c r="X2884" i="57"/>
  <c r="Y2884" i="57"/>
  <c r="AA2884" i="57"/>
  <c r="V2884" i="57"/>
  <c r="X2904" i="57"/>
  <c r="Y2904" i="57"/>
  <c r="AA2904" i="57"/>
  <c r="V2904" i="57"/>
  <c r="X2923" i="57"/>
  <c r="Y2923" i="57"/>
  <c r="AA2923" i="57"/>
  <c r="V2923" i="57"/>
  <c r="AA2957" i="57"/>
  <c r="V2965" i="57"/>
  <c r="X2965" i="57"/>
  <c r="Y2965" i="57"/>
  <c r="W2965" i="57"/>
  <c r="X2982" i="57"/>
  <c r="Y2982" i="57"/>
  <c r="AA2982" i="57"/>
  <c r="V2982" i="57"/>
  <c r="W2982" i="57"/>
  <c r="X3018" i="57"/>
  <c r="Y3018" i="57"/>
  <c r="V3018" i="57"/>
  <c r="W3018" i="57"/>
  <c r="W2832" i="57"/>
  <c r="X2835" i="57"/>
  <c r="Y2835" i="57"/>
  <c r="AA2835" i="57"/>
  <c r="W2864" i="57"/>
  <c r="X2867" i="57"/>
  <c r="Y2867" i="57"/>
  <c r="AA2867" i="57"/>
  <c r="X2883" i="57"/>
  <c r="Y2883" i="57"/>
  <c r="V2885" i="57"/>
  <c r="AA2885" i="57"/>
  <c r="X2900" i="57"/>
  <c r="Y2900" i="57"/>
  <c r="AA2900" i="57"/>
  <c r="V2900" i="57"/>
  <c r="V2905" i="57"/>
  <c r="AA2905" i="57"/>
  <c r="W2907" i="57"/>
  <c r="X2919" i="57"/>
  <c r="Y2919" i="57"/>
  <c r="V2919" i="57"/>
  <c r="W2922" i="57"/>
  <c r="V2929" i="57"/>
  <c r="AA2929" i="57"/>
  <c r="X2931" i="57"/>
  <c r="Y2931" i="57"/>
  <c r="AA2931" i="57"/>
  <c r="W2931" i="57"/>
  <c r="V2931" i="57"/>
  <c r="AA2937" i="57"/>
  <c r="AA2942" i="57"/>
  <c r="X2995" i="57"/>
  <c r="Y2995" i="57"/>
  <c r="AA2995" i="57"/>
  <c r="V2995" i="57"/>
  <c r="W2995" i="57"/>
  <c r="V3001" i="57"/>
  <c r="X3001" i="57"/>
  <c r="Y3001" i="57"/>
  <c r="W3001" i="57"/>
  <c r="X3031" i="57"/>
  <c r="Y3031" i="57"/>
  <c r="V3031" i="57"/>
  <c r="W3031" i="57"/>
  <c r="X3046" i="57"/>
  <c r="Y3046" i="57"/>
  <c r="V3046" i="57"/>
  <c r="W3046" i="57"/>
  <c r="V2924" i="57"/>
  <c r="AA2924" i="57"/>
  <c r="V2928" i="57"/>
  <c r="V2932" i="57"/>
  <c r="AA2932" i="57"/>
  <c r="X2946" i="57"/>
  <c r="Y2946" i="57"/>
  <c r="V2946" i="57"/>
  <c r="X2959" i="57"/>
  <c r="Y2959" i="57"/>
  <c r="V2959" i="57"/>
  <c r="V2964" i="57"/>
  <c r="AA2964" i="57"/>
  <c r="W2968" i="57"/>
  <c r="AA2968" i="57"/>
  <c r="X2978" i="57"/>
  <c r="Y2978" i="57"/>
  <c r="V2978" i="57"/>
  <c r="W2981" i="57"/>
  <c r="AA2981" i="57"/>
  <c r="X2991" i="57"/>
  <c r="Y2991" i="57"/>
  <c r="AA2991" i="57"/>
  <c r="V2991" i="57"/>
  <c r="V2996" i="57"/>
  <c r="W3000" i="57"/>
  <c r="AA3000" i="57"/>
  <c r="X3010" i="57"/>
  <c r="Y3010" i="57"/>
  <c r="V3010" i="57"/>
  <c r="W3013" i="57"/>
  <c r="AA3013" i="57"/>
  <c r="X3017" i="57"/>
  <c r="Y3017" i="57"/>
  <c r="AA3017" i="57"/>
  <c r="X3023" i="57"/>
  <c r="Y3023" i="57"/>
  <c r="AA3023" i="57"/>
  <c r="V3023" i="57"/>
  <c r="V3028" i="57"/>
  <c r="W3032" i="57"/>
  <c r="AA3032" i="57"/>
  <c r="X3042" i="57"/>
  <c r="Y3042" i="57"/>
  <c r="V3042" i="57"/>
  <c r="W3045" i="57"/>
  <c r="AA3045" i="57"/>
  <c r="X3049" i="57"/>
  <c r="Y3049" i="57"/>
  <c r="AA3049" i="57"/>
  <c r="W2945" i="57"/>
  <c r="AA2953" i="57"/>
  <c r="X2955" i="57"/>
  <c r="Y2955" i="57"/>
  <c r="V2955" i="57"/>
  <c r="V2960" i="57"/>
  <c r="X2974" i="57"/>
  <c r="Y2974" i="57"/>
  <c r="AA2974" i="57"/>
  <c r="V2974" i="57"/>
  <c r="W2977" i="57"/>
  <c r="AA2985" i="57"/>
  <c r="X2987" i="57"/>
  <c r="Y2987" i="57"/>
  <c r="V2987" i="57"/>
  <c r="V2992" i="57"/>
  <c r="W2996" i="57"/>
  <c r="X3006" i="57"/>
  <c r="Y3006" i="57"/>
  <c r="AA3006" i="57"/>
  <c r="V3006" i="57"/>
  <c r="W3009" i="57"/>
  <c r="X3019" i="57"/>
  <c r="Y3019" i="57"/>
  <c r="V3019" i="57"/>
  <c r="V3024" i="57"/>
  <c r="W3028" i="57"/>
  <c r="AA3028" i="57"/>
  <c r="X3038" i="57"/>
  <c r="Y3038" i="57"/>
  <c r="V3038" i="57"/>
  <c r="W3041" i="57"/>
  <c r="X3051" i="57"/>
  <c r="Y3051" i="57"/>
  <c r="AA3051" i="57"/>
  <c r="V3051" i="57"/>
  <c r="X2945" i="57"/>
  <c r="Y2945" i="57"/>
  <c r="X2951" i="57"/>
  <c r="Y2951" i="57"/>
  <c r="V2951" i="57"/>
  <c r="V2956" i="57"/>
  <c r="W2960" i="57"/>
  <c r="AA2960" i="57"/>
  <c r="X2970" i="57"/>
  <c r="Y2970" i="57"/>
  <c r="V2970" i="57"/>
  <c r="W2973" i="57"/>
  <c r="X2977" i="57"/>
  <c r="Y2977" i="57"/>
  <c r="X2983" i="57"/>
  <c r="Y2983" i="57"/>
  <c r="AA2983" i="57"/>
  <c r="V2983" i="57"/>
  <c r="V2988" i="57"/>
  <c r="W2992" i="57"/>
  <c r="X3002" i="57"/>
  <c r="Y3002" i="57"/>
  <c r="AA3002" i="57"/>
  <c r="V3002" i="57"/>
  <c r="W3005" i="57"/>
  <c r="X3009" i="57"/>
  <c r="Y3009" i="57"/>
  <c r="X3015" i="57"/>
  <c r="Y3015" i="57"/>
  <c r="V3015" i="57"/>
  <c r="V3020" i="57"/>
  <c r="W3024" i="57"/>
  <c r="AA3024" i="57"/>
  <c r="X3034" i="57"/>
  <c r="Y3034" i="57"/>
  <c r="V3034" i="57"/>
  <c r="X3041" i="57"/>
  <c r="Y3041" i="57"/>
  <c r="AA3041" i="57"/>
  <c r="X3047" i="57"/>
  <c r="Y3047" i="57"/>
  <c r="V3047" i="57"/>
  <c r="X2947" i="57"/>
  <c r="Y2947" i="57"/>
  <c r="V2947" i="57"/>
  <c r="W2956" i="57"/>
  <c r="AA2956" i="57"/>
  <c r="X2966" i="57"/>
  <c r="Y2966" i="57"/>
  <c r="AA2966" i="57"/>
  <c r="V2966" i="57"/>
  <c r="X2973" i="57"/>
  <c r="Y2973" i="57"/>
  <c r="AA2973" i="57"/>
  <c r="X2979" i="57"/>
  <c r="Y2979" i="57"/>
  <c r="V2979" i="57"/>
  <c r="W2988" i="57"/>
  <c r="X2998" i="57"/>
  <c r="Y2998" i="57"/>
  <c r="V2998" i="57"/>
  <c r="X3005" i="57"/>
  <c r="Y3005" i="57"/>
  <c r="AA3005" i="57"/>
  <c r="X3011" i="57"/>
  <c r="Y3011" i="57"/>
  <c r="AA3011" i="57"/>
  <c r="V3011" i="57"/>
  <c r="W3020" i="57"/>
  <c r="X3030" i="57"/>
  <c r="Y3030" i="57"/>
  <c r="V3030" i="57"/>
  <c r="X3043" i="57"/>
  <c r="Y3043" i="57"/>
  <c r="V3043" i="57"/>
  <c r="V2934" i="57"/>
  <c r="AA2934" i="57"/>
  <c r="X2943" i="57"/>
  <c r="Y2943" i="57"/>
  <c r="AA2943" i="57"/>
  <c r="V2943" i="57"/>
  <c r="X2962" i="57"/>
  <c r="Y2962" i="57"/>
  <c r="V2962" i="57"/>
  <c r="X2975" i="57"/>
  <c r="Y2975" i="57"/>
  <c r="V2975" i="57"/>
  <c r="AA2988" i="57"/>
  <c r="X2994" i="57"/>
  <c r="Y2994" i="57"/>
  <c r="AA2994" i="57"/>
  <c r="V2994" i="57"/>
  <c r="X3007" i="57"/>
  <c r="Y3007" i="57"/>
  <c r="V3007" i="57"/>
  <c r="X3026" i="57"/>
  <c r="Y3026" i="57"/>
  <c r="V3026" i="57"/>
  <c r="X3039" i="57"/>
  <c r="Y3039" i="57"/>
  <c r="V3039" i="57"/>
  <c r="X3054" i="57"/>
  <c r="Y3054" i="57"/>
  <c r="W3054" i="57"/>
  <c r="V3054" i="57"/>
  <c r="V2944" i="57"/>
  <c r="AA2944" i="57"/>
  <c r="W2946" i="57"/>
  <c r="X2958" i="57"/>
  <c r="Y2958" i="57"/>
  <c r="V2958" i="57"/>
  <c r="W2961" i="57"/>
  <c r="X2971" i="57"/>
  <c r="Y2971" i="57"/>
  <c r="V2971" i="57"/>
  <c r="V2976" i="57"/>
  <c r="AA2976" i="57"/>
  <c r="W2978" i="57"/>
  <c r="X2990" i="57"/>
  <c r="Y2990" i="57"/>
  <c r="V2990" i="57"/>
  <c r="W2993" i="57"/>
  <c r="AA2993" i="57"/>
  <c r="X3003" i="57"/>
  <c r="Y3003" i="57"/>
  <c r="AA3003" i="57"/>
  <c r="V3003" i="57"/>
  <c r="V3008" i="57"/>
  <c r="AA3008" i="57"/>
  <c r="W3010" i="57"/>
  <c r="X3022" i="57"/>
  <c r="Y3022" i="57"/>
  <c r="AA3022" i="57"/>
  <c r="V3022" i="57"/>
  <c r="W3025" i="57"/>
  <c r="AA3025" i="57"/>
  <c r="X3035" i="57"/>
  <c r="Y3035" i="57"/>
  <c r="V3035" i="57"/>
  <c r="V3040" i="57"/>
  <c r="AA3040" i="57"/>
  <c r="W3042" i="57"/>
  <c r="V3055" i="57"/>
  <c r="W3055" i="57"/>
  <c r="V52" i="59"/>
  <c r="V53" i="59"/>
  <c r="V54" i="59"/>
  <c r="V64" i="59"/>
  <c r="V65" i="59"/>
  <c r="V66" i="59"/>
  <c r="V68" i="59"/>
  <c r="V69" i="59"/>
  <c r="V70" i="59"/>
  <c r="V31" i="59"/>
  <c r="V32" i="59"/>
  <c r="V33" i="59"/>
  <c r="V34" i="59"/>
  <c r="V43" i="59"/>
  <c r="V44" i="59"/>
  <c r="V45" i="59"/>
  <c r="V46" i="59"/>
  <c r="V71" i="59"/>
  <c r="V72" i="59"/>
  <c r="V73" i="59"/>
  <c r="V74" i="59"/>
  <c r="U28" i="59"/>
  <c r="U29" i="59"/>
  <c r="U30" i="59"/>
  <c r="U36" i="59"/>
  <c r="U37" i="59"/>
  <c r="U38" i="59"/>
  <c r="U40" i="59"/>
  <c r="U41" i="59"/>
  <c r="U42" i="59"/>
  <c r="U48" i="59"/>
  <c r="U49" i="59"/>
  <c r="U50" i="59"/>
  <c r="U52" i="59"/>
  <c r="U53" i="59"/>
  <c r="U54" i="59"/>
  <c r="U56" i="59"/>
  <c r="U57" i="59"/>
  <c r="U58" i="59"/>
  <c r="U60" i="59"/>
  <c r="U61" i="59"/>
  <c r="U62" i="59"/>
  <c r="U64" i="59"/>
  <c r="U65" i="59"/>
  <c r="U66" i="59"/>
  <c r="U68" i="59"/>
  <c r="U69" i="59"/>
  <c r="U70" i="59"/>
  <c r="O67" i="59"/>
  <c r="Q67" i="59"/>
  <c r="P67" i="59"/>
  <c r="O20" i="59"/>
  <c r="Q21" i="59"/>
  <c r="P29" i="59"/>
  <c r="P30" i="59"/>
  <c r="P34" i="59"/>
  <c r="P74" i="59"/>
  <c r="P20" i="59"/>
  <c r="Q29" i="59"/>
  <c r="Q54" i="59"/>
  <c r="T18" i="59"/>
  <c r="P66" i="59"/>
  <c r="O73" i="59"/>
  <c r="P73" i="59"/>
  <c r="O23" i="59"/>
  <c r="P61" i="59"/>
  <c r="P22" i="59"/>
  <c r="Q61" i="59"/>
  <c r="O58" i="59"/>
  <c r="O54" i="59"/>
  <c r="P53" i="59"/>
  <c r="O49" i="59"/>
  <c r="P49" i="59"/>
  <c r="P42" i="59"/>
  <c r="Q42" i="59"/>
  <c r="Q41" i="59"/>
  <c r="T19" i="59"/>
  <c r="T20" i="59"/>
  <c r="T21" i="59"/>
  <c r="T22" i="59"/>
  <c r="T23" i="59"/>
  <c r="T24" i="59"/>
  <c r="T25" i="59"/>
  <c r="T26" i="59"/>
  <c r="T27" i="59"/>
  <c r="T28" i="59"/>
  <c r="T29" i="59"/>
  <c r="T30" i="59"/>
  <c r="O35" i="59"/>
  <c r="P35" i="59"/>
  <c r="Q35" i="59"/>
  <c r="O31" i="59"/>
  <c r="P31" i="59"/>
  <c r="Q31" i="59"/>
  <c r="Q59" i="59"/>
  <c r="P59" i="59"/>
  <c r="O59" i="59"/>
  <c r="N2" i="59"/>
  <c r="P63" i="59"/>
  <c r="O63" i="59"/>
  <c r="Q63" i="59"/>
  <c r="Q55" i="59"/>
  <c r="P55" i="59"/>
  <c r="O55" i="59"/>
  <c r="Q51" i="59"/>
  <c r="P51" i="59"/>
  <c r="O51" i="59"/>
  <c r="T31" i="59"/>
  <c r="T32" i="59"/>
  <c r="T33" i="59"/>
  <c r="T34" i="59"/>
  <c r="T35" i="59"/>
  <c r="T36" i="59"/>
  <c r="T37" i="59"/>
  <c r="T38" i="59"/>
  <c r="T39" i="59"/>
  <c r="T40" i="59"/>
  <c r="T41" i="59"/>
  <c r="T42" i="59"/>
  <c r="T43" i="59"/>
  <c r="T44" i="59"/>
  <c r="T45" i="59"/>
  <c r="T46" i="59"/>
  <c r="T47" i="59"/>
  <c r="T48" i="59"/>
  <c r="T49" i="59"/>
  <c r="T50" i="59"/>
  <c r="T51" i="59"/>
  <c r="T52" i="59"/>
  <c r="T53" i="59"/>
  <c r="T54" i="59"/>
  <c r="T55" i="59"/>
  <c r="T56" i="59"/>
  <c r="T57" i="59"/>
  <c r="T58" i="59"/>
  <c r="T59" i="59"/>
  <c r="T60" i="59"/>
  <c r="T61" i="59"/>
  <c r="T62" i="59"/>
  <c r="T63" i="59"/>
  <c r="T64" i="59"/>
  <c r="T65" i="59"/>
  <c r="T66" i="59"/>
  <c r="T67" i="59"/>
  <c r="T68" i="59"/>
  <c r="T69" i="59"/>
  <c r="T70" i="59"/>
  <c r="T71" i="59"/>
  <c r="T72" i="59"/>
  <c r="T73" i="59"/>
  <c r="T74" i="59"/>
  <c r="T75" i="59"/>
  <c r="Q27" i="59"/>
  <c r="P27" i="59"/>
  <c r="O27" i="59"/>
  <c r="P47" i="59"/>
  <c r="Q47" i="59"/>
  <c r="O47" i="59"/>
  <c r="P25" i="59"/>
  <c r="P57" i="59"/>
  <c r="P18" i="59"/>
  <c r="O19" i="59"/>
  <c r="Q25" i="59"/>
  <c r="P26" i="59"/>
  <c r="O33" i="59"/>
  <c r="Q38" i="59"/>
  <c r="O39" i="59"/>
  <c r="P45" i="59"/>
  <c r="O46" i="59"/>
  <c r="Q57" i="59"/>
  <c r="P58" i="59"/>
  <c r="O65" i="59"/>
  <c r="Q70" i="59"/>
  <c r="O71" i="59"/>
  <c r="Q50" i="59"/>
  <c r="Q18" i="59"/>
  <c r="P19" i="59"/>
  <c r="P33" i="59"/>
  <c r="P39" i="59"/>
  <c r="P46" i="59"/>
  <c r="O53" i="59"/>
  <c r="P65" i="59"/>
  <c r="O66" i="59"/>
  <c r="P71" i="59"/>
  <c r="O24" i="59"/>
  <c r="O69" i="59"/>
  <c r="P38" i="59"/>
  <c r="O43" i="59"/>
  <c r="O50" i="59"/>
  <c r="P24" i="59"/>
  <c r="P37" i="59"/>
  <c r="P43" i="59"/>
  <c r="P69" i="59"/>
  <c r="O70" i="59"/>
  <c r="O37" i="59"/>
  <c r="X36" i="22"/>
  <c r="Y36" i="22"/>
  <c r="AC36" i="22"/>
  <c r="AC37" i="22"/>
  <c r="Z37" i="22"/>
  <c r="Z36" i="22"/>
  <c r="AH37" i="22"/>
  <c r="AH36" i="22"/>
  <c r="AA37" i="22"/>
  <c r="AA36" i="22"/>
  <c r="AI37" i="22"/>
  <c r="AI36" i="22"/>
  <c r="AB37" i="22"/>
  <c r="AB36" i="22"/>
  <c r="AE37" i="22"/>
  <c r="X37" i="22"/>
  <c r="AG37" i="22"/>
  <c r="AF37" i="22"/>
  <c r="Y37" i="22"/>
  <c r="AJ17" i="22"/>
  <c r="AA51" i="31"/>
  <c r="AB51" i="31"/>
  <c r="AC51" i="31"/>
  <c r="AD51" i="31"/>
  <c r="AE51" i="31"/>
  <c r="AF51" i="31"/>
  <c r="AG51" i="31"/>
  <c r="AH51" i="31"/>
  <c r="AI51" i="31"/>
  <c r="AJ51" i="31"/>
  <c r="AK51" i="31"/>
  <c r="AL51" i="31"/>
  <c r="AM51" i="31"/>
  <c r="AN51" i="31"/>
  <c r="Z51" i="31"/>
  <c r="BC50" i="31"/>
  <c r="BB50" i="31"/>
  <c r="BA50" i="31"/>
  <c r="AZ50" i="31"/>
  <c r="AY50" i="31"/>
  <c r="AX50" i="31"/>
  <c r="AW50" i="31"/>
  <c r="AV50" i="31"/>
  <c r="AU50" i="31"/>
  <c r="AT50" i="31"/>
  <c r="AS50" i="31"/>
  <c r="AR50" i="31"/>
  <c r="AQ50" i="31"/>
  <c r="AP50" i="31"/>
  <c r="AO50" i="31"/>
  <c r="AN50" i="31"/>
  <c r="Y53" i="31"/>
  <c r="Y52" i="31"/>
  <c r="Y51" i="31"/>
  <c r="AM50" i="31"/>
  <c r="AL50" i="31"/>
  <c r="AK50" i="31"/>
  <c r="AJ50" i="31"/>
  <c r="AI50" i="31"/>
  <c r="AH50" i="31"/>
  <c r="AG50" i="31"/>
  <c r="AF50" i="31"/>
  <c r="AE50" i="31"/>
  <c r="AC50" i="31"/>
  <c r="AB50" i="31"/>
  <c r="AA50" i="31"/>
  <c r="Z50" i="31"/>
  <c r="Y50" i="31"/>
  <c r="CY3" i="1"/>
  <c r="B25" i="38"/>
  <c r="J25" i="38"/>
  <c r="Q22" i="24"/>
  <c r="M3659" i="48"/>
  <c r="CY2" i="1"/>
  <c r="P4" i="24"/>
  <c r="P20" i="24"/>
  <c r="CQ13" i="1"/>
  <c r="AA2832" i="57"/>
  <c r="AA2821" i="57"/>
  <c r="AA2894" i="57"/>
  <c r="AA2637" i="57"/>
  <c r="AA2574" i="57"/>
  <c r="AA2314" i="57"/>
  <c r="AA2456" i="57"/>
  <c r="AA2140" i="57"/>
  <c r="AA2073" i="57"/>
  <c r="AA1966" i="57"/>
  <c r="AA1943" i="57"/>
  <c r="AA1737" i="57"/>
  <c r="AA2947" i="57"/>
  <c r="AA2925" i="57"/>
  <c r="AA2737" i="57"/>
  <c r="AA2793" i="57"/>
  <c r="AA2721" i="57"/>
  <c r="AA2683" i="57"/>
  <c r="AA2724" i="57"/>
  <c r="AA2521" i="57"/>
  <c r="AA2462" i="57"/>
  <c r="AA2343" i="57"/>
  <c r="AA2167" i="57"/>
  <c r="AA2142" i="57"/>
  <c r="AA2114" i="57"/>
  <c r="AA2177" i="57"/>
  <c r="AA2047" i="57"/>
  <c r="AA2015" i="57"/>
  <c r="AA1983" i="57"/>
  <c r="AA2273" i="57"/>
  <c r="AA2014" i="57"/>
  <c r="AA1982" i="57"/>
  <c r="AA1899" i="57"/>
  <c r="AA1778" i="57"/>
  <c r="AA1782" i="57"/>
  <c r="AA1762" i="57"/>
  <c r="AA1777" i="57"/>
  <c r="AA2038" i="57"/>
  <c r="AA1775" i="57"/>
  <c r="AA2810" i="57"/>
  <c r="AA2794" i="57"/>
  <c r="AA2255" i="57"/>
  <c r="AA2017" i="57"/>
  <c r="AA2112" i="57"/>
  <c r="AA2029" i="57"/>
  <c r="AA2025" i="57"/>
  <c r="AA3055" i="57"/>
  <c r="AA3007" i="57"/>
  <c r="AA3020" i="57"/>
  <c r="AA2979" i="57"/>
  <c r="AA3047" i="57"/>
  <c r="AA3009" i="57"/>
  <c r="AA2951" i="57"/>
  <c r="AA2907" i="57"/>
  <c r="AA2812" i="57"/>
  <c r="AA2765" i="57"/>
  <c r="AA2742" i="57"/>
  <c r="AA2913" i="57"/>
  <c r="AA2686" i="57"/>
  <c r="AA2655" i="57"/>
  <c r="AA2495" i="57"/>
  <c r="AA2363" i="57"/>
  <c r="AA2403" i="57"/>
  <c r="AA2512" i="57"/>
  <c r="AA2333" i="57"/>
  <c r="AA2253" i="57"/>
  <c r="AA2380" i="57"/>
  <c r="AA2261" i="57"/>
  <c r="AA2187" i="57"/>
  <c r="AA2062" i="57"/>
  <c r="AA2178" i="57"/>
  <c r="AA2147" i="57"/>
  <c r="AA1812" i="57"/>
  <c r="AA1903" i="57"/>
  <c r="AA1871" i="57"/>
  <c r="AA1811" i="57"/>
  <c r="AA1955" i="57"/>
  <c r="AA1798" i="57"/>
  <c r="AA1825" i="57"/>
  <c r="AA2681" i="57"/>
  <c r="AA2816" i="57"/>
  <c r="AA2726" i="57"/>
  <c r="AA2787" i="57"/>
  <c r="AA2176" i="57"/>
  <c r="AA2487" i="57"/>
  <c r="AA2781" i="57"/>
  <c r="AA2420" i="57"/>
  <c r="AA2082" i="57"/>
  <c r="AA2898" i="57"/>
  <c r="AA2659" i="57"/>
  <c r="AA2692" i="57"/>
  <c r="AA2572" i="57"/>
  <c r="AA2477" i="57"/>
  <c r="AA2371" i="57"/>
  <c r="AA2444" i="57"/>
  <c r="AA2302" i="57"/>
  <c r="AA2215" i="57"/>
  <c r="AA2317" i="57"/>
  <c r="AA2278" i="57"/>
  <c r="AA2318" i="57"/>
  <c r="AA2162" i="57"/>
  <c r="AA2138" i="57"/>
  <c r="AA2469" i="57"/>
  <c r="AA2188" i="57"/>
  <c r="AA2153" i="57"/>
  <c r="AA2309" i="57"/>
  <c r="AA2007" i="57"/>
  <c r="AA1939" i="57"/>
  <c r="AA1970" i="57"/>
  <c r="AA1938" i="57"/>
  <c r="AA2079" i="57"/>
  <c r="AA1963" i="57"/>
  <c r="AA1990" i="57"/>
  <c r="AA2220" i="57"/>
  <c r="AA2315" i="57"/>
  <c r="AA2936" i="57"/>
  <c r="AA2930" i="57"/>
  <c r="AA3012" i="57"/>
  <c r="AA2668" i="57"/>
  <c r="AA2656" i="57"/>
  <c r="AA2759" i="57"/>
  <c r="AA2718" i="57"/>
  <c r="AA2747" i="57"/>
  <c r="AA2345" i="57"/>
  <c r="AA2168" i="57"/>
  <c r="AA2415" i="57"/>
  <c r="AA2237" i="57"/>
  <c r="AA2122" i="57"/>
  <c r="AA2159" i="57"/>
  <c r="AA2107" i="57"/>
  <c r="AA2098" i="57"/>
  <c r="AA1999" i="57"/>
  <c r="AA2467" i="57"/>
  <c r="AA2030" i="57"/>
  <c r="AA1998" i="57"/>
  <c r="AA1876" i="57"/>
  <c r="AA1843" i="57"/>
  <c r="AA1766" i="57"/>
  <c r="AA1915" i="57"/>
  <c r="AA2242" i="57"/>
  <c r="AA1885" i="57"/>
  <c r="AA2076" i="57"/>
  <c r="AA2514" i="57"/>
  <c r="AA2834" i="57"/>
  <c r="AA2918" i="57"/>
  <c r="AA2706" i="57"/>
  <c r="AA2761" i="57"/>
  <c r="AA2516" i="57"/>
  <c r="AA2117" i="57"/>
  <c r="AA2797" i="57"/>
  <c r="AA1738" i="57"/>
  <c r="AA3036" i="57"/>
  <c r="AA2766" i="57"/>
  <c r="AA2394" i="57"/>
  <c r="AA2397" i="57"/>
  <c r="AA3035" i="57"/>
  <c r="AA3039" i="57"/>
  <c r="AA2992" i="57"/>
  <c r="AA3031" i="57"/>
  <c r="AA2873" i="57"/>
  <c r="AA2909" i="57"/>
  <c r="AA2888" i="57"/>
  <c r="AA2716" i="57"/>
  <c r="AA2562" i="57"/>
  <c r="AA2349" i="57"/>
  <c r="AA2352" i="57"/>
  <c r="AA2392" i="57"/>
  <c r="AA2351" i="57"/>
  <c r="AA2474" i="57"/>
  <c r="AA2406" i="57"/>
  <c r="AA2360" i="57"/>
  <c r="AA2307" i="57"/>
  <c r="AA2259" i="57"/>
  <c r="AA2118" i="57"/>
  <c r="AA2172" i="57"/>
  <c r="AA2156" i="57"/>
  <c r="AA2055" i="57"/>
  <c r="AA2023" i="57"/>
  <c r="AA1991" i="57"/>
  <c r="AA2087" i="57"/>
  <c r="AA1951" i="57"/>
  <c r="AA2109" i="57"/>
  <c r="AA1926" i="57"/>
  <c r="AA2173" i="57"/>
  <c r="AA1890" i="57"/>
  <c r="AA1848" i="57"/>
  <c r="AA1805" i="57"/>
  <c r="AA1821" i="57"/>
  <c r="AA2243" i="57"/>
  <c r="AA1742" i="57"/>
  <c r="AA2874" i="57"/>
  <c r="AA2744" i="57"/>
  <c r="AA2565" i="57"/>
  <c r="AA2843" i="57"/>
  <c r="AA2763" i="57"/>
  <c r="AA2837" i="57"/>
  <c r="AA2709" i="57"/>
  <c r="AA2086" i="57"/>
  <c r="AA2365" i="57"/>
  <c r="AA2084" i="57"/>
  <c r="AA2052" i="57"/>
  <c r="AA2461" i="57"/>
  <c r="AA2103" i="57"/>
  <c r="AA2064" i="57"/>
  <c r="M26" i="38"/>
  <c r="N26" i="38"/>
  <c r="R7" i="24"/>
  <c r="R8" i="24"/>
  <c r="J27" i="38"/>
  <c r="J28" i="38"/>
  <c r="J29" i="38"/>
  <c r="J30" i="38"/>
  <c r="J31" i="38"/>
  <c r="J32" i="38"/>
  <c r="J33" i="38"/>
  <c r="J34" i="38"/>
  <c r="J35" i="38"/>
  <c r="J36" i="38"/>
  <c r="J37" i="38"/>
  <c r="J38" i="38"/>
  <c r="R25" i="38"/>
  <c r="AA79" i="57"/>
  <c r="Z79" i="57"/>
  <c r="AA75" i="57"/>
  <c r="Z75" i="57"/>
  <c r="AA78" i="57"/>
  <c r="Z78" i="57"/>
  <c r="AA81" i="57"/>
  <c r="Z81" i="57"/>
  <c r="AA71" i="57"/>
  <c r="Z71" i="57"/>
  <c r="AA63" i="57"/>
  <c r="Z63" i="57"/>
  <c r="AA38" i="57"/>
  <c r="Z38" i="57"/>
  <c r="AA46" i="57"/>
  <c r="Z46" i="57"/>
  <c r="AA35" i="57"/>
  <c r="Z35" i="57"/>
  <c r="AA32" i="57"/>
  <c r="Z32" i="57"/>
  <c r="AA39" i="57"/>
  <c r="Z39" i="57"/>
  <c r="AA31" i="57"/>
  <c r="Z31" i="57"/>
  <c r="AA34" i="57"/>
  <c r="Z34" i="57"/>
  <c r="AA61" i="57"/>
  <c r="Z61" i="57"/>
  <c r="AA55" i="57"/>
  <c r="Z55" i="57"/>
  <c r="AA41" i="57"/>
  <c r="Z41" i="57"/>
  <c r="AA47" i="57"/>
  <c r="Z47" i="57"/>
  <c r="AA62" i="57"/>
  <c r="Z62" i="57"/>
  <c r="AA43" i="57"/>
  <c r="Z43" i="57"/>
  <c r="N25" i="38"/>
  <c r="M25" i="38"/>
  <c r="AA15" i="57"/>
  <c r="Z15" i="57"/>
  <c r="AA26" i="57"/>
  <c r="Z26" i="57"/>
  <c r="AA17" i="57"/>
  <c r="Z17" i="57"/>
  <c r="AA11" i="57"/>
  <c r="Z11" i="57"/>
  <c r="AA18" i="57"/>
  <c r="Z18" i="57"/>
  <c r="AA20" i="57"/>
  <c r="Z20" i="57"/>
  <c r="AA27" i="57"/>
  <c r="Z27" i="57"/>
  <c r="AA23" i="57"/>
  <c r="Z23" i="57"/>
  <c r="AA14" i="57"/>
  <c r="AA19" i="57"/>
  <c r="Z19" i="57"/>
  <c r="AA7" i="57"/>
  <c r="Z7" i="57"/>
  <c r="AA3" i="57"/>
  <c r="Z3" i="57"/>
  <c r="AA5" i="57"/>
  <c r="Z5" i="57"/>
  <c r="AA4" i="57"/>
  <c r="Z4" i="57"/>
  <c r="AA2" i="57"/>
  <c r="AA2958" i="57"/>
  <c r="AA3034" i="57"/>
  <c r="AA2977" i="57"/>
  <c r="AA2945" i="57"/>
  <c r="AA2987" i="57"/>
  <c r="AA2955" i="57"/>
  <c r="AA3018" i="57"/>
  <c r="AA2999" i="57"/>
  <c r="AA2912" i="57"/>
  <c r="AA2948" i="57"/>
  <c r="AA2916" i="57"/>
  <c r="AA2862" i="57"/>
  <c r="AA2815" i="57"/>
  <c r="AA2881" i="57"/>
  <c r="AA2935" i="57"/>
  <c r="AA2890" i="57"/>
  <c r="AA2575" i="57"/>
  <c r="AA2990" i="57"/>
  <c r="AA3026" i="57"/>
  <c r="AA2975" i="57"/>
  <c r="AA3043" i="57"/>
  <c r="AA2998" i="57"/>
  <c r="AA3019" i="57"/>
  <c r="AA2959" i="57"/>
  <c r="AA3046" i="57"/>
  <c r="AA2883" i="57"/>
  <c r="AA3029" i="57"/>
  <c r="AA2939" i="57"/>
  <c r="AA2895" i="57"/>
  <c r="AA3050" i="57"/>
  <c r="AA3016" i="57"/>
  <c r="AA2910" i="57"/>
  <c r="AA3033" i="57"/>
  <c r="AA2963" i="57"/>
  <c r="AA2892" i="57"/>
  <c r="AA2926" i="57"/>
  <c r="AA2824" i="57"/>
  <c r="AA2984" i="57"/>
  <c r="AA2856" i="57"/>
  <c r="AA2739" i="57"/>
  <c r="AA2783" i="57"/>
  <c r="AA2756" i="57"/>
  <c r="AA2704" i="57"/>
  <c r="AA2803" i="57"/>
  <c r="AA2713" i="57"/>
  <c r="AA2962" i="57"/>
  <c r="AA3030" i="57"/>
  <c r="AA2970" i="57"/>
  <c r="AA2946" i="57"/>
  <c r="AA2919" i="57"/>
  <c r="AA2864" i="57"/>
  <c r="AA2899" i="57"/>
  <c r="AA2903" i="57"/>
  <c r="AA2853" i="57"/>
  <c r="AA2980" i="57"/>
  <c r="AA2841" i="57"/>
  <c r="AA2778" i="57"/>
  <c r="AA2689" i="57"/>
  <c r="AA2971" i="57"/>
  <c r="AA3054" i="57"/>
  <c r="AA3015" i="57"/>
  <c r="AA3038" i="57"/>
  <c r="AA2978" i="57"/>
  <c r="AA2880" i="57"/>
  <c r="AA2952" i="57"/>
  <c r="AA2827" i="57"/>
  <c r="AA2896" i="57"/>
  <c r="AA2830" i="57"/>
  <c r="AA3048" i="57"/>
  <c r="AA2809" i="57"/>
  <c r="AA2767" i="57"/>
  <c r="AA3042" i="57"/>
  <c r="AA3010" i="57"/>
  <c r="AA3001" i="57"/>
  <c r="AA2965" i="57"/>
  <c r="AA2986" i="57"/>
  <c r="AA3044" i="57"/>
  <c r="AA3014" i="57"/>
  <c r="AA2911" i="57"/>
  <c r="AA3027" i="57"/>
  <c r="AA2850" i="57"/>
  <c r="AA2818" i="57"/>
  <c r="AA2805" i="57"/>
  <c r="AA2764" i="57"/>
  <c r="AA2715" i="57"/>
  <c r="AA2844" i="57"/>
  <c r="AA2859" i="57"/>
  <c r="AA2727" i="57"/>
  <c r="AA2506" i="57"/>
  <c r="AA2603" i="57"/>
  <c r="AA2433" i="57"/>
  <c r="AA2322" i="57"/>
  <c r="AA2339" i="57"/>
  <c r="AA2221" i="57"/>
  <c r="AA2289" i="57"/>
  <c r="AA2310" i="57"/>
  <c r="AA2418" i="57"/>
  <c r="AA2282" i="57"/>
  <c r="AA2218" i="57"/>
  <c r="AA2435" i="57"/>
  <c r="AA2277" i="57"/>
  <c r="AA2224" i="57"/>
  <c r="AA2204" i="57"/>
  <c r="AA2126" i="57"/>
  <c r="AA2276" i="57"/>
  <c r="AA2151" i="57"/>
  <c r="AA2095" i="57"/>
  <c r="AA2245" i="57"/>
  <c r="AA2244" i="57"/>
  <c r="AA2150" i="57"/>
  <c r="AA2291" i="57"/>
  <c r="AA2256" i="57"/>
  <c r="AA2099" i="57"/>
  <c r="AA2034" i="57"/>
  <c r="AA2002" i="57"/>
  <c r="AA1962" i="57"/>
  <c r="AA1891" i="57"/>
  <c r="AA1789" i="57"/>
  <c r="AA1950" i="57"/>
  <c r="AA1919" i="57"/>
  <c r="AA1774" i="57"/>
  <c r="AA2092" i="57"/>
  <c r="AA1931" i="57"/>
  <c r="AA1851" i="57"/>
  <c r="AA1797" i="57"/>
  <c r="AA2374" i="57"/>
  <c r="AA2260" i="57"/>
  <c r="AA2325" i="57"/>
  <c r="AA2042" i="57"/>
  <c r="AA2010" i="57"/>
  <c r="AA1978" i="57"/>
  <c r="AA1946" i="57"/>
  <c r="AA1907" i="57"/>
  <c r="AA2239" i="57"/>
  <c r="AA1898" i="57"/>
  <c r="AA1796" i="57"/>
  <c r="AA1861" i="57"/>
  <c r="AA2308" i="57"/>
  <c r="AA1942" i="57"/>
  <c r="AA1872" i="57"/>
  <c r="AA1728" i="57"/>
  <c r="AA1829" i="57"/>
  <c r="AA1804" i="57"/>
  <c r="AA1874" i="57"/>
  <c r="AA1929" i="57"/>
  <c r="AA2663" i="57"/>
  <c r="AA2954" i="57"/>
  <c r="AA2568" i="57"/>
  <c r="AA2541" i="57"/>
  <c r="AA2515" i="57"/>
  <c r="AA2438" i="57"/>
  <c r="AA2441" i="57"/>
  <c r="AA2357" i="57"/>
  <c r="AA2313" i="57"/>
  <c r="AA2266" i="57"/>
  <c r="AA2238" i="57"/>
  <c r="AA2265" i="57"/>
  <c r="AA2305" i="57"/>
  <c r="AA2174" i="57"/>
  <c r="AA2424" i="57"/>
  <c r="AA2213" i="57"/>
  <c r="AA2179" i="57"/>
  <c r="AA1959" i="57"/>
  <c r="AA1715" i="57"/>
  <c r="AA1958" i="57"/>
  <c r="AA1918" i="57"/>
  <c r="AA2022" i="57"/>
  <c r="AA1779" i="57"/>
  <c r="AA1802" i="57"/>
  <c r="AA1764" i="57"/>
  <c r="AA2503" i="57"/>
  <c r="AA2306" i="57"/>
  <c r="AA2146" i="57"/>
  <c r="AA2227" i="57"/>
  <c r="AA2182" i="57"/>
  <c r="AA2275" i="57"/>
  <c r="AA2386" i="57"/>
  <c r="AA2274" i="57"/>
  <c r="AA2165" i="57"/>
  <c r="AA2131" i="57"/>
  <c r="AA2054" i="57"/>
  <c r="AA2170" i="57"/>
  <c r="AA1914" i="57"/>
  <c r="AA1840" i="57"/>
  <c r="AA1755" i="57"/>
  <c r="AA2149" i="57"/>
  <c r="AA1844" i="57"/>
  <c r="AA2097" i="57"/>
  <c r="AA2058" i="57"/>
  <c r="AA1847" i="57"/>
  <c r="AA1934" i="57"/>
  <c r="AA1904" i="57"/>
  <c r="AA1889" i="57"/>
  <c r="AA2762" i="57"/>
  <c r="AA2772" i="57"/>
  <c r="AA2701" i="57"/>
  <c r="AA2755" i="57"/>
  <c r="AA2567" i="57"/>
  <c r="AA2950" i="57"/>
  <c r="AA2566" i="57"/>
  <c r="AA2483" i="57"/>
  <c r="AA2538" i="57"/>
  <c r="AA2389" i="57"/>
  <c r="AA2230" i="57"/>
  <c r="AA2298" i="57"/>
  <c r="AA2225" i="57"/>
  <c r="AA2377" i="57"/>
  <c r="AA2246" i="57"/>
  <c r="AA2205" i="57"/>
  <c r="AA2250" i="57"/>
  <c r="AA2211" i="57"/>
  <c r="AA2134" i="57"/>
  <c r="AA2228" i="57"/>
  <c r="AA2175" i="57"/>
  <c r="AA2293" i="57"/>
  <c r="AA2203" i="57"/>
  <c r="AA2194" i="57"/>
  <c r="AA2166" i="57"/>
  <c r="AA2226" i="57"/>
  <c r="AA2158" i="57"/>
  <c r="AA2222" i="57"/>
  <c r="AA2018" i="57"/>
  <c r="AA1986" i="57"/>
  <c r="AA1849" i="57"/>
  <c r="AA1770" i="57"/>
  <c r="AA2163" i="57"/>
  <c r="AA1824" i="57"/>
  <c r="AA1893" i="57"/>
  <c r="AA1828" i="57"/>
  <c r="AA2229" i="57"/>
  <c r="AA1947" i="57"/>
  <c r="AA2026" i="57"/>
  <c r="AA1994" i="57"/>
  <c r="AA1792" i="57"/>
  <c r="AA2157" i="57"/>
  <c r="AA1771" i="57"/>
  <c r="AA1954" i="57"/>
  <c r="AA1975" i="57"/>
  <c r="AA1974" i="57"/>
  <c r="AA1800" i="57"/>
  <c r="AA1841" i="57"/>
  <c r="AA1760" i="57"/>
  <c r="AA2070" i="57"/>
  <c r="AA2679" i="57"/>
  <c r="AA2730" i="57"/>
  <c r="AA2675" i="57"/>
  <c r="AA2695" i="57"/>
  <c r="AA2445" i="57"/>
  <c r="AA2667" i="57"/>
  <c r="AA2354" i="57"/>
  <c r="AA2409" i="57"/>
  <c r="AA2447" i="57"/>
  <c r="AA2190" i="57"/>
  <c r="AA2303" i="57"/>
  <c r="AA2241" i="57"/>
  <c r="AA2154" i="57"/>
  <c r="AA2286" i="57"/>
  <c r="AA2271" i="57"/>
  <c r="AA2161" i="57"/>
  <c r="AA2254" i="57"/>
  <c r="AA2046" i="57"/>
  <c r="AA2106" i="57"/>
  <c r="AA1971" i="57"/>
  <c r="AA2348" i="57"/>
  <c r="AA2050" i="57"/>
  <c r="AA2412" i="57"/>
  <c r="AA1883" i="57"/>
  <c r="AA2006" i="57"/>
  <c r="AA1887" i="57"/>
  <c r="AA1900" i="57"/>
  <c r="AA2806" i="57"/>
  <c r="AA1845" i="57"/>
  <c r="AA1922" i="57"/>
  <c r="AA2509" i="57"/>
  <c r="AA2421" i="57"/>
  <c r="AA2288" i="57"/>
  <c r="AA2292" i="57"/>
  <c r="AA1917" i="57"/>
  <c r="AA1781" i="57"/>
  <c r="AA1827" i="57"/>
  <c r="V36" i="59"/>
  <c r="V37" i="59"/>
  <c r="V38" i="59"/>
  <c r="V60" i="59"/>
  <c r="V61" i="59"/>
  <c r="V62" i="59"/>
  <c r="V28" i="59"/>
  <c r="V29" i="59"/>
  <c r="V30" i="59"/>
  <c r="V56" i="59"/>
  <c r="V57" i="59"/>
  <c r="V58" i="59"/>
  <c r="V40" i="59"/>
  <c r="V41" i="59"/>
  <c r="V42" i="59"/>
  <c r="V48" i="59"/>
  <c r="V49" i="59"/>
  <c r="V50" i="59"/>
  <c r="V8" i="59"/>
  <c r="V9" i="59"/>
  <c r="V10" i="59"/>
  <c r="Q2" i="59"/>
  <c r="P2" i="59"/>
  <c r="O2" i="59"/>
  <c r="AJ36" i="22"/>
  <c r="AJ37" i="22"/>
  <c r="AB52" i="31"/>
  <c r="AB53" i="31"/>
  <c r="AA52" i="31"/>
  <c r="AA53" i="31"/>
  <c r="Z52" i="31"/>
  <c r="Z53" i="31"/>
  <c r="M3303" i="48"/>
  <c r="L3303" i="48"/>
  <c r="M3304" i="48"/>
  <c r="L3304" i="48"/>
  <c r="M3305" i="48"/>
  <c r="L3305" i="48"/>
  <c r="M3306" i="48"/>
  <c r="L3306" i="48"/>
  <c r="M3307" i="48"/>
  <c r="L3307" i="48"/>
  <c r="M3308" i="48"/>
  <c r="L3308" i="48"/>
  <c r="M3309" i="48"/>
  <c r="L3309" i="48"/>
  <c r="M3310" i="48"/>
  <c r="L3310" i="48"/>
  <c r="M3311" i="48"/>
  <c r="L3311" i="48"/>
  <c r="M3312" i="48"/>
  <c r="L3312" i="48"/>
  <c r="M3313" i="48"/>
  <c r="L3313" i="48"/>
  <c r="M3314" i="48"/>
  <c r="L3314" i="48"/>
  <c r="M3315" i="48"/>
  <c r="L3315" i="48"/>
  <c r="M3316" i="48"/>
  <c r="L3316" i="48"/>
  <c r="M3317" i="48"/>
  <c r="L3317" i="48"/>
  <c r="M3318" i="48"/>
  <c r="L3318" i="48"/>
  <c r="M3326" i="48"/>
  <c r="L3326" i="48"/>
  <c r="M3327" i="48"/>
  <c r="L3327" i="48"/>
  <c r="M3328" i="48"/>
  <c r="L3328" i="48"/>
  <c r="M3329" i="48"/>
  <c r="L3329" i="48"/>
  <c r="M3330" i="48"/>
  <c r="L3330" i="48"/>
  <c r="M3331" i="48"/>
  <c r="L3331" i="48"/>
  <c r="M3332" i="48"/>
  <c r="L3332" i="48"/>
  <c r="M3333" i="48"/>
  <c r="L3333" i="48"/>
  <c r="M3334" i="48"/>
  <c r="L3334" i="48"/>
  <c r="M3335" i="48"/>
  <c r="L3335" i="48"/>
  <c r="M3336" i="48"/>
  <c r="L3336" i="48"/>
  <c r="M3337" i="48"/>
  <c r="L3337" i="48"/>
  <c r="M3338" i="48"/>
  <c r="L3338" i="48"/>
  <c r="M3339" i="48"/>
  <c r="L3339" i="48"/>
  <c r="M3302" i="48"/>
  <c r="L3302" i="48"/>
  <c r="M3341" i="48"/>
  <c r="L3341" i="48"/>
  <c r="M3342" i="48"/>
  <c r="L3342" i="48"/>
  <c r="M3343" i="48"/>
  <c r="L3343" i="48"/>
  <c r="M3344" i="48"/>
  <c r="L3344" i="48"/>
  <c r="M3345" i="48"/>
  <c r="L3345" i="48"/>
  <c r="M3346" i="48"/>
  <c r="L3346" i="48"/>
  <c r="M3347" i="48"/>
  <c r="L3347" i="48"/>
  <c r="M3348" i="48"/>
  <c r="L3348" i="48"/>
  <c r="M3349" i="48"/>
  <c r="L3349" i="48"/>
  <c r="M3350" i="48"/>
  <c r="L3350" i="48"/>
  <c r="M3351" i="48"/>
  <c r="L3351" i="48"/>
  <c r="M3352" i="48"/>
  <c r="L3352" i="48"/>
  <c r="M3353" i="48"/>
  <c r="L3353" i="48"/>
  <c r="M3354" i="48"/>
  <c r="L3354" i="48"/>
  <c r="M3355" i="48"/>
  <c r="L3355" i="48"/>
  <c r="M3356" i="48"/>
  <c r="L3356" i="48"/>
  <c r="M3340" i="48"/>
  <c r="L3340" i="48"/>
  <c r="M3661" i="48"/>
  <c r="L3661" i="48"/>
  <c r="M3662" i="48"/>
  <c r="L3662" i="48"/>
  <c r="M3663" i="48"/>
  <c r="L3663" i="48"/>
  <c r="M3664" i="48"/>
  <c r="L3664" i="48"/>
  <c r="M3665" i="48"/>
  <c r="L3665" i="48"/>
  <c r="M3666" i="48"/>
  <c r="L3666" i="48"/>
  <c r="M3667" i="48"/>
  <c r="L3667" i="48"/>
  <c r="M3668" i="48"/>
  <c r="L3668" i="48"/>
  <c r="M3669" i="48"/>
  <c r="L3669" i="48"/>
  <c r="M3670" i="48"/>
  <c r="L3670" i="48"/>
  <c r="M3671" i="48"/>
  <c r="L3671" i="48"/>
  <c r="M3672" i="48"/>
  <c r="L3672" i="48"/>
  <c r="M3673" i="48"/>
  <c r="L3673" i="48"/>
  <c r="M3674" i="48"/>
  <c r="L3674" i="48"/>
  <c r="M3675" i="48"/>
  <c r="L3675" i="48"/>
  <c r="M3676" i="48"/>
  <c r="L3676" i="48"/>
  <c r="M3677" i="48"/>
  <c r="L3677" i="48"/>
  <c r="M3678" i="48"/>
  <c r="L3678" i="48"/>
  <c r="M3679" i="48"/>
  <c r="L3679" i="48"/>
  <c r="M3680" i="48"/>
  <c r="L3680" i="48"/>
  <c r="M3681" i="48"/>
  <c r="L3681" i="48"/>
  <c r="M3660" i="48"/>
  <c r="L3660" i="48"/>
  <c r="M3358" i="48"/>
  <c r="L3358" i="48"/>
  <c r="M3359" i="48"/>
  <c r="L3359" i="48"/>
  <c r="M3360" i="48"/>
  <c r="L3360" i="48"/>
  <c r="M3361" i="48"/>
  <c r="L3361" i="48"/>
  <c r="M3362" i="48"/>
  <c r="L3362" i="48"/>
  <c r="M3363" i="48"/>
  <c r="L3363" i="48"/>
  <c r="M3364" i="48"/>
  <c r="L3364" i="48"/>
  <c r="M3365" i="48"/>
  <c r="L3365" i="48"/>
  <c r="M3366" i="48"/>
  <c r="L3366" i="48"/>
  <c r="M3367" i="48"/>
  <c r="L3367" i="48"/>
  <c r="M3368" i="48"/>
  <c r="L3368" i="48"/>
  <c r="M3369" i="48"/>
  <c r="L3369" i="48"/>
  <c r="M3370" i="48"/>
  <c r="L3370" i="48"/>
  <c r="M3371" i="48"/>
  <c r="L3371" i="48"/>
  <c r="M3372" i="48"/>
  <c r="L3372" i="48"/>
  <c r="M3373" i="48"/>
  <c r="L3373" i="48"/>
  <c r="M3374" i="48"/>
  <c r="L3374" i="48"/>
  <c r="M3375" i="48"/>
  <c r="L3375" i="48"/>
  <c r="M3376" i="48"/>
  <c r="L3376" i="48"/>
  <c r="M3377" i="48"/>
  <c r="L3377" i="48"/>
  <c r="M3378" i="48"/>
  <c r="L3378" i="48"/>
  <c r="M3379" i="48"/>
  <c r="L3379" i="48"/>
  <c r="M3380" i="48"/>
  <c r="L3380" i="48"/>
  <c r="M3381" i="48"/>
  <c r="L3381" i="48"/>
  <c r="M3382" i="48"/>
  <c r="L3382" i="48"/>
  <c r="M3383" i="48"/>
  <c r="L3383" i="48"/>
  <c r="M3384" i="48"/>
  <c r="L3384" i="48"/>
  <c r="M3385" i="48"/>
  <c r="L3385" i="48"/>
  <c r="M3386" i="48"/>
  <c r="L3386" i="48"/>
  <c r="M3387" i="48"/>
  <c r="L3387" i="48"/>
  <c r="M3388" i="48"/>
  <c r="L3388" i="48"/>
  <c r="M3389" i="48"/>
  <c r="L3389" i="48"/>
  <c r="M3390" i="48"/>
  <c r="L3390" i="48"/>
  <c r="M3391" i="48"/>
  <c r="L3391" i="48"/>
  <c r="M3392" i="48"/>
  <c r="L3392" i="48"/>
  <c r="M3393" i="48"/>
  <c r="L3393" i="48"/>
  <c r="M3394" i="48"/>
  <c r="L3394" i="48"/>
  <c r="M3395" i="48"/>
  <c r="L3395" i="48"/>
  <c r="M3396" i="48"/>
  <c r="L3396" i="48"/>
  <c r="M3397" i="48"/>
  <c r="L3397" i="48"/>
  <c r="M3398" i="48"/>
  <c r="L3398" i="48"/>
  <c r="M3399" i="48"/>
  <c r="L3399" i="48"/>
  <c r="M3400" i="48"/>
  <c r="L3400" i="48"/>
  <c r="M3401" i="48"/>
  <c r="L3401" i="48"/>
  <c r="M3402" i="48"/>
  <c r="L3402" i="48"/>
  <c r="M3403" i="48"/>
  <c r="L3403" i="48"/>
  <c r="M3404" i="48"/>
  <c r="L3404" i="48"/>
  <c r="M3405" i="48"/>
  <c r="L3405" i="48"/>
  <c r="M3406" i="48"/>
  <c r="L3406" i="48"/>
  <c r="M3407" i="48"/>
  <c r="L3407" i="48"/>
  <c r="M3408" i="48"/>
  <c r="L3408" i="48"/>
  <c r="M3409" i="48"/>
  <c r="L3409" i="48"/>
  <c r="M3410" i="48"/>
  <c r="L3410" i="48"/>
  <c r="M3411" i="48"/>
  <c r="L3411" i="48"/>
  <c r="M3412" i="48"/>
  <c r="L3412" i="48"/>
  <c r="M3413" i="48"/>
  <c r="L3413" i="48"/>
  <c r="M3414" i="48"/>
  <c r="L3414" i="48"/>
  <c r="M3415" i="48"/>
  <c r="L3415" i="48"/>
  <c r="M3416" i="48"/>
  <c r="L3416" i="48"/>
  <c r="M3417" i="48"/>
  <c r="L3417" i="48"/>
  <c r="M3418" i="48"/>
  <c r="L3418" i="48"/>
  <c r="M3419" i="48"/>
  <c r="L3419" i="48"/>
  <c r="M3420" i="48"/>
  <c r="L3420" i="48"/>
  <c r="M3421" i="48"/>
  <c r="L3421" i="48"/>
  <c r="M3422" i="48"/>
  <c r="L3422" i="48"/>
  <c r="M3423" i="48"/>
  <c r="L3423" i="48"/>
  <c r="M3424" i="48"/>
  <c r="L3424" i="48"/>
  <c r="M3425" i="48"/>
  <c r="L3425" i="48"/>
  <c r="M3426" i="48"/>
  <c r="L3426" i="48"/>
  <c r="M3427" i="48"/>
  <c r="L3427" i="48"/>
  <c r="M3428" i="48"/>
  <c r="L3428" i="48"/>
  <c r="M3429" i="48"/>
  <c r="L3429" i="48"/>
  <c r="M3430" i="48"/>
  <c r="L3430" i="48"/>
  <c r="M3431" i="48"/>
  <c r="L3431" i="48"/>
  <c r="M3432" i="48"/>
  <c r="L3432" i="48"/>
  <c r="M3433" i="48"/>
  <c r="L3433" i="48"/>
  <c r="M3434" i="48"/>
  <c r="L3434" i="48"/>
  <c r="M3435" i="48"/>
  <c r="L3435" i="48"/>
  <c r="M3436" i="48"/>
  <c r="L3436" i="48"/>
  <c r="M3437" i="48"/>
  <c r="L3437" i="48"/>
  <c r="M3438" i="48"/>
  <c r="L3438" i="48"/>
  <c r="M3439" i="48"/>
  <c r="L3439" i="48"/>
  <c r="M3440" i="48"/>
  <c r="L3440" i="48"/>
  <c r="M3441" i="48"/>
  <c r="L3441" i="48"/>
  <c r="M3442" i="48"/>
  <c r="L3442" i="48"/>
  <c r="M3443" i="48"/>
  <c r="L3443" i="48"/>
  <c r="M3444" i="48"/>
  <c r="L3444" i="48"/>
  <c r="M3445" i="48"/>
  <c r="L3445" i="48"/>
  <c r="M3446" i="48"/>
  <c r="L3446" i="48"/>
  <c r="M3447" i="48"/>
  <c r="L3447" i="48"/>
  <c r="M3448" i="48"/>
  <c r="L3448" i="48"/>
  <c r="M3449" i="48"/>
  <c r="L3449" i="48"/>
  <c r="M3450" i="48"/>
  <c r="L3450" i="48"/>
  <c r="M3451" i="48"/>
  <c r="L3451" i="48"/>
  <c r="M3452" i="48"/>
  <c r="L3452" i="48"/>
  <c r="M3453" i="48"/>
  <c r="L3453" i="48"/>
  <c r="M3454" i="48"/>
  <c r="L3454" i="48"/>
  <c r="M3455" i="48"/>
  <c r="L3455" i="48"/>
  <c r="M3456" i="48"/>
  <c r="L3456" i="48"/>
  <c r="M3457" i="48"/>
  <c r="L3457" i="48"/>
  <c r="M3458" i="48"/>
  <c r="L3458" i="48"/>
  <c r="M3459" i="48"/>
  <c r="L3459" i="48"/>
  <c r="M3460" i="48"/>
  <c r="L3460" i="48"/>
  <c r="M3461" i="48"/>
  <c r="L3461" i="48"/>
  <c r="M3462" i="48"/>
  <c r="L3462" i="48"/>
  <c r="M3463" i="48"/>
  <c r="L3463" i="48"/>
  <c r="M3464" i="48"/>
  <c r="L3464" i="48"/>
  <c r="M3465" i="48"/>
  <c r="L3465" i="48"/>
  <c r="M3466" i="48"/>
  <c r="L3466" i="48"/>
  <c r="M3467" i="48"/>
  <c r="L3467" i="48"/>
  <c r="M3468" i="48"/>
  <c r="L3468" i="48"/>
  <c r="M3469" i="48"/>
  <c r="L3469" i="48"/>
  <c r="M3470" i="48"/>
  <c r="L3470" i="48"/>
  <c r="M3471" i="48"/>
  <c r="L3471" i="48"/>
  <c r="M3472" i="48"/>
  <c r="L3472" i="48"/>
  <c r="M3473" i="48"/>
  <c r="L3473" i="48"/>
  <c r="M3474" i="48"/>
  <c r="L3474" i="48"/>
  <c r="M3475" i="48"/>
  <c r="L3475" i="48"/>
  <c r="M3476" i="48"/>
  <c r="L3476" i="48"/>
  <c r="M3477" i="48"/>
  <c r="L3477" i="48"/>
  <c r="M3478" i="48"/>
  <c r="L3478" i="48"/>
  <c r="M3479" i="48"/>
  <c r="L3479" i="48"/>
  <c r="M3480" i="48"/>
  <c r="L3480" i="48"/>
  <c r="M3481" i="48"/>
  <c r="L3481" i="48"/>
  <c r="M3482" i="48"/>
  <c r="L3482" i="48"/>
  <c r="M3483" i="48"/>
  <c r="L3483" i="48"/>
  <c r="M3484" i="48"/>
  <c r="L3484" i="48"/>
  <c r="M3485" i="48"/>
  <c r="L3485" i="48"/>
  <c r="M3486" i="48"/>
  <c r="L3486" i="48"/>
  <c r="M3487" i="48"/>
  <c r="L3487" i="48"/>
  <c r="M3488" i="48"/>
  <c r="L3488" i="48"/>
  <c r="M3489" i="48"/>
  <c r="L3489" i="48"/>
  <c r="M3490" i="48"/>
  <c r="L3490" i="48"/>
  <c r="M3491" i="48"/>
  <c r="L3491" i="48"/>
  <c r="M3492" i="48"/>
  <c r="L3492" i="48"/>
  <c r="M3493" i="48"/>
  <c r="L3493" i="48"/>
  <c r="M3494" i="48"/>
  <c r="L3494" i="48"/>
  <c r="M3495" i="48"/>
  <c r="L3495" i="48"/>
  <c r="M3496" i="48"/>
  <c r="L3496" i="48"/>
  <c r="M3497" i="48"/>
  <c r="L3497" i="48"/>
  <c r="M3498" i="48"/>
  <c r="L3498" i="48"/>
  <c r="M3499" i="48"/>
  <c r="L3499" i="48"/>
  <c r="M3500" i="48"/>
  <c r="L3500" i="48"/>
  <c r="M3501" i="48"/>
  <c r="L3501" i="48"/>
  <c r="M3502" i="48"/>
  <c r="L3502" i="48"/>
  <c r="M3503" i="48"/>
  <c r="L3503" i="48"/>
  <c r="M3504" i="48"/>
  <c r="L3504" i="48"/>
  <c r="M3505" i="48"/>
  <c r="L3505" i="48"/>
  <c r="M3506" i="48"/>
  <c r="L3506" i="48"/>
  <c r="M3507" i="48"/>
  <c r="L3507" i="48"/>
  <c r="M3508" i="48"/>
  <c r="L3508" i="48"/>
  <c r="M3509" i="48"/>
  <c r="L3509" i="48"/>
  <c r="M3510" i="48"/>
  <c r="L3510" i="48"/>
  <c r="M3511" i="48"/>
  <c r="L3511" i="48"/>
  <c r="M3512" i="48"/>
  <c r="L3512" i="48"/>
  <c r="M3513" i="48"/>
  <c r="L3513" i="48"/>
  <c r="M3514" i="48"/>
  <c r="L3514" i="48"/>
  <c r="M3515" i="48"/>
  <c r="L3515" i="48"/>
  <c r="M3516" i="48"/>
  <c r="L3516" i="48"/>
  <c r="M3517" i="48"/>
  <c r="L3517" i="48"/>
  <c r="M3518" i="48"/>
  <c r="L3518" i="48"/>
  <c r="M3519" i="48"/>
  <c r="L3519" i="48"/>
  <c r="M3520" i="48"/>
  <c r="L3520" i="48"/>
  <c r="M3521" i="48"/>
  <c r="L3521" i="48"/>
  <c r="M3522" i="48"/>
  <c r="L3522" i="48"/>
  <c r="M3523" i="48"/>
  <c r="L3523" i="48"/>
  <c r="M3524" i="48"/>
  <c r="L3524" i="48"/>
  <c r="M3525" i="48"/>
  <c r="L3525" i="48"/>
  <c r="M3526" i="48"/>
  <c r="L3526" i="48"/>
  <c r="M3527" i="48"/>
  <c r="L3527" i="48"/>
  <c r="M3528" i="48"/>
  <c r="L3528" i="48"/>
  <c r="M3529" i="48"/>
  <c r="L3529" i="48"/>
  <c r="M3530" i="48"/>
  <c r="L3530" i="48"/>
  <c r="M3531" i="48"/>
  <c r="L3531" i="48"/>
  <c r="M3532" i="48"/>
  <c r="L3532" i="48"/>
  <c r="M3533" i="48"/>
  <c r="L3533" i="48"/>
  <c r="M3534" i="48"/>
  <c r="L3534" i="48"/>
  <c r="M3535" i="48"/>
  <c r="L3535" i="48"/>
  <c r="M3536" i="48"/>
  <c r="L3536" i="48"/>
  <c r="M3537" i="48"/>
  <c r="L3537" i="48"/>
  <c r="M3538" i="48"/>
  <c r="L3538" i="48"/>
  <c r="M3539" i="48"/>
  <c r="L3539" i="48"/>
  <c r="M3540" i="48"/>
  <c r="L3540" i="48"/>
  <c r="M3541" i="48"/>
  <c r="L3541" i="48"/>
  <c r="M3542" i="48"/>
  <c r="L3542" i="48"/>
  <c r="M3543" i="48"/>
  <c r="L3543" i="48"/>
  <c r="M3544" i="48"/>
  <c r="L3544" i="48"/>
  <c r="M3545" i="48"/>
  <c r="L3545" i="48"/>
  <c r="M3546" i="48"/>
  <c r="L3546" i="48"/>
  <c r="M3547" i="48"/>
  <c r="L3547" i="48"/>
  <c r="M3548" i="48"/>
  <c r="L3548" i="48"/>
  <c r="M3549" i="48"/>
  <c r="L3549" i="48"/>
  <c r="M3550" i="48"/>
  <c r="L3550" i="48"/>
  <c r="M3551" i="48"/>
  <c r="L3551" i="48"/>
  <c r="M3552" i="48"/>
  <c r="L3552" i="48"/>
  <c r="M3553" i="48"/>
  <c r="L3553" i="48"/>
  <c r="M3554" i="48"/>
  <c r="L3554" i="48"/>
  <c r="M3555" i="48"/>
  <c r="L3555" i="48"/>
  <c r="M3556" i="48"/>
  <c r="L3556" i="48"/>
  <c r="M3557" i="48"/>
  <c r="L3557" i="48"/>
  <c r="M3558" i="48"/>
  <c r="L3558" i="48"/>
  <c r="M3559" i="48"/>
  <c r="L3559" i="48"/>
  <c r="M3560" i="48"/>
  <c r="L3560" i="48"/>
  <c r="M3561" i="48"/>
  <c r="L3561" i="48"/>
  <c r="M3562" i="48"/>
  <c r="L3562" i="48"/>
  <c r="M3563" i="48"/>
  <c r="L3563" i="48"/>
  <c r="M3564" i="48"/>
  <c r="L3564" i="48"/>
  <c r="M3565" i="48"/>
  <c r="L3565" i="48"/>
  <c r="M3566" i="48"/>
  <c r="L3566" i="48"/>
  <c r="M3567" i="48"/>
  <c r="L3567" i="48"/>
  <c r="M3568" i="48"/>
  <c r="L3568" i="48"/>
  <c r="M3569" i="48"/>
  <c r="L3569" i="48"/>
  <c r="M3570" i="48"/>
  <c r="L3570" i="48"/>
  <c r="M3571" i="48"/>
  <c r="L3571" i="48"/>
  <c r="M3572" i="48"/>
  <c r="L3572" i="48"/>
  <c r="M3573" i="48"/>
  <c r="L3573" i="48"/>
  <c r="M3574" i="48"/>
  <c r="L3574" i="48"/>
  <c r="L3575" i="48"/>
  <c r="M3576" i="48"/>
  <c r="L3576" i="48"/>
  <c r="M3577" i="48"/>
  <c r="L3577" i="48"/>
  <c r="M3578" i="48"/>
  <c r="L3578" i="48"/>
  <c r="M3579" i="48"/>
  <c r="L3579" i="48"/>
  <c r="M3580" i="48"/>
  <c r="L3580" i="48"/>
  <c r="M3581" i="48"/>
  <c r="L3581" i="48"/>
  <c r="M3582" i="48"/>
  <c r="L3582" i="48"/>
  <c r="M3583" i="48"/>
  <c r="L3583" i="48"/>
  <c r="M3584" i="48"/>
  <c r="L3584" i="48"/>
  <c r="M3585" i="48"/>
  <c r="L3585" i="48"/>
  <c r="M3586" i="48"/>
  <c r="L3586" i="48"/>
  <c r="M3587" i="48"/>
  <c r="L3587" i="48"/>
  <c r="M3588" i="48"/>
  <c r="L3588" i="48"/>
  <c r="M3589" i="48"/>
  <c r="L3589" i="48"/>
  <c r="M3590" i="48"/>
  <c r="L3590" i="48"/>
  <c r="M3591" i="48"/>
  <c r="L3591" i="48"/>
  <c r="M3592" i="48"/>
  <c r="L3592" i="48"/>
  <c r="M3593" i="48"/>
  <c r="L3593" i="48"/>
  <c r="M3594" i="48"/>
  <c r="L3594" i="48"/>
  <c r="M3595" i="48"/>
  <c r="L3595" i="48"/>
  <c r="M3596" i="48"/>
  <c r="L3596" i="48"/>
  <c r="M3597" i="48"/>
  <c r="L3597" i="48"/>
  <c r="M3598" i="48"/>
  <c r="L3598" i="48"/>
  <c r="M3599" i="48"/>
  <c r="L3599" i="48"/>
  <c r="M3600" i="48"/>
  <c r="L3600" i="48"/>
  <c r="M3601" i="48"/>
  <c r="L3601" i="48"/>
  <c r="M3602" i="48"/>
  <c r="L3602" i="48"/>
  <c r="M3603" i="48"/>
  <c r="L3603" i="48"/>
  <c r="M3604" i="48"/>
  <c r="L3604" i="48"/>
  <c r="M3605" i="48"/>
  <c r="L3605" i="48"/>
  <c r="M3606" i="48"/>
  <c r="L3606" i="48"/>
  <c r="M3607" i="48"/>
  <c r="L3607" i="48"/>
  <c r="M3608" i="48"/>
  <c r="L3608" i="48"/>
  <c r="M3609" i="48"/>
  <c r="L3609" i="48"/>
  <c r="M3610" i="48"/>
  <c r="L3610" i="48"/>
  <c r="M3611" i="48"/>
  <c r="L3611" i="48"/>
  <c r="M3612" i="48"/>
  <c r="L3612" i="48"/>
  <c r="M3613" i="48"/>
  <c r="L3613" i="48"/>
  <c r="M3614" i="48"/>
  <c r="L3614" i="48"/>
  <c r="M3615" i="48"/>
  <c r="L3615" i="48"/>
  <c r="M3616" i="48"/>
  <c r="L3616" i="48"/>
  <c r="M3617" i="48"/>
  <c r="L3617" i="48"/>
  <c r="M3618" i="48"/>
  <c r="L3618" i="48"/>
  <c r="M3619" i="48"/>
  <c r="L3619" i="48"/>
  <c r="M3620" i="48"/>
  <c r="L3620" i="48"/>
  <c r="M3621" i="48"/>
  <c r="L3621" i="48"/>
  <c r="M3622" i="48"/>
  <c r="L3622" i="48"/>
  <c r="M3623" i="48"/>
  <c r="L3623" i="48"/>
  <c r="M3624" i="48"/>
  <c r="L3624" i="48"/>
  <c r="M3625" i="48"/>
  <c r="L3625" i="48"/>
  <c r="M3626" i="48"/>
  <c r="L3626" i="48"/>
  <c r="M3627" i="48"/>
  <c r="L3627" i="48"/>
  <c r="M3628" i="48"/>
  <c r="L3628" i="48"/>
  <c r="M3629" i="48"/>
  <c r="L3629" i="48"/>
  <c r="M3630" i="48"/>
  <c r="L3630" i="48"/>
  <c r="M3631" i="48"/>
  <c r="L3631" i="48"/>
  <c r="M3632" i="48"/>
  <c r="L3632" i="48"/>
  <c r="M3633" i="48"/>
  <c r="L3633" i="48"/>
  <c r="M3634" i="48"/>
  <c r="L3634" i="48"/>
  <c r="M3635" i="48"/>
  <c r="L3635" i="48"/>
  <c r="M3636" i="48"/>
  <c r="L3636" i="48"/>
  <c r="M3637" i="48"/>
  <c r="L3637" i="48"/>
  <c r="M3638" i="48"/>
  <c r="L3638" i="48"/>
  <c r="M3639" i="48"/>
  <c r="L3639" i="48"/>
  <c r="M3640" i="48"/>
  <c r="L3640" i="48"/>
  <c r="M3641" i="48"/>
  <c r="L3641" i="48"/>
  <c r="M3642" i="48"/>
  <c r="L3642" i="48"/>
  <c r="M3643" i="48"/>
  <c r="L3643" i="48"/>
  <c r="M3644" i="48"/>
  <c r="L3644" i="48"/>
  <c r="M3645" i="48"/>
  <c r="L3645" i="48"/>
  <c r="M3646" i="48"/>
  <c r="L3646" i="48"/>
  <c r="M3647" i="48"/>
  <c r="L3647" i="48"/>
  <c r="M3648" i="48"/>
  <c r="L3648" i="48"/>
  <c r="M3649" i="48"/>
  <c r="L3649" i="48"/>
  <c r="M3650" i="48"/>
  <c r="L3650" i="48"/>
  <c r="M3651" i="48"/>
  <c r="L3651" i="48"/>
  <c r="M3652" i="48"/>
  <c r="L3652" i="48"/>
  <c r="M3653" i="48"/>
  <c r="L3653" i="48"/>
  <c r="M3654" i="48"/>
  <c r="L3654" i="48"/>
  <c r="M3655" i="48"/>
  <c r="L3655" i="48"/>
  <c r="M3656" i="48"/>
  <c r="L3656" i="48"/>
  <c r="M3657" i="48"/>
  <c r="L3657" i="48"/>
  <c r="M3658" i="48"/>
  <c r="L3658" i="48"/>
  <c r="L3659" i="48"/>
  <c r="M3357" i="48"/>
  <c r="L3357" i="48"/>
  <c r="CW17" i="1"/>
  <c r="CV17" i="1"/>
  <c r="CU17" i="1"/>
  <c r="CT17" i="1"/>
  <c r="CX13" i="1"/>
  <c r="CY13" i="1"/>
  <c r="CX12" i="1"/>
  <c r="CY12" i="1"/>
  <c r="CX11" i="1"/>
  <c r="CX10" i="1"/>
  <c r="CX9" i="1"/>
  <c r="CX8" i="1"/>
  <c r="CY8" i="1"/>
  <c r="CX7" i="1"/>
  <c r="CY7" i="1"/>
  <c r="CX6" i="1"/>
  <c r="CY6" i="1"/>
  <c r="CX5" i="1"/>
  <c r="CX4" i="1"/>
  <c r="CY4" i="1"/>
  <c r="CX3" i="1"/>
  <c r="CX2" i="1"/>
  <c r="CR11" i="1"/>
  <c r="P24" i="24"/>
  <c r="P8" i="24"/>
  <c r="CR13" i="1"/>
  <c r="CQ40" i="1"/>
  <c r="CR8" i="1"/>
  <c r="P12" i="24"/>
  <c r="CR7" i="1"/>
  <c r="P16" i="24"/>
  <c r="CQ30" i="1"/>
  <c r="CR5" i="1"/>
  <c r="CR25" i="1"/>
  <c r="CS25" i="1"/>
  <c r="P23" i="24"/>
  <c r="CQ20" i="1"/>
  <c r="CR3" i="1"/>
  <c r="CR2" i="1"/>
  <c r="J12" i="30"/>
  <c r="C12" i="30"/>
  <c r="E12" i="30"/>
  <c r="G12" i="30"/>
  <c r="L11" i="30"/>
  <c r="J11" i="30"/>
  <c r="C11" i="30"/>
  <c r="E11" i="30"/>
  <c r="G11" i="30"/>
  <c r="J10" i="30"/>
  <c r="C10" i="30"/>
  <c r="E10" i="30"/>
  <c r="G10" i="30"/>
  <c r="J9" i="30"/>
  <c r="C9" i="30"/>
  <c r="L9" i="30"/>
  <c r="J8" i="30"/>
  <c r="C8" i="30"/>
  <c r="E8" i="30"/>
  <c r="G8" i="30"/>
  <c r="W9" i="59"/>
  <c r="W10" i="59"/>
  <c r="W8" i="59"/>
  <c r="X8" i="59"/>
  <c r="X9" i="59"/>
  <c r="X10" i="59"/>
  <c r="Y8" i="59"/>
  <c r="Y9" i="59"/>
  <c r="Y10" i="59"/>
  <c r="CX14" i="1"/>
  <c r="CX16" i="1"/>
  <c r="CY17" i="1"/>
  <c r="Q6" i="24"/>
  <c r="CY14" i="1"/>
  <c r="CY16" i="1"/>
  <c r="CX17" i="1"/>
  <c r="Q4" i="24"/>
  <c r="H11" i="30"/>
  <c r="I11" i="30"/>
  <c r="K11" i="30"/>
  <c r="M11" i="30"/>
  <c r="N11" i="30"/>
  <c r="H8" i="30"/>
  <c r="I8" i="30"/>
  <c r="K8" i="30"/>
  <c r="H10" i="30"/>
  <c r="I10" i="30"/>
  <c r="K10" i="30"/>
  <c r="H12" i="30"/>
  <c r="I12" i="30"/>
  <c r="K12" i="30"/>
  <c r="E9" i="30"/>
  <c r="G9" i="30"/>
  <c r="L10" i="30"/>
  <c r="L8" i="30"/>
  <c r="L12" i="30"/>
  <c r="Q2" i="24"/>
  <c r="Q1" i="24"/>
  <c r="Q8" i="24"/>
  <c r="AC52" i="31"/>
  <c r="AC53" i="31"/>
  <c r="AD52" i="31"/>
  <c r="AD53" i="31"/>
  <c r="M8" i="30"/>
  <c r="N8" i="30"/>
  <c r="M10" i="30"/>
  <c r="N10" i="30"/>
  <c r="M12" i="30"/>
  <c r="N12" i="30"/>
  <c r="H9" i="30"/>
  <c r="I9" i="30"/>
  <c r="K9" i="30"/>
  <c r="M9" i="30"/>
  <c r="N9" i="30"/>
  <c r="AE52" i="31"/>
  <c r="AE53" i="31"/>
  <c r="B24" i="38"/>
  <c r="J24" i="38"/>
  <c r="R24" i="38"/>
  <c r="CO17" i="1"/>
  <c r="CN17" i="1"/>
  <c r="CM17" i="1"/>
  <c r="CQ12" i="1"/>
  <c r="CR12" i="1"/>
  <c r="CQ11" i="1"/>
  <c r="CQ10" i="1"/>
  <c r="CR10" i="1"/>
  <c r="CQ9" i="1"/>
  <c r="CR9" i="1"/>
  <c r="CQ8" i="1"/>
  <c r="CQ7" i="1"/>
  <c r="CQ6" i="1"/>
  <c r="CR6" i="1"/>
  <c r="CQ5" i="1"/>
  <c r="CQ4" i="1"/>
  <c r="CR4" i="1"/>
  <c r="CQ3" i="1"/>
  <c r="CQ2" i="1"/>
  <c r="CP17" i="1"/>
  <c r="O16" i="24"/>
  <c r="O20" i="24"/>
  <c r="CK13" i="1"/>
  <c r="CK12" i="1"/>
  <c r="CK11" i="1"/>
  <c r="M24" i="38"/>
  <c r="N24" i="38"/>
  <c r="AF52" i="31"/>
  <c r="AF53" i="31"/>
  <c r="CR17" i="1"/>
  <c r="CR14" i="1"/>
  <c r="CR16" i="1"/>
  <c r="CQ14" i="1"/>
  <c r="CQ16" i="1"/>
  <c r="CQ17" i="1"/>
  <c r="AM78" i="26"/>
  <c r="AM79" i="26"/>
  <c r="AM80" i="26"/>
  <c r="AD80" i="26"/>
  <c r="AM75" i="26"/>
  <c r="AM59" i="26"/>
  <c r="AM60" i="26"/>
  <c r="AM61" i="26"/>
  <c r="AD61" i="26"/>
  <c r="AM56" i="26"/>
  <c r="AI50" i="26"/>
  <c r="AF50" i="26"/>
  <c r="AI49" i="26"/>
  <c r="AF49" i="26"/>
  <c r="AI48" i="26"/>
  <c r="AF48" i="26"/>
  <c r="AI47" i="26"/>
  <c r="AF47" i="26"/>
  <c r="AI46" i="26"/>
  <c r="AF46" i="26"/>
  <c r="AI45" i="26"/>
  <c r="AF45" i="26"/>
  <c r="AI44" i="26"/>
  <c r="AF44" i="26"/>
  <c r="AI43" i="26"/>
  <c r="AF43" i="26"/>
  <c r="AI42" i="26"/>
  <c r="AF42" i="26"/>
  <c r="AI41" i="26"/>
  <c r="AF41" i="26"/>
  <c r="AG41" i="26"/>
  <c r="AH41" i="26"/>
  <c r="AE41" i="26"/>
  <c r="Q12" i="34"/>
  <c r="Q8" i="34"/>
  <c r="AA17" i="34"/>
  <c r="AA7" i="34"/>
  <c r="AA8" i="34"/>
  <c r="AA12" i="34"/>
  <c r="AA11" i="34"/>
  <c r="AA10" i="34"/>
  <c r="AA9" i="34"/>
  <c r="Q9" i="34"/>
  <c r="Q10" i="34"/>
  <c r="Q11" i="34"/>
  <c r="Q13" i="34"/>
  <c r="R79" i="26"/>
  <c r="R80" i="26"/>
  <c r="I80" i="26"/>
  <c r="R60" i="26"/>
  <c r="R61" i="26"/>
  <c r="I61" i="26"/>
  <c r="K50" i="26"/>
  <c r="K49" i="26"/>
  <c r="K48" i="26"/>
  <c r="K47" i="26"/>
  <c r="K46" i="26"/>
  <c r="K45" i="26"/>
  <c r="K44" i="26"/>
  <c r="K43" i="26"/>
  <c r="K42" i="26"/>
  <c r="N50" i="26"/>
  <c r="N49" i="26"/>
  <c r="N48" i="26"/>
  <c r="N47" i="26"/>
  <c r="K41" i="26"/>
  <c r="N46" i="26"/>
  <c r="N45" i="26"/>
  <c r="N44" i="26"/>
  <c r="N43" i="26"/>
  <c r="N42" i="26"/>
  <c r="N41" i="26"/>
  <c r="J41" i="26"/>
  <c r="Q14" i="34"/>
  <c r="Q15" i="34"/>
  <c r="Q16" i="34"/>
  <c r="Q17" i="34"/>
  <c r="Q18" i="34"/>
  <c r="Q19" i="34"/>
  <c r="Q20" i="34"/>
  <c r="Q21" i="34"/>
  <c r="Q22" i="34"/>
  <c r="Q23" i="34"/>
  <c r="Q24" i="34"/>
  <c r="Q25" i="34"/>
  <c r="Q26" i="34"/>
  <c r="Q27" i="34"/>
  <c r="Q28" i="34"/>
  <c r="Q29" i="34"/>
  <c r="Q30" i="34"/>
  <c r="Q31" i="34"/>
  <c r="Q32" i="34"/>
  <c r="Q33" i="34"/>
  <c r="Q34" i="34"/>
  <c r="Q35" i="34"/>
  <c r="Q36" i="34"/>
  <c r="Q37" i="34"/>
  <c r="Q38" i="34"/>
  <c r="Q39" i="34"/>
  <c r="Q40" i="34"/>
  <c r="Q41" i="34"/>
  <c r="Q42" i="34"/>
  <c r="Q43" i="34"/>
  <c r="Q44" i="34"/>
  <c r="Q45" i="34"/>
  <c r="Q46" i="34"/>
  <c r="Q47" i="34"/>
  <c r="Q48" i="34"/>
  <c r="Q49" i="34"/>
  <c r="Q50" i="34"/>
  <c r="Q51" i="34"/>
  <c r="Q52" i="34"/>
  <c r="Q53" i="34"/>
  <c r="Q54" i="34"/>
  <c r="Q55" i="34"/>
  <c r="Q56" i="34"/>
  <c r="Q57" i="34"/>
  <c r="Q58" i="34"/>
  <c r="Q59" i="34"/>
  <c r="Q60" i="34"/>
  <c r="Q7" i="34"/>
  <c r="BE35" i="31"/>
  <c r="BE37" i="31"/>
  <c r="BE38" i="31"/>
  <c r="BE39" i="31"/>
  <c r="BE40" i="31"/>
  <c r="BE2" i="31"/>
  <c r="BE3" i="31"/>
  <c r="BE4" i="31"/>
  <c r="BE5" i="31"/>
  <c r="BE6" i="31"/>
  <c r="BE7" i="31"/>
  <c r="BE8" i="31"/>
  <c r="BE9" i="31"/>
  <c r="BE10" i="31"/>
  <c r="BE11" i="31"/>
  <c r="BE12" i="31"/>
  <c r="BE13" i="31"/>
  <c r="BE14" i="31"/>
  <c r="BE15" i="31"/>
  <c r="BE16" i="31"/>
  <c r="BE17" i="31"/>
  <c r="BE18" i="31"/>
  <c r="BE19" i="31"/>
  <c r="BE20" i="31"/>
  <c r="BE21" i="31"/>
  <c r="BE22" i="31"/>
  <c r="BE23" i="31"/>
  <c r="BE24" i="31"/>
  <c r="BE25" i="31"/>
  <c r="BE26" i="31"/>
  <c r="BE27" i="31"/>
  <c r="BE28" i="31"/>
  <c r="BE29" i="31"/>
  <c r="BE30" i="31"/>
  <c r="BE31" i="31"/>
  <c r="BE32" i="31"/>
  <c r="BE33" i="31"/>
  <c r="BE34" i="31"/>
  <c r="BE36" i="31"/>
  <c r="BE41" i="31"/>
  <c r="BG41" i="31"/>
  <c r="AX41" i="36"/>
  <c r="D41" i="36"/>
  <c r="AQ42" i="36"/>
  <c r="D41" i="31"/>
  <c r="E3" i="37"/>
  <c r="E4" i="37"/>
  <c r="E5" i="37"/>
  <c r="E6" i="37"/>
  <c r="E7" i="37"/>
  <c r="E8" i="37"/>
  <c r="E9" i="37"/>
  <c r="E10" i="37"/>
  <c r="E11" i="37"/>
  <c r="E12" i="37"/>
  <c r="E13" i="37"/>
  <c r="E14" i="37"/>
  <c r="E15" i="37"/>
  <c r="E16" i="37"/>
  <c r="E17" i="37"/>
  <c r="E18" i="37"/>
  <c r="AU42" i="36"/>
  <c r="AT42" i="36"/>
  <c r="AS42" i="36"/>
  <c r="AR42" i="36"/>
  <c r="AP42" i="36"/>
  <c r="AN42" i="36"/>
  <c r="AM42" i="36"/>
  <c r="AL42" i="36"/>
  <c r="AK42" i="36"/>
  <c r="AJ42" i="36"/>
  <c r="AI42" i="36"/>
  <c r="AH42" i="36"/>
  <c r="AG42" i="36"/>
  <c r="AF42" i="36"/>
  <c r="AE42" i="36"/>
  <c r="AD42" i="36"/>
  <c r="AC42" i="36"/>
  <c r="AB42" i="36"/>
  <c r="AA42" i="36"/>
  <c r="Z42" i="36"/>
  <c r="Y42" i="36"/>
  <c r="X42" i="36"/>
  <c r="V42" i="36"/>
  <c r="U42" i="36"/>
  <c r="T42" i="36"/>
  <c r="S42" i="36"/>
  <c r="R42" i="36"/>
  <c r="Q42" i="36"/>
  <c r="P42" i="36"/>
  <c r="O42" i="36"/>
  <c r="N42" i="36"/>
  <c r="M42" i="36"/>
  <c r="L42" i="36"/>
  <c r="K42" i="36"/>
  <c r="J42" i="36"/>
  <c r="I42" i="36"/>
  <c r="H42" i="36"/>
  <c r="G42" i="36"/>
  <c r="F42" i="36"/>
  <c r="E42" i="36"/>
  <c r="BC42" i="31"/>
  <c r="BB42" i="31"/>
  <c r="BA42" i="31"/>
  <c r="AZ42" i="31"/>
  <c r="AY42" i="31"/>
  <c r="AX42" i="31"/>
  <c r="AW42" i="31"/>
  <c r="AV42" i="31"/>
  <c r="AU42" i="31"/>
  <c r="AT42" i="31"/>
  <c r="AS42" i="31"/>
  <c r="AR42" i="31"/>
  <c r="AQ42" i="31"/>
  <c r="AP42" i="31"/>
  <c r="AO42" i="31"/>
  <c r="AN42" i="31"/>
  <c r="AM42" i="31"/>
  <c r="AL42" i="31"/>
  <c r="AK42" i="31"/>
  <c r="AJ42" i="31"/>
  <c r="AI42" i="31"/>
  <c r="AH42" i="31"/>
  <c r="AG42" i="31"/>
  <c r="AF42" i="31"/>
  <c r="AE42" i="31"/>
  <c r="AD42" i="31"/>
  <c r="AC42" i="31"/>
  <c r="AB42" i="31"/>
  <c r="Z42" i="31"/>
  <c r="Y42" i="31"/>
  <c r="X42" i="31"/>
  <c r="W42" i="31"/>
  <c r="V42" i="31"/>
  <c r="U42" i="31"/>
  <c r="Q42" i="31"/>
  <c r="P42" i="31"/>
  <c r="O42" i="31"/>
  <c r="N42" i="31"/>
  <c r="M42" i="31"/>
  <c r="L42" i="31"/>
  <c r="K42" i="31"/>
  <c r="J42" i="31"/>
  <c r="X4" i="22"/>
  <c r="Y4" i="22"/>
  <c r="Z4" i="22"/>
  <c r="AA4" i="22"/>
  <c r="AB4" i="22"/>
  <c r="AC4" i="22"/>
  <c r="AD4" i="22"/>
  <c r="AE4" i="22"/>
  <c r="AF4" i="22"/>
  <c r="AG4" i="22"/>
  <c r="AH4" i="22"/>
  <c r="AI4" i="22"/>
  <c r="X11" i="22"/>
  <c r="Y11" i="22"/>
  <c r="Z11" i="22"/>
  <c r="AA11" i="22"/>
  <c r="AB11" i="22"/>
  <c r="AC11" i="22"/>
  <c r="AD11" i="22"/>
  <c r="AE11" i="22"/>
  <c r="AF11" i="22"/>
  <c r="AG11" i="22"/>
  <c r="AH11" i="22"/>
  <c r="AI11" i="22"/>
  <c r="L41" i="26"/>
  <c r="M41" i="26"/>
  <c r="Q41" i="26"/>
  <c r="AG52" i="31"/>
  <c r="AG53" i="31"/>
  <c r="T42" i="31"/>
  <c r="S42" i="31"/>
  <c r="R42" i="31"/>
  <c r="BH41" i="31"/>
  <c r="H61" i="26"/>
  <c r="R41" i="26"/>
  <c r="S41" i="26"/>
  <c r="H80" i="26"/>
  <c r="AL41" i="26"/>
  <c r="AM41" i="26"/>
  <c r="AN41" i="26"/>
  <c r="AD42" i="26"/>
  <c r="AJ41" i="26"/>
  <c r="AK41" i="26"/>
  <c r="AG61" i="26"/>
  <c r="AH61" i="26"/>
  <c r="AG80" i="26"/>
  <c r="AH80" i="26"/>
  <c r="AC80" i="26"/>
  <c r="AE80" i="26"/>
  <c r="AC61" i="26"/>
  <c r="AE61" i="26"/>
  <c r="J80" i="26"/>
  <c r="J61" i="26"/>
  <c r="O41" i="26"/>
  <c r="P41" i="26"/>
  <c r="I42" i="26"/>
  <c r="L61" i="26"/>
  <c r="M61" i="26"/>
  <c r="AO42" i="36"/>
  <c r="N375" i="46"/>
  <c r="M375" i="46"/>
  <c r="L375" i="46"/>
  <c r="K375" i="46"/>
  <c r="J375" i="46"/>
  <c r="I375" i="46"/>
  <c r="N374" i="46"/>
  <c r="M374" i="46"/>
  <c r="L374" i="46"/>
  <c r="K374" i="46"/>
  <c r="J374" i="46"/>
  <c r="I374" i="46"/>
  <c r="N373" i="46"/>
  <c r="M373" i="46"/>
  <c r="L373" i="46"/>
  <c r="K373" i="46"/>
  <c r="J373" i="46"/>
  <c r="I373" i="46"/>
  <c r="N372" i="46"/>
  <c r="M372" i="46"/>
  <c r="L372" i="46"/>
  <c r="K372" i="46"/>
  <c r="J372" i="46"/>
  <c r="I372" i="46"/>
  <c r="N371" i="46"/>
  <c r="M371" i="46"/>
  <c r="L371" i="46"/>
  <c r="K371" i="46"/>
  <c r="J371" i="46"/>
  <c r="I371" i="46"/>
  <c r="N370" i="46"/>
  <c r="M370" i="46"/>
  <c r="L370" i="46"/>
  <c r="K370" i="46"/>
  <c r="J370" i="46"/>
  <c r="I370" i="46"/>
  <c r="N369" i="46"/>
  <c r="M369" i="46"/>
  <c r="L369" i="46"/>
  <c r="K369" i="46"/>
  <c r="J369" i="46"/>
  <c r="I369" i="46"/>
  <c r="N368" i="46"/>
  <c r="M368" i="46"/>
  <c r="L368" i="46"/>
  <c r="K368" i="46"/>
  <c r="J368" i="46"/>
  <c r="I368" i="46"/>
  <c r="N367" i="46"/>
  <c r="M367" i="46"/>
  <c r="L367" i="46"/>
  <c r="K367" i="46"/>
  <c r="J367" i="46"/>
  <c r="I367" i="46"/>
  <c r="N366" i="46"/>
  <c r="M366" i="46"/>
  <c r="L366" i="46"/>
  <c r="K366" i="46"/>
  <c r="J366" i="46"/>
  <c r="I366" i="46"/>
  <c r="N365" i="46"/>
  <c r="M365" i="46"/>
  <c r="L365" i="46"/>
  <c r="K365" i="46"/>
  <c r="J365" i="46"/>
  <c r="I365" i="46"/>
  <c r="N364" i="46"/>
  <c r="M364" i="46"/>
  <c r="L364" i="46"/>
  <c r="K364" i="46"/>
  <c r="J364" i="46"/>
  <c r="I364" i="46"/>
  <c r="N363" i="46"/>
  <c r="M363" i="46"/>
  <c r="L363" i="46"/>
  <c r="K363" i="46"/>
  <c r="J363" i="46"/>
  <c r="I363" i="46"/>
  <c r="N362" i="46"/>
  <c r="M362" i="46"/>
  <c r="L362" i="46"/>
  <c r="K362" i="46"/>
  <c r="J362" i="46"/>
  <c r="I362" i="46"/>
  <c r="N361" i="46"/>
  <c r="M361" i="46"/>
  <c r="L361" i="46"/>
  <c r="K361" i="46"/>
  <c r="J361" i="46"/>
  <c r="I361" i="46"/>
  <c r="N360" i="46"/>
  <c r="M360" i="46"/>
  <c r="L360" i="46"/>
  <c r="K360" i="46"/>
  <c r="J360" i="46"/>
  <c r="I360" i="46"/>
  <c r="N359" i="46"/>
  <c r="M359" i="46"/>
  <c r="L359" i="46"/>
  <c r="K359" i="46"/>
  <c r="J359" i="46"/>
  <c r="I359" i="46"/>
  <c r="N358" i="46"/>
  <c r="M358" i="46"/>
  <c r="L358" i="46"/>
  <c r="K358" i="46"/>
  <c r="J358" i="46"/>
  <c r="I358" i="46"/>
  <c r="N357" i="46"/>
  <c r="M357" i="46"/>
  <c r="L357" i="46"/>
  <c r="K357" i="46"/>
  <c r="J357" i="46"/>
  <c r="I357" i="46"/>
  <c r="N356" i="46"/>
  <c r="M356" i="46"/>
  <c r="L356" i="46"/>
  <c r="K356" i="46"/>
  <c r="J356" i="46"/>
  <c r="I356" i="46"/>
  <c r="N355" i="46"/>
  <c r="M355" i="46"/>
  <c r="L355" i="46"/>
  <c r="K355" i="46"/>
  <c r="J355" i="46"/>
  <c r="I355" i="46"/>
  <c r="N354" i="46"/>
  <c r="M354" i="46"/>
  <c r="L354" i="46"/>
  <c r="K354" i="46"/>
  <c r="J354" i="46"/>
  <c r="I354" i="46"/>
  <c r="N353" i="46"/>
  <c r="M353" i="46"/>
  <c r="L353" i="46"/>
  <c r="K353" i="46"/>
  <c r="J353" i="46"/>
  <c r="I353" i="46"/>
  <c r="N352" i="46"/>
  <c r="M352" i="46"/>
  <c r="L352" i="46"/>
  <c r="K352" i="46"/>
  <c r="J352" i="46"/>
  <c r="I352" i="46"/>
  <c r="N351" i="46"/>
  <c r="M351" i="46"/>
  <c r="L351" i="46"/>
  <c r="K351" i="46"/>
  <c r="J351" i="46"/>
  <c r="I351" i="46"/>
  <c r="N350" i="46"/>
  <c r="M350" i="46"/>
  <c r="L350" i="46"/>
  <c r="K350" i="46"/>
  <c r="J350" i="46"/>
  <c r="I350" i="46"/>
  <c r="N349" i="46"/>
  <c r="M349" i="46"/>
  <c r="L349" i="46"/>
  <c r="K349" i="46"/>
  <c r="J349" i="46"/>
  <c r="I349" i="46"/>
  <c r="N348" i="46"/>
  <c r="M348" i="46"/>
  <c r="L348" i="46"/>
  <c r="K348" i="46"/>
  <c r="J348" i="46"/>
  <c r="I348" i="46"/>
  <c r="N347" i="46"/>
  <c r="M347" i="46"/>
  <c r="L347" i="46"/>
  <c r="K347" i="46"/>
  <c r="J347" i="46"/>
  <c r="I347" i="46"/>
  <c r="N346" i="46"/>
  <c r="M346" i="46"/>
  <c r="L346" i="46"/>
  <c r="K346" i="46"/>
  <c r="J346" i="46"/>
  <c r="I346" i="46"/>
  <c r="N345" i="46"/>
  <c r="M345" i="46"/>
  <c r="L345" i="46"/>
  <c r="K345" i="46"/>
  <c r="J345" i="46"/>
  <c r="I345" i="46"/>
  <c r="N344" i="46"/>
  <c r="M344" i="46"/>
  <c r="L344" i="46"/>
  <c r="K344" i="46"/>
  <c r="J344" i="46"/>
  <c r="I344" i="46"/>
  <c r="N343" i="46"/>
  <c r="M343" i="46"/>
  <c r="L343" i="46"/>
  <c r="K343" i="46"/>
  <c r="J343" i="46"/>
  <c r="I343" i="46"/>
  <c r="N342" i="46"/>
  <c r="M342" i="46"/>
  <c r="L342" i="46"/>
  <c r="K342" i="46"/>
  <c r="J342" i="46"/>
  <c r="I342" i="46"/>
  <c r="N341" i="46"/>
  <c r="M341" i="46"/>
  <c r="L341" i="46"/>
  <c r="K341" i="46"/>
  <c r="J341" i="46"/>
  <c r="I341" i="46"/>
  <c r="N340" i="46"/>
  <c r="M340" i="46"/>
  <c r="L340" i="46"/>
  <c r="K340" i="46"/>
  <c r="J340" i="46"/>
  <c r="I340" i="46"/>
  <c r="N339" i="46"/>
  <c r="M339" i="46"/>
  <c r="L339" i="46"/>
  <c r="K339" i="46"/>
  <c r="J339" i="46"/>
  <c r="I339" i="46"/>
  <c r="N338" i="46"/>
  <c r="M338" i="46"/>
  <c r="L338" i="46"/>
  <c r="K338" i="46"/>
  <c r="J338" i="46"/>
  <c r="I338" i="46"/>
  <c r="N337" i="46"/>
  <c r="M337" i="46"/>
  <c r="L337" i="46"/>
  <c r="K337" i="46"/>
  <c r="J337" i="46"/>
  <c r="I337" i="46"/>
  <c r="N336" i="46"/>
  <c r="M336" i="46"/>
  <c r="L336" i="46"/>
  <c r="K336" i="46"/>
  <c r="J336" i="46"/>
  <c r="I336" i="46"/>
  <c r="N335" i="46"/>
  <c r="M335" i="46"/>
  <c r="L335" i="46"/>
  <c r="K335" i="46"/>
  <c r="J335" i="46"/>
  <c r="I335" i="46"/>
  <c r="N334" i="46"/>
  <c r="M334" i="46"/>
  <c r="L334" i="46"/>
  <c r="K334" i="46"/>
  <c r="J334" i="46"/>
  <c r="I334" i="46"/>
  <c r="N333" i="46"/>
  <c r="M333" i="46"/>
  <c r="L333" i="46"/>
  <c r="K333" i="46"/>
  <c r="J333" i="46"/>
  <c r="I333" i="46"/>
  <c r="N332" i="46"/>
  <c r="M332" i="46"/>
  <c r="L332" i="46"/>
  <c r="K332" i="46"/>
  <c r="J332" i="46"/>
  <c r="I332" i="46"/>
  <c r="N331" i="46"/>
  <c r="M331" i="46"/>
  <c r="L331" i="46"/>
  <c r="K331" i="46"/>
  <c r="J331" i="46"/>
  <c r="I331" i="46"/>
  <c r="N330" i="46"/>
  <c r="M330" i="46"/>
  <c r="L330" i="46"/>
  <c r="K330" i="46"/>
  <c r="J330" i="46"/>
  <c r="I330" i="46"/>
  <c r="N329" i="46"/>
  <c r="M329" i="46"/>
  <c r="L329" i="46"/>
  <c r="K329" i="46"/>
  <c r="J329" i="46"/>
  <c r="I329" i="46"/>
  <c r="N328" i="46"/>
  <c r="M328" i="46"/>
  <c r="L328" i="46"/>
  <c r="K328" i="46"/>
  <c r="J328" i="46"/>
  <c r="I328" i="46"/>
  <c r="N327" i="46"/>
  <c r="M327" i="46"/>
  <c r="L327" i="46"/>
  <c r="K327" i="46"/>
  <c r="J327" i="46"/>
  <c r="I327" i="46"/>
  <c r="N326" i="46"/>
  <c r="M326" i="46"/>
  <c r="L326" i="46"/>
  <c r="K326" i="46"/>
  <c r="J326" i="46"/>
  <c r="I326" i="46"/>
  <c r="N325" i="46"/>
  <c r="M325" i="46"/>
  <c r="L325" i="46"/>
  <c r="K325" i="46"/>
  <c r="J325" i="46"/>
  <c r="I325" i="46"/>
  <c r="N324" i="46"/>
  <c r="M324" i="46"/>
  <c r="L324" i="46"/>
  <c r="K324" i="46"/>
  <c r="J324" i="46"/>
  <c r="I324" i="46"/>
  <c r="N323" i="46"/>
  <c r="M323" i="46"/>
  <c r="L323" i="46"/>
  <c r="K323" i="46"/>
  <c r="J323" i="46"/>
  <c r="I323" i="46"/>
  <c r="N322" i="46"/>
  <c r="M322" i="46"/>
  <c r="L322" i="46"/>
  <c r="K322" i="46"/>
  <c r="J322" i="46"/>
  <c r="I322" i="46"/>
  <c r="N321" i="46"/>
  <c r="M321" i="46"/>
  <c r="L321" i="46"/>
  <c r="K321" i="46"/>
  <c r="J321" i="46"/>
  <c r="I321" i="46"/>
  <c r="N320" i="46"/>
  <c r="M320" i="46"/>
  <c r="L320" i="46"/>
  <c r="K320" i="46"/>
  <c r="J320" i="46"/>
  <c r="I320" i="46"/>
  <c r="N319" i="46"/>
  <c r="M319" i="46"/>
  <c r="L319" i="46"/>
  <c r="K319" i="46"/>
  <c r="J319" i="46"/>
  <c r="I319" i="46"/>
  <c r="N318" i="46"/>
  <c r="M318" i="46"/>
  <c r="L318" i="46"/>
  <c r="K318" i="46"/>
  <c r="J318" i="46"/>
  <c r="I318" i="46"/>
  <c r="N317" i="46"/>
  <c r="M317" i="46"/>
  <c r="L317" i="46"/>
  <c r="K317" i="46"/>
  <c r="J317" i="46"/>
  <c r="I317" i="46"/>
  <c r="N316" i="46"/>
  <c r="M316" i="46"/>
  <c r="L316" i="46"/>
  <c r="K316" i="46"/>
  <c r="J316" i="46"/>
  <c r="I316" i="46"/>
  <c r="N315" i="46"/>
  <c r="M315" i="46"/>
  <c r="L315" i="46"/>
  <c r="K315" i="46"/>
  <c r="J315" i="46"/>
  <c r="I315" i="46"/>
  <c r="N314" i="46"/>
  <c r="M314" i="46"/>
  <c r="L314" i="46"/>
  <c r="K314" i="46"/>
  <c r="J314" i="46"/>
  <c r="I314" i="46"/>
  <c r="N313" i="46"/>
  <c r="M313" i="46"/>
  <c r="L313" i="46"/>
  <c r="K313" i="46"/>
  <c r="J313" i="46"/>
  <c r="I313" i="46"/>
  <c r="N312" i="46"/>
  <c r="M312" i="46"/>
  <c r="L312" i="46"/>
  <c r="K312" i="46"/>
  <c r="J312" i="46"/>
  <c r="I312" i="46"/>
  <c r="N311" i="46"/>
  <c r="M311" i="46"/>
  <c r="L311" i="46"/>
  <c r="K311" i="46"/>
  <c r="J311" i="46"/>
  <c r="I311" i="46"/>
  <c r="N310" i="46"/>
  <c r="M310" i="46"/>
  <c r="L310" i="46"/>
  <c r="K310" i="46"/>
  <c r="J310" i="46"/>
  <c r="I310" i="46"/>
  <c r="N309" i="46"/>
  <c r="M309" i="46"/>
  <c r="L309" i="46"/>
  <c r="K309" i="46"/>
  <c r="J309" i="46"/>
  <c r="I309" i="46"/>
  <c r="N308" i="46"/>
  <c r="M308" i="46"/>
  <c r="L308" i="46"/>
  <c r="K308" i="46"/>
  <c r="J308" i="46"/>
  <c r="I308" i="46"/>
  <c r="N307" i="46"/>
  <c r="M307" i="46"/>
  <c r="L307" i="46"/>
  <c r="K307" i="46"/>
  <c r="J307" i="46"/>
  <c r="I307" i="46"/>
  <c r="N306" i="46"/>
  <c r="M306" i="46"/>
  <c r="L306" i="46"/>
  <c r="K306" i="46"/>
  <c r="J306" i="46"/>
  <c r="I306" i="46"/>
  <c r="N305" i="46"/>
  <c r="M305" i="46"/>
  <c r="L305" i="46"/>
  <c r="K305" i="46"/>
  <c r="J305" i="46"/>
  <c r="I305" i="46"/>
  <c r="N304" i="46"/>
  <c r="M304" i="46"/>
  <c r="L304" i="46"/>
  <c r="K304" i="46"/>
  <c r="J304" i="46"/>
  <c r="I304" i="46"/>
  <c r="N303" i="46"/>
  <c r="M303" i="46"/>
  <c r="L303" i="46"/>
  <c r="K303" i="46"/>
  <c r="J303" i="46"/>
  <c r="I303" i="46"/>
  <c r="N302" i="46"/>
  <c r="M302" i="46"/>
  <c r="L302" i="46"/>
  <c r="K302" i="46"/>
  <c r="J302" i="46"/>
  <c r="I302" i="46"/>
  <c r="N301" i="46"/>
  <c r="M301" i="46"/>
  <c r="L301" i="46"/>
  <c r="K301" i="46"/>
  <c r="J301" i="46"/>
  <c r="I301" i="46"/>
  <c r="N300" i="46"/>
  <c r="M300" i="46"/>
  <c r="L300" i="46"/>
  <c r="K300" i="46"/>
  <c r="J300" i="46"/>
  <c r="I300" i="46"/>
  <c r="N299" i="46"/>
  <c r="M299" i="46"/>
  <c r="L299" i="46"/>
  <c r="K299" i="46"/>
  <c r="J299" i="46"/>
  <c r="I299" i="46"/>
  <c r="N298" i="46"/>
  <c r="M298" i="46"/>
  <c r="L298" i="46"/>
  <c r="K298" i="46"/>
  <c r="J298" i="46"/>
  <c r="I298" i="46"/>
  <c r="N297" i="46"/>
  <c r="M297" i="46"/>
  <c r="L297" i="46"/>
  <c r="K297" i="46"/>
  <c r="J297" i="46"/>
  <c r="I297" i="46"/>
  <c r="N296" i="46"/>
  <c r="M296" i="46"/>
  <c r="L296" i="46"/>
  <c r="K296" i="46"/>
  <c r="J296" i="46"/>
  <c r="I296" i="46"/>
  <c r="N295" i="46"/>
  <c r="M295" i="46"/>
  <c r="L295" i="46"/>
  <c r="K295" i="46"/>
  <c r="J295" i="46"/>
  <c r="I295" i="46"/>
  <c r="N294" i="46"/>
  <c r="M294" i="46"/>
  <c r="L294" i="46"/>
  <c r="K294" i="46"/>
  <c r="J294" i="46"/>
  <c r="I294" i="46"/>
  <c r="N293" i="46"/>
  <c r="M293" i="46"/>
  <c r="L293" i="46"/>
  <c r="K293" i="46"/>
  <c r="J293" i="46"/>
  <c r="I293" i="46"/>
  <c r="N292" i="46"/>
  <c r="M292" i="46"/>
  <c r="L292" i="46"/>
  <c r="K292" i="46"/>
  <c r="J292" i="46"/>
  <c r="I292" i="46"/>
  <c r="N291" i="46"/>
  <c r="M291" i="46"/>
  <c r="L291" i="46"/>
  <c r="K291" i="46"/>
  <c r="J291" i="46"/>
  <c r="I291" i="46"/>
  <c r="N290" i="46"/>
  <c r="M290" i="46"/>
  <c r="L290" i="46"/>
  <c r="K290" i="46"/>
  <c r="J290" i="46"/>
  <c r="I290" i="46"/>
  <c r="N289" i="46"/>
  <c r="M289" i="46"/>
  <c r="L289" i="46"/>
  <c r="K289" i="46"/>
  <c r="J289" i="46"/>
  <c r="I289" i="46"/>
  <c r="N288" i="46"/>
  <c r="M288" i="46"/>
  <c r="L288" i="46"/>
  <c r="K288" i="46"/>
  <c r="J288" i="46"/>
  <c r="I288" i="46"/>
  <c r="N287" i="46"/>
  <c r="M287" i="46"/>
  <c r="L287" i="46"/>
  <c r="K287" i="46"/>
  <c r="J287" i="46"/>
  <c r="I287" i="46"/>
  <c r="N286" i="46"/>
  <c r="M286" i="46"/>
  <c r="L286" i="46"/>
  <c r="K286" i="46"/>
  <c r="J286" i="46"/>
  <c r="I286" i="46"/>
  <c r="N285" i="46"/>
  <c r="M285" i="46"/>
  <c r="L285" i="46"/>
  <c r="K285" i="46"/>
  <c r="J285" i="46"/>
  <c r="I285" i="46"/>
  <c r="N284" i="46"/>
  <c r="M284" i="46"/>
  <c r="L284" i="46"/>
  <c r="K284" i="46"/>
  <c r="J284" i="46"/>
  <c r="I284" i="46"/>
  <c r="N283" i="46"/>
  <c r="M283" i="46"/>
  <c r="L283" i="46"/>
  <c r="K283" i="46"/>
  <c r="J283" i="46"/>
  <c r="I283" i="46"/>
  <c r="N282" i="46"/>
  <c r="M282" i="46"/>
  <c r="L282" i="46"/>
  <c r="K282" i="46"/>
  <c r="J282" i="46"/>
  <c r="I282" i="46"/>
  <c r="N281" i="46"/>
  <c r="M281" i="46"/>
  <c r="L281" i="46"/>
  <c r="K281" i="46"/>
  <c r="J281" i="46"/>
  <c r="I281" i="46"/>
  <c r="N280" i="46"/>
  <c r="M280" i="46"/>
  <c r="L280" i="46"/>
  <c r="K280" i="46"/>
  <c r="J280" i="46"/>
  <c r="I280" i="46"/>
  <c r="N279" i="46"/>
  <c r="M279" i="46"/>
  <c r="L279" i="46"/>
  <c r="K279" i="46"/>
  <c r="J279" i="46"/>
  <c r="I279" i="46"/>
  <c r="N278" i="46"/>
  <c r="M278" i="46"/>
  <c r="L278" i="46"/>
  <c r="K278" i="46"/>
  <c r="J278" i="46"/>
  <c r="I278" i="46"/>
  <c r="N277" i="46"/>
  <c r="M277" i="46"/>
  <c r="L277" i="46"/>
  <c r="K277" i="46"/>
  <c r="J277" i="46"/>
  <c r="I277" i="46"/>
  <c r="N276" i="46"/>
  <c r="M276" i="46"/>
  <c r="L276" i="46"/>
  <c r="K276" i="46"/>
  <c r="J276" i="46"/>
  <c r="I276" i="46"/>
  <c r="N275" i="46"/>
  <c r="M275" i="46"/>
  <c r="L275" i="46"/>
  <c r="K275" i="46"/>
  <c r="J275" i="46"/>
  <c r="I275" i="46"/>
  <c r="N274" i="46"/>
  <c r="M274" i="46"/>
  <c r="L274" i="46"/>
  <c r="K274" i="46"/>
  <c r="J274" i="46"/>
  <c r="I274" i="46"/>
  <c r="N273" i="46"/>
  <c r="M273" i="46"/>
  <c r="L273" i="46"/>
  <c r="K273" i="46"/>
  <c r="J273" i="46"/>
  <c r="I273" i="46"/>
  <c r="N272" i="46"/>
  <c r="M272" i="46"/>
  <c r="L272" i="46"/>
  <c r="K272" i="46"/>
  <c r="J272" i="46"/>
  <c r="I272" i="46"/>
  <c r="N271" i="46"/>
  <c r="M271" i="46"/>
  <c r="L271" i="46"/>
  <c r="K271" i="46"/>
  <c r="J271" i="46"/>
  <c r="I271" i="46"/>
  <c r="N270" i="46"/>
  <c r="M270" i="46"/>
  <c r="L270" i="46"/>
  <c r="K270" i="46"/>
  <c r="J270" i="46"/>
  <c r="I270" i="46"/>
  <c r="N269" i="46"/>
  <c r="M269" i="46"/>
  <c r="L269" i="46"/>
  <c r="K269" i="46"/>
  <c r="J269" i="46"/>
  <c r="I269" i="46"/>
  <c r="N268" i="46"/>
  <c r="M268" i="46"/>
  <c r="L268" i="46"/>
  <c r="K268" i="46"/>
  <c r="J268" i="46"/>
  <c r="I268" i="46"/>
  <c r="N267" i="46"/>
  <c r="M267" i="46"/>
  <c r="L267" i="46"/>
  <c r="K267" i="46"/>
  <c r="J267" i="46"/>
  <c r="I267" i="46"/>
  <c r="N266" i="46"/>
  <c r="M266" i="46"/>
  <c r="L266" i="46"/>
  <c r="K266" i="46"/>
  <c r="J266" i="46"/>
  <c r="I266" i="46"/>
  <c r="N265" i="46"/>
  <c r="M265" i="46"/>
  <c r="L265" i="46"/>
  <c r="K265" i="46"/>
  <c r="J265" i="46"/>
  <c r="I265" i="46"/>
  <c r="N264" i="46"/>
  <c r="M264" i="46"/>
  <c r="L264" i="46"/>
  <c r="K264" i="46"/>
  <c r="J264" i="46"/>
  <c r="I264" i="46"/>
  <c r="N263" i="46"/>
  <c r="M263" i="46"/>
  <c r="L263" i="46"/>
  <c r="K263" i="46"/>
  <c r="J263" i="46"/>
  <c r="I263" i="46"/>
  <c r="N262" i="46"/>
  <c r="M262" i="46"/>
  <c r="L262" i="46"/>
  <c r="K262" i="46"/>
  <c r="J262" i="46"/>
  <c r="I262" i="46"/>
  <c r="N261" i="46"/>
  <c r="M261" i="46"/>
  <c r="L261" i="46"/>
  <c r="K261" i="46"/>
  <c r="J261" i="46"/>
  <c r="I261" i="46"/>
  <c r="N260" i="46"/>
  <c r="M260" i="46"/>
  <c r="L260" i="46"/>
  <c r="K260" i="46"/>
  <c r="J260" i="46"/>
  <c r="I260" i="46"/>
  <c r="N259" i="46"/>
  <c r="M259" i="46"/>
  <c r="L259" i="46"/>
  <c r="K259" i="46"/>
  <c r="J259" i="46"/>
  <c r="I259" i="46"/>
  <c r="N258" i="46"/>
  <c r="M258" i="46"/>
  <c r="L258" i="46"/>
  <c r="K258" i="46"/>
  <c r="J258" i="46"/>
  <c r="I258" i="46"/>
  <c r="N257" i="46"/>
  <c r="M257" i="46"/>
  <c r="L257" i="46"/>
  <c r="K257" i="46"/>
  <c r="J257" i="46"/>
  <c r="I257" i="46"/>
  <c r="N256" i="46"/>
  <c r="M256" i="46"/>
  <c r="L256" i="46"/>
  <c r="K256" i="46"/>
  <c r="J256" i="46"/>
  <c r="I256" i="46"/>
  <c r="N255" i="46"/>
  <c r="M255" i="46"/>
  <c r="L255" i="46"/>
  <c r="K255" i="46"/>
  <c r="J255" i="46"/>
  <c r="I255" i="46"/>
  <c r="N254" i="46"/>
  <c r="M254" i="46"/>
  <c r="L254" i="46"/>
  <c r="K254" i="46"/>
  <c r="J254" i="46"/>
  <c r="I254" i="46"/>
  <c r="N253" i="46"/>
  <c r="M253" i="46"/>
  <c r="L253" i="46"/>
  <c r="K253" i="46"/>
  <c r="J253" i="46"/>
  <c r="I253" i="46"/>
  <c r="N252" i="46"/>
  <c r="M252" i="46"/>
  <c r="L252" i="46"/>
  <c r="K252" i="46"/>
  <c r="J252" i="46"/>
  <c r="I252" i="46"/>
  <c r="N251" i="46"/>
  <c r="M251" i="46"/>
  <c r="L251" i="46"/>
  <c r="K251" i="46"/>
  <c r="J251" i="46"/>
  <c r="I251" i="46"/>
  <c r="N250" i="46"/>
  <c r="M250" i="46"/>
  <c r="L250" i="46"/>
  <c r="K250" i="46"/>
  <c r="J250" i="46"/>
  <c r="I250" i="46"/>
  <c r="N249" i="46"/>
  <c r="M249" i="46"/>
  <c r="L249" i="46"/>
  <c r="K249" i="46"/>
  <c r="J249" i="46"/>
  <c r="I249" i="46"/>
  <c r="N248" i="46"/>
  <c r="M248" i="46"/>
  <c r="L248" i="46"/>
  <c r="K248" i="46"/>
  <c r="J248" i="46"/>
  <c r="I248" i="46"/>
  <c r="N247" i="46"/>
  <c r="M247" i="46"/>
  <c r="L247" i="46"/>
  <c r="K247" i="46"/>
  <c r="J247" i="46"/>
  <c r="I247" i="46"/>
  <c r="N246" i="46"/>
  <c r="M246" i="46"/>
  <c r="L246" i="46"/>
  <c r="K246" i="46"/>
  <c r="J246" i="46"/>
  <c r="I246" i="46"/>
  <c r="N245" i="46"/>
  <c r="M245" i="46"/>
  <c r="L245" i="46"/>
  <c r="K245" i="46"/>
  <c r="J245" i="46"/>
  <c r="I245" i="46"/>
  <c r="N244" i="46"/>
  <c r="M244" i="46"/>
  <c r="L244" i="46"/>
  <c r="K244" i="46"/>
  <c r="J244" i="46"/>
  <c r="I244" i="46"/>
  <c r="N243" i="46"/>
  <c r="M243" i="46"/>
  <c r="L243" i="46"/>
  <c r="K243" i="46"/>
  <c r="J243" i="46"/>
  <c r="I243" i="46"/>
  <c r="N242" i="46"/>
  <c r="M242" i="46"/>
  <c r="L242" i="46"/>
  <c r="K242" i="46"/>
  <c r="J242" i="46"/>
  <c r="I242" i="46"/>
  <c r="N241" i="46"/>
  <c r="M241" i="46"/>
  <c r="L241" i="46"/>
  <c r="K241" i="46"/>
  <c r="J241" i="46"/>
  <c r="I241" i="46"/>
  <c r="N240" i="46"/>
  <c r="M240" i="46"/>
  <c r="L240" i="46"/>
  <c r="K240" i="46"/>
  <c r="J240" i="46"/>
  <c r="I240" i="46"/>
  <c r="N239" i="46"/>
  <c r="M239" i="46"/>
  <c r="L239" i="46"/>
  <c r="K239" i="46"/>
  <c r="J239" i="46"/>
  <c r="I239" i="46"/>
  <c r="N238" i="46"/>
  <c r="M238" i="46"/>
  <c r="L238" i="46"/>
  <c r="K238" i="46"/>
  <c r="J238" i="46"/>
  <c r="I238" i="46"/>
  <c r="N237" i="46"/>
  <c r="M237" i="46"/>
  <c r="L237" i="46"/>
  <c r="K237" i="46"/>
  <c r="J237" i="46"/>
  <c r="I237" i="46"/>
  <c r="N236" i="46"/>
  <c r="M236" i="46"/>
  <c r="L236" i="46"/>
  <c r="K236" i="46"/>
  <c r="J236" i="46"/>
  <c r="I236" i="46"/>
  <c r="N235" i="46"/>
  <c r="M235" i="46"/>
  <c r="L235" i="46"/>
  <c r="K235" i="46"/>
  <c r="J235" i="46"/>
  <c r="I235" i="46"/>
  <c r="N234" i="46"/>
  <c r="M234" i="46"/>
  <c r="L234" i="46"/>
  <c r="K234" i="46"/>
  <c r="J234" i="46"/>
  <c r="I234" i="46"/>
  <c r="N233" i="46"/>
  <c r="M233" i="46"/>
  <c r="L233" i="46"/>
  <c r="K233" i="46"/>
  <c r="J233" i="46"/>
  <c r="I233" i="46"/>
  <c r="N232" i="46"/>
  <c r="M232" i="46"/>
  <c r="L232" i="46"/>
  <c r="K232" i="46"/>
  <c r="J232" i="46"/>
  <c r="I232" i="46"/>
  <c r="N231" i="46"/>
  <c r="M231" i="46"/>
  <c r="L231" i="46"/>
  <c r="K231" i="46"/>
  <c r="J231" i="46"/>
  <c r="I231" i="46"/>
  <c r="N230" i="46"/>
  <c r="M230" i="46"/>
  <c r="L230" i="46"/>
  <c r="K230" i="46"/>
  <c r="J230" i="46"/>
  <c r="I230" i="46"/>
  <c r="N229" i="46"/>
  <c r="M229" i="46"/>
  <c r="L229" i="46"/>
  <c r="K229" i="46"/>
  <c r="J229" i="46"/>
  <c r="I229" i="46"/>
  <c r="N228" i="46"/>
  <c r="M228" i="46"/>
  <c r="L228" i="46"/>
  <c r="K228" i="46"/>
  <c r="J228" i="46"/>
  <c r="I228" i="46"/>
  <c r="N227" i="46"/>
  <c r="M227" i="46"/>
  <c r="L227" i="46"/>
  <c r="K227" i="46"/>
  <c r="J227" i="46"/>
  <c r="I227" i="46"/>
  <c r="N226" i="46"/>
  <c r="M226" i="46"/>
  <c r="L226" i="46"/>
  <c r="K226" i="46"/>
  <c r="J226" i="46"/>
  <c r="I226" i="46"/>
  <c r="N225" i="46"/>
  <c r="M225" i="46"/>
  <c r="L225" i="46"/>
  <c r="K225" i="46"/>
  <c r="J225" i="46"/>
  <c r="I225" i="46"/>
  <c r="N224" i="46"/>
  <c r="M224" i="46"/>
  <c r="L224" i="46"/>
  <c r="K224" i="46"/>
  <c r="J224" i="46"/>
  <c r="I224" i="46"/>
  <c r="N223" i="46"/>
  <c r="M223" i="46"/>
  <c r="L223" i="46"/>
  <c r="K223" i="46"/>
  <c r="J223" i="46"/>
  <c r="I223" i="46"/>
  <c r="N222" i="46"/>
  <c r="M222" i="46"/>
  <c r="L222" i="46"/>
  <c r="K222" i="46"/>
  <c r="J222" i="46"/>
  <c r="I222" i="46"/>
  <c r="N221" i="46"/>
  <c r="M221" i="46"/>
  <c r="L221" i="46"/>
  <c r="K221" i="46"/>
  <c r="J221" i="46"/>
  <c r="I221" i="46"/>
  <c r="N220" i="46"/>
  <c r="M220" i="46"/>
  <c r="L220" i="46"/>
  <c r="K220" i="46"/>
  <c r="J220" i="46"/>
  <c r="I220" i="46"/>
  <c r="N219" i="46"/>
  <c r="M219" i="46"/>
  <c r="L219" i="46"/>
  <c r="K219" i="46"/>
  <c r="J219" i="46"/>
  <c r="I219" i="46"/>
  <c r="N218" i="46"/>
  <c r="M218" i="46"/>
  <c r="L218" i="46"/>
  <c r="K218" i="46"/>
  <c r="J218" i="46"/>
  <c r="I218" i="46"/>
  <c r="N217" i="46"/>
  <c r="M217" i="46"/>
  <c r="L217" i="46"/>
  <c r="K217" i="46"/>
  <c r="J217" i="46"/>
  <c r="I217" i="46"/>
  <c r="N216" i="46"/>
  <c r="M216" i="46"/>
  <c r="L216" i="46"/>
  <c r="K216" i="46"/>
  <c r="J216" i="46"/>
  <c r="I216" i="46"/>
  <c r="N215" i="46"/>
  <c r="M215" i="46"/>
  <c r="L215" i="46"/>
  <c r="K215" i="46"/>
  <c r="J215" i="46"/>
  <c r="I215" i="46"/>
  <c r="N214" i="46"/>
  <c r="M214" i="46"/>
  <c r="L214" i="46"/>
  <c r="K214" i="46"/>
  <c r="J214" i="46"/>
  <c r="I214" i="46"/>
  <c r="N213" i="46"/>
  <c r="M213" i="46"/>
  <c r="L213" i="46"/>
  <c r="K213" i="46"/>
  <c r="J213" i="46"/>
  <c r="I213" i="46"/>
  <c r="N212" i="46"/>
  <c r="M212" i="46"/>
  <c r="L212" i="46"/>
  <c r="K212" i="46"/>
  <c r="J212" i="46"/>
  <c r="I212" i="46"/>
  <c r="N211" i="46"/>
  <c r="M211" i="46"/>
  <c r="L211" i="46"/>
  <c r="K211" i="46"/>
  <c r="J211" i="46"/>
  <c r="I211" i="46"/>
  <c r="N210" i="46"/>
  <c r="M210" i="46"/>
  <c r="L210" i="46"/>
  <c r="K210" i="46"/>
  <c r="J210" i="46"/>
  <c r="I210" i="46"/>
  <c r="N209" i="46"/>
  <c r="M209" i="46"/>
  <c r="L209" i="46"/>
  <c r="K209" i="46"/>
  <c r="J209" i="46"/>
  <c r="I209" i="46"/>
  <c r="N208" i="46"/>
  <c r="M208" i="46"/>
  <c r="L208" i="46"/>
  <c r="K208" i="46"/>
  <c r="J208" i="46"/>
  <c r="I208" i="46"/>
  <c r="N207" i="46"/>
  <c r="M207" i="46"/>
  <c r="L207" i="46"/>
  <c r="K207" i="46"/>
  <c r="J207" i="46"/>
  <c r="I207" i="46"/>
  <c r="N206" i="46"/>
  <c r="M206" i="46"/>
  <c r="L206" i="46"/>
  <c r="K206" i="46"/>
  <c r="J206" i="46"/>
  <c r="I206" i="46"/>
  <c r="N205" i="46"/>
  <c r="M205" i="46"/>
  <c r="L205" i="46"/>
  <c r="K205" i="46"/>
  <c r="J205" i="46"/>
  <c r="I205" i="46"/>
  <c r="N204" i="46"/>
  <c r="M204" i="46"/>
  <c r="L204" i="46"/>
  <c r="K204" i="46"/>
  <c r="J204" i="46"/>
  <c r="I204" i="46"/>
  <c r="N203" i="46"/>
  <c r="M203" i="46"/>
  <c r="L203" i="46"/>
  <c r="K203" i="46"/>
  <c r="J203" i="46"/>
  <c r="I203" i="46"/>
  <c r="N202" i="46"/>
  <c r="M202" i="46"/>
  <c r="L202" i="46"/>
  <c r="K202" i="46"/>
  <c r="J202" i="46"/>
  <c r="I202" i="46"/>
  <c r="N201" i="46"/>
  <c r="M201" i="46"/>
  <c r="L201" i="46"/>
  <c r="K201" i="46"/>
  <c r="J201" i="46"/>
  <c r="I201" i="46"/>
  <c r="N200" i="46"/>
  <c r="M200" i="46"/>
  <c r="L200" i="46"/>
  <c r="K200" i="46"/>
  <c r="J200" i="46"/>
  <c r="I200" i="46"/>
  <c r="N199" i="46"/>
  <c r="M199" i="46"/>
  <c r="L199" i="46"/>
  <c r="K199" i="46"/>
  <c r="J199" i="46"/>
  <c r="I199" i="46"/>
  <c r="N198" i="46"/>
  <c r="M198" i="46"/>
  <c r="L198" i="46"/>
  <c r="K198" i="46"/>
  <c r="J198" i="46"/>
  <c r="I198" i="46"/>
  <c r="N197" i="46"/>
  <c r="M197" i="46"/>
  <c r="L197" i="46"/>
  <c r="K197" i="46"/>
  <c r="J197" i="46"/>
  <c r="I197" i="46"/>
  <c r="N196" i="46"/>
  <c r="M196" i="46"/>
  <c r="L196" i="46"/>
  <c r="K196" i="46"/>
  <c r="J196" i="46"/>
  <c r="I196" i="46"/>
  <c r="N195" i="46"/>
  <c r="M195" i="46"/>
  <c r="L195" i="46"/>
  <c r="K195" i="46"/>
  <c r="J195" i="46"/>
  <c r="I195" i="46"/>
  <c r="N194" i="46"/>
  <c r="M194" i="46"/>
  <c r="L194" i="46"/>
  <c r="K194" i="46"/>
  <c r="J194" i="46"/>
  <c r="I194" i="46"/>
  <c r="N193" i="46"/>
  <c r="M193" i="46"/>
  <c r="L193" i="46"/>
  <c r="K193" i="46"/>
  <c r="J193" i="46"/>
  <c r="I193" i="46"/>
  <c r="N192" i="46"/>
  <c r="M192" i="46"/>
  <c r="L192" i="46"/>
  <c r="K192" i="46"/>
  <c r="J192" i="46"/>
  <c r="I192" i="46"/>
  <c r="N191" i="46"/>
  <c r="M191" i="46"/>
  <c r="L191" i="46"/>
  <c r="K191" i="46"/>
  <c r="J191" i="46"/>
  <c r="I191" i="46"/>
  <c r="N190" i="46"/>
  <c r="M190" i="46"/>
  <c r="L190" i="46"/>
  <c r="K190" i="46"/>
  <c r="J190" i="46"/>
  <c r="I190" i="46"/>
  <c r="N189" i="46"/>
  <c r="M189" i="46"/>
  <c r="L189" i="46"/>
  <c r="K189" i="46"/>
  <c r="J189" i="46"/>
  <c r="I189" i="46"/>
  <c r="N188" i="46"/>
  <c r="M188" i="46"/>
  <c r="L188" i="46"/>
  <c r="K188" i="46"/>
  <c r="J188" i="46"/>
  <c r="I188" i="46"/>
  <c r="N187" i="46"/>
  <c r="M187" i="46"/>
  <c r="L187" i="46"/>
  <c r="K187" i="46"/>
  <c r="J187" i="46"/>
  <c r="I187" i="46"/>
  <c r="N186" i="46"/>
  <c r="M186" i="46"/>
  <c r="L186" i="46"/>
  <c r="K186" i="46"/>
  <c r="J186" i="46"/>
  <c r="I186" i="46"/>
  <c r="N185" i="46"/>
  <c r="M185" i="46"/>
  <c r="L185" i="46"/>
  <c r="K185" i="46"/>
  <c r="J185" i="46"/>
  <c r="I185" i="46"/>
  <c r="N184" i="46"/>
  <c r="M184" i="46"/>
  <c r="L184" i="46"/>
  <c r="K184" i="46"/>
  <c r="J184" i="46"/>
  <c r="I184" i="46"/>
  <c r="N183" i="46"/>
  <c r="M183" i="46"/>
  <c r="L183" i="46"/>
  <c r="K183" i="46"/>
  <c r="J183" i="46"/>
  <c r="I183" i="46"/>
  <c r="N182" i="46"/>
  <c r="M182" i="46"/>
  <c r="L182" i="46"/>
  <c r="K182" i="46"/>
  <c r="J182" i="46"/>
  <c r="I182" i="46"/>
  <c r="N181" i="46"/>
  <c r="M181" i="46"/>
  <c r="L181" i="46"/>
  <c r="K181" i="46"/>
  <c r="J181" i="46"/>
  <c r="I181" i="46"/>
  <c r="N180" i="46"/>
  <c r="M180" i="46"/>
  <c r="L180" i="46"/>
  <c r="K180" i="46"/>
  <c r="J180" i="46"/>
  <c r="I180" i="46"/>
  <c r="N179" i="46"/>
  <c r="M179" i="46"/>
  <c r="L179" i="46"/>
  <c r="K179" i="46"/>
  <c r="J179" i="46"/>
  <c r="I179" i="46"/>
  <c r="N178" i="46"/>
  <c r="M178" i="46"/>
  <c r="L178" i="46"/>
  <c r="K178" i="46"/>
  <c r="J178" i="46"/>
  <c r="I178" i="46"/>
  <c r="N177" i="46"/>
  <c r="M177" i="46"/>
  <c r="L177" i="46"/>
  <c r="K177" i="46"/>
  <c r="J177" i="46"/>
  <c r="I177" i="46"/>
  <c r="N176" i="46"/>
  <c r="M176" i="46"/>
  <c r="L176" i="46"/>
  <c r="K176" i="46"/>
  <c r="J176" i="46"/>
  <c r="I176" i="46"/>
  <c r="N175" i="46"/>
  <c r="M175" i="46"/>
  <c r="L175" i="46"/>
  <c r="K175" i="46"/>
  <c r="J175" i="46"/>
  <c r="I175" i="46"/>
  <c r="N174" i="46"/>
  <c r="M174" i="46"/>
  <c r="L174" i="46"/>
  <c r="K174" i="46"/>
  <c r="J174" i="46"/>
  <c r="I174" i="46"/>
  <c r="N173" i="46"/>
  <c r="M173" i="46"/>
  <c r="L173" i="46"/>
  <c r="K173" i="46"/>
  <c r="J173" i="46"/>
  <c r="I173" i="46"/>
  <c r="N172" i="46"/>
  <c r="M172" i="46"/>
  <c r="L172" i="46"/>
  <c r="K172" i="46"/>
  <c r="J172" i="46"/>
  <c r="I172" i="46"/>
  <c r="N171" i="46"/>
  <c r="M171" i="46"/>
  <c r="L171" i="46"/>
  <c r="K171" i="46"/>
  <c r="J171" i="46"/>
  <c r="I171" i="46"/>
  <c r="N170" i="46"/>
  <c r="M170" i="46"/>
  <c r="L170" i="46"/>
  <c r="K170" i="46"/>
  <c r="J170" i="46"/>
  <c r="I170" i="46"/>
  <c r="N169" i="46"/>
  <c r="M169" i="46"/>
  <c r="L169" i="46"/>
  <c r="K169" i="46"/>
  <c r="J169" i="46"/>
  <c r="I169" i="46"/>
  <c r="N168" i="46"/>
  <c r="M168" i="46"/>
  <c r="L168" i="46"/>
  <c r="K168" i="46"/>
  <c r="J168" i="46"/>
  <c r="I168" i="46"/>
  <c r="N167" i="46"/>
  <c r="M167" i="46"/>
  <c r="L167" i="46"/>
  <c r="K167" i="46"/>
  <c r="J167" i="46"/>
  <c r="I167" i="46"/>
  <c r="N166" i="46"/>
  <c r="M166" i="46"/>
  <c r="L166" i="46"/>
  <c r="K166" i="46"/>
  <c r="J166" i="46"/>
  <c r="I166" i="46"/>
  <c r="N165" i="46"/>
  <c r="M165" i="46"/>
  <c r="L165" i="46"/>
  <c r="K165" i="46"/>
  <c r="J165" i="46"/>
  <c r="I165" i="46"/>
  <c r="N164" i="46"/>
  <c r="M164" i="46"/>
  <c r="L164" i="46"/>
  <c r="K164" i="46"/>
  <c r="J164" i="46"/>
  <c r="I164" i="46"/>
  <c r="N163" i="46"/>
  <c r="M163" i="46"/>
  <c r="L163" i="46"/>
  <c r="K163" i="46"/>
  <c r="J163" i="46"/>
  <c r="I163" i="46"/>
  <c r="N162" i="46"/>
  <c r="M162" i="46"/>
  <c r="L162" i="46"/>
  <c r="K162" i="46"/>
  <c r="J162" i="46"/>
  <c r="I162" i="46"/>
  <c r="N161" i="46"/>
  <c r="M161" i="46"/>
  <c r="L161" i="46"/>
  <c r="K161" i="46"/>
  <c r="J161" i="46"/>
  <c r="I161" i="46"/>
  <c r="N160" i="46"/>
  <c r="M160" i="46"/>
  <c r="L160" i="46"/>
  <c r="K160" i="46"/>
  <c r="J160" i="46"/>
  <c r="I160" i="46"/>
  <c r="N159" i="46"/>
  <c r="M159" i="46"/>
  <c r="L159" i="46"/>
  <c r="K159" i="46"/>
  <c r="J159" i="46"/>
  <c r="I159" i="46"/>
  <c r="N158" i="46"/>
  <c r="M158" i="46"/>
  <c r="L158" i="46"/>
  <c r="K158" i="46"/>
  <c r="J158" i="46"/>
  <c r="I158" i="46"/>
  <c r="N157" i="46"/>
  <c r="M157" i="46"/>
  <c r="L157" i="46"/>
  <c r="K157" i="46"/>
  <c r="J157" i="46"/>
  <c r="I157" i="46"/>
  <c r="N156" i="46"/>
  <c r="M156" i="46"/>
  <c r="L156" i="46"/>
  <c r="K156" i="46"/>
  <c r="J156" i="46"/>
  <c r="I156" i="46"/>
  <c r="N155" i="46"/>
  <c r="M155" i="46"/>
  <c r="L155" i="46"/>
  <c r="K155" i="46"/>
  <c r="J155" i="46"/>
  <c r="I155" i="46"/>
  <c r="N154" i="46"/>
  <c r="M154" i="46"/>
  <c r="L154" i="46"/>
  <c r="K154" i="46"/>
  <c r="J154" i="46"/>
  <c r="I154" i="46"/>
  <c r="N153" i="46"/>
  <c r="M153" i="46"/>
  <c r="L153" i="46"/>
  <c r="K153" i="46"/>
  <c r="J153" i="46"/>
  <c r="I153" i="46"/>
  <c r="N152" i="46"/>
  <c r="M152" i="46"/>
  <c r="L152" i="46"/>
  <c r="K152" i="46"/>
  <c r="J152" i="46"/>
  <c r="I152" i="46"/>
  <c r="N151" i="46"/>
  <c r="M151" i="46"/>
  <c r="L151" i="46"/>
  <c r="K151" i="46"/>
  <c r="J151" i="46"/>
  <c r="I151" i="46"/>
  <c r="N150" i="46"/>
  <c r="M150" i="46"/>
  <c r="L150" i="46"/>
  <c r="K150" i="46"/>
  <c r="J150" i="46"/>
  <c r="I150" i="46"/>
  <c r="N149" i="46"/>
  <c r="M149" i="46"/>
  <c r="L149" i="46"/>
  <c r="K149" i="46"/>
  <c r="J149" i="46"/>
  <c r="I149" i="46"/>
  <c r="N148" i="46"/>
  <c r="M148" i="46"/>
  <c r="L148" i="46"/>
  <c r="K148" i="46"/>
  <c r="J148" i="46"/>
  <c r="I148" i="46"/>
  <c r="N147" i="46"/>
  <c r="M147" i="46"/>
  <c r="L147" i="46"/>
  <c r="K147" i="46"/>
  <c r="J147" i="46"/>
  <c r="I147" i="46"/>
  <c r="N146" i="46"/>
  <c r="M146" i="46"/>
  <c r="L146" i="46"/>
  <c r="K146" i="46"/>
  <c r="J146" i="46"/>
  <c r="I146" i="46"/>
  <c r="N145" i="46"/>
  <c r="M145" i="46"/>
  <c r="L145" i="46"/>
  <c r="K145" i="46"/>
  <c r="J145" i="46"/>
  <c r="I145" i="46"/>
  <c r="N144" i="46"/>
  <c r="M144" i="46"/>
  <c r="L144" i="46"/>
  <c r="K144" i="46"/>
  <c r="J144" i="46"/>
  <c r="I144" i="46"/>
  <c r="N143" i="46"/>
  <c r="M143" i="46"/>
  <c r="L143" i="46"/>
  <c r="K143" i="46"/>
  <c r="J143" i="46"/>
  <c r="I143" i="46"/>
  <c r="N142" i="46"/>
  <c r="M142" i="46"/>
  <c r="L142" i="46"/>
  <c r="K142" i="46"/>
  <c r="J142" i="46"/>
  <c r="I142" i="46"/>
  <c r="N141" i="46"/>
  <c r="M141" i="46"/>
  <c r="L141" i="46"/>
  <c r="K141" i="46"/>
  <c r="J141" i="46"/>
  <c r="I141" i="46"/>
  <c r="N140" i="46"/>
  <c r="M140" i="46"/>
  <c r="L140" i="46"/>
  <c r="K140" i="46"/>
  <c r="J140" i="46"/>
  <c r="I140" i="46"/>
  <c r="N139" i="46"/>
  <c r="M139" i="46"/>
  <c r="L139" i="46"/>
  <c r="K139" i="46"/>
  <c r="J139" i="46"/>
  <c r="I139" i="46"/>
  <c r="N138" i="46"/>
  <c r="M138" i="46"/>
  <c r="L138" i="46"/>
  <c r="K138" i="46"/>
  <c r="J138" i="46"/>
  <c r="I138" i="46"/>
  <c r="N137" i="46"/>
  <c r="M137" i="46"/>
  <c r="L137" i="46"/>
  <c r="K137" i="46"/>
  <c r="J137" i="46"/>
  <c r="I137" i="46"/>
  <c r="N136" i="46"/>
  <c r="M136" i="46"/>
  <c r="L136" i="46"/>
  <c r="K136" i="46"/>
  <c r="J136" i="46"/>
  <c r="I136" i="46"/>
  <c r="N135" i="46"/>
  <c r="M135" i="46"/>
  <c r="L135" i="46"/>
  <c r="K135" i="46"/>
  <c r="J135" i="46"/>
  <c r="I135" i="46"/>
  <c r="N134" i="46"/>
  <c r="M134" i="46"/>
  <c r="L134" i="46"/>
  <c r="K134" i="46"/>
  <c r="J134" i="46"/>
  <c r="I134" i="46"/>
  <c r="N133" i="46"/>
  <c r="M133" i="46"/>
  <c r="L133" i="46"/>
  <c r="K133" i="46"/>
  <c r="J133" i="46"/>
  <c r="I133" i="46"/>
  <c r="N132" i="46"/>
  <c r="M132" i="46"/>
  <c r="L132" i="46"/>
  <c r="K132" i="46"/>
  <c r="J132" i="46"/>
  <c r="I132" i="46"/>
  <c r="N131" i="46"/>
  <c r="M131" i="46"/>
  <c r="L131" i="46"/>
  <c r="K131" i="46"/>
  <c r="J131" i="46"/>
  <c r="I131" i="46"/>
  <c r="N130" i="46"/>
  <c r="M130" i="46"/>
  <c r="L130" i="46"/>
  <c r="K130" i="46"/>
  <c r="J130" i="46"/>
  <c r="I130" i="46"/>
  <c r="N129" i="46"/>
  <c r="M129" i="46"/>
  <c r="L129" i="46"/>
  <c r="K129" i="46"/>
  <c r="J129" i="46"/>
  <c r="I129" i="46"/>
  <c r="N128" i="46"/>
  <c r="M128" i="46"/>
  <c r="L128" i="46"/>
  <c r="K128" i="46"/>
  <c r="J128" i="46"/>
  <c r="I128" i="46"/>
  <c r="N127" i="46"/>
  <c r="M127" i="46"/>
  <c r="L127" i="46"/>
  <c r="K127" i="46"/>
  <c r="J127" i="46"/>
  <c r="I127" i="46"/>
  <c r="N126" i="46"/>
  <c r="M126" i="46"/>
  <c r="L126" i="46"/>
  <c r="K126" i="46"/>
  <c r="J126" i="46"/>
  <c r="I126" i="46"/>
  <c r="N125" i="46"/>
  <c r="M125" i="46"/>
  <c r="L125" i="46"/>
  <c r="K125" i="46"/>
  <c r="J125" i="46"/>
  <c r="I125" i="46"/>
  <c r="N124" i="46"/>
  <c r="M124" i="46"/>
  <c r="L124" i="46"/>
  <c r="K124" i="46"/>
  <c r="J124" i="46"/>
  <c r="I124" i="46"/>
  <c r="N123" i="46"/>
  <c r="M123" i="46"/>
  <c r="L123" i="46"/>
  <c r="K123" i="46"/>
  <c r="J123" i="46"/>
  <c r="I123" i="46"/>
  <c r="N122" i="46"/>
  <c r="M122" i="46"/>
  <c r="L122" i="46"/>
  <c r="K122" i="46"/>
  <c r="J122" i="46"/>
  <c r="I122" i="46"/>
  <c r="N121" i="46"/>
  <c r="M121" i="46"/>
  <c r="L121" i="46"/>
  <c r="K121" i="46"/>
  <c r="J121" i="46"/>
  <c r="I121" i="46"/>
  <c r="N120" i="46"/>
  <c r="M120" i="46"/>
  <c r="L120" i="46"/>
  <c r="K120" i="46"/>
  <c r="J120" i="46"/>
  <c r="I120" i="46"/>
  <c r="N119" i="46"/>
  <c r="M119" i="46"/>
  <c r="L119" i="46"/>
  <c r="K119" i="46"/>
  <c r="J119" i="46"/>
  <c r="I119" i="46"/>
  <c r="N118" i="46"/>
  <c r="M118" i="46"/>
  <c r="L118" i="46"/>
  <c r="K118" i="46"/>
  <c r="J118" i="46"/>
  <c r="I118" i="46"/>
  <c r="N117" i="46"/>
  <c r="M117" i="46"/>
  <c r="L117" i="46"/>
  <c r="K117" i="46"/>
  <c r="J117" i="46"/>
  <c r="I117" i="46"/>
  <c r="N116" i="46"/>
  <c r="M116" i="46"/>
  <c r="L116" i="46"/>
  <c r="K116" i="46"/>
  <c r="J116" i="46"/>
  <c r="I116" i="46"/>
  <c r="N115" i="46"/>
  <c r="M115" i="46"/>
  <c r="L115" i="46"/>
  <c r="K115" i="46"/>
  <c r="J115" i="46"/>
  <c r="I115" i="46"/>
  <c r="N114" i="46"/>
  <c r="M114" i="46"/>
  <c r="L114" i="46"/>
  <c r="K114" i="46"/>
  <c r="J114" i="46"/>
  <c r="I114" i="46"/>
  <c r="N113" i="46"/>
  <c r="M113" i="46"/>
  <c r="L113" i="46"/>
  <c r="K113" i="46"/>
  <c r="J113" i="46"/>
  <c r="I113" i="46"/>
  <c r="N112" i="46"/>
  <c r="M112" i="46"/>
  <c r="L112" i="46"/>
  <c r="K112" i="46"/>
  <c r="J112" i="46"/>
  <c r="I112" i="46"/>
  <c r="N111" i="46"/>
  <c r="M111" i="46"/>
  <c r="L111" i="46"/>
  <c r="K111" i="46"/>
  <c r="J111" i="46"/>
  <c r="I111" i="46"/>
  <c r="N110" i="46"/>
  <c r="M110" i="46"/>
  <c r="L110" i="46"/>
  <c r="K110" i="46"/>
  <c r="J110" i="46"/>
  <c r="I110" i="46"/>
  <c r="N109" i="46"/>
  <c r="M109" i="46"/>
  <c r="L109" i="46"/>
  <c r="K109" i="46"/>
  <c r="J109" i="46"/>
  <c r="I109" i="46"/>
  <c r="N108" i="46"/>
  <c r="M108" i="46"/>
  <c r="L108" i="46"/>
  <c r="K108" i="46"/>
  <c r="J108" i="46"/>
  <c r="I108" i="46"/>
  <c r="N107" i="46"/>
  <c r="M107" i="46"/>
  <c r="L107" i="46"/>
  <c r="K107" i="46"/>
  <c r="J107" i="46"/>
  <c r="I107" i="46"/>
  <c r="N106" i="46"/>
  <c r="M106" i="46"/>
  <c r="L106" i="46"/>
  <c r="K106" i="46"/>
  <c r="J106" i="46"/>
  <c r="I106" i="46"/>
  <c r="N105" i="46"/>
  <c r="M105" i="46"/>
  <c r="L105" i="46"/>
  <c r="K105" i="46"/>
  <c r="J105" i="46"/>
  <c r="I105" i="46"/>
  <c r="N104" i="46"/>
  <c r="M104" i="46"/>
  <c r="L104" i="46"/>
  <c r="K104" i="46"/>
  <c r="J104" i="46"/>
  <c r="I104" i="46"/>
  <c r="N103" i="46"/>
  <c r="M103" i="46"/>
  <c r="L103" i="46"/>
  <c r="K103" i="46"/>
  <c r="J103" i="46"/>
  <c r="I103" i="46"/>
  <c r="N102" i="46"/>
  <c r="M102" i="46"/>
  <c r="L102" i="46"/>
  <c r="K102" i="46"/>
  <c r="J102" i="46"/>
  <c r="I102" i="46"/>
  <c r="N101" i="46"/>
  <c r="M101" i="46"/>
  <c r="L101" i="46"/>
  <c r="K101" i="46"/>
  <c r="J101" i="46"/>
  <c r="I101" i="46"/>
  <c r="N100" i="46"/>
  <c r="M100" i="46"/>
  <c r="L100" i="46"/>
  <c r="K100" i="46"/>
  <c r="J100" i="46"/>
  <c r="I100" i="46"/>
  <c r="N99" i="46"/>
  <c r="M99" i="46"/>
  <c r="L99" i="46"/>
  <c r="K99" i="46"/>
  <c r="J99" i="46"/>
  <c r="I99" i="46"/>
  <c r="N98" i="46"/>
  <c r="M98" i="46"/>
  <c r="L98" i="46"/>
  <c r="K98" i="46"/>
  <c r="J98" i="46"/>
  <c r="I98" i="46"/>
  <c r="N97" i="46"/>
  <c r="M97" i="46"/>
  <c r="L97" i="46"/>
  <c r="K97" i="46"/>
  <c r="J97" i="46"/>
  <c r="I97" i="46"/>
  <c r="N96" i="46"/>
  <c r="M96" i="46"/>
  <c r="L96" i="46"/>
  <c r="K96" i="46"/>
  <c r="J96" i="46"/>
  <c r="I96" i="46"/>
  <c r="N95" i="46"/>
  <c r="M95" i="46"/>
  <c r="L95" i="46"/>
  <c r="K95" i="46"/>
  <c r="J95" i="46"/>
  <c r="I95" i="46"/>
  <c r="N94" i="46"/>
  <c r="M94" i="46"/>
  <c r="L94" i="46"/>
  <c r="K94" i="46"/>
  <c r="J94" i="46"/>
  <c r="I94" i="46"/>
  <c r="N93" i="46"/>
  <c r="M93" i="46"/>
  <c r="L93" i="46"/>
  <c r="K93" i="46"/>
  <c r="J93" i="46"/>
  <c r="I93" i="46"/>
  <c r="N92" i="46"/>
  <c r="M92" i="46"/>
  <c r="L92" i="46"/>
  <c r="K92" i="46"/>
  <c r="J92" i="46"/>
  <c r="I92" i="46"/>
  <c r="N91" i="46"/>
  <c r="M91" i="46"/>
  <c r="L91" i="46"/>
  <c r="K91" i="46"/>
  <c r="J91" i="46"/>
  <c r="I91" i="46"/>
  <c r="N90" i="46"/>
  <c r="M90" i="46"/>
  <c r="L90" i="46"/>
  <c r="K90" i="46"/>
  <c r="J90" i="46"/>
  <c r="I90" i="46"/>
  <c r="N89" i="46"/>
  <c r="M89" i="46"/>
  <c r="L89" i="46"/>
  <c r="K89" i="46"/>
  <c r="J89" i="46"/>
  <c r="I89" i="46"/>
  <c r="N88" i="46"/>
  <c r="M88" i="46"/>
  <c r="L88" i="46"/>
  <c r="K88" i="46"/>
  <c r="J88" i="46"/>
  <c r="I88" i="46"/>
  <c r="N87" i="46"/>
  <c r="M87" i="46"/>
  <c r="L87" i="46"/>
  <c r="K87" i="46"/>
  <c r="J87" i="46"/>
  <c r="I87" i="46"/>
  <c r="N86" i="46"/>
  <c r="M86" i="46"/>
  <c r="L86" i="46"/>
  <c r="K86" i="46"/>
  <c r="J86" i="46"/>
  <c r="I86" i="46"/>
  <c r="N85" i="46"/>
  <c r="M85" i="46"/>
  <c r="L85" i="46"/>
  <c r="K85" i="46"/>
  <c r="J85" i="46"/>
  <c r="I85" i="46"/>
  <c r="N84" i="46"/>
  <c r="M84" i="46"/>
  <c r="L84" i="46"/>
  <c r="K84" i="46"/>
  <c r="J84" i="46"/>
  <c r="I84" i="46"/>
  <c r="N83" i="46"/>
  <c r="M83" i="46"/>
  <c r="L83" i="46"/>
  <c r="K83" i="46"/>
  <c r="J83" i="46"/>
  <c r="I83" i="46"/>
  <c r="N82" i="46"/>
  <c r="M82" i="46"/>
  <c r="L82" i="46"/>
  <c r="K82" i="46"/>
  <c r="J82" i="46"/>
  <c r="I82" i="46"/>
  <c r="N81" i="46"/>
  <c r="M81" i="46"/>
  <c r="L81" i="46"/>
  <c r="K81" i="46"/>
  <c r="J81" i="46"/>
  <c r="I81" i="46"/>
  <c r="N80" i="46"/>
  <c r="M80" i="46"/>
  <c r="L80" i="46"/>
  <c r="K80" i="46"/>
  <c r="J80" i="46"/>
  <c r="I80" i="46"/>
  <c r="N79" i="46"/>
  <c r="M79" i="46"/>
  <c r="L79" i="46"/>
  <c r="K79" i="46"/>
  <c r="J79" i="46"/>
  <c r="I79" i="46"/>
  <c r="N78" i="46"/>
  <c r="M78" i="46"/>
  <c r="L78" i="46"/>
  <c r="K78" i="46"/>
  <c r="J78" i="46"/>
  <c r="I78" i="46"/>
  <c r="N77" i="46"/>
  <c r="M77" i="46"/>
  <c r="L77" i="46"/>
  <c r="K77" i="46"/>
  <c r="J77" i="46"/>
  <c r="I77" i="46"/>
  <c r="N76" i="46"/>
  <c r="M76" i="46"/>
  <c r="L76" i="46"/>
  <c r="K76" i="46"/>
  <c r="J76" i="46"/>
  <c r="I76" i="46"/>
  <c r="N75" i="46"/>
  <c r="M75" i="46"/>
  <c r="L75" i="46"/>
  <c r="K75" i="46"/>
  <c r="J75" i="46"/>
  <c r="I75" i="46"/>
  <c r="N74" i="46"/>
  <c r="M74" i="46"/>
  <c r="L74" i="46"/>
  <c r="K74" i="46"/>
  <c r="J74" i="46"/>
  <c r="I74" i="46"/>
  <c r="N73" i="46"/>
  <c r="M73" i="46"/>
  <c r="L73" i="46"/>
  <c r="K73" i="46"/>
  <c r="J73" i="46"/>
  <c r="I73" i="46"/>
  <c r="N72" i="46"/>
  <c r="M72" i="46"/>
  <c r="L72" i="46"/>
  <c r="K72" i="46"/>
  <c r="J72" i="46"/>
  <c r="I72" i="46"/>
  <c r="N71" i="46"/>
  <c r="M71" i="46"/>
  <c r="L71" i="46"/>
  <c r="K71" i="46"/>
  <c r="J71" i="46"/>
  <c r="I71" i="46"/>
  <c r="N70" i="46"/>
  <c r="M70" i="46"/>
  <c r="L70" i="46"/>
  <c r="K70" i="46"/>
  <c r="J70" i="46"/>
  <c r="I70" i="46"/>
  <c r="N69" i="46"/>
  <c r="M69" i="46"/>
  <c r="L69" i="46"/>
  <c r="K69" i="46"/>
  <c r="J69" i="46"/>
  <c r="I69" i="46"/>
  <c r="N68" i="46"/>
  <c r="M68" i="46"/>
  <c r="L68" i="46"/>
  <c r="K68" i="46"/>
  <c r="J68" i="46"/>
  <c r="I68" i="46"/>
  <c r="N67" i="46"/>
  <c r="M67" i="46"/>
  <c r="L67" i="46"/>
  <c r="K67" i="46"/>
  <c r="J67" i="46"/>
  <c r="I67" i="46"/>
  <c r="N66" i="46"/>
  <c r="M66" i="46"/>
  <c r="L66" i="46"/>
  <c r="K66" i="46"/>
  <c r="J66" i="46"/>
  <c r="I66" i="46"/>
  <c r="N65" i="46"/>
  <c r="M65" i="46"/>
  <c r="L65" i="46"/>
  <c r="K65" i="46"/>
  <c r="J65" i="46"/>
  <c r="I65" i="46"/>
  <c r="N64" i="46"/>
  <c r="M64" i="46"/>
  <c r="L64" i="46"/>
  <c r="K64" i="46"/>
  <c r="J64" i="46"/>
  <c r="I64" i="46"/>
  <c r="N63" i="46"/>
  <c r="M63" i="46"/>
  <c r="L63" i="46"/>
  <c r="K63" i="46"/>
  <c r="J63" i="46"/>
  <c r="I63" i="46"/>
  <c r="N62" i="46"/>
  <c r="M62" i="46"/>
  <c r="L62" i="46"/>
  <c r="K62" i="46"/>
  <c r="J62" i="46"/>
  <c r="I62" i="46"/>
  <c r="N61" i="46"/>
  <c r="M61" i="46"/>
  <c r="L61" i="46"/>
  <c r="K61" i="46"/>
  <c r="J61" i="46"/>
  <c r="I61" i="46"/>
  <c r="N60" i="46"/>
  <c r="M60" i="46"/>
  <c r="L60" i="46"/>
  <c r="K60" i="46"/>
  <c r="J60" i="46"/>
  <c r="I60" i="46"/>
  <c r="N59" i="46"/>
  <c r="M59" i="46"/>
  <c r="L59" i="46"/>
  <c r="K59" i="46"/>
  <c r="J59" i="46"/>
  <c r="I59" i="46"/>
  <c r="N58" i="46"/>
  <c r="M58" i="46"/>
  <c r="L58" i="46"/>
  <c r="K58" i="46"/>
  <c r="J58" i="46"/>
  <c r="I58" i="46"/>
  <c r="N57" i="46"/>
  <c r="M57" i="46"/>
  <c r="L57" i="46"/>
  <c r="K57" i="46"/>
  <c r="J57" i="46"/>
  <c r="I57" i="46"/>
  <c r="N56" i="46"/>
  <c r="M56" i="46"/>
  <c r="L56" i="46"/>
  <c r="K56" i="46"/>
  <c r="J56" i="46"/>
  <c r="I56" i="46"/>
  <c r="N55" i="46"/>
  <c r="M55" i="46"/>
  <c r="L55" i="46"/>
  <c r="K55" i="46"/>
  <c r="J55" i="46"/>
  <c r="I55" i="46"/>
  <c r="N54" i="46"/>
  <c r="M54" i="46"/>
  <c r="L54" i="46"/>
  <c r="K54" i="46"/>
  <c r="J54" i="46"/>
  <c r="I54" i="46"/>
  <c r="N53" i="46"/>
  <c r="M53" i="46"/>
  <c r="L53" i="46"/>
  <c r="K53" i="46"/>
  <c r="J53" i="46"/>
  <c r="I53" i="46"/>
  <c r="N52" i="46"/>
  <c r="M52" i="46"/>
  <c r="L52" i="46"/>
  <c r="K52" i="46"/>
  <c r="J52" i="46"/>
  <c r="I52" i="46"/>
  <c r="N51" i="46"/>
  <c r="M51" i="46"/>
  <c r="L51" i="46"/>
  <c r="K51" i="46"/>
  <c r="J51" i="46"/>
  <c r="I51" i="46"/>
  <c r="N50" i="46"/>
  <c r="M50" i="46"/>
  <c r="L50" i="46"/>
  <c r="K50" i="46"/>
  <c r="J50" i="46"/>
  <c r="I50" i="46"/>
  <c r="N49" i="46"/>
  <c r="M49" i="46"/>
  <c r="L49" i="46"/>
  <c r="K49" i="46"/>
  <c r="J49" i="46"/>
  <c r="I49" i="46"/>
  <c r="N48" i="46"/>
  <c r="M48" i="46"/>
  <c r="L48" i="46"/>
  <c r="K48" i="46"/>
  <c r="J48" i="46"/>
  <c r="I48" i="46"/>
  <c r="N47" i="46"/>
  <c r="M47" i="46"/>
  <c r="L47" i="46"/>
  <c r="K47" i="46"/>
  <c r="J47" i="46"/>
  <c r="I47" i="46"/>
  <c r="N46" i="46"/>
  <c r="M46" i="46"/>
  <c r="L46" i="46"/>
  <c r="K46" i="46"/>
  <c r="J46" i="46"/>
  <c r="I46" i="46"/>
  <c r="N45" i="46"/>
  <c r="M45" i="46"/>
  <c r="L45" i="46"/>
  <c r="K45" i="46"/>
  <c r="J45" i="46"/>
  <c r="I45" i="46"/>
  <c r="N44" i="46"/>
  <c r="M44" i="46"/>
  <c r="L44" i="46"/>
  <c r="K44" i="46"/>
  <c r="J44" i="46"/>
  <c r="I44" i="46"/>
  <c r="N43" i="46"/>
  <c r="M43" i="46"/>
  <c r="L43" i="46"/>
  <c r="K43" i="46"/>
  <c r="J43" i="46"/>
  <c r="I43" i="46"/>
  <c r="N42" i="46"/>
  <c r="M42" i="46"/>
  <c r="L42" i="46"/>
  <c r="K42" i="46"/>
  <c r="J42" i="46"/>
  <c r="I42" i="46"/>
  <c r="N41" i="46"/>
  <c r="M41" i="46"/>
  <c r="L41" i="46"/>
  <c r="K41" i="46"/>
  <c r="J41" i="46"/>
  <c r="I41" i="46"/>
  <c r="N40" i="46"/>
  <c r="M40" i="46"/>
  <c r="L40" i="46"/>
  <c r="K40" i="46"/>
  <c r="J40" i="46"/>
  <c r="I40" i="46"/>
  <c r="N39" i="46"/>
  <c r="M39" i="46"/>
  <c r="L39" i="46"/>
  <c r="K39" i="46"/>
  <c r="J39" i="46"/>
  <c r="I39" i="46"/>
  <c r="N38" i="46"/>
  <c r="M38" i="46"/>
  <c r="L38" i="46"/>
  <c r="K38" i="46"/>
  <c r="J38" i="46"/>
  <c r="I38" i="46"/>
  <c r="N37" i="46"/>
  <c r="M37" i="46"/>
  <c r="L37" i="46"/>
  <c r="K37" i="46"/>
  <c r="J37" i="46"/>
  <c r="I37" i="46"/>
  <c r="N36" i="46"/>
  <c r="M36" i="46"/>
  <c r="L36" i="46"/>
  <c r="K36" i="46"/>
  <c r="J36" i="46"/>
  <c r="I36" i="46"/>
  <c r="N35" i="46"/>
  <c r="M35" i="46"/>
  <c r="L35" i="46"/>
  <c r="K35" i="46"/>
  <c r="J35" i="46"/>
  <c r="I35" i="46"/>
  <c r="N34" i="46"/>
  <c r="M34" i="46"/>
  <c r="L34" i="46"/>
  <c r="K34" i="46"/>
  <c r="J34" i="46"/>
  <c r="I34" i="46"/>
  <c r="N33" i="46"/>
  <c r="M33" i="46"/>
  <c r="L33" i="46"/>
  <c r="K33" i="46"/>
  <c r="J33" i="46"/>
  <c r="I33" i="46"/>
  <c r="N32" i="46"/>
  <c r="M32" i="46"/>
  <c r="L32" i="46"/>
  <c r="K32" i="46"/>
  <c r="J32" i="46"/>
  <c r="I32" i="46"/>
  <c r="N31" i="46"/>
  <c r="M31" i="46"/>
  <c r="L31" i="46"/>
  <c r="K31" i="46"/>
  <c r="J31" i="46"/>
  <c r="I31" i="46"/>
  <c r="N30" i="46"/>
  <c r="M30" i="46"/>
  <c r="L30" i="46"/>
  <c r="K30" i="46"/>
  <c r="J30" i="46"/>
  <c r="I30" i="46"/>
  <c r="N29" i="46"/>
  <c r="M29" i="46"/>
  <c r="L29" i="46"/>
  <c r="K29" i="46"/>
  <c r="J29" i="46"/>
  <c r="I29" i="46"/>
  <c r="N28" i="46"/>
  <c r="M28" i="46"/>
  <c r="L28" i="46"/>
  <c r="K28" i="46"/>
  <c r="J28" i="46"/>
  <c r="I28" i="46"/>
  <c r="N27" i="46"/>
  <c r="M27" i="46"/>
  <c r="L27" i="46"/>
  <c r="K27" i="46"/>
  <c r="J27" i="46"/>
  <c r="I27" i="46"/>
  <c r="N26" i="46"/>
  <c r="M26" i="46"/>
  <c r="L26" i="46"/>
  <c r="K26" i="46"/>
  <c r="J26" i="46"/>
  <c r="I26" i="46"/>
  <c r="N25" i="46"/>
  <c r="M25" i="46"/>
  <c r="L25" i="46"/>
  <c r="K25" i="46"/>
  <c r="J25" i="46"/>
  <c r="I25" i="46"/>
  <c r="N24" i="46"/>
  <c r="M24" i="46"/>
  <c r="L24" i="46"/>
  <c r="K24" i="46"/>
  <c r="J24" i="46"/>
  <c r="I24" i="46"/>
  <c r="N23" i="46"/>
  <c r="M23" i="46"/>
  <c r="L23" i="46"/>
  <c r="K23" i="46"/>
  <c r="J23" i="46"/>
  <c r="I23" i="46"/>
  <c r="N22" i="46"/>
  <c r="M22" i="46"/>
  <c r="L22" i="46"/>
  <c r="K22" i="46"/>
  <c r="J22" i="46"/>
  <c r="I22" i="46"/>
  <c r="N21" i="46"/>
  <c r="M21" i="46"/>
  <c r="L21" i="46"/>
  <c r="K21" i="46"/>
  <c r="J21" i="46"/>
  <c r="I21" i="46"/>
  <c r="N20" i="46"/>
  <c r="M20" i="46"/>
  <c r="L20" i="46"/>
  <c r="K20" i="46"/>
  <c r="J20" i="46"/>
  <c r="I20" i="46"/>
  <c r="N19" i="46"/>
  <c r="M19" i="46"/>
  <c r="L19" i="46"/>
  <c r="K19" i="46"/>
  <c r="J19" i="46"/>
  <c r="I19" i="46"/>
  <c r="N18" i="46"/>
  <c r="M18" i="46"/>
  <c r="L18" i="46"/>
  <c r="K18" i="46"/>
  <c r="J18" i="46"/>
  <c r="I18" i="46"/>
  <c r="N17" i="46"/>
  <c r="M17" i="46"/>
  <c r="L17" i="46"/>
  <c r="K17" i="46"/>
  <c r="J17" i="46"/>
  <c r="I17" i="46"/>
  <c r="N16" i="46"/>
  <c r="M16" i="46"/>
  <c r="L16" i="46"/>
  <c r="K16" i="46"/>
  <c r="J16" i="46"/>
  <c r="I16" i="46"/>
  <c r="N15" i="46"/>
  <c r="M15" i="46"/>
  <c r="L15" i="46"/>
  <c r="K15" i="46"/>
  <c r="J15" i="46"/>
  <c r="I15" i="46"/>
  <c r="N14" i="46"/>
  <c r="M14" i="46"/>
  <c r="L14" i="46"/>
  <c r="K14" i="46"/>
  <c r="J14" i="46"/>
  <c r="I14" i="46"/>
  <c r="N13" i="46"/>
  <c r="M13" i="46"/>
  <c r="L13" i="46"/>
  <c r="K13" i="46"/>
  <c r="J13" i="46"/>
  <c r="I13" i="46"/>
  <c r="N12" i="46"/>
  <c r="M12" i="46"/>
  <c r="L12" i="46"/>
  <c r="K12" i="46"/>
  <c r="J12" i="46"/>
  <c r="I12" i="46"/>
  <c r="N11" i="46"/>
  <c r="M11" i="46"/>
  <c r="L11" i="46"/>
  <c r="K11" i="46"/>
  <c r="J11" i="46"/>
  <c r="I11" i="46"/>
  <c r="N10" i="46"/>
  <c r="M10" i="46"/>
  <c r="L10" i="46"/>
  <c r="K10" i="46"/>
  <c r="J10" i="46"/>
  <c r="I10" i="46"/>
  <c r="N9" i="46"/>
  <c r="M9" i="46"/>
  <c r="L9" i="46"/>
  <c r="K9" i="46"/>
  <c r="J9" i="46"/>
  <c r="I9" i="46"/>
  <c r="N8" i="46"/>
  <c r="M8" i="46"/>
  <c r="L8" i="46"/>
  <c r="K8" i="46"/>
  <c r="J8" i="46"/>
  <c r="I8" i="46"/>
  <c r="N7" i="46"/>
  <c r="M7" i="46"/>
  <c r="L7" i="46"/>
  <c r="K7" i="46"/>
  <c r="J7" i="46"/>
  <c r="I7" i="46"/>
  <c r="N6" i="46"/>
  <c r="M6" i="46"/>
  <c r="L6" i="46"/>
  <c r="K6" i="46"/>
  <c r="J6" i="46"/>
  <c r="I6" i="46"/>
  <c r="N5" i="46"/>
  <c r="M5" i="46"/>
  <c r="L5" i="46"/>
  <c r="K5" i="46"/>
  <c r="J5" i="46"/>
  <c r="I5" i="46"/>
  <c r="N4" i="46"/>
  <c r="M4" i="46"/>
  <c r="L4" i="46"/>
  <c r="K4" i="46"/>
  <c r="J4" i="46"/>
  <c r="I4" i="46"/>
  <c r="N3" i="46"/>
  <c r="M3" i="46"/>
  <c r="L3" i="46"/>
  <c r="K3" i="46"/>
  <c r="J3" i="46"/>
  <c r="I3" i="46"/>
  <c r="N2" i="46"/>
  <c r="M2" i="46"/>
  <c r="L2" i="46"/>
  <c r="K2" i="46"/>
  <c r="J2" i="46"/>
  <c r="I2" i="46"/>
  <c r="AI14" i="22"/>
  <c r="AH14" i="22"/>
  <c r="AG14" i="22"/>
  <c r="AF14" i="22"/>
  <c r="AE14" i="22"/>
  <c r="AD14" i="22"/>
  <c r="AC14" i="22"/>
  <c r="AB14" i="22"/>
  <c r="AA14" i="22"/>
  <c r="Z14" i="22"/>
  <c r="Y14" i="22"/>
  <c r="X14" i="22"/>
  <c r="AI8" i="22"/>
  <c r="AI16" i="22"/>
  <c r="AH8" i="22"/>
  <c r="AH16" i="22"/>
  <c r="AG8" i="22"/>
  <c r="AG16" i="22"/>
  <c r="AF8" i="22"/>
  <c r="AF16" i="22"/>
  <c r="AE8" i="22"/>
  <c r="AD8" i="22"/>
  <c r="AC8" i="22"/>
  <c r="AB8" i="22"/>
  <c r="AA8" i="22"/>
  <c r="AA16" i="22"/>
  <c r="Z8" i="22"/>
  <c r="Z16" i="22"/>
  <c r="Y8" i="22"/>
  <c r="Y16" i="22"/>
  <c r="X8" i="22"/>
  <c r="X16" i="22"/>
  <c r="W18" i="37"/>
  <c r="CK9" i="1"/>
  <c r="CK7" i="1"/>
  <c r="CK8" i="1"/>
  <c r="CA25" i="40"/>
  <c r="BZ25" i="40"/>
  <c r="CA22" i="40"/>
  <c r="BZ22" i="40"/>
  <c r="BY22" i="40"/>
  <c r="BX22" i="40"/>
  <c r="BT22" i="40"/>
  <c r="BP22" i="40"/>
  <c r="BO22" i="40"/>
  <c r="BK22" i="40"/>
  <c r="BL21" i="40"/>
  <c r="BL20" i="40"/>
  <c r="BL19" i="40"/>
  <c r="BL18" i="40"/>
  <c r="BL17" i="40"/>
  <c r="CA15" i="40"/>
  <c r="BZ15" i="40"/>
  <c r="BY15" i="40"/>
  <c r="BX15" i="40"/>
  <c r="BT15" i="40"/>
  <c r="BP15" i="40"/>
  <c r="BO15" i="40"/>
  <c r="BK15" i="40"/>
  <c r="BL14" i="40"/>
  <c r="BL13" i="40"/>
  <c r="BL12" i="40"/>
  <c r="BL11" i="40"/>
  <c r="BL10" i="40"/>
  <c r="CA8" i="40"/>
  <c r="CA24" i="40"/>
  <c r="BZ8" i="40"/>
  <c r="BZ24" i="40"/>
  <c r="BY8" i="40"/>
  <c r="BY25" i="40"/>
  <c r="BX8" i="40"/>
  <c r="BX25" i="40"/>
  <c r="CB25" i="40"/>
  <c r="CB26" i="40"/>
  <c r="BT8" i="40"/>
  <c r="BT23" i="40"/>
  <c r="BT24" i="40"/>
  <c r="BP8" i="40"/>
  <c r="BO8" i="40"/>
  <c r="BK8" i="40"/>
  <c r="BK23" i="40"/>
  <c r="BL7" i="40"/>
  <c r="BL6" i="40"/>
  <c r="BL5" i="40"/>
  <c r="BL4" i="40"/>
  <c r="BL3" i="40"/>
  <c r="I25" i="26"/>
  <c r="J25" i="26"/>
  <c r="L25" i="26"/>
  <c r="T16" i="26"/>
  <c r="U16" i="26"/>
  <c r="I16" i="26"/>
  <c r="J16" i="26"/>
  <c r="L16" i="26"/>
  <c r="G11" i="26"/>
  <c r="H11" i="26"/>
  <c r="G10" i="26"/>
  <c r="H10" i="26"/>
  <c r="G9" i="26"/>
  <c r="H9" i="26"/>
  <c r="AH52" i="31"/>
  <c r="AH53" i="31"/>
  <c r="AD81" i="26"/>
  <c r="AJ80" i="26"/>
  <c r="AK80" i="26"/>
  <c r="AJ61" i="26"/>
  <c r="AK61" i="26"/>
  <c r="AD62" i="26"/>
  <c r="AG42" i="26"/>
  <c r="AH42" i="26"/>
  <c r="L42" i="26"/>
  <c r="M42" i="26"/>
  <c r="Q42" i="26"/>
  <c r="R42" i="26"/>
  <c r="S42" i="26"/>
  <c r="O61" i="26"/>
  <c r="P61" i="26"/>
  <c r="I62" i="26"/>
  <c r="H12" i="26"/>
  <c r="AB16" i="22"/>
  <c r="AJ16" i="22"/>
  <c r="AC16" i="22"/>
  <c r="AD16" i="22"/>
  <c r="AE16" i="22"/>
  <c r="BX24" i="40"/>
  <c r="CB24" i="40"/>
  <c r="BY24" i="40"/>
  <c r="R17" i="26"/>
  <c r="W16" i="26"/>
  <c r="X16" i="26"/>
  <c r="G17" i="26"/>
  <c r="N16" i="26"/>
  <c r="O16" i="26"/>
  <c r="G26" i="26"/>
  <c r="N25" i="26"/>
  <c r="O25" i="26"/>
  <c r="AI52" i="31"/>
  <c r="AI53" i="31"/>
  <c r="AG81" i="26"/>
  <c r="AH81" i="26"/>
  <c r="AJ42" i="26"/>
  <c r="AK42" i="26"/>
  <c r="AD43" i="26"/>
  <c r="AL42" i="26"/>
  <c r="AM42" i="26"/>
  <c r="AN42" i="26"/>
  <c r="AG62" i="26"/>
  <c r="AH62" i="26"/>
  <c r="L80" i="26"/>
  <c r="M80" i="26"/>
  <c r="I43" i="26"/>
  <c r="O42" i="26"/>
  <c r="P42" i="26"/>
  <c r="L62" i="26"/>
  <c r="M62" i="26"/>
  <c r="I26" i="26"/>
  <c r="J26" i="26"/>
  <c r="L26" i="26"/>
  <c r="I17" i="26"/>
  <c r="J17" i="26"/>
  <c r="L17" i="26"/>
  <c r="T17" i="26"/>
  <c r="U17" i="26"/>
  <c r="AJ52" i="31"/>
  <c r="AJ53" i="31"/>
  <c r="AD63" i="26"/>
  <c r="AJ62" i="26"/>
  <c r="AK62" i="26"/>
  <c r="AJ81" i="26"/>
  <c r="AK81" i="26"/>
  <c r="AD82" i="26"/>
  <c r="AG43" i="26"/>
  <c r="AH43" i="26"/>
  <c r="I81" i="26"/>
  <c r="L81" i="26"/>
  <c r="M81" i="26"/>
  <c r="O80" i="26"/>
  <c r="P80" i="26"/>
  <c r="L43" i="26"/>
  <c r="M43" i="26"/>
  <c r="Q43" i="26"/>
  <c r="R43" i="26"/>
  <c r="S43" i="26"/>
  <c r="I63" i="26"/>
  <c r="O62" i="26"/>
  <c r="P62" i="26"/>
  <c r="R18" i="26"/>
  <c r="W17" i="26"/>
  <c r="X17" i="26"/>
  <c r="N17" i="26"/>
  <c r="O17" i="26"/>
  <c r="G18" i="26"/>
  <c r="G27" i="26"/>
  <c r="N26" i="26"/>
  <c r="O26" i="26"/>
  <c r="AK52" i="31"/>
  <c r="AK53" i="31"/>
  <c r="AL43" i="26"/>
  <c r="AM43" i="26"/>
  <c r="AN43" i="26"/>
  <c r="AD44" i="26"/>
  <c r="AJ43" i="26"/>
  <c r="AK43" i="26"/>
  <c r="AG82" i="26"/>
  <c r="AH82" i="26"/>
  <c r="AG63" i="26"/>
  <c r="AH63" i="26"/>
  <c r="O81" i="26"/>
  <c r="P81" i="26"/>
  <c r="I82" i="26"/>
  <c r="L82" i="26"/>
  <c r="M82" i="26"/>
  <c r="I44" i="26"/>
  <c r="O43" i="26"/>
  <c r="P43" i="26"/>
  <c r="L63" i="26"/>
  <c r="M63" i="26"/>
  <c r="Q63" i="26"/>
  <c r="R63" i="26"/>
  <c r="S63" i="26"/>
  <c r="T18" i="26"/>
  <c r="U18" i="26"/>
  <c r="I27" i="26"/>
  <c r="J27" i="26"/>
  <c r="L27" i="26"/>
  <c r="I18" i="26"/>
  <c r="J18" i="26"/>
  <c r="L18" i="26"/>
  <c r="AL52" i="31"/>
  <c r="AL53" i="31"/>
  <c r="AL82" i="26"/>
  <c r="AM82" i="26"/>
  <c r="AN82" i="26"/>
  <c r="AJ82" i="26"/>
  <c r="AK82" i="26"/>
  <c r="AD83" i="26"/>
  <c r="AL63" i="26"/>
  <c r="AM63" i="26"/>
  <c r="AN63" i="26"/>
  <c r="AD64" i="26"/>
  <c r="AJ63" i="26"/>
  <c r="AK63" i="26"/>
  <c r="AG44" i="26"/>
  <c r="AH44" i="26"/>
  <c r="I83" i="26"/>
  <c r="L83" i="26"/>
  <c r="M83" i="26"/>
  <c r="Q83" i="26"/>
  <c r="R83" i="26"/>
  <c r="S83" i="26"/>
  <c r="Q82" i="26"/>
  <c r="R82" i="26"/>
  <c r="S82" i="26"/>
  <c r="O82" i="26"/>
  <c r="P82" i="26"/>
  <c r="L44" i="26"/>
  <c r="M44" i="26"/>
  <c r="Q44" i="26"/>
  <c r="R44" i="26"/>
  <c r="S44" i="26"/>
  <c r="I64" i="26"/>
  <c r="O63" i="26"/>
  <c r="P63" i="26"/>
  <c r="N18" i="26"/>
  <c r="O18" i="26"/>
  <c r="G19" i="26"/>
  <c r="G28" i="26"/>
  <c r="N27" i="26"/>
  <c r="O27" i="26"/>
  <c r="R19" i="26"/>
  <c r="W18" i="26"/>
  <c r="X18" i="26"/>
  <c r="AM52" i="31"/>
  <c r="AM53" i="31"/>
  <c r="AN52" i="31"/>
  <c r="AN53" i="31"/>
  <c r="AL44" i="26"/>
  <c r="AM44" i="26"/>
  <c r="AN44" i="26"/>
  <c r="AJ44" i="26"/>
  <c r="AK44" i="26"/>
  <c r="AD45" i="26"/>
  <c r="AG83" i="26"/>
  <c r="AH83" i="26"/>
  <c r="AG64" i="26"/>
  <c r="AH64" i="26"/>
  <c r="I45" i="26"/>
  <c r="O44" i="26"/>
  <c r="P44" i="26"/>
  <c r="L64" i="26"/>
  <c r="M64" i="26"/>
  <c r="Q64" i="26"/>
  <c r="R64" i="26"/>
  <c r="S64" i="26"/>
  <c r="I84" i="26"/>
  <c r="O83" i="26"/>
  <c r="P83" i="26"/>
  <c r="T19" i="26"/>
  <c r="U19" i="26"/>
  <c r="I19" i="26"/>
  <c r="J19" i="26"/>
  <c r="L19" i="26"/>
  <c r="I28" i="26"/>
  <c r="J28" i="26"/>
  <c r="L28" i="26"/>
  <c r="AL64" i="26"/>
  <c r="AM64" i="26"/>
  <c r="AN64" i="26"/>
  <c r="AJ64" i="26"/>
  <c r="AK64" i="26"/>
  <c r="AD65" i="26"/>
  <c r="AL83" i="26"/>
  <c r="AM83" i="26"/>
  <c r="AN83" i="26"/>
  <c r="AJ83" i="26"/>
  <c r="AK83" i="26"/>
  <c r="AD84" i="26"/>
  <c r="AG45" i="26"/>
  <c r="AH45" i="26"/>
  <c r="L45" i="26"/>
  <c r="M45" i="26"/>
  <c r="Q45" i="26"/>
  <c r="R45" i="26"/>
  <c r="S45" i="26"/>
  <c r="O64" i="26"/>
  <c r="P64" i="26"/>
  <c r="I65" i="26"/>
  <c r="L84" i="26"/>
  <c r="M84" i="26"/>
  <c r="Q84" i="26"/>
  <c r="R84" i="26"/>
  <c r="S84" i="26"/>
  <c r="R20" i="26"/>
  <c r="W19" i="26"/>
  <c r="X19" i="26"/>
  <c r="G29" i="26"/>
  <c r="N28" i="26"/>
  <c r="O28" i="26"/>
  <c r="G20" i="26"/>
  <c r="N19" i="26"/>
  <c r="O19" i="26"/>
  <c r="AL45" i="26"/>
  <c r="AM45" i="26"/>
  <c r="AN45" i="26"/>
  <c r="AD46" i="26"/>
  <c r="AJ45" i="26"/>
  <c r="AK45" i="26"/>
  <c r="AG84" i="26"/>
  <c r="AH84" i="26"/>
  <c r="AG65" i="26"/>
  <c r="AH65" i="26"/>
  <c r="O84" i="26"/>
  <c r="P84" i="26"/>
  <c r="I85" i="26"/>
  <c r="O45" i="26"/>
  <c r="P45" i="26"/>
  <c r="I46" i="26"/>
  <c r="L65" i="26"/>
  <c r="M65" i="26"/>
  <c r="Q65" i="26"/>
  <c r="R65" i="26"/>
  <c r="S65" i="26"/>
  <c r="I20" i="26"/>
  <c r="J20" i="26"/>
  <c r="L20" i="26"/>
  <c r="I29" i="26"/>
  <c r="J29" i="26"/>
  <c r="L29" i="26"/>
  <c r="T20" i="26"/>
  <c r="U20" i="26"/>
  <c r="AL65" i="26"/>
  <c r="AM65" i="26"/>
  <c r="AN65" i="26"/>
  <c r="AD66" i="26"/>
  <c r="AJ65" i="26"/>
  <c r="AK65" i="26"/>
  <c r="AJ84" i="26"/>
  <c r="AK84" i="26"/>
  <c r="AL84" i="26"/>
  <c r="AM84" i="26"/>
  <c r="AN84" i="26"/>
  <c r="AD85" i="26"/>
  <c r="AG46" i="26"/>
  <c r="AH46" i="26"/>
  <c r="L85" i="26"/>
  <c r="M85" i="26"/>
  <c r="Q85" i="26"/>
  <c r="R85" i="26"/>
  <c r="S85" i="26"/>
  <c r="O65" i="26"/>
  <c r="P65" i="26"/>
  <c r="I66" i="26"/>
  <c r="L66" i="26"/>
  <c r="M66" i="26"/>
  <c r="Q66" i="26"/>
  <c r="R66" i="26"/>
  <c r="S66" i="26"/>
  <c r="L46" i="26"/>
  <c r="M46" i="26"/>
  <c r="Q46" i="26"/>
  <c r="R46" i="26"/>
  <c r="S46" i="26"/>
  <c r="R21" i="26"/>
  <c r="W20" i="26"/>
  <c r="X20" i="26"/>
  <c r="G30" i="26"/>
  <c r="N29" i="26"/>
  <c r="O29" i="26"/>
  <c r="N20" i="26"/>
  <c r="O20" i="26"/>
  <c r="G21" i="26"/>
  <c r="AJ46" i="26"/>
  <c r="AK46" i="26"/>
  <c r="AD47" i="26"/>
  <c r="AL46" i="26"/>
  <c r="AM46" i="26"/>
  <c r="AN46" i="26"/>
  <c r="AG85" i="26"/>
  <c r="AH85" i="26"/>
  <c r="AG66" i="26"/>
  <c r="AH66" i="26"/>
  <c r="I86" i="26"/>
  <c r="O85" i="26"/>
  <c r="P85" i="26"/>
  <c r="O66" i="26"/>
  <c r="P66" i="26"/>
  <c r="I67" i="26"/>
  <c r="O46" i="26"/>
  <c r="P46" i="26"/>
  <c r="I47" i="26"/>
  <c r="L47" i="26"/>
  <c r="M47" i="26"/>
  <c r="Q47" i="26"/>
  <c r="R47" i="26"/>
  <c r="S47" i="26"/>
  <c r="I21" i="26"/>
  <c r="J21" i="26"/>
  <c r="L21" i="26"/>
  <c r="N21" i="26"/>
  <c r="O21" i="26"/>
  <c r="I30" i="26"/>
  <c r="J30" i="26"/>
  <c r="L30" i="26"/>
  <c r="T21" i="26"/>
  <c r="U21" i="26"/>
  <c r="AL85" i="26"/>
  <c r="AM85" i="26"/>
  <c r="AN85" i="26"/>
  <c r="AJ85" i="26"/>
  <c r="AK85" i="26"/>
  <c r="AD86" i="26"/>
  <c r="AL66" i="26"/>
  <c r="AM66" i="26"/>
  <c r="AN66" i="26"/>
  <c r="AD67" i="26"/>
  <c r="AJ66" i="26"/>
  <c r="AK66" i="26"/>
  <c r="AG47" i="26"/>
  <c r="AH47" i="26"/>
  <c r="L86" i="26"/>
  <c r="M86" i="26"/>
  <c r="Q86" i="26"/>
  <c r="R86" i="26"/>
  <c r="S86" i="26"/>
  <c r="L67" i="26"/>
  <c r="M67" i="26"/>
  <c r="Q67" i="26"/>
  <c r="R67" i="26"/>
  <c r="S67" i="26"/>
  <c r="O47" i="26"/>
  <c r="P47" i="26"/>
  <c r="I48" i="26"/>
  <c r="L48" i="26"/>
  <c r="M48" i="26"/>
  <c r="Q48" i="26"/>
  <c r="R48" i="26"/>
  <c r="S48" i="26"/>
  <c r="N30" i="26"/>
  <c r="O30" i="26"/>
  <c r="G31" i="26"/>
  <c r="W21" i="26"/>
  <c r="X21" i="26"/>
  <c r="R22" i="26"/>
  <c r="T22" i="26"/>
  <c r="U22" i="26"/>
  <c r="W22" i="26"/>
  <c r="X22" i="26"/>
  <c r="U11" i="25"/>
  <c r="U10" i="25"/>
  <c r="U9" i="25"/>
  <c r="U8" i="25"/>
  <c r="U7" i="25"/>
  <c r="U6" i="25"/>
  <c r="U5" i="25"/>
  <c r="U4" i="25"/>
  <c r="AD16" i="25"/>
  <c r="Z15" i="25"/>
  <c r="V14" i="25"/>
  <c r="AL47" i="26"/>
  <c r="AM47" i="26"/>
  <c r="AN47" i="26"/>
  <c r="AD48" i="26"/>
  <c r="AJ47" i="26"/>
  <c r="AK47" i="26"/>
  <c r="AG67" i="26"/>
  <c r="AH67" i="26"/>
  <c r="AG86" i="26"/>
  <c r="AH86" i="26"/>
  <c r="I87" i="26"/>
  <c r="O86" i="26"/>
  <c r="P86" i="26"/>
  <c r="I68" i="26"/>
  <c r="O67" i="26"/>
  <c r="P67" i="26"/>
  <c r="O48" i="26"/>
  <c r="P48" i="26"/>
  <c r="I49" i="26"/>
  <c r="L49" i="26"/>
  <c r="M49" i="26"/>
  <c r="Q49" i="26"/>
  <c r="R49" i="26"/>
  <c r="S49" i="26"/>
  <c r="I31" i="26"/>
  <c r="J31" i="26"/>
  <c r="L31" i="26"/>
  <c r="N31" i="26"/>
  <c r="O31" i="26"/>
  <c r="Q29" i="42"/>
  <c r="P29" i="42"/>
  <c r="M29" i="42"/>
  <c r="L29" i="42"/>
  <c r="N29" i="42"/>
  <c r="Q28" i="42"/>
  <c r="P28" i="42"/>
  <c r="R28" i="42"/>
  <c r="M28" i="42"/>
  <c r="L28" i="42"/>
  <c r="Q27" i="42"/>
  <c r="P27" i="42"/>
  <c r="M27" i="42"/>
  <c r="L27" i="42"/>
  <c r="N27" i="42"/>
  <c r="Q26" i="42"/>
  <c r="P26" i="42"/>
  <c r="M26" i="42"/>
  <c r="L26" i="42"/>
  <c r="Q25" i="42"/>
  <c r="P25" i="42"/>
  <c r="R25" i="42"/>
  <c r="M25" i="42"/>
  <c r="L25" i="42"/>
  <c r="N25" i="42"/>
  <c r="Q24" i="42"/>
  <c r="P24" i="42"/>
  <c r="M24" i="42"/>
  <c r="L24" i="42"/>
  <c r="Q23" i="42"/>
  <c r="P23" i="42"/>
  <c r="R23" i="42"/>
  <c r="M23" i="42"/>
  <c r="L23" i="42"/>
  <c r="N23" i="42"/>
  <c r="Q22" i="42"/>
  <c r="P22" i="42"/>
  <c r="R22" i="42"/>
  <c r="M22" i="42"/>
  <c r="L22" i="42"/>
  <c r="N22" i="42"/>
  <c r="Q21" i="42"/>
  <c r="P21" i="42"/>
  <c r="R21" i="42"/>
  <c r="M21" i="42"/>
  <c r="L21" i="42"/>
  <c r="Q20" i="42"/>
  <c r="P20" i="42"/>
  <c r="M20" i="42"/>
  <c r="L20" i="42"/>
  <c r="Q19" i="42"/>
  <c r="P19" i="42"/>
  <c r="R19" i="42"/>
  <c r="M19" i="42"/>
  <c r="L19" i="42"/>
  <c r="N19" i="42"/>
  <c r="Q18" i="42"/>
  <c r="P18" i="42"/>
  <c r="R18" i="42"/>
  <c r="M18" i="42"/>
  <c r="L18" i="42"/>
  <c r="N18" i="42"/>
  <c r="Q17" i="42"/>
  <c r="P17" i="42"/>
  <c r="M17" i="42"/>
  <c r="L17" i="42"/>
  <c r="Q16" i="42"/>
  <c r="P16" i="42"/>
  <c r="M16" i="42"/>
  <c r="L16" i="42"/>
  <c r="Q15" i="42"/>
  <c r="P15" i="42"/>
  <c r="M15" i="42"/>
  <c r="L15" i="42"/>
  <c r="N15" i="42"/>
  <c r="Q14" i="42"/>
  <c r="P14" i="42"/>
  <c r="R14" i="42"/>
  <c r="M14" i="42"/>
  <c r="L14" i="42"/>
  <c r="Q13" i="42"/>
  <c r="P13" i="42"/>
  <c r="M13" i="42"/>
  <c r="L13" i="42"/>
  <c r="N13" i="42"/>
  <c r="Q12" i="42"/>
  <c r="P12" i="42"/>
  <c r="M12" i="42"/>
  <c r="L12" i="42"/>
  <c r="Q11" i="42"/>
  <c r="P11" i="42"/>
  <c r="M11" i="42"/>
  <c r="L11" i="42"/>
  <c r="N11" i="42"/>
  <c r="Q10" i="42"/>
  <c r="P10" i="42"/>
  <c r="M10" i="42"/>
  <c r="L10" i="42"/>
  <c r="Q9" i="42"/>
  <c r="P9" i="42"/>
  <c r="R9" i="42"/>
  <c r="M9" i="42"/>
  <c r="L9" i="42"/>
  <c r="N9" i="42"/>
  <c r="Q8" i="42"/>
  <c r="P8" i="42"/>
  <c r="M8" i="42"/>
  <c r="L8" i="42"/>
  <c r="Q7" i="42"/>
  <c r="P7" i="42"/>
  <c r="R7" i="42"/>
  <c r="M7" i="42"/>
  <c r="L7" i="42"/>
  <c r="N7" i="42"/>
  <c r="Q6" i="42"/>
  <c r="P6" i="42"/>
  <c r="R6" i="42"/>
  <c r="M6" i="42"/>
  <c r="L6" i="42"/>
  <c r="N6" i="42"/>
  <c r="Q5" i="42"/>
  <c r="P5" i="42"/>
  <c r="R5" i="42"/>
  <c r="M5" i="42"/>
  <c r="L5" i="42"/>
  <c r="Q4" i="42"/>
  <c r="P4" i="42"/>
  <c r="M4" i="42"/>
  <c r="L4" i="42"/>
  <c r="N4" i="42"/>
  <c r="Q3" i="42"/>
  <c r="P3" i="42"/>
  <c r="R3" i="42"/>
  <c r="M3" i="42"/>
  <c r="L3" i="42"/>
  <c r="N3" i="42"/>
  <c r="Q2" i="42"/>
  <c r="P2" i="42"/>
  <c r="R2" i="42"/>
  <c r="M2" i="42"/>
  <c r="L2" i="42"/>
  <c r="N2" i="42"/>
  <c r="R4" i="42"/>
  <c r="R8" i="42"/>
  <c r="R10" i="42"/>
  <c r="N12" i="42"/>
  <c r="R20" i="42"/>
  <c r="R26" i="42"/>
  <c r="N24" i="42"/>
  <c r="R24" i="42"/>
  <c r="AL67" i="26"/>
  <c r="AM67" i="26"/>
  <c r="AN67" i="26"/>
  <c r="AD68" i="26"/>
  <c r="AJ67" i="26"/>
  <c r="AK67" i="26"/>
  <c r="AL86" i="26"/>
  <c r="AM86" i="26"/>
  <c r="AN86" i="26"/>
  <c r="AJ86" i="26"/>
  <c r="AK86" i="26"/>
  <c r="AD87" i="26"/>
  <c r="AG48" i="26"/>
  <c r="AH48" i="26"/>
  <c r="L87" i="26"/>
  <c r="M87" i="26"/>
  <c r="Q87" i="26"/>
  <c r="R87" i="26"/>
  <c r="S87" i="26"/>
  <c r="L68" i="26"/>
  <c r="M68" i="26"/>
  <c r="Q68" i="26"/>
  <c r="R68" i="26"/>
  <c r="S68" i="26"/>
  <c r="O49" i="26"/>
  <c r="P49" i="26"/>
  <c r="I50" i="26"/>
  <c r="L50" i="26"/>
  <c r="M50" i="26"/>
  <c r="R12" i="42"/>
  <c r="N16" i="42"/>
  <c r="R16" i="42"/>
  <c r="N20" i="42"/>
  <c r="N8" i="42"/>
  <c r="N10" i="42"/>
  <c r="R11" i="42"/>
  <c r="R13" i="42"/>
  <c r="N17" i="42"/>
  <c r="N26" i="42"/>
  <c r="R27" i="42"/>
  <c r="R29" i="42"/>
  <c r="N5" i="42"/>
  <c r="N14" i="42"/>
  <c r="R15" i="42"/>
  <c r="R17" i="42"/>
  <c r="N21" i="42"/>
  <c r="N28" i="42"/>
  <c r="CJ24" i="1"/>
  <c r="Q50" i="26"/>
  <c r="I51" i="26"/>
  <c r="AL48" i="26"/>
  <c r="AM48" i="26"/>
  <c r="AN48" i="26"/>
  <c r="AJ48" i="26"/>
  <c r="AK48" i="26"/>
  <c r="AD49" i="26"/>
  <c r="AG87" i="26"/>
  <c r="AH87" i="26"/>
  <c r="AG68" i="26"/>
  <c r="AH68" i="26"/>
  <c r="O87" i="26"/>
  <c r="P87" i="26"/>
  <c r="I88" i="26"/>
  <c r="O50" i="26"/>
  <c r="P50" i="26"/>
  <c r="R50" i="26"/>
  <c r="S50" i="26"/>
  <c r="I69" i="26"/>
  <c r="L69" i="26"/>
  <c r="M69" i="26"/>
  <c r="Q69" i="26"/>
  <c r="R69" i="26"/>
  <c r="S69" i="26"/>
  <c r="O68" i="26"/>
  <c r="P68" i="26"/>
  <c r="M418" i="41"/>
  <c r="L418" i="41"/>
  <c r="K418" i="41"/>
  <c r="J418" i="41"/>
  <c r="I418" i="41"/>
  <c r="N418" i="41"/>
  <c r="M417" i="41"/>
  <c r="L417" i="41"/>
  <c r="K417" i="41"/>
  <c r="J417" i="41"/>
  <c r="I417" i="41"/>
  <c r="M416" i="41"/>
  <c r="L416" i="41"/>
  <c r="K416" i="41"/>
  <c r="J416" i="41"/>
  <c r="I416" i="41"/>
  <c r="N416" i="41"/>
  <c r="M415" i="41"/>
  <c r="L415" i="41"/>
  <c r="K415" i="41"/>
  <c r="J415" i="41"/>
  <c r="I415" i="41"/>
  <c r="M414" i="41"/>
  <c r="L414" i="41"/>
  <c r="K414" i="41"/>
  <c r="J414" i="41"/>
  <c r="N414" i="41"/>
  <c r="I414" i="41"/>
  <c r="M413" i="41"/>
  <c r="L413" i="41"/>
  <c r="K413" i="41"/>
  <c r="J413" i="41"/>
  <c r="I413" i="41"/>
  <c r="N413" i="41"/>
  <c r="M412" i="41"/>
  <c r="L412" i="41"/>
  <c r="K412" i="41"/>
  <c r="J412" i="41"/>
  <c r="I412" i="41"/>
  <c r="M411" i="41"/>
  <c r="L411" i="41"/>
  <c r="K411" i="41"/>
  <c r="J411" i="41"/>
  <c r="I411" i="41"/>
  <c r="N411" i="41"/>
  <c r="M410" i="41"/>
  <c r="L410" i="41"/>
  <c r="K410" i="41"/>
  <c r="J410" i="41"/>
  <c r="I410" i="41"/>
  <c r="M409" i="41"/>
  <c r="L409" i="41"/>
  <c r="K409" i="41"/>
  <c r="J409" i="41"/>
  <c r="I409" i="41"/>
  <c r="M408" i="41"/>
  <c r="L408" i="41"/>
  <c r="K408" i="41"/>
  <c r="J408" i="41"/>
  <c r="I408" i="41"/>
  <c r="N408" i="41"/>
  <c r="M407" i="41"/>
  <c r="L407" i="41"/>
  <c r="K407" i="41"/>
  <c r="J407" i="41"/>
  <c r="I407" i="41"/>
  <c r="M406" i="41"/>
  <c r="L406" i="41"/>
  <c r="K406" i="41"/>
  <c r="J406" i="41"/>
  <c r="N406" i="41"/>
  <c r="I406" i="41"/>
  <c r="M405" i="41"/>
  <c r="L405" i="41"/>
  <c r="K405" i="41"/>
  <c r="J405" i="41"/>
  <c r="I405" i="41"/>
  <c r="N405" i="41"/>
  <c r="M404" i="41"/>
  <c r="L404" i="41"/>
  <c r="K404" i="41"/>
  <c r="J404" i="41"/>
  <c r="I404" i="41"/>
  <c r="M403" i="41"/>
  <c r="L403" i="41"/>
  <c r="K403" i="41"/>
  <c r="J403" i="41"/>
  <c r="I403" i="41"/>
  <c r="N403" i="41"/>
  <c r="M402" i="41"/>
  <c r="L402" i="41"/>
  <c r="K402" i="41"/>
  <c r="J402" i="41"/>
  <c r="I402" i="41"/>
  <c r="M401" i="41"/>
  <c r="L401" i="41"/>
  <c r="K401" i="41"/>
  <c r="J401" i="41"/>
  <c r="I401" i="41"/>
  <c r="M400" i="41"/>
  <c r="L400" i="41"/>
  <c r="K400" i="41"/>
  <c r="J400" i="41"/>
  <c r="I400" i="41"/>
  <c r="N400" i="41"/>
  <c r="M399" i="41"/>
  <c r="L399" i="41"/>
  <c r="K399" i="41"/>
  <c r="J399" i="41"/>
  <c r="I399" i="41"/>
  <c r="M398" i="41"/>
  <c r="L398" i="41"/>
  <c r="K398" i="41"/>
  <c r="J398" i="41"/>
  <c r="N398" i="41"/>
  <c r="I398" i="41"/>
  <c r="M397" i="41"/>
  <c r="L397" i="41"/>
  <c r="K397" i="41"/>
  <c r="J397" i="41"/>
  <c r="I397" i="41"/>
  <c r="N397" i="41"/>
  <c r="M396" i="41"/>
  <c r="L396" i="41"/>
  <c r="K396" i="41"/>
  <c r="J396" i="41"/>
  <c r="I396" i="41"/>
  <c r="M395" i="41"/>
  <c r="L395" i="41"/>
  <c r="K395" i="41"/>
  <c r="J395" i="41"/>
  <c r="I395" i="41"/>
  <c r="N395" i="41"/>
  <c r="M394" i="41"/>
  <c r="L394" i="41"/>
  <c r="K394" i="41"/>
  <c r="J394" i="41"/>
  <c r="I394" i="41"/>
  <c r="M393" i="41"/>
  <c r="L393" i="41"/>
  <c r="K393" i="41"/>
  <c r="J393" i="41"/>
  <c r="I393" i="41"/>
  <c r="M392" i="41"/>
  <c r="L392" i="41"/>
  <c r="K392" i="41"/>
  <c r="J392" i="41"/>
  <c r="I392" i="41"/>
  <c r="N392" i="41"/>
  <c r="M391" i="41"/>
  <c r="L391" i="41"/>
  <c r="K391" i="41"/>
  <c r="J391" i="41"/>
  <c r="I391" i="41"/>
  <c r="M390" i="41"/>
  <c r="L390" i="41"/>
  <c r="K390" i="41"/>
  <c r="J390" i="41"/>
  <c r="N390" i="41"/>
  <c r="I390" i="41"/>
  <c r="M389" i="41"/>
  <c r="L389" i="41"/>
  <c r="K389" i="41"/>
  <c r="J389" i="41"/>
  <c r="I389" i="41"/>
  <c r="N389" i="41"/>
  <c r="M388" i="41"/>
  <c r="L388" i="41"/>
  <c r="K388" i="41"/>
  <c r="J388" i="41"/>
  <c r="I388" i="41"/>
  <c r="M387" i="41"/>
  <c r="L387" i="41"/>
  <c r="K387" i="41"/>
  <c r="J387" i="41"/>
  <c r="I387" i="41"/>
  <c r="N387" i="41"/>
  <c r="M386" i="41"/>
  <c r="L386" i="41"/>
  <c r="K386" i="41"/>
  <c r="J386" i="41"/>
  <c r="I386" i="41"/>
  <c r="M385" i="41"/>
  <c r="L385" i="41"/>
  <c r="K385" i="41"/>
  <c r="J385" i="41"/>
  <c r="I385" i="41"/>
  <c r="M384" i="41"/>
  <c r="L384" i="41"/>
  <c r="K384" i="41"/>
  <c r="J384" i="41"/>
  <c r="I384" i="41"/>
  <c r="N384" i="41"/>
  <c r="M383" i="41"/>
  <c r="L383" i="41"/>
  <c r="K383" i="41"/>
  <c r="J383" i="41"/>
  <c r="I383" i="41"/>
  <c r="M382" i="41"/>
  <c r="L382" i="41"/>
  <c r="K382" i="41"/>
  <c r="J382" i="41"/>
  <c r="I382" i="41"/>
  <c r="M381" i="41"/>
  <c r="L381" i="41"/>
  <c r="K381" i="41"/>
  <c r="J381" i="41"/>
  <c r="I381" i="41"/>
  <c r="M380" i="41"/>
  <c r="L380" i="41"/>
  <c r="K380" i="41"/>
  <c r="J380" i="41"/>
  <c r="I380" i="41"/>
  <c r="M379" i="41"/>
  <c r="L379" i="41"/>
  <c r="K379" i="41"/>
  <c r="J379" i="41"/>
  <c r="I379" i="41"/>
  <c r="N379" i="41"/>
  <c r="M378" i="41"/>
  <c r="L378" i="41"/>
  <c r="K378" i="41"/>
  <c r="J378" i="41"/>
  <c r="I378" i="41"/>
  <c r="M377" i="41"/>
  <c r="L377" i="41"/>
  <c r="K377" i="41"/>
  <c r="J377" i="41"/>
  <c r="I377" i="41"/>
  <c r="M376" i="41"/>
  <c r="L376" i="41"/>
  <c r="K376" i="41"/>
  <c r="J376" i="41"/>
  <c r="I376" i="41"/>
  <c r="N376" i="41"/>
  <c r="M375" i="41"/>
  <c r="L375" i="41"/>
  <c r="K375" i="41"/>
  <c r="J375" i="41"/>
  <c r="I375" i="41"/>
  <c r="M374" i="41"/>
  <c r="L374" i="41"/>
  <c r="K374" i="41"/>
  <c r="N374" i="41"/>
  <c r="J374" i="41"/>
  <c r="I374" i="41"/>
  <c r="M373" i="41"/>
  <c r="L373" i="41"/>
  <c r="K373" i="41"/>
  <c r="J373" i="41"/>
  <c r="I373" i="41"/>
  <c r="N373" i="41"/>
  <c r="M372" i="41"/>
  <c r="L372" i="41"/>
  <c r="K372" i="41"/>
  <c r="J372" i="41"/>
  <c r="I372" i="41"/>
  <c r="M371" i="41"/>
  <c r="L371" i="41"/>
  <c r="K371" i="41"/>
  <c r="J371" i="41"/>
  <c r="I371" i="41"/>
  <c r="M370" i="41"/>
  <c r="L370" i="41"/>
  <c r="K370" i="41"/>
  <c r="J370" i="41"/>
  <c r="I370" i="41"/>
  <c r="N370" i="41"/>
  <c r="M369" i="41"/>
  <c r="L369" i="41"/>
  <c r="K369" i="41"/>
  <c r="J369" i="41"/>
  <c r="I369" i="41"/>
  <c r="M368" i="41"/>
  <c r="L368" i="41"/>
  <c r="K368" i="41"/>
  <c r="J368" i="41"/>
  <c r="I368" i="41"/>
  <c r="M367" i="41"/>
  <c r="L367" i="41"/>
  <c r="K367" i="41"/>
  <c r="J367" i="41"/>
  <c r="I367" i="41"/>
  <c r="M366" i="41"/>
  <c r="N366" i="41"/>
  <c r="L366" i="41"/>
  <c r="K366" i="41"/>
  <c r="J366" i="41"/>
  <c r="I366" i="41"/>
  <c r="M365" i="41"/>
  <c r="L365" i="41"/>
  <c r="K365" i="41"/>
  <c r="J365" i="41"/>
  <c r="I365" i="41"/>
  <c r="M364" i="41"/>
  <c r="L364" i="41"/>
  <c r="K364" i="41"/>
  <c r="J364" i="41"/>
  <c r="I364" i="41"/>
  <c r="M363" i="41"/>
  <c r="L363" i="41"/>
  <c r="K363" i="41"/>
  <c r="J363" i="41"/>
  <c r="I363" i="41"/>
  <c r="M362" i="41"/>
  <c r="L362" i="41"/>
  <c r="K362" i="41"/>
  <c r="J362" i="41"/>
  <c r="I362" i="41"/>
  <c r="N362" i="41"/>
  <c r="M361" i="41"/>
  <c r="L361" i="41"/>
  <c r="K361" i="41"/>
  <c r="J361" i="41"/>
  <c r="I361" i="41"/>
  <c r="M360" i="41"/>
  <c r="L360" i="41"/>
  <c r="K360" i="41"/>
  <c r="J360" i="41"/>
  <c r="I360" i="41"/>
  <c r="M359" i="41"/>
  <c r="L359" i="41"/>
  <c r="K359" i="41"/>
  <c r="J359" i="41"/>
  <c r="I359" i="41"/>
  <c r="N359" i="41"/>
  <c r="M358" i="41"/>
  <c r="L358" i="41"/>
  <c r="K358" i="41"/>
  <c r="J358" i="41"/>
  <c r="I358" i="41"/>
  <c r="M357" i="41"/>
  <c r="L357" i="41"/>
  <c r="K357" i="41"/>
  <c r="J357" i="41"/>
  <c r="I357" i="41"/>
  <c r="M356" i="41"/>
  <c r="L356" i="41"/>
  <c r="K356" i="41"/>
  <c r="J356" i="41"/>
  <c r="I356" i="41"/>
  <c r="M355" i="41"/>
  <c r="L355" i="41"/>
  <c r="K355" i="41"/>
  <c r="J355" i="41"/>
  <c r="I355" i="41"/>
  <c r="M354" i="41"/>
  <c r="L354" i="41"/>
  <c r="K354" i="41"/>
  <c r="J354" i="41"/>
  <c r="I354" i="41"/>
  <c r="M353" i="41"/>
  <c r="L353" i="41"/>
  <c r="K353" i="41"/>
  <c r="J353" i="41"/>
  <c r="I353" i="41"/>
  <c r="M352" i="41"/>
  <c r="L352" i="41"/>
  <c r="K352" i="41"/>
  <c r="J352" i="41"/>
  <c r="I352" i="41"/>
  <c r="M351" i="41"/>
  <c r="L351" i="41"/>
  <c r="K351" i="41"/>
  <c r="J351" i="41"/>
  <c r="I351" i="41"/>
  <c r="N351" i="41"/>
  <c r="M350" i="41"/>
  <c r="L350" i="41"/>
  <c r="K350" i="41"/>
  <c r="J350" i="41"/>
  <c r="I350" i="41"/>
  <c r="N350" i="41"/>
  <c r="M349" i="41"/>
  <c r="L349" i="41"/>
  <c r="K349" i="41"/>
  <c r="J349" i="41"/>
  <c r="I349" i="41"/>
  <c r="M348" i="41"/>
  <c r="L348" i="41"/>
  <c r="K348" i="41"/>
  <c r="J348" i="41"/>
  <c r="I348" i="41"/>
  <c r="N348" i="41"/>
  <c r="M347" i="41"/>
  <c r="L347" i="41"/>
  <c r="K347" i="41"/>
  <c r="J347" i="41"/>
  <c r="I347" i="41"/>
  <c r="N347" i="41"/>
  <c r="M346" i="41"/>
  <c r="L346" i="41"/>
  <c r="N346" i="41"/>
  <c r="K346" i="41"/>
  <c r="J346" i="41"/>
  <c r="I346" i="41"/>
  <c r="M345" i="41"/>
  <c r="L345" i="41"/>
  <c r="K345" i="41"/>
  <c r="J345" i="41"/>
  <c r="I345" i="41"/>
  <c r="M344" i="41"/>
  <c r="L344" i="41"/>
  <c r="K344" i="41"/>
  <c r="J344" i="41"/>
  <c r="I344" i="41"/>
  <c r="N344" i="41"/>
  <c r="M343" i="41"/>
  <c r="L343" i="41"/>
  <c r="K343" i="41"/>
  <c r="J343" i="41"/>
  <c r="I343" i="41"/>
  <c r="M342" i="41"/>
  <c r="L342" i="41"/>
  <c r="K342" i="41"/>
  <c r="J342" i="41"/>
  <c r="I342" i="41"/>
  <c r="M341" i="41"/>
  <c r="L341" i="41"/>
  <c r="K341" i="41"/>
  <c r="J341" i="41"/>
  <c r="I341" i="41"/>
  <c r="M340" i="41"/>
  <c r="L340" i="41"/>
  <c r="K340" i="41"/>
  <c r="J340" i="41"/>
  <c r="I340" i="41"/>
  <c r="M339" i="41"/>
  <c r="L339" i="41"/>
  <c r="K339" i="41"/>
  <c r="J339" i="41"/>
  <c r="I339" i="41"/>
  <c r="M338" i="41"/>
  <c r="L338" i="41"/>
  <c r="K338" i="41"/>
  <c r="J338" i="41"/>
  <c r="I338" i="41"/>
  <c r="M337" i="41"/>
  <c r="L337" i="41"/>
  <c r="K337" i="41"/>
  <c r="J337" i="41"/>
  <c r="I337" i="41"/>
  <c r="N337" i="41"/>
  <c r="M336" i="41"/>
  <c r="L336" i="41"/>
  <c r="K336" i="41"/>
  <c r="J336" i="41"/>
  <c r="I336" i="41"/>
  <c r="M335" i="41"/>
  <c r="L335" i="41"/>
  <c r="K335" i="41"/>
  <c r="J335" i="41"/>
  <c r="I335" i="41"/>
  <c r="M334" i="41"/>
  <c r="L334" i="41"/>
  <c r="K334" i="41"/>
  <c r="J334" i="41"/>
  <c r="I334" i="41"/>
  <c r="N334" i="41"/>
  <c r="M333" i="41"/>
  <c r="L333" i="41"/>
  <c r="K333" i="41"/>
  <c r="J333" i="41"/>
  <c r="I333" i="41"/>
  <c r="M332" i="41"/>
  <c r="L332" i="41"/>
  <c r="K332" i="41"/>
  <c r="J332" i="41"/>
  <c r="I332" i="41"/>
  <c r="M331" i="41"/>
  <c r="L331" i="41"/>
  <c r="K331" i="41"/>
  <c r="J331" i="41"/>
  <c r="I331" i="41"/>
  <c r="N331" i="41"/>
  <c r="N330" i="41"/>
  <c r="M330" i="41"/>
  <c r="L330" i="41"/>
  <c r="K330" i="41"/>
  <c r="J330" i="41"/>
  <c r="I330" i="41"/>
  <c r="M329" i="41"/>
  <c r="L329" i="41"/>
  <c r="K329" i="41"/>
  <c r="J329" i="41"/>
  <c r="I329" i="41"/>
  <c r="M328" i="41"/>
  <c r="L328" i="41"/>
  <c r="K328" i="41"/>
  <c r="J328" i="41"/>
  <c r="I328" i="41"/>
  <c r="N328" i="41"/>
  <c r="M327" i="41"/>
  <c r="L327" i="41"/>
  <c r="K327" i="41"/>
  <c r="J327" i="41"/>
  <c r="I327" i="41"/>
  <c r="M326" i="41"/>
  <c r="L326" i="41"/>
  <c r="K326" i="41"/>
  <c r="J326" i="41"/>
  <c r="I326" i="41"/>
  <c r="M325" i="41"/>
  <c r="L325" i="41"/>
  <c r="K325" i="41"/>
  <c r="J325" i="41"/>
  <c r="I325" i="41"/>
  <c r="M324" i="41"/>
  <c r="L324" i="41"/>
  <c r="K324" i="41"/>
  <c r="J324" i="41"/>
  <c r="I324" i="41"/>
  <c r="M323" i="41"/>
  <c r="L323" i="41"/>
  <c r="K323" i="41"/>
  <c r="J323" i="41"/>
  <c r="I323" i="41"/>
  <c r="N323" i="41"/>
  <c r="M322" i="41"/>
  <c r="L322" i="41"/>
  <c r="K322" i="41"/>
  <c r="J322" i="41"/>
  <c r="I322" i="41"/>
  <c r="M321" i="41"/>
  <c r="L321" i="41"/>
  <c r="K321" i="41"/>
  <c r="J321" i="41"/>
  <c r="I321" i="41"/>
  <c r="M320" i="41"/>
  <c r="L320" i="41"/>
  <c r="K320" i="41"/>
  <c r="J320" i="41"/>
  <c r="I320" i="41"/>
  <c r="M319" i="41"/>
  <c r="L319" i="41"/>
  <c r="K319" i="41"/>
  <c r="J319" i="41"/>
  <c r="I319" i="41"/>
  <c r="M318" i="41"/>
  <c r="L318" i="41"/>
  <c r="K318" i="41"/>
  <c r="N318" i="41"/>
  <c r="J318" i="41"/>
  <c r="I318" i="41"/>
  <c r="M317" i="41"/>
  <c r="L317" i="41"/>
  <c r="K317" i="41"/>
  <c r="J317" i="41"/>
  <c r="I317" i="41"/>
  <c r="M316" i="41"/>
  <c r="L316" i="41"/>
  <c r="K316" i="41"/>
  <c r="J316" i="41"/>
  <c r="I316" i="41"/>
  <c r="M315" i="41"/>
  <c r="L315" i="41"/>
  <c r="K315" i="41"/>
  <c r="J315" i="41"/>
  <c r="I315" i="41"/>
  <c r="M314" i="41"/>
  <c r="L314" i="41"/>
  <c r="K314" i="41"/>
  <c r="J314" i="41"/>
  <c r="I314" i="41"/>
  <c r="N314" i="41"/>
  <c r="M313" i="41"/>
  <c r="L313" i="41"/>
  <c r="K313" i="41"/>
  <c r="J313" i="41"/>
  <c r="I313" i="41"/>
  <c r="M312" i="41"/>
  <c r="L312" i="41"/>
  <c r="K312" i="41"/>
  <c r="J312" i="41"/>
  <c r="I312" i="41"/>
  <c r="M311" i="41"/>
  <c r="L311" i="41"/>
  <c r="K311" i="41"/>
  <c r="J311" i="41"/>
  <c r="I311" i="41"/>
  <c r="M310" i="41"/>
  <c r="L310" i="41"/>
  <c r="K310" i="41"/>
  <c r="J310" i="41"/>
  <c r="I310" i="41"/>
  <c r="M309" i="41"/>
  <c r="L309" i="41"/>
  <c r="K309" i="41"/>
  <c r="J309" i="41"/>
  <c r="I309" i="41"/>
  <c r="M308" i="41"/>
  <c r="L308" i="41"/>
  <c r="K308" i="41"/>
  <c r="J308" i="41"/>
  <c r="I308" i="41"/>
  <c r="M307" i="41"/>
  <c r="L307" i="41"/>
  <c r="K307" i="41"/>
  <c r="J307" i="41"/>
  <c r="I307" i="41"/>
  <c r="M306" i="41"/>
  <c r="L306" i="41"/>
  <c r="K306" i="41"/>
  <c r="J306" i="41"/>
  <c r="I306" i="41"/>
  <c r="M305" i="41"/>
  <c r="L305" i="41"/>
  <c r="K305" i="41"/>
  <c r="J305" i="41"/>
  <c r="I305" i="41"/>
  <c r="M304" i="41"/>
  <c r="L304" i="41"/>
  <c r="K304" i="41"/>
  <c r="J304" i="41"/>
  <c r="I304" i="41"/>
  <c r="M303" i="41"/>
  <c r="L303" i="41"/>
  <c r="K303" i="41"/>
  <c r="J303" i="41"/>
  <c r="I303" i="41"/>
  <c r="M302" i="41"/>
  <c r="N302" i="41"/>
  <c r="L302" i="41"/>
  <c r="K302" i="41"/>
  <c r="J302" i="41"/>
  <c r="I302" i="41"/>
  <c r="M301" i="41"/>
  <c r="L301" i="41"/>
  <c r="K301" i="41"/>
  <c r="J301" i="41"/>
  <c r="I301" i="41"/>
  <c r="M300" i="41"/>
  <c r="L300" i="41"/>
  <c r="K300" i="41"/>
  <c r="J300" i="41"/>
  <c r="I300" i="41"/>
  <c r="M299" i="41"/>
  <c r="L299" i="41"/>
  <c r="K299" i="41"/>
  <c r="J299" i="41"/>
  <c r="I299" i="41"/>
  <c r="M298" i="41"/>
  <c r="L298" i="41"/>
  <c r="K298" i="41"/>
  <c r="J298" i="41"/>
  <c r="I298" i="41"/>
  <c r="N298" i="41"/>
  <c r="M297" i="41"/>
  <c r="L297" i="41"/>
  <c r="K297" i="41"/>
  <c r="J297" i="41"/>
  <c r="I297" i="41"/>
  <c r="M296" i="41"/>
  <c r="L296" i="41"/>
  <c r="K296" i="41"/>
  <c r="J296" i="41"/>
  <c r="I296" i="41"/>
  <c r="M295" i="41"/>
  <c r="L295" i="41"/>
  <c r="K295" i="41"/>
  <c r="J295" i="41"/>
  <c r="I295" i="41"/>
  <c r="N295" i="41"/>
  <c r="M294" i="41"/>
  <c r="L294" i="41"/>
  <c r="K294" i="41"/>
  <c r="J294" i="41"/>
  <c r="I294" i="41"/>
  <c r="N294" i="41"/>
  <c r="M293" i="41"/>
  <c r="L293" i="41"/>
  <c r="K293" i="41"/>
  <c r="J293" i="41"/>
  <c r="I293" i="41"/>
  <c r="M292" i="41"/>
  <c r="L292" i="41"/>
  <c r="K292" i="41"/>
  <c r="J292" i="41"/>
  <c r="I292" i="41"/>
  <c r="M291" i="41"/>
  <c r="L291" i="41"/>
  <c r="K291" i="41"/>
  <c r="J291" i="41"/>
  <c r="I291" i="41"/>
  <c r="M290" i="41"/>
  <c r="L290" i="41"/>
  <c r="K290" i="41"/>
  <c r="J290" i="41"/>
  <c r="I290" i="41"/>
  <c r="M289" i="41"/>
  <c r="L289" i="41"/>
  <c r="K289" i="41"/>
  <c r="J289" i="41"/>
  <c r="I289" i="41"/>
  <c r="M288" i="41"/>
  <c r="L288" i="41"/>
  <c r="K288" i="41"/>
  <c r="J288" i="41"/>
  <c r="I288" i="41"/>
  <c r="M287" i="41"/>
  <c r="L287" i="41"/>
  <c r="K287" i="41"/>
  <c r="J287" i="41"/>
  <c r="I287" i="41"/>
  <c r="M286" i="41"/>
  <c r="L286" i="41"/>
  <c r="K286" i="41"/>
  <c r="J286" i="41"/>
  <c r="I286" i="41"/>
  <c r="N286" i="41"/>
  <c r="M285" i="41"/>
  <c r="L285" i="41"/>
  <c r="K285" i="41"/>
  <c r="J285" i="41"/>
  <c r="I285" i="41"/>
  <c r="M284" i="41"/>
  <c r="L284" i="41"/>
  <c r="K284" i="41"/>
  <c r="J284" i="41"/>
  <c r="I284" i="41"/>
  <c r="N284" i="41"/>
  <c r="M283" i="41"/>
  <c r="L283" i="41"/>
  <c r="K283" i="41"/>
  <c r="J283" i="41"/>
  <c r="I283" i="41"/>
  <c r="N283" i="41"/>
  <c r="M282" i="41"/>
  <c r="L282" i="41"/>
  <c r="N282" i="41"/>
  <c r="K282" i="41"/>
  <c r="J282" i="41"/>
  <c r="I282" i="41"/>
  <c r="M281" i="41"/>
  <c r="L281" i="41"/>
  <c r="K281" i="41"/>
  <c r="J281" i="41"/>
  <c r="I281" i="41"/>
  <c r="M280" i="41"/>
  <c r="L280" i="41"/>
  <c r="K280" i="41"/>
  <c r="J280" i="41"/>
  <c r="I280" i="41"/>
  <c r="M279" i="41"/>
  <c r="L279" i="41"/>
  <c r="K279" i="41"/>
  <c r="J279" i="41"/>
  <c r="I279" i="41"/>
  <c r="M278" i="41"/>
  <c r="L278" i="41"/>
  <c r="K278" i="41"/>
  <c r="J278" i="41"/>
  <c r="I278" i="41"/>
  <c r="N278" i="41"/>
  <c r="M277" i="41"/>
  <c r="L277" i="41"/>
  <c r="K277" i="41"/>
  <c r="J277" i="41"/>
  <c r="I277" i="41"/>
  <c r="M276" i="41"/>
  <c r="L276" i="41"/>
  <c r="K276" i="41"/>
  <c r="J276" i="41"/>
  <c r="I276" i="41"/>
  <c r="M275" i="41"/>
  <c r="L275" i="41"/>
  <c r="K275" i="41"/>
  <c r="J275" i="41"/>
  <c r="I275" i="41"/>
  <c r="M274" i="41"/>
  <c r="L274" i="41"/>
  <c r="K274" i="41"/>
  <c r="J274" i="41"/>
  <c r="I274" i="41"/>
  <c r="M273" i="41"/>
  <c r="L273" i="41"/>
  <c r="K273" i="41"/>
  <c r="J273" i="41"/>
  <c r="I273" i="41"/>
  <c r="N273" i="41"/>
  <c r="M272" i="41"/>
  <c r="L272" i="41"/>
  <c r="K272" i="41"/>
  <c r="J272" i="41"/>
  <c r="I272" i="41"/>
  <c r="M271" i="41"/>
  <c r="L271" i="41"/>
  <c r="K271" i="41"/>
  <c r="J271" i="41"/>
  <c r="I271" i="41"/>
  <c r="M270" i="41"/>
  <c r="L270" i="41"/>
  <c r="K270" i="41"/>
  <c r="J270" i="41"/>
  <c r="I270" i="41"/>
  <c r="N270" i="41"/>
  <c r="M269" i="41"/>
  <c r="L269" i="41"/>
  <c r="K269" i="41"/>
  <c r="J269" i="41"/>
  <c r="I269" i="41"/>
  <c r="M268" i="41"/>
  <c r="L268" i="41"/>
  <c r="K268" i="41"/>
  <c r="J268" i="41"/>
  <c r="I268" i="41"/>
  <c r="M267" i="41"/>
  <c r="L267" i="41"/>
  <c r="K267" i="41"/>
  <c r="J267" i="41"/>
  <c r="I267" i="41"/>
  <c r="M266" i="41"/>
  <c r="N266" i="41"/>
  <c r="L266" i="41"/>
  <c r="K266" i="41"/>
  <c r="J266" i="41"/>
  <c r="I266" i="41"/>
  <c r="M265" i="41"/>
  <c r="L265" i="41"/>
  <c r="K265" i="41"/>
  <c r="J265" i="41"/>
  <c r="I265" i="41"/>
  <c r="M264" i="41"/>
  <c r="L264" i="41"/>
  <c r="K264" i="41"/>
  <c r="J264" i="41"/>
  <c r="I264" i="41"/>
  <c r="M263" i="41"/>
  <c r="L263" i="41"/>
  <c r="K263" i="41"/>
  <c r="J263" i="41"/>
  <c r="I263" i="41"/>
  <c r="M262" i="41"/>
  <c r="L262" i="41"/>
  <c r="K262" i="41"/>
  <c r="J262" i="41"/>
  <c r="I262" i="41"/>
  <c r="N262" i="41"/>
  <c r="M261" i="41"/>
  <c r="L261" i="41"/>
  <c r="K261" i="41"/>
  <c r="J261" i="41"/>
  <c r="I261" i="41"/>
  <c r="N261" i="41"/>
  <c r="M260" i="41"/>
  <c r="L260" i="41"/>
  <c r="K260" i="41"/>
  <c r="J260" i="41"/>
  <c r="I260" i="41"/>
  <c r="M259" i="41"/>
  <c r="L259" i="41"/>
  <c r="K259" i="41"/>
  <c r="J259" i="41"/>
  <c r="I259" i="41"/>
  <c r="M258" i="41"/>
  <c r="L258" i="41"/>
  <c r="K258" i="41"/>
  <c r="J258" i="41"/>
  <c r="D258" i="41"/>
  <c r="I258" i="41"/>
  <c r="N258" i="41"/>
  <c r="M257" i="41"/>
  <c r="L257" i="41"/>
  <c r="K257" i="41"/>
  <c r="J257" i="41"/>
  <c r="D257" i="41"/>
  <c r="I257" i="41"/>
  <c r="M256" i="41"/>
  <c r="L256" i="41"/>
  <c r="K256" i="41"/>
  <c r="J256" i="41"/>
  <c r="D256" i="41"/>
  <c r="I256" i="41"/>
  <c r="M255" i="41"/>
  <c r="L255" i="41"/>
  <c r="K255" i="41"/>
  <c r="J255" i="41"/>
  <c r="D255" i="41"/>
  <c r="I255" i="41"/>
  <c r="M254" i="41"/>
  <c r="L254" i="41"/>
  <c r="K254" i="41"/>
  <c r="J254" i="41"/>
  <c r="I254" i="41"/>
  <c r="D254" i="41"/>
  <c r="M253" i="41"/>
  <c r="L253" i="41"/>
  <c r="K253" i="41"/>
  <c r="J253" i="41"/>
  <c r="D253" i="41"/>
  <c r="I253" i="41"/>
  <c r="N253" i="41"/>
  <c r="M252" i="41"/>
  <c r="L252" i="41"/>
  <c r="K252" i="41"/>
  <c r="J252" i="41"/>
  <c r="D252" i="41"/>
  <c r="I252" i="41"/>
  <c r="M251" i="41"/>
  <c r="L251" i="41"/>
  <c r="K251" i="41"/>
  <c r="J251" i="41"/>
  <c r="D251" i="41"/>
  <c r="I251" i="41"/>
  <c r="M250" i="41"/>
  <c r="L250" i="41"/>
  <c r="K250" i="41"/>
  <c r="J250" i="41"/>
  <c r="D250" i="41"/>
  <c r="I250" i="41"/>
  <c r="N250" i="41"/>
  <c r="M249" i="41"/>
  <c r="L249" i="41"/>
  <c r="K249" i="41"/>
  <c r="J249" i="41"/>
  <c r="D249" i="41"/>
  <c r="I249" i="41"/>
  <c r="M248" i="41"/>
  <c r="L248" i="41"/>
  <c r="K248" i="41"/>
  <c r="J248" i="41"/>
  <c r="I248" i="41"/>
  <c r="D248" i="41"/>
  <c r="M247" i="41"/>
  <c r="L247" i="41"/>
  <c r="K247" i="41"/>
  <c r="J247" i="41"/>
  <c r="D247" i="41"/>
  <c r="I247" i="41"/>
  <c r="M246" i="41"/>
  <c r="L246" i="41"/>
  <c r="K246" i="41"/>
  <c r="J246" i="41"/>
  <c r="I246" i="41"/>
  <c r="N246" i="41"/>
  <c r="D246" i="41"/>
  <c r="M245" i="41"/>
  <c r="L245" i="41"/>
  <c r="K245" i="41"/>
  <c r="J245" i="41"/>
  <c r="D245" i="41"/>
  <c r="I245" i="41"/>
  <c r="M244" i="41"/>
  <c r="L244" i="41"/>
  <c r="K244" i="41"/>
  <c r="J244" i="41"/>
  <c r="D244" i="41"/>
  <c r="I244" i="41"/>
  <c r="M243" i="41"/>
  <c r="L243" i="41"/>
  <c r="K243" i="41"/>
  <c r="J243" i="41"/>
  <c r="D243" i="41"/>
  <c r="I243" i="41"/>
  <c r="M242" i="41"/>
  <c r="L242" i="41"/>
  <c r="K242" i="41"/>
  <c r="J242" i="41"/>
  <c r="I242" i="41"/>
  <c r="D242" i="41"/>
  <c r="M241" i="41"/>
  <c r="L241" i="41"/>
  <c r="K241" i="41"/>
  <c r="J241" i="41"/>
  <c r="D241" i="41"/>
  <c r="I241" i="41"/>
  <c r="M240" i="41"/>
  <c r="L240" i="41"/>
  <c r="K240" i="41"/>
  <c r="J240" i="41"/>
  <c r="I240" i="41"/>
  <c r="D240" i="41"/>
  <c r="M239" i="41"/>
  <c r="L239" i="41"/>
  <c r="K239" i="41"/>
  <c r="J239" i="41"/>
  <c r="D239" i="41"/>
  <c r="I239" i="41"/>
  <c r="M238" i="41"/>
  <c r="L238" i="41"/>
  <c r="K238" i="41"/>
  <c r="J238" i="41"/>
  <c r="I238" i="41"/>
  <c r="N238" i="41"/>
  <c r="D238" i="41"/>
  <c r="M237" i="41"/>
  <c r="L237" i="41"/>
  <c r="K237" i="41"/>
  <c r="J237" i="41"/>
  <c r="D237" i="41"/>
  <c r="I237" i="41"/>
  <c r="M236" i="41"/>
  <c r="L236" i="41"/>
  <c r="K236" i="41"/>
  <c r="J236" i="41"/>
  <c r="D236" i="41"/>
  <c r="I236" i="41"/>
  <c r="M235" i="41"/>
  <c r="L235" i="41"/>
  <c r="K235" i="41"/>
  <c r="J235" i="41"/>
  <c r="D235" i="41"/>
  <c r="I235" i="41"/>
  <c r="M234" i="41"/>
  <c r="L234" i="41"/>
  <c r="K234" i="41"/>
  <c r="J234" i="41"/>
  <c r="I234" i="41"/>
  <c r="N234" i="41"/>
  <c r="D234" i="41"/>
  <c r="M233" i="41"/>
  <c r="L233" i="41"/>
  <c r="K233" i="41"/>
  <c r="J233" i="41"/>
  <c r="D233" i="41"/>
  <c r="I233" i="41"/>
  <c r="M232" i="41"/>
  <c r="L232" i="41"/>
  <c r="K232" i="41"/>
  <c r="J232" i="41"/>
  <c r="I232" i="41"/>
  <c r="D232" i="41"/>
  <c r="M231" i="41"/>
  <c r="L231" i="41"/>
  <c r="K231" i="41"/>
  <c r="J231" i="41"/>
  <c r="N231" i="41"/>
  <c r="D231" i="41"/>
  <c r="I231" i="41"/>
  <c r="M230" i="41"/>
  <c r="L230" i="41"/>
  <c r="K230" i="41"/>
  <c r="J230" i="41"/>
  <c r="I230" i="41"/>
  <c r="D230" i="41"/>
  <c r="M229" i="41"/>
  <c r="L229" i="41"/>
  <c r="K229" i="41"/>
  <c r="J229" i="41"/>
  <c r="D229" i="41"/>
  <c r="I229" i="41"/>
  <c r="M228" i="41"/>
  <c r="L228" i="41"/>
  <c r="K228" i="41"/>
  <c r="J228" i="41"/>
  <c r="D228" i="41"/>
  <c r="I228" i="41"/>
  <c r="M227" i="41"/>
  <c r="L227" i="41"/>
  <c r="K227" i="41"/>
  <c r="J227" i="41"/>
  <c r="D227" i="41"/>
  <c r="I227" i="41"/>
  <c r="M226" i="41"/>
  <c r="L226" i="41"/>
  <c r="K226" i="41"/>
  <c r="J226" i="41"/>
  <c r="I226" i="41"/>
  <c r="N226" i="41"/>
  <c r="D226" i="41"/>
  <c r="M225" i="41"/>
  <c r="L225" i="41"/>
  <c r="K225" i="41"/>
  <c r="J225" i="41"/>
  <c r="D225" i="41"/>
  <c r="I225" i="41"/>
  <c r="M224" i="41"/>
  <c r="L224" i="41"/>
  <c r="K224" i="41"/>
  <c r="J224" i="41"/>
  <c r="I224" i="41"/>
  <c r="D224" i="41"/>
  <c r="M223" i="41"/>
  <c r="L223" i="41"/>
  <c r="K223" i="41"/>
  <c r="J223" i="41"/>
  <c r="N223" i="41"/>
  <c r="D223" i="41"/>
  <c r="I223" i="41"/>
  <c r="M222" i="41"/>
  <c r="L222" i="41"/>
  <c r="K222" i="41"/>
  <c r="J222" i="41"/>
  <c r="D222" i="41"/>
  <c r="I222" i="41"/>
  <c r="N222" i="41"/>
  <c r="M221" i="41"/>
  <c r="L221" i="41"/>
  <c r="K221" i="41"/>
  <c r="J221" i="41"/>
  <c r="D221" i="41"/>
  <c r="I221" i="41"/>
  <c r="M220" i="41"/>
  <c r="L220" i="41"/>
  <c r="K220" i="41"/>
  <c r="J220" i="41"/>
  <c r="D220" i="41"/>
  <c r="I220" i="41"/>
  <c r="M219" i="41"/>
  <c r="L219" i="41"/>
  <c r="K219" i="41"/>
  <c r="J219" i="41"/>
  <c r="D219" i="41"/>
  <c r="I219" i="41"/>
  <c r="N219" i="41"/>
  <c r="M218" i="41"/>
  <c r="L218" i="41"/>
  <c r="K218" i="41"/>
  <c r="J218" i="41"/>
  <c r="D218" i="41"/>
  <c r="I218" i="41"/>
  <c r="N218" i="41"/>
  <c r="M217" i="41"/>
  <c r="L217" i="41"/>
  <c r="K217" i="41"/>
  <c r="J217" i="41"/>
  <c r="D217" i="41"/>
  <c r="I217" i="41"/>
  <c r="M216" i="41"/>
  <c r="L216" i="41"/>
  <c r="K216" i="41"/>
  <c r="J216" i="41"/>
  <c r="D216" i="41"/>
  <c r="I216" i="41"/>
  <c r="M215" i="41"/>
  <c r="L215" i="41"/>
  <c r="K215" i="41"/>
  <c r="J215" i="41"/>
  <c r="D215" i="41"/>
  <c r="I215" i="41"/>
  <c r="N215" i="41"/>
  <c r="M214" i="41"/>
  <c r="L214" i="41"/>
  <c r="K214" i="41"/>
  <c r="J214" i="41"/>
  <c r="I214" i="41"/>
  <c r="D214" i="41"/>
  <c r="M213" i="41"/>
  <c r="L213" i="41"/>
  <c r="K213" i="41"/>
  <c r="J213" i="41"/>
  <c r="I213" i="41"/>
  <c r="N213" i="41"/>
  <c r="D213" i="41"/>
  <c r="M212" i="41"/>
  <c r="L212" i="41"/>
  <c r="K212" i="41"/>
  <c r="J212" i="41"/>
  <c r="D212" i="41"/>
  <c r="I212" i="41"/>
  <c r="N212" i="41"/>
  <c r="M211" i="41"/>
  <c r="N211" i="41"/>
  <c r="L211" i="41"/>
  <c r="K211" i="41"/>
  <c r="J211" i="41"/>
  <c r="D211" i="41"/>
  <c r="I211" i="41"/>
  <c r="M210" i="41"/>
  <c r="L210" i="41"/>
  <c r="K210" i="41"/>
  <c r="J210" i="41"/>
  <c r="D210" i="41"/>
  <c r="I210" i="41"/>
  <c r="N210" i="41"/>
  <c r="M209" i="41"/>
  <c r="L209" i="41"/>
  <c r="K209" i="41"/>
  <c r="J209" i="41"/>
  <c r="D209" i="41"/>
  <c r="I209" i="41"/>
  <c r="M208" i="41"/>
  <c r="L208" i="41"/>
  <c r="K208" i="41"/>
  <c r="J208" i="41"/>
  <c r="D208" i="41"/>
  <c r="I208" i="41"/>
  <c r="N208" i="41"/>
  <c r="M207" i="41"/>
  <c r="L207" i="41"/>
  <c r="N207" i="41"/>
  <c r="K207" i="41"/>
  <c r="J207" i="41"/>
  <c r="D207" i="41"/>
  <c r="I207" i="41"/>
  <c r="M206" i="41"/>
  <c r="L206" i="41"/>
  <c r="K206" i="41"/>
  <c r="J206" i="41"/>
  <c r="I206" i="41"/>
  <c r="D206" i="41"/>
  <c r="M205" i="41"/>
  <c r="L205" i="41"/>
  <c r="K205" i="41"/>
  <c r="J205" i="41"/>
  <c r="D205" i="41"/>
  <c r="I205" i="41"/>
  <c r="N205" i="41"/>
  <c r="M204" i="41"/>
  <c r="L204" i="41"/>
  <c r="K204" i="41"/>
  <c r="J204" i="41"/>
  <c r="I204" i="41"/>
  <c r="D204" i="41"/>
  <c r="M203" i="41"/>
  <c r="L203" i="41"/>
  <c r="K203" i="41"/>
  <c r="J203" i="41"/>
  <c r="D203" i="41"/>
  <c r="I203" i="41"/>
  <c r="M202" i="41"/>
  <c r="L202" i="41"/>
  <c r="K202" i="41"/>
  <c r="J202" i="41"/>
  <c r="D202" i="41"/>
  <c r="I202" i="41"/>
  <c r="N202" i="41"/>
  <c r="M201" i="41"/>
  <c r="L201" i="41"/>
  <c r="K201" i="41"/>
  <c r="J201" i="41"/>
  <c r="D201" i="41"/>
  <c r="I201" i="41"/>
  <c r="M200" i="41"/>
  <c r="L200" i="41"/>
  <c r="K200" i="41"/>
  <c r="J200" i="41"/>
  <c r="I200" i="41"/>
  <c r="D200" i="41"/>
  <c r="M199" i="41"/>
  <c r="L199" i="41"/>
  <c r="K199" i="41"/>
  <c r="J199" i="41"/>
  <c r="D199" i="41"/>
  <c r="I199" i="41"/>
  <c r="N199" i="41"/>
  <c r="M198" i="41"/>
  <c r="L198" i="41"/>
  <c r="K198" i="41"/>
  <c r="J198" i="41"/>
  <c r="D198" i="41"/>
  <c r="I198" i="41"/>
  <c r="M197" i="41"/>
  <c r="L197" i="41"/>
  <c r="N197" i="41"/>
  <c r="K197" i="41"/>
  <c r="J197" i="41"/>
  <c r="I197" i="41"/>
  <c r="D197" i="41"/>
  <c r="M196" i="41"/>
  <c r="L196" i="41"/>
  <c r="K196" i="41"/>
  <c r="J196" i="41"/>
  <c r="D196" i="41"/>
  <c r="I196" i="41"/>
  <c r="M195" i="41"/>
  <c r="L195" i="41"/>
  <c r="K195" i="41"/>
  <c r="J195" i="41"/>
  <c r="D195" i="41"/>
  <c r="I195" i="41"/>
  <c r="N195" i="41"/>
  <c r="M194" i="41"/>
  <c r="L194" i="41"/>
  <c r="K194" i="41"/>
  <c r="J194" i="41"/>
  <c r="I194" i="41"/>
  <c r="D194" i="41"/>
  <c r="M193" i="41"/>
  <c r="L193" i="41"/>
  <c r="K193" i="41"/>
  <c r="N193" i="41"/>
  <c r="J193" i="41"/>
  <c r="D193" i="41"/>
  <c r="I193" i="41"/>
  <c r="M192" i="41"/>
  <c r="L192" i="41"/>
  <c r="K192" i="41"/>
  <c r="J192" i="41"/>
  <c r="D192" i="41"/>
  <c r="I192" i="41"/>
  <c r="M191" i="41"/>
  <c r="L191" i="41"/>
  <c r="K191" i="41"/>
  <c r="J191" i="41"/>
  <c r="D191" i="41"/>
  <c r="I191" i="41"/>
  <c r="N191" i="41"/>
  <c r="M190" i="41"/>
  <c r="L190" i="41"/>
  <c r="K190" i="41"/>
  <c r="J190" i="41"/>
  <c r="I190" i="41"/>
  <c r="D190" i="41"/>
  <c r="M189" i="41"/>
  <c r="L189" i="41"/>
  <c r="K189" i="41"/>
  <c r="J189" i="41"/>
  <c r="D189" i="41"/>
  <c r="I189" i="41"/>
  <c r="N189" i="41"/>
  <c r="M188" i="41"/>
  <c r="L188" i="41"/>
  <c r="K188" i="41"/>
  <c r="J188" i="41"/>
  <c r="D188" i="41"/>
  <c r="I188" i="41"/>
  <c r="N188" i="41"/>
  <c r="M187" i="41"/>
  <c r="L187" i="41"/>
  <c r="N187" i="41"/>
  <c r="K187" i="41"/>
  <c r="J187" i="41"/>
  <c r="D187" i="41"/>
  <c r="I187" i="41"/>
  <c r="M186" i="41"/>
  <c r="L186" i="41"/>
  <c r="K186" i="41"/>
  <c r="J186" i="41"/>
  <c r="I186" i="41"/>
  <c r="N186" i="41"/>
  <c r="D186" i="41"/>
  <c r="M185" i="41"/>
  <c r="L185" i="41"/>
  <c r="K185" i="41"/>
  <c r="J185" i="41"/>
  <c r="D185" i="41"/>
  <c r="I185" i="41"/>
  <c r="M184" i="41"/>
  <c r="L184" i="41"/>
  <c r="K184" i="41"/>
  <c r="J184" i="41"/>
  <c r="I184" i="41"/>
  <c r="D184" i="41"/>
  <c r="M183" i="41"/>
  <c r="L183" i="41"/>
  <c r="K183" i="41"/>
  <c r="J183" i="41"/>
  <c r="D183" i="41"/>
  <c r="I183" i="41"/>
  <c r="M182" i="41"/>
  <c r="L182" i="41"/>
  <c r="K182" i="41"/>
  <c r="J182" i="41"/>
  <c r="D182" i="41"/>
  <c r="I182" i="41"/>
  <c r="M181" i="41"/>
  <c r="L181" i="41"/>
  <c r="K181" i="41"/>
  <c r="J181" i="41"/>
  <c r="D181" i="41"/>
  <c r="I181" i="41"/>
  <c r="M180" i="41"/>
  <c r="L180" i="41"/>
  <c r="K180" i="41"/>
  <c r="J180" i="41"/>
  <c r="D180" i="41"/>
  <c r="I180" i="41"/>
  <c r="M179" i="41"/>
  <c r="L179" i="41"/>
  <c r="K179" i="41"/>
  <c r="J179" i="41"/>
  <c r="D179" i="41"/>
  <c r="I179" i="41"/>
  <c r="N179" i="41"/>
  <c r="M178" i="41"/>
  <c r="L178" i="41"/>
  <c r="K178" i="41"/>
  <c r="J178" i="41"/>
  <c r="I178" i="41"/>
  <c r="D178" i="41"/>
  <c r="M177" i="41"/>
  <c r="L177" i="41"/>
  <c r="K177" i="41"/>
  <c r="N177" i="41"/>
  <c r="J177" i="41"/>
  <c r="D177" i="41"/>
  <c r="I177" i="41"/>
  <c r="M176" i="41"/>
  <c r="L176" i="41"/>
  <c r="K176" i="41"/>
  <c r="J176" i="41"/>
  <c r="D176" i="41"/>
  <c r="I176" i="41"/>
  <c r="M175" i="41"/>
  <c r="L175" i="41"/>
  <c r="K175" i="41"/>
  <c r="J175" i="41"/>
  <c r="D175" i="41"/>
  <c r="I175" i="41"/>
  <c r="N175" i="41"/>
  <c r="M174" i="41"/>
  <c r="L174" i="41"/>
  <c r="K174" i="41"/>
  <c r="J174" i="41"/>
  <c r="I174" i="41"/>
  <c r="D174" i="41"/>
  <c r="M173" i="41"/>
  <c r="L173" i="41"/>
  <c r="K173" i="41"/>
  <c r="J173" i="41"/>
  <c r="D173" i="41"/>
  <c r="I173" i="41"/>
  <c r="N173" i="41"/>
  <c r="M172" i="41"/>
  <c r="L172" i="41"/>
  <c r="K172" i="41"/>
  <c r="J172" i="41"/>
  <c r="D172" i="41"/>
  <c r="I172" i="41"/>
  <c r="N172" i="41"/>
  <c r="M171" i="41"/>
  <c r="L171" i="41"/>
  <c r="N171" i="41"/>
  <c r="K171" i="41"/>
  <c r="J171" i="41"/>
  <c r="D171" i="41"/>
  <c r="I171" i="41"/>
  <c r="M170" i="41"/>
  <c r="L170" i="41"/>
  <c r="K170" i="41"/>
  <c r="J170" i="41"/>
  <c r="I170" i="41"/>
  <c r="N170" i="41"/>
  <c r="D170" i="41"/>
  <c r="M169" i="41"/>
  <c r="L169" i="41"/>
  <c r="K169" i="41"/>
  <c r="J169" i="41"/>
  <c r="D169" i="41"/>
  <c r="I169" i="41"/>
  <c r="M168" i="41"/>
  <c r="L168" i="41"/>
  <c r="K168" i="41"/>
  <c r="J168" i="41"/>
  <c r="I168" i="41"/>
  <c r="D168" i="41"/>
  <c r="M167" i="41"/>
  <c r="L167" i="41"/>
  <c r="K167" i="41"/>
  <c r="J167" i="41"/>
  <c r="D167" i="41"/>
  <c r="I167" i="41"/>
  <c r="M166" i="41"/>
  <c r="L166" i="41"/>
  <c r="K166" i="41"/>
  <c r="J166" i="41"/>
  <c r="D166" i="41"/>
  <c r="I166" i="41"/>
  <c r="M165" i="41"/>
  <c r="L165" i="41"/>
  <c r="K165" i="41"/>
  <c r="J165" i="41"/>
  <c r="D165" i="41"/>
  <c r="I165" i="41"/>
  <c r="M164" i="41"/>
  <c r="L164" i="41"/>
  <c r="K164" i="41"/>
  <c r="J164" i="41"/>
  <c r="D164" i="41"/>
  <c r="I164" i="41"/>
  <c r="M163" i="41"/>
  <c r="L163" i="41"/>
  <c r="K163" i="41"/>
  <c r="J163" i="41"/>
  <c r="D163" i="41"/>
  <c r="I163" i="41"/>
  <c r="N163" i="41"/>
  <c r="M162" i="41"/>
  <c r="L162" i="41"/>
  <c r="K162" i="41"/>
  <c r="J162" i="41"/>
  <c r="I162" i="41"/>
  <c r="D162" i="41"/>
  <c r="M161" i="41"/>
  <c r="L161" i="41"/>
  <c r="K161" i="41"/>
  <c r="N161" i="41"/>
  <c r="J161" i="41"/>
  <c r="D161" i="41"/>
  <c r="I161" i="41"/>
  <c r="M160" i="41"/>
  <c r="L160" i="41"/>
  <c r="K160" i="41"/>
  <c r="J160" i="41"/>
  <c r="D160" i="41"/>
  <c r="I160" i="41"/>
  <c r="M159" i="41"/>
  <c r="L159" i="41"/>
  <c r="K159" i="41"/>
  <c r="J159" i="41"/>
  <c r="D159" i="41"/>
  <c r="I159" i="41"/>
  <c r="N159" i="41"/>
  <c r="M158" i="41"/>
  <c r="L158" i="41"/>
  <c r="K158" i="41"/>
  <c r="J158" i="41"/>
  <c r="I158" i="41"/>
  <c r="D158" i="41"/>
  <c r="M157" i="41"/>
  <c r="L157" i="41"/>
  <c r="K157" i="41"/>
  <c r="J157" i="41"/>
  <c r="D157" i="41"/>
  <c r="I157" i="41"/>
  <c r="N157" i="41"/>
  <c r="M156" i="41"/>
  <c r="L156" i="41"/>
  <c r="K156" i="41"/>
  <c r="J156" i="41"/>
  <c r="D156" i="41"/>
  <c r="I156" i="41"/>
  <c r="N156" i="41"/>
  <c r="M155" i="41"/>
  <c r="L155" i="41"/>
  <c r="N155" i="41"/>
  <c r="K155" i="41"/>
  <c r="J155" i="41"/>
  <c r="D155" i="41"/>
  <c r="I155" i="41"/>
  <c r="M154" i="41"/>
  <c r="L154" i="41"/>
  <c r="K154" i="41"/>
  <c r="J154" i="41"/>
  <c r="I154" i="41"/>
  <c r="N154" i="41"/>
  <c r="D154" i="41"/>
  <c r="M153" i="41"/>
  <c r="L153" i="41"/>
  <c r="K153" i="41"/>
  <c r="J153" i="41"/>
  <c r="D153" i="41"/>
  <c r="I153" i="41"/>
  <c r="M152" i="41"/>
  <c r="L152" i="41"/>
  <c r="K152" i="41"/>
  <c r="J152" i="41"/>
  <c r="I152" i="41"/>
  <c r="D152" i="41"/>
  <c r="M151" i="41"/>
  <c r="L151" i="41"/>
  <c r="K151" i="41"/>
  <c r="J151" i="41"/>
  <c r="D151" i="41"/>
  <c r="I151" i="41"/>
  <c r="M150" i="41"/>
  <c r="L150" i="41"/>
  <c r="K150" i="41"/>
  <c r="J150" i="41"/>
  <c r="D150" i="41"/>
  <c r="I150" i="41"/>
  <c r="M149" i="41"/>
  <c r="L149" i="41"/>
  <c r="K149" i="41"/>
  <c r="J149" i="41"/>
  <c r="D149" i="41"/>
  <c r="I149" i="41"/>
  <c r="M148" i="41"/>
  <c r="L148" i="41"/>
  <c r="K148" i="41"/>
  <c r="J148" i="41"/>
  <c r="D148" i="41"/>
  <c r="I148" i="41"/>
  <c r="M147" i="41"/>
  <c r="L147" i="41"/>
  <c r="K147" i="41"/>
  <c r="J147" i="41"/>
  <c r="D147" i="41"/>
  <c r="I147" i="41"/>
  <c r="N147" i="41"/>
  <c r="M146" i="41"/>
  <c r="L146" i="41"/>
  <c r="K146" i="41"/>
  <c r="J146" i="41"/>
  <c r="I146" i="41"/>
  <c r="D146" i="41"/>
  <c r="M145" i="41"/>
  <c r="L145" i="41"/>
  <c r="K145" i="41"/>
  <c r="N145" i="41"/>
  <c r="J145" i="41"/>
  <c r="D145" i="41"/>
  <c r="I145" i="41"/>
  <c r="M144" i="41"/>
  <c r="L144" i="41"/>
  <c r="K144" i="41"/>
  <c r="J144" i="41"/>
  <c r="D144" i="41"/>
  <c r="I144" i="41"/>
  <c r="M143" i="41"/>
  <c r="L143" i="41"/>
  <c r="K143" i="41"/>
  <c r="J143" i="41"/>
  <c r="D143" i="41"/>
  <c r="I143" i="41"/>
  <c r="N143" i="41"/>
  <c r="M142" i="41"/>
  <c r="L142" i="41"/>
  <c r="K142" i="41"/>
  <c r="J142" i="41"/>
  <c r="I142" i="41"/>
  <c r="D142" i="41"/>
  <c r="M141" i="41"/>
  <c r="L141" i="41"/>
  <c r="K141" i="41"/>
  <c r="J141" i="41"/>
  <c r="D141" i="41"/>
  <c r="I141" i="41"/>
  <c r="N141" i="41"/>
  <c r="M140" i="41"/>
  <c r="L140" i="41"/>
  <c r="K140" i="41"/>
  <c r="J140" i="41"/>
  <c r="D140" i="41"/>
  <c r="I140" i="41"/>
  <c r="N140" i="41"/>
  <c r="M139" i="41"/>
  <c r="L139" i="41"/>
  <c r="N139" i="41"/>
  <c r="K139" i="41"/>
  <c r="J139" i="41"/>
  <c r="D139" i="41"/>
  <c r="I139" i="41"/>
  <c r="M138" i="41"/>
  <c r="L138" i="41"/>
  <c r="K138" i="41"/>
  <c r="J138" i="41"/>
  <c r="I138" i="41"/>
  <c r="N138" i="41"/>
  <c r="D138" i="41"/>
  <c r="M137" i="41"/>
  <c r="L137" i="41"/>
  <c r="K137" i="41"/>
  <c r="J137" i="41"/>
  <c r="D137" i="41"/>
  <c r="I137" i="41"/>
  <c r="M136" i="41"/>
  <c r="L136" i="41"/>
  <c r="K136" i="41"/>
  <c r="J136" i="41"/>
  <c r="I136" i="41"/>
  <c r="D136" i="41"/>
  <c r="M135" i="41"/>
  <c r="L135" i="41"/>
  <c r="K135" i="41"/>
  <c r="J135" i="41"/>
  <c r="D135" i="41"/>
  <c r="I135" i="41"/>
  <c r="M134" i="41"/>
  <c r="L134" i="41"/>
  <c r="K134" i="41"/>
  <c r="J134" i="41"/>
  <c r="D134" i="41"/>
  <c r="I134" i="41"/>
  <c r="M133" i="41"/>
  <c r="L133" i="41"/>
  <c r="K133" i="41"/>
  <c r="J133" i="41"/>
  <c r="D133" i="41"/>
  <c r="I133" i="41"/>
  <c r="M132" i="41"/>
  <c r="L132" i="41"/>
  <c r="K132" i="41"/>
  <c r="J132" i="41"/>
  <c r="D132" i="41"/>
  <c r="I132" i="41"/>
  <c r="M131" i="41"/>
  <c r="L131" i="41"/>
  <c r="K131" i="41"/>
  <c r="J131" i="41"/>
  <c r="D131" i="41"/>
  <c r="I131" i="41"/>
  <c r="N131" i="41"/>
  <c r="M130" i="41"/>
  <c r="L130" i="41"/>
  <c r="K130" i="41"/>
  <c r="J130" i="41"/>
  <c r="I130" i="41"/>
  <c r="D130" i="41"/>
  <c r="M129" i="41"/>
  <c r="L129" i="41"/>
  <c r="K129" i="41"/>
  <c r="N129" i="41"/>
  <c r="J129" i="41"/>
  <c r="D129" i="41"/>
  <c r="I129" i="41"/>
  <c r="M128" i="41"/>
  <c r="L128" i="41"/>
  <c r="K128" i="41"/>
  <c r="J128" i="41"/>
  <c r="D128" i="41"/>
  <c r="I128" i="41"/>
  <c r="M127" i="41"/>
  <c r="L127" i="41"/>
  <c r="K127" i="41"/>
  <c r="J127" i="41"/>
  <c r="D127" i="41"/>
  <c r="I127" i="41"/>
  <c r="N127" i="41"/>
  <c r="M126" i="41"/>
  <c r="L126" i="41"/>
  <c r="K126" i="41"/>
  <c r="J126" i="41"/>
  <c r="I126" i="41"/>
  <c r="D126" i="41"/>
  <c r="M125" i="41"/>
  <c r="L125" i="41"/>
  <c r="K125" i="41"/>
  <c r="J125" i="41"/>
  <c r="D125" i="41"/>
  <c r="I125" i="41"/>
  <c r="N125" i="41"/>
  <c r="M124" i="41"/>
  <c r="L124" i="41"/>
  <c r="K124" i="41"/>
  <c r="J124" i="41"/>
  <c r="D124" i="41"/>
  <c r="I124" i="41"/>
  <c r="N124" i="41"/>
  <c r="M123" i="41"/>
  <c r="L123" i="41"/>
  <c r="N123" i="41"/>
  <c r="K123" i="41"/>
  <c r="J123" i="41"/>
  <c r="D123" i="41"/>
  <c r="I123" i="41"/>
  <c r="M122" i="41"/>
  <c r="L122" i="41"/>
  <c r="K122" i="41"/>
  <c r="J122" i="41"/>
  <c r="I122" i="41"/>
  <c r="D122" i="41"/>
  <c r="M121" i="41"/>
  <c r="L121" i="41"/>
  <c r="K121" i="41"/>
  <c r="J121" i="41"/>
  <c r="D121" i="41"/>
  <c r="I121" i="41"/>
  <c r="M120" i="41"/>
  <c r="L120" i="41"/>
  <c r="K120" i="41"/>
  <c r="J120" i="41"/>
  <c r="I120" i="41"/>
  <c r="D120" i="41"/>
  <c r="M119" i="41"/>
  <c r="L119" i="41"/>
  <c r="K119" i="41"/>
  <c r="J119" i="41"/>
  <c r="D119" i="41"/>
  <c r="I119" i="41"/>
  <c r="M118" i="41"/>
  <c r="L118" i="41"/>
  <c r="K118" i="41"/>
  <c r="J118" i="41"/>
  <c r="D118" i="41"/>
  <c r="I118" i="41"/>
  <c r="M117" i="41"/>
  <c r="L117" i="41"/>
  <c r="K117" i="41"/>
  <c r="J117" i="41"/>
  <c r="D117" i="41"/>
  <c r="I117" i="41"/>
  <c r="M116" i="41"/>
  <c r="L116" i="41"/>
  <c r="K116" i="41"/>
  <c r="J116" i="41"/>
  <c r="D116" i="41"/>
  <c r="I116" i="41"/>
  <c r="M115" i="41"/>
  <c r="L115" i="41"/>
  <c r="K115" i="41"/>
  <c r="J115" i="41"/>
  <c r="D115" i="41"/>
  <c r="I115" i="41"/>
  <c r="N115" i="41"/>
  <c r="M114" i="41"/>
  <c r="L114" i="41"/>
  <c r="K114" i="41"/>
  <c r="J114" i="41"/>
  <c r="I114" i="41"/>
  <c r="D114" i="41"/>
  <c r="M113" i="41"/>
  <c r="L113" i="41"/>
  <c r="K113" i="41"/>
  <c r="N113" i="41"/>
  <c r="J113" i="41"/>
  <c r="D113" i="41"/>
  <c r="I113" i="41"/>
  <c r="M112" i="41"/>
  <c r="L112" i="41"/>
  <c r="K112" i="41"/>
  <c r="J112" i="41"/>
  <c r="D112" i="41"/>
  <c r="I112" i="41"/>
  <c r="M111" i="41"/>
  <c r="L111" i="41"/>
  <c r="K111" i="41"/>
  <c r="J111" i="41"/>
  <c r="D111" i="41"/>
  <c r="I111" i="41"/>
  <c r="N111" i="41"/>
  <c r="M110" i="41"/>
  <c r="L110" i="41"/>
  <c r="K110" i="41"/>
  <c r="J110" i="41"/>
  <c r="D110" i="41"/>
  <c r="I110" i="41"/>
  <c r="M109" i="41"/>
  <c r="L109" i="41"/>
  <c r="K109" i="41"/>
  <c r="J109" i="41"/>
  <c r="D109" i="41"/>
  <c r="I109" i="41"/>
  <c r="N109" i="41"/>
  <c r="M108" i="41"/>
  <c r="L108" i="41"/>
  <c r="K108" i="41"/>
  <c r="J108" i="41"/>
  <c r="D108" i="41"/>
  <c r="I108" i="41"/>
  <c r="M107" i="41"/>
  <c r="L107" i="41"/>
  <c r="K107" i="41"/>
  <c r="J107" i="41"/>
  <c r="D107" i="41"/>
  <c r="I107" i="41"/>
  <c r="M106" i="41"/>
  <c r="L106" i="41"/>
  <c r="K106" i="41"/>
  <c r="J106" i="41"/>
  <c r="D106" i="41"/>
  <c r="I106" i="41"/>
  <c r="M105" i="41"/>
  <c r="L105" i="41"/>
  <c r="K105" i="41"/>
  <c r="J105" i="41"/>
  <c r="D105" i="41"/>
  <c r="I105" i="41"/>
  <c r="M104" i="41"/>
  <c r="L104" i="41"/>
  <c r="K104" i="41"/>
  <c r="J104" i="41"/>
  <c r="D104" i="41"/>
  <c r="I104" i="41"/>
  <c r="N104" i="41"/>
  <c r="M103" i="41"/>
  <c r="L103" i="41"/>
  <c r="K103" i="41"/>
  <c r="J103" i="41"/>
  <c r="D103" i="41"/>
  <c r="I103" i="41"/>
  <c r="N103" i="41"/>
  <c r="M102" i="41"/>
  <c r="L102" i="41"/>
  <c r="K102" i="41"/>
  <c r="J102" i="41"/>
  <c r="D102" i="41"/>
  <c r="I102" i="41"/>
  <c r="M101" i="41"/>
  <c r="L101" i="41"/>
  <c r="K101" i="41"/>
  <c r="J101" i="41"/>
  <c r="D101" i="41"/>
  <c r="I101" i="41"/>
  <c r="M100" i="41"/>
  <c r="L100" i="41"/>
  <c r="K100" i="41"/>
  <c r="J100" i="41"/>
  <c r="D100" i="41"/>
  <c r="I100" i="41"/>
  <c r="N100" i="41"/>
  <c r="M99" i="41"/>
  <c r="L99" i="41"/>
  <c r="K99" i="41"/>
  <c r="J99" i="41"/>
  <c r="D99" i="41"/>
  <c r="I99" i="41"/>
  <c r="M98" i="41"/>
  <c r="L98" i="41"/>
  <c r="K98" i="41"/>
  <c r="J98" i="41"/>
  <c r="D98" i="41"/>
  <c r="I98" i="41"/>
  <c r="N98" i="41"/>
  <c r="M97" i="41"/>
  <c r="L97" i="41"/>
  <c r="K97" i="41"/>
  <c r="J97" i="41"/>
  <c r="D97" i="41"/>
  <c r="I97" i="41"/>
  <c r="N97" i="41"/>
  <c r="M96" i="41"/>
  <c r="L96" i="41"/>
  <c r="K96" i="41"/>
  <c r="J96" i="41"/>
  <c r="D96" i="41"/>
  <c r="I96" i="41"/>
  <c r="M95" i="41"/>
  <c r="L95" i="41"/>
  <c r="K95" i="41"/>
  <c r="J95" i="41"/>
  <c r="D95" i="41"/>
  <c r="I95" i="41"/>
  <c r="M94" i="41"/>
  <c r="L94" i="41"/>
  <c r="K94" i="41"/>
  <c r="J94" i="41"/>
  <c r="D94" i="41"/>
  <c r="I94" i="41"/>
  <c r="N94" i="41"/>
  <c r="M93" i="41"/>
  <c r="L93" i="41"/>
  <c r="K93" i="41"/>
  <c r="J93" i="41"/>
  <c r="D93" i="41"/>
  <c r="I93" i="41"/>
  <c r="N93" i="41"/>
  <c r="M92" i="41"/>
  <c r="L92" i="41"/>
  <c r="K92" i="41"/>
  <c r="J92" i="41"/>
  <c r="D92" i="41"/>
  <c r="I92" i="41"/>
  <c r="M91" i="41"/>
  <c r="L91" i="41"/>
  <c r="K91" i="41"/>
  <c r="J91" i="41"/>
  <c r="D91" i="41"/>
  <c r="I91" i="41"/>
  <c r="M90" i="41"/>
  <c r="L90" i="41"/>
  <c r="K90" i="41"/>
  <c r="J90" i="41"/>
  <c r="D90" i="41"/>
  <c r="I90" i="41"/>
  <c r="M89" i="41"/>
  <c r="L89" i="41"/>
  <c r="K89" i="41"/>
  <c r="J89" i="41"/>
  <c r="D89" i="41"/>
  <c r="I89" i="41"/>
  <c r="M88" i="41"/>
  <c r="L88" i="41"/>
  <c r="K88" i="41"/>
  <c r="J88" i="41"/>
  <c r="D88" i="41"/>
  <c r="I88" i="41"/>
  <c r="N88" i="41"/>
  <c r="M87" i="41"/>
  <c r="L87" i="41"/>
  <c r="K87" i="41"/>
  <c r="J87" i="41"/>
  <c r="D87" i="41"/>
  <c r="I87" i="41"/>
  <c r="N87" i="41"/>
  <c r="M86" i="41"/>
  <c r="L86" i="41"/>
  <c r="K86" i="41"/>
  <c r="J86" i="41"/>
  <c r="D86" i="41"/>
  <c r="I86" i="41"/>
  <c r="M85" i="41"/>
  <c r="L85" i="41"/>
  <c r="K85" i="41"/>
  <c r="J85" i="41"/>
  <c r="D85" i="41"/>
  <c r="I85" i="41"/>
  <c r="N85" i="41"/>
  <c r="M84" i="41"/>
  <c r="L84" i="41"/>
  <c r="K84" i="41"/>
  <c r="J84" i="41"/>
  <c r="D84" i="41"/>
  <c r="I84" i="41"/>
  <c r="N84" i="41"/>
  <c r="M83" i="41"/>
  <c r="L83" i="41"/>
  <c r="K83" i="41"/>
  <c r="J83" i="41"/>
  <c r="D83" i="41"/>
  <c r="I83" i="41"/>
  <c r="M82" i="41"/>
  <c r="L82" i="41"/>
  <c r="K82" i="41"/>
  <c r="J82" i="41"/>
  <c r="D82" i="41"/>
  <c r="I82" i="41"/>
  <c r="N82" i="41"/>
  <c r="M81" i="41"/>
  <c r="L81" i="41"/>
  <c r="K81" i="41"/>
  <c r="J81" i="41"/>
  <c r="D81" i="41"/>
  <c r="I81" i="41"/>
  <c r="N81" i="41"/>
  <c r="M80" i="41"/>
  <c r="L80" i="41"/>
  <c r="K80" i="41"/>
  <c r="J80" i="41"/>
  <c r="D80" i="41"/>
  <c r="I80" i="41"/>
  <c r="M79" i="41"/>
  <c r="L79" i="41"/>
  <c r="K79" i="41"/>
  <c r="J79" i="41"/>
  <c r="D79" i="41"/>
  <c r="I79" i="41"/>
  <c r="N79" i="41"/>
  <c r="M78" i="41"/>
  <c r="L78" i="41"/>
  <c r="K78" i="41"/>
  <c r="J78" i="41"/>
  <c r="D78" i="41"/>
  <c r="I78" i="41"/>
  <c r="N78" i="41"/>
  <c r="M77" i="41"/>
  <c r="L77" i="41"/>
  <c r="K77" i="41"/>
  <c r="J77" i="41"/>
  <c r="D77" i="41"/>
  <c r="I77" i="41"/>
  <c r="M76" i="41"/>
  <c r="L76" i="41"/>
  <c r="K76" i="41"/>
  <c r="J76" i="41"/>
  <c r="D76" i="41"/>
  <c r="I76" i="41"/>
  <c r="N76" i="41"/>
  <c r="M75" i="41"/>
  <c r="L75" i="41"/>
  <c r="K75" i="41"/>
  <c r="J75" i="41"/>
  <c r="D75" i="41"/>
  <c r="I75" i="41"/>
  <c r="N75" i="41"/>
  <c r="M74" i="41"/>
  <c r="L74" i="41"/>
  <c r="K74" i="41"/>
  <c r="J74" i="41"/>
  <c r="D74" i="41"/>
  <c r="I74" i="41"/>
  <c r="M73" i="41"/>
  <c r="L73" i="41"/>
  <c r="K73" i="41"/>
  <c r="J73" i="41"/>
  <c r="I73" i="41"/>
  <c r="D73" i="41"/>
  <c r="M72" i="41"/>
  <c r="L72" i="41"/>
  <c r="K72" i="41"/>
  <c r="J72" i="41"/>
  <c r="D72" i="41"/>
  <c r="I72" i="41"/>
  <c r="N72" i="41"/>
  <c r="M71" i="41"/>
  <c r="L71" i="41"/>
  <c r="K71" i="41"/>
  <c r="J71" i="41"/>
  <c r="D71" i="41"/>
  <c r="I71" i="41"/>
  <c r="M70" i="41"/>
  <c r="L70" i="41"/>
  <c r="K70" i="41"/>
  <c r="J70" i="41"/>
  <c r="I70" i="41"/>
  <c r="N70" i="41"/>
  <c r="D70" i="41"/>
  <c r="M69" i="41"/>
  <c r="L69" i="41"/>
  <c r="K69" i="41"/>
  <c r="J69" i="41"/>
  <c r="D69" i="41"/>
  <c r="I69" i="41"/>
  <c r="N69" i="41"/>
  <c r="M68" i="41"/>
  <c r="L68" i="41"/>
  <c r="K68" i="41"/>
  <c r="J68" i="41"/>
  <c r="D68" i="41"/>
  <c r="I68" i="41"/>
  <c r="M67" i="41"/>
  <c r="L67" i="41"/>
  <c r="K67" i="41"/>
  <c r="J67" i="41"/>
  <c r="D67" i="41"/>
  <c r="I67" i="41"/>
  <c r="N67" i="41"/>
  <c r="M66" i="41"/>
  <c r="L66" i="41"/>
  <c r="K66" i="41"/>
  <c r="J66" i="41"/>
  <c r="D66" i="41"/>
  <c r="I66" i="41"/>
  <c r="M65" i="41"/>
  <c r="L65" i="41"/>
  <c r="N65" i="41"/>
  <c r="K65" i="41"/>
  <c r="J65" i="41"/>
  <c r="I65" i="41"/>
  <c r="D65" i="41"/>
  <c r="M64" i="41"/>
  <c r="L64" i="41"/>
  <c r="K64" i="41"/>
  <c r="J64" i="41"/>
  <c r="D64" i="41"/>
  <c r="I64" i="41"/>
  <c r="M63" i="41"/>
  <c r="L63" i="41"/>
  <c r="K63" i="41"/>
  <c r="J63" i="41"/>
  <c r="D63" i="41"/>
  <c r="I63" i="41"/>
  <c r="N63" i="41"/>
  <c r="M62" i="41"/>
  <c r="L62" i="41"/>
  <c r="K62" i="41"/>
  <c r="J62" i="41"/>
  <c r="I62" i="41"/>
  <c r="D62" i="41"/>
  <c r="M61" i="41"/>
  <c r="L61" i="41"/>
  <c r="K61" i="41"/>
  <c r="J61" i="41"/>
  <c r="D61" i="41"/>
  <c r="I61" i="41"/>
  <c r="M60" i="41"/>
  <c r="L60" i="41"/>
  <c r="K60" i="41"/>
  <c r="J60" i="41"/>
  <c r="D60" i="41"/>
  <c r="I60" i="41"/>
  <c r="N60" i="41"/>
  <c r="M59" i="41"/>
  <c r="L59" i="41"/>
  <c r="K59" i="41"/>
  <c r="J59" i="41"/>
  <c r="D59" i="41"/>
  <c r="I59" i="41"/>
  <c r="M58" i="41"/>
  <c r="L58" i="41"/>
  <c r="K58" i="41"/>
  <c r="J58" i="41"/>
  <c r="I58" i="41"/>
  <c r="D58" i="41"/>
  <c r="M57" i="41"/>
  <c r="L57" i="41"/>
  <c r="K57" i="41"/>
  <c r="J57" i="41"/>
  <c r="D57" i="41"/>
  <c r="I57" i="41"/>
  <c r="N57" i="41"/>
  <c r="M56" i="41"/>
  <c r="L56" i="41"/>
  <c r="K56" i="41"/>
  <c r="J56" i="41"/>
  <c r="D56" i="41"/>
  <c r="I56" i="41"/>
  <c r="M55" i="41"/>
  <c r="L55" i="41"/>
  <c r="K55" i="41"/>
  <c r="J55" i="41"/>
  <c r="D55" i="41"/>
  <c r="I55" i="41"/>
  <c r="N55" i="41"/>
  <c r="M54" i="41"/>
  <c r="L54" i="41"/>
  <c r="K54" i="41"/>
  <c r="J54" i="41"/>
  <c r="D54" i="41"/>
  <c r="I54" i="41"/>
  <c r="N54" i="41"/>
  <c r="M53" i="41"/>
  <c r="L53" i="41"/>
  <c r="K53" i="41"/>
  <c r="J53" i="41"/>
  <c r="D53" i="41"/>
  <c r="I53" i="41"/>
  <c r="M52" i="41"/>
  <c r="L52" i="41"/>
  <c r="K52" i="41"/>
  <c r="J52" i="41"/>
  <c r="D52" i="41"/>
  <c r="I52" i="41"/>
  <c r="N52" i="41"/>
  <c r="M51" i="41"/>
  <c r="L51" i="41"/>
  <c r="K51" i="41"/>
  <c r="J51" i="41"/>
  <c r="D51" i="41"/>
  <c r="I51" i="41"/>
  <c r="N51" i="41"/>
  <c r="M50" i="41"/>
  <c r="L50" i="41"/>
  <c r="K50" i="41"/>
  <c r="J50" i="41"/>
  <c r="D50" i="41"/>
  <c r="I50" i="41"/>
  <c r="M49" i="41"/>
  <c r="L49" i="41"/>
  <c r="K49" i="41"/>
  <c r="J49" i="41"/>
  <c r="D49" i="41"/>
  <c r="I49" i="41"/>
  <c r="M48" i="41"/>
  <c r="L48" i="41"/>
  <c r="K48" i="41"/>
  <c r="J48" i="41"/>
  <c r="D48" i="41"/>
  <c r="I48" i="41"/>
  <c r="N48" i="41"/>
  <c r="M47" i="41"/>
  <c r="L47" i="41"/>
  <c r="K47" i="41"/>
  <c r="J47" i="41"/>
  <c r="D47" i="41"/>
  <c r="I47" i="41"/>
  <c r="M46" i="41"/>
  <c r="L46" i="41"/>
  <c r="K46" i="41"/>
  <c r="J46" i="41"/>
  <c r="D46" i="41"/>
  <c r="I46" i="41"/>
  <c r="N46" i="41"/>
  <c r="M45" i="41"/>
  <c r="L45" i="41"/>
  <c r="K45" i="41"/>
  <c r="J45" i="41"/>
  <c r="D45" i="41"/>
  <c r="I45" i="41"/>
  <c r="N45" i="41"/>
  <c r="M44" i="41"/>
  <c r="L44" i="41"/>
  <c r="K44" i="41"/>
  <c r="J44" i="41"/>
  <c r="D44" i="41"/>
  <c r="I44" i="41"/>
  <c r="M43" i="41"/>
  <c r="L43" i="41"/>
  <c r="K43" i="41"/>
  <c r="J43" i="41"/>
  <c r="D43" i="41"/>
  <c r="I43" i="41"/>
  <c r="N43" i="41"/>
  <c r="M42" i="41"/>
  <c r="L42" i="41"/>
  <c r="K42" i="41"/>
  <c r="J42" i="41"/>
  <c r="D42" i="41"/>
  <c r="I42" i="41"/>
  <c r="M41" i="41"/>
  <c r="L41" i="41"/>
  <c r="K41" i="41"/>
  <c r="J41" i="41"/>
  <c r="D41" i="41"/>
  <c r="I41" i="41"/>
  <c r="M40" i="41"/>
  <c r="L40" i="41"/>
  <c r="K40" i="41"/>
  <c r="J40" i="41"/>
  <c r="D40" i="41"/>
  <c r="I40" i="41"/>
  <c r="N40" i="41"/>
  <c r="M39" i="41"/>
  <c r="L39" i="41"/>
  <c r="K39" i="41"/>
  <c r="J39" i="41"/>
  <c r="D39" i="41"/>
  <c r="I39" i="41"/>
  <c r="M38" i="41"/>
  <c r="L38" i="41"/>
  <c r="K38" i="41"/>
  <c r="J38" i="41"/>
  <c r="I38" i="41"/>
  <c r="D38" i="41"/>
  <c r="M37" i="41"/>
  <c r="L37" i="41"/>
  <c r="K37" i="41"/>
  <c r="J37" i="41"/>
  <c r="D37" i="41"/>
  <c r="I37" i="41"/>
  <c r="N37" i="41"/>
  <c r="M36" i="41"/>
  <c r="L36" i="41"/>
  <c r="K36" i="41"/>
  <c r="J36" i="41"/>
  <c r="D36" i="41"/>
  <c r="I36" i="41"/>
  <c r="M35" i="41"/>
  <c r="L35" i="41"/>
  <c r="K35" i="41"/>
  <c r="J35" i="41"/>
  <c r="D35" i="41"/>
  <c r="I35" i="41"/>
  <c r="M34" i="41"/>
  <c r="L34" i="41"/>
  <c r="K34" i="41"/>
  <c r="J34" i="41"/>
  <c r="D34" i="41"/>
  <c r="I34" i="41"/>
  <c r="M33" i="41"/>
  <c r="L33" i="41"/>
  <c r="K33" i="41"/>
  <c r="J33" i="41"/>
  <c r="D33" i="41"/>
  <c r="I33" i="41"/>
  <c r="M32" i="41"/>
  <c r="L32" i="41"/>
  <c r="K32" i="41"/>
  <c r="J32" i="41"/>
  <c r="D32" i="41"/>
  <c r="I32" i="41"/>
  <c r="M31" i="41"/>
  <c r="L31" i="41"/>
  <c r="K31" i="41"/>
  <c r="J31" i="41"/>
  <c r="D31" i="41"/>
  <c r="I31" i="41"/>
  <c r="N31" i="41"/>
  <c r="M30" i="41"/>
  <c r="L30" i="41"/>
  <c r="K30" i="41"/>
  <c r="J30" i="41"/>
  <c r="I30" i="41"/>
  <c r="D30" i="41"/>
  <c r="M29" i="41"/>
  <c r="L29" i="41"/>
  <c r="K29" i="41"/>
  <c r="J29" i="41"/>
  <c r="D29" i="41"/>
  <c r="I29" i="41"/>
  <c r="M28" i="41"/>
  <c r="L28" i="41"/>
  <c r="K28" i="41"/>
  <c r="J28" i="41"/>
  <c r="D28" i="41"/>
  <c r="I28" i="41"/>
  <c r="N28" i="41"/>
  <c r="M27" i="41"/>
  <c r="L27" i="41"/>
  <c r="K27" i="41"/>
  <c r="J27" i="41"/>
  <c r="D27" i="41"/>
  <c r="I27" i="41"/>
  <c r="M26" i="41"/>
  <c r="L26" i="41"/>
  <c r="K26" i="41"/>
  <c r="J26" i="41"/>
  <c r="I26" i="41"/>
  <c r="D26" i="41"/>
  <c r="M25" i="41"/>
  <c r="L25" i="41"/>
  <c r="K25" i="41"/>
  <c r="J25" i="41"/>
  <c r="D25" i="41"/>
  <c r="I25" i="41"/>
  <c r="N25" i="41"/>
  <c r="M24" i="41"/>
  <c r="L24" i="41"/>
  <c r="K24" i="41"/>
  <c r="J24" i="41"/>
  <c r="D24" i="41"/>
  <c r="I24" i="41"/>
  <c r="M23" i="41"/>
  <c r="L23" i="41"/>
  <c r="K23" i="41"/>
  <c r="J23" i="41"/>
  <c r="D23" i="41"/>
  <c r="I23" i="41"/>
  <c r="N23" i="41"/>
  <c r="M22" i="41"/>
  <c r="L22" i="41"/>
  <c r="K22" i="41"/>
  <c r="J22" i="41"/>
  <c r="D22" i="41"/>
  <c r="I22" i="41"/>
  <c r="N22" i="41"/>
  <c r="M21" i="41"/>
  <c r="L21" i="41"/>
  <c r="K21" i="41"/>
  <c r="J21" i="41"/>
  <c r="D21" i="41"/>
  <c r="I21" i="41"/>
  <c r="M20" i="41"/>
  <c r="L20" i="41"/>
  <c r="K20" i="41"/>
  <c r="J20" i="41"/>
  <c r="D20" i="41"/>
  <c r="I20" i="41"/>
  <c r="N20" i="41"/>
  <c r="M19" i="41"/>
  <c r="L19" i="41"/>
  <c r="K19" i="41"/>
  <c r="J19" i="41"/>
  <c r="D19" i="41"/>
  <c r="I19" i="41"/>
  <c r="N19" i="41"/>
  <c r="M18" i="41"/>
  <c r="L18" i="41"/>
  <c r="K18" i="41"/>
  <c r="J18" i="41"/>
  <c r="D18" i="41"/>
  <c r="I18" i="41"/>
  <c r="M17" i="41"/>
  <c r="L17" i="41"/>
  <c r="K17" i="41"/>
  <c r="J17" i="41"/>
  <c r="D17" i="41"/>
  <c r="I17" i="41"/>
  <c r="N17" i="41"/>
  <c r="M16" i="41"/>
  <c r="L16" i="41"/>
  <c r="K16" i="41"/>
  <c r="J16" i="41"/>
  <c r="D16" i="41"/>
  <c r="I16" i="41"/>
  <c r="N16" i="41"/>
  <c r="M15" i="41"/>
  <c r="L15" i="41"/>
  <c r="K15" i="41"/>
  <c r="J15" i="41"/>
  <c r="D15" i="41"/>
  <c r="I15" i="41"/>
  <c r="M14" i="41"/>
  <c r="L14" i="41"/>
  <c r="K14" i="41"/>
  <c r="J14" i="41"/>
  <c r="D14" i="41"/>
  <c r="I14" i="41"/>
  <c r="N14" i="41"/>
  <c r="M13" i="41"/>
  <c r="L13" i="41"/>
  <c r="K13" i="41"/>
  <c r="J13" i="41"/>
  <c r="D13" i="41"/>
  <c r="I13" i="41"/>
  <c r="N13" i="41"/>
  <c r="M12" i="41"/>
  <c r="L12" i="41"/>
  <c r="K12" i="41"/>
  <c r="J12" i="41"/>
  <c r="D12" i="41"/>
  <c r="I12" i="41"/>
  <c r="M11" i="41"/>
  <c r="L11" i="41"/>
  <c r="K11" i="41"/>
  <c r="J11" i="41"/>
  <c r="D11" i="41"/>
  <c r="I11" i="41"/>
  <c r="N11" i="41"/>
  <c r="M10" i="41"/>
  <c r="L10" i="41"/>
  <c r="K10" i="41"/>
  <c r="J10" i="41"/>
  <c r="D10" i="41"/>
  <c r="I10" i="41"/>
  <c r="M9" i="41"/>
  <c r="L9" i="41"/>
  <c r="K9" i="41"/>
  <c r="J9" i="41"/>
  <c r="D9" i="41"/>
  <c r="I9" i="41"/>
  <c r="M8" i="41"/>
  <c r="L8" i="41"/>
  <c r="K8" i="41"/>
  <c r="J8" i="41"/>
  <c r="D8" i="41"/>
  <c r="I8" i="41"/>
  <c r="N8" i="41"/>
  <c r="M7" i="41"/>
  <c r="L7" i="41"/>
  <c r="K7" i="41"/>
  <c r="J7" i="41"/>
  <c r="D7" i="41"/>
  <c r="I7" i="41"/>
  <c r="M6" i="41"/>
  <c r="L6" i="41"/>
  <c r="K6" i="41"/>
  <c r="J6" i="41"/>
  <c r="I6" i="41"/>
  <c r="D6" i="41"/>
  <c r="M5" i="41"/>
  <c r="L5" i="41"/>
  <c r="K5" i="41"/>
  <c r="J5" i="41"/>
  <c r="D5" i="41"/>
  <c r="I5" i="41"/>
  <c r="N5" i="41"/>
  <c r="M4" i="41"/>
  <c r="L4" i="41"/>
  <c r="K4" i="41"/>
  <c r="J4" i="41"/>
  <c r="D4" i="41"/>
  <c r="I4" i="41"/>
  <c r="M3" i="41"/>
  <c r="L3" i="41"/>
  <c r="K3" i="41"/>
  <c r="J3" i="41"/>
  <c r="D3" i="41"/>
  <c r="I3" i="41"/>
  <c r="M2" i="41"/>
  <c r="L2" i="41"/>
  <c r="K2" i="41"/>
  <c r="J2" i="41"/>
  <c r="D2" i="41"/>
  <c r="I2" i="41"/>
  <c r="AK54" i="40"/>
  <c r="AK53" i="40"/>
  <c r="AK52" i="40"/>
  <c r="AK51" i="40"/>
  <c r="AK50" i="40"/>
  <c r="AK49" i="40"/>
  <c r="AK47" i="40"/>
  <c r="AK46" i="40"/>
  <c r="AK45" i="40"/>
  <c r="AK44" i="40"/>
  <c r="AK43" i="40"/>
  <c r="AK42" i="40"/>
  <c r="AK40" i="40"/>
  <c r="AK39" i="40"/>
  <c r="AK38" i="40"/>
  <c r="AK37" i="40"/>
  <c r="AK36" i="40"/>
  <c r="AK35" i="40"/>
  <c r="AK33" i="40"/>
  <c r="AK32" i="40"/>
  <c r="AK31" i="40"/>
  <c r="AK30" i="40"/>
  <c r="AK29" i="40"/>
  <c r="AK28" i="40"/>
  <c r="Q28" i="40"/>
  <c r="Q27" i="40"/>
  <c r="Q26" i="40"/>
  <c r="Q25" i="40"/>
  <c r="Q24" i="40"/>
  <c r="Q23" i="40"/>
  <c r="AZ22" i="40"/>
  <c r="AY22" i="40"/>
  <c r="AY25" i="40"/>
  <c r="AX22" i="40"/>
  <c r="AW22" i="40"/>
  <c r="AS22" i="40"/>
  <c r="AO22" i="40"/>
  <c r="AN22" i="40"/>
  <c r="AJ22" i="40"/>
  <c r="AK21" i="40"/>
  <c r="AK20" i="40"/>
  <c r="D20" i="40"/>
  <c r="AK19" i="40"/>
  <c r="D19" i="40"/>
  <c r="AK18" i="40"/>
  <c r="AK17" i="40"/>
  <c r="AZ15" i="40"/>
  <c r="AY15" i="40"/>
  <c r="AY24" i="40"/>
  <c r="AX15" i="40"/>
  <c r="AX24" i="40"/>
  <c r="AW15" i="40"/>
  <c r="AS15" i="40"/>
  <c r="AO15" i="40"/>
  <c r="AN15" i="40"/>
  <c r="AJ15" i="40"/>
  <c r="T15" i="40"/>
  <c r="AK14" i="40"/>
  <c r="T14" i="40"/>
  <c r="AK13" i="40"/>
  <c r="W13" i="40"/>
  <c r="T13" i="40"/>
  <c r="AK12" i="40"/>
  <c r="T12" i="40"/>
  <c r="AK11" i="40"/>
  <c r="T11" i="40"/>
  <c r="AK10" i="40"/>
  <c r="AZ8" i="40"/>
  <c r="AY8" i="40"/>
  <c r="AX8" i="40"/>
  <c r="AX25" i="40"/>
  <c r="AW8" i="40"/>
  <c r="AW25" i="40"/>
  <c r="AS8" i="40"/>
  <c r="AS23" i="40"/>
  <c r="AS24" i="40"/>
  <c r="AO8" i="40"/>
  <c r="AN8" i="40"/>
  <c r="AJ8" i="40"/>
  <c r="AJ23" i="40"/>
  <c r="Y8" i="40"/>
  <c r="AK7" i="40"/>
  <c r="W7" i="40"/>
  <c r="X7" i="40"/>
  <c r="T7" i="40"/>
  <c r="AK6" i="40"/>
  <c r="W6" i="40"/>
  <c r="X6" i="40"/>
  <c r="T6" i="40"/>
  <c r="AK5" i="40"/>
  <c r="W5" i="40"/>
  <c r="X5" i="40"/>
  <c r="T5" i="40"/>
  <c r="AK4" i="40"/>
  <c r="W4" i="40"/>
  <c r="X4" i="40"/>
  <c r="T4" i="40"/>
  <c r="AK3" i="40"/>
  <c r="X3" i="40"/>
  <c r="L51" i="26"/>
  <c r="M51" i="26"/>
  <c r="AJ87" i="26"/>
  <c r="AK87" i="26"/>
  <c r="AL87" i="26"/>
  <c r="AM87" i="26"/>
  <c r="AN87" i="26"/>
  <c r="AD88" i="26"/>
  <c r="AL68" i="26"/>
  <c r="AM68" i="26"/>
  <c r="AN68" i="26"/>
  <c r="AD69" i="26"/>
  <c r="AJ68" i="26"/>
  <c r="AK68" i="26"/>
  <c r="AG49" i="26"/>
  <c r="AH49" i="26"/>
  <c r="L88" i="26"/>
  <c r="M88" i="26"/>
  <c r="Q88" i="26"/>
  <c r="R88" i="26"/>
  <c r="S88" i="26"/>
  <c r="O69" i="26"/>
  <c r="P69" i="26"/>
  <c r="I70" i="26"/>
  <c r="N10" i="41"/>
  <c r="N235" i="41"/>
  <c r="N247" i="41"/>
  <c r="N310" i="41"/>
  <c r="N338" i="41"/>
  <c r="N42" i="41"/>
  <c r="N50" i="41"/>
  <c r="N74" i="41"/>
  <c r="N209" i="41"/>
  <c r="N237" i="41"/>
  <c r="N264" i="41"/>
  <c r="N267" i="41"/>
  <c r="N289" i="41"/>
  <c r="N303" i="41"/>
  <c r="N311" i="41"/>
  <c r="N325" i="41"/>
  <c r="N339" i="41"/>
  <c r="N353" i="41"/>
  <c r="N364" i="41"/>
  <c r="N367" i="41"/>
  <c r="N381" i="41"/>
  <c r="N49" i="41"/>
  <c r="N121" i="41"/>
  <c r="N137" i="41"/>
  <c r="N153" i="41"/>
  <c r="N169" i="41"/>
  <c r="N326" i="41"/>
  <c r="N354" i="41"/>
  <c r="N4" i="41"/>
  <c r="N7" i="41"/>
  <c r="N26" i="41"/>
  <c r="N33" i="41"/>
  <c r="N36" i="41"/>
  <c r="N39" i="41"/>
  <c r="N58" i="41"/>
  <c r="N99" i="41"/>
  <c r="N106" i="41"/>
  <c r="N108" i="41"/>
  <c r="N117" i="41"/>
  <c r="N133" i="41"/>
  <c r="N149" i="41"/>
  <c r="N165" i="41"/>
  <c r="N181" i="41"/>
  <c r="N221" i="41"/>
  <c r="N243" i="41"/>
  <c r="N255" i="41"/>
  <c r="N305" i="41"/>
  <c r="N316" i="41"/>
  <c r="N319" i="41"/>
  <c r="N327" i="41"/>
  <c r="N341" i="41"/>
  <c r="N355" i="41"/>
  <c r="N369" i="41"/>
  <c r="N375" i="41"/>
  <c r="N383" i="41"/>
  <c r="N391" i="41"/>
  <c r="N394" i="41"/>
  <c r="N399" i="41"/>
  <c r="N402" i="41"/>
  <c r="N407" i="41"/>
  <c r="N410" i="41"/>
  <c r="N415" i="41"/>
  <c r="N21" i="41"/>
  <c r="N24" i="41"/>
  <c r="N27" i="41"/>
  <c r="N30" i="41"/>
  <c r="N53" i="41"/>
  <c r="N56" i="41"/>
  <c r="N59" i="41"/>
  <c r="N62" i="41"/>
  <c r="N68" i="41"/>
  <c r="N71" i="41"/>
  <c r="N77" i="41"/>
  <c r="N80" i="41"/>
  <c r="N91" i="41"/>
  <c r="N95" i="41"/>
  <c r="N105" i="41"/>
  <c r="N114" i="41"/>
  <c r="N120" i="41"/>
  <c r="N130" i="41"/>
  <c r="N136" i="41"/>
  <c r="N146" i="41"/>
  <c r="N152" i="41"/>
  <c r="N162" i="41"/>
  <c r="N168" i="41"/>
  <c r="N178" i="41"/>
  <c r="N184" i="41"/>
  <c r="N194" i="41"/>
  <c r="N204" i="41"/>
  <c r="N230" i="41"/>
  <c r="N245" i="41"/>
  <c r="N274" i="41"/>
  <c r="N296" i="41"/>
  <c r="N299" i="41"/>
  <c r="N306" i="41"/>
  <c r="N342" i="41"/>
  <c r="N360" i="41"/>
  <c r="N363" i="41"/>
  <c r="N380" i="41"/>
  <c r="N388" i="41"/>
  <c r="N396" i="41"/>
  <c r="N404" i="41"/>
  <c r="N412" i="41"/>
  <c r="N18" i="41"/>
  <c r="N2" i="41"/>
  <c r="N9" i="41"/>
  <c r="N12" i="41"/>
  <c r="N15" i="41"/>
  <c r="N34" i="41"/>
  <c r="N41" i="41"/>
  <c r="N44" i="41"/>
  <c r="N47" i="41"/>
  <c r="N83" i="41"/>
  <c r="N90" i="41"/>
  <c r="N92" i="41"/>
  <c r="N101" i="41"/>
  <c r="N110" i="41"/>
  <c r="N126" i="41"/>
  <c r="N142" i="41"/>
  <c r="N158" i="41"/>
  <c r="N174" i="41"/>
  <c r="N190" i="41"/>
  <c r="N200" i="41"/>
  <c r="N201" i="41"/>
  <c r="N217" i="41"/>
  <c r="N227" i="41"/>
  <c r="N239" i="41"/>
  <c r="N242" i="41"/>
  <c r="N254" i="41"/>
  <c r="N279" i="41"/>
  <c r="N293" i="41"/>
  <c r="N307" i="41"/>
  <c r="N321" i="41"/>
  <c r="N332" i="41"/>
  <c r="N335" i="41"/>
  <c r="N343" i="41"/>
  <c r="N357" i="41"/>
  <c r="N377" i="41"/>
  <c r="N385" i="41"/>
  <c r="N393" i="41"/>
  <c r="N401" i="41"/>
  <c r="N409" i="41"/>
  <c r="N417" i="41"/>
  <c r="N122" i="41"/>
  <c r="N73" i="41"/>
  <c r="N107" i="41"/>
  <c r="N185" i="41"/>
  <c r="N382" i="41"/>
  <c r="AZ24" i="40"/>
  <c r="AW24" i="40"/>
  <c r="N3" i="41"/>
  <c r="N6" i="41"/>
  <c r="N29" i="41"/>
  <c r="N32" i="41"/>
  <c r="N35" i="41"/>
  <c r="N38" i="41"/>
  <c r="N61" i="41"/>
  <c r="N64" i="41"/>
  <c r="N66" i="41"/>
  <c r="N89" i="41"/>
  <c r="N116" i="41"/>
  <c r="N119" i="41"/>
  <c r="N132" i="41"/>
  <c r="N135" i="41"/>
  <c r="N148" i="41"/>
  <c r="N151" i="41"/>
  <c r="N164" i="41"/>
  <c r="N167" i="41"/>
  <c r="N180" i="41"/>
  <c r="N183" i="41"/>
  <c r="N196" i="41"/>
  <c r="N203" i="41"/>
  <c r="N229" i="41"/>
  <c r="N251" i="41"/>
  <c r="N290" i="41"/>
  <c r="N312" i="41"/>
  <c r="N315" i="41"/>
  <c r="N322" i="41"/>
  <c r="N358" i="41"/>
  <c r="N371" i="41"/>
  <c r="N378" i="41"/>
  <c r="N386" i="41"/>
  <c r="N198" i="41"/>
  <c r="N216" i="41"/>
  <c r="N260" i="41"/>
  <c r="N263" i="41"/>
  <c r="N292" i="41"/>
  <c r="N324" i="41"/>
  <c r="N356" i="41"/>
  <c r="N86" i="41"/>
  <c r="N102" i="41"/>
  <c r="N118" i="41"/>
  <c r="N134" i="41"/>
  <c r="N150" i="41"/>
  <c r="N166" i="41"/>
  <c r="N182" i="41"/>
  <c r="N220" i="41"/>
  <c r="N228" i="41"/>
  <c r="N236" i="41"/>
  <c r="N244" i="41"/>
  <c r="N252" i="41"/>
  <c r="N277" i="41"/>
  <c r="N280" i="41"/>
  <c r="N309" i="41"/>
  <c r="N96" i="41"/>
  <c r="N112" i="41"/>
  <c r="N128" i="41"/>
  <c r="N144" i="41"/>
  <c r="N160" i="41"/>
  <c r="N176" i="41"/>
  <c r="N192" i="41"/>
  <c r="N206" i="41"/>
  <c r="N224" i="41"/>
  <c r="N232" i="41"/>
  <c r="N240" i="41"/>
  <c r="N248" i="41"/>
  <c r="N256" i="41"/>
  <c r="N265" i="41"/>
  <c r="N268" i="41"/>
  <c r="N271" i="41"/>
  <c r="N297" i="41"/>
  <c r="N300" i="41"/>
  <c r="N329" i="41"/>
  <c r="N361" i="41"/>
  <c r="N259" i="41"/>
  <c r="N285" i="41"/>
  <c r="N288" i="41"/>
  <c r="N291" i="41"/>
  <c r="N317" i="41"/>
  <c r="N320" i="41"/>
  <c r="N349" i="41"/>
  <c r="N352" i="41"/>
  <c r="N214" i="41"/>
  <c r="N276" i="41"/>
  <c r="N308" i="41"/>
  <c r="N340" i="41"/>
  <c r="N372" i="41"/>
  <c r="N281" i="41"/>
  <c r="N287" i="41"/>
  <c r="N313" i="41"/>
  <c r="N345" i="41"/>
  <c r="N225" i="41"/>
  <c r="N233" i="41"/>
  <c r="N241" i="41"/>
  <c r="N249" i="41"/>
  <c r="N257" i="41"/>
  <c r="N269" i="41"/>
  <c r="N272" i="41"/>
  <c r="N275" i="41"/>
  <c r="N301" i="41"/>
  <c r="N304" i="41"/>
  <c r="N333" i="41"/>
  <c r="N336" i="41"/>
  <c r="N365" i="41"/>
  <c r="N368" i="41"/>
  <c r="BA24" i="40"/>
  <c r="AZ25" i="40"/>
  <c r="BA25" i="40"/>
  <c r="BA26" i="40"/>
  <c r="F39" i="38"/>
  <c r="F40" i="38"/>
  <c r="F41" i="38"/>
  <c r="Q51" i="26"/>
  <c r="R51" i="26"/>
  <c r="S51" i="26"/>
  <c r="O51" i="26"/>
  <c r="P51" i="26"/>
  <c r="I52" i="26"/>
  <c r="G39" i="38"/>
  <c r="G41" i="38"/>
  <c r="AL49" i="26"/>
  <c r="AM49" i="26"/>
  <c r="AN49" i="26"/>
  <c r="AD50" i="26"/>
  <c r="AJ49" i="26"/>
  <c r="AK49" i="26"/>
  <c r="AG69" i="26"/>
  <c r="AH69" i="26"/>
  <c r="AG88" i="26"/>
  <c r="AH88" i="26"/>
  <c r="I89" i="26"/>
  <c r="O88" i="26"/>
  <c r="P88" i="26"/>
  <c r="L70" i="26"/>
  <c r="M70" i="26"/>
  <c r="F42" i="38"/>
  <c r="F43" i="38"/>
  <c r="L52" i="26"/>
  <c r="M52" i="26"/>
  <c r="H43" i="38"/>
  <c r="AJ88" i="26"/>
  <c r="AK88" i="26"/>
  <c r="AL88" i="26"/>
  <c r="AM88" i="26"/>
  <c r="AN88" i="26"/>
  <c r="AD89" i="26"/>
  <c r="AL69" i="26"/>
  <c r="AM69" i="26"/>
  <c r="AN69" i="26"/>
  <c r="AD70" i="26"/>
  <c r="AJ69" i="26"/>
  <c r="AK69" i="26"/>
  <c r="AG50" i="26"/>
  <c r="AH50" i="26"/>
  <c r="AD51" i="26"/>
  <c r="O70" i="26"/>
  <c r="P70" i="26"/>
  <c r="Q70" i="26"/>
  <c r="L89" i="26"/>
  <c r="M89" i="26"/>
  <c r="AB5" i="35"/>
  <c r="AK12" i="35"/>
  <c r="AG51" i="26"/>
  <c r="AH51" i="26"/>
  <c r="Q52" i="26"/>
  <c r="O52" i="26"/>
  <c r="P52" i="26"/>
  <c r="R70" i="26"/>
  <c r="S70" i="26"/>
  <c r="AJ50" i="26"/>
  <c r="AK50" i="26"/>
  <c r="AL50" i="26"/>
  <c r="AG70" i="26"/>
  <c r="AH70" i="26"/>
  <c r="AG89" i="26"/>
  <c r="AH89" i="26"/>
  <c r="O89" i="26"/>
  <c r="P89" i="26"/>
  <c r="Q89" i="26"/>
  <c r="N2" i="37"/>
  <c r="R52" i="26"/>
  <c r="S52" i="26"/>
  <c r="Q91" i="26"/>
  <c r="AD52" i="26"/>
  <c r="AL51" i="26"/>
  <c r="AM51" i="26"/>
  <c r="AN51" i="26"/>
  <c r="AJ51" i="26"/>
  <c r="AK51" i="26"/>
  <c r="R89" i="26"/>
  <c r="S89" i="26"/>
  <c r="R91" i="26"/>
  <c r="S91" i="26"/>
  <c r="T91" i="26"/>
  <c r="AM50" i="26"/>
  <c r="AN50" i="26"/>
  <c r="AL89" i="26"/>
  <c r="AM89" i="26"/>
  <c r="AN89" i="26"/>
  <c r="AJ89" i="26"/>
  <c r="AK89" i="26"/>
  <c r="AL70" i="26"/>
  <c r="AJ70" i="26"/>
  <c r="AK70" i="26"/>
  <c r="H3" i="37"/>
  <c r="H4" i="37"/>
  <c r="H5" i="37"/>
  <c r="H6" i="37"/>
  <c r="H7" i="37"/>
  <c r="H8" i="37"/>
  <c r="H9" i="37"/>
  <c r="H10" i="37"/>
  <c r="H11" i="37"/>
  <c r="H12" i="37"/>
  <c r="H13" i="37"/>
  <c r="H14" i="37"/>
  <c r="H15" i="37"/>
  <c r="H16" i="37"/>
  <c r="H17" i="37"/>
  <c r="H18" i="37"/>
  <c r="AG52" i="26"/>
  <c r="AH52" i="26"/>
  <c r="AM70" i="26"/>
  <c r="AN70" i="26"/>
  <c r="J14" i="38"/>
  <c r="Q14" i="38"/>
  <c r="J17" i="38"/>
  <c r="R17" i="38"/>
  <c r="B18" i="38"/>
  <c r="J18" i="38"/>
  <c r="R18" i="38"/>
  <c r="B19" i="38"/>
  <c r="J19" i="38"/>
  <c r="R19" i="38"/>
  <c r="B20" i="38"/>
  <c r="J20" i="38"/>
  <c r="R20" i="38"/>
  <c r="B21" i="38"/>
  <c r="J21" i="38"/>
  <c r="R21" i="38"/>
  <c r="B22" i="38"/>
  <c r="J22" i="38"/>
  <c r="R22" i="38"/>
  <c r="B23" i="38"/>
  <c r="J23" i="38"/>
  <c r="R23" i="38"/>
  <c r="R14" i="38"/>
  <c r="R2" i="38"/>
  <c r="J2" i="38"/>
  <c r="O2" i="38"/>
  <c r="AL52" i="26"/>
  <c r="AJ52" i="26"/>
  <c r="AK52" i="26"/>
  <c r="M19" i="38"/>
  <c r="N19" i="38"/>
  <c r="M22" i="38"/>
  <c r="N22" i="38"/>
  <c r="N17" i="38"/>
  <c r="M17" i="38"/>
  <c r="M23" i="38"/>
  <c r="N23" i="38"/>
  <c r="M18" i="38"/>
  <c r="N18" i="38"/>
  <c r="M21" i="38"/>
  <c r="N21" i="38"/>
  <c r="M20" i="38"/>
  <c r="N20" i="38"/>
  <c r="N14" i="38"/>
  <c r="M14" i="38"/>
  <c r="R8" i="37"/>
  <c r="S2" i="38"/>
  <c r="AM52" i="26"/>
  <c r="AN52" i="26"/>
  <c r="AL91" i="26"/>
  <c r="AM91" i="26"/>
  <c r="AN91" i="26"/>
  <c r="AO91" i="26"/>
  <c r="F2" i="37"/>
  <c r="D3" i="37"/>
  <c r="D4" i="37"/>
  <c r="AX44" i="31"/>
  <c r="AW44" i="31"/>
  <c r="AP44" i="31"/>
  <c r="AO44" i="31"/>
  <c r="AI44" i="31"/>
  <c r="AH44" i="31"/>
  <c r="AG44" i="31"/>
  <c r="BC46" i="31"/>
  <c r="BC47" i="31"/>
  <c r="BG40" i="31"/>
  <c r="BH40" i="31"/>
  <c r="BG39" i="31"/>
  <c r="BH39" i="31"/>
  <c r="BG38" i="31"/>
  <c r="BH38" i="31"/>
  <c r="W46" i="31"/>
  <c r="W47" i="31"/>
  <c r="G2" i="37"/>
  <c r="I2" i="37"/>
  <c r="J2" i="37"/>
  <c r="O2" i="37"/>
  <c r="AM46" i="31"/>
  <c r="AM47" i="31"/>
  <c r="G9" i="37"/>
  <c r="I9" i="37"/>
  <c r="AL46" i="31"/>
  <c r="AL47" i="31"/>
  <c r="BB46" i="31"/>
  <c r="BB47" i="31"/>
  <c r="AE46" i="31"/>
  <c r="AE47" i="31"/>
  <c r="AY46" i="31"/>
  <c r="AY47" i="31"/>
  <c r="AE44" i="31"/>
  <c r="AQ44" i="31"/>
  <c r="AY44" i="31"/>
  <c r="AW46" i="31"/>
  <c r="AW47" i="31"/>
  <c r="AJ44" i="31"/>
  <c r="AR44" i="31"/>
  <c r="AZ44" i="31"/>
  <c r="AK44" i="31"/>
  <c r="AS44" i="31"/>
  <c r="BA44" i="31"/>
  <c r="AI46" i="31"/>
  <c r="AI47" i="31"/>
  <c r="AL44" i="31"/>
  <c r="AT44" i="31"/>
  <c r="BB44" i="31"/>
  <c r="AM44" i="31"/>
  <c r="AU44" i="31"/>
  <c r="BC44" i="31"/>
  <c r="AN44" i="31"/>
  <c r="AV44" i="31"/>
  <c r="AF44" i="31"/>
  <c r="F3" i="37"/>
  <c r="D5" i="37"/>
  <c r="F5" i="37"/>
  <c r="F4" i="37"/>
  <c r="AX2" i="36"/>
  <c r="AZ2" i="36"/>
  <c r="AX3" i="36"/>
  <c r="AZ3" i="36"/>
  <c r="BD3" i="36"/>
  <c r="BE3" i="36"/>
  <c r="BF3" i="36"/>
  <c r="AX4" i="36"/>
  <c r="AZ4" i="36"/>
  <c r="BD4" i="36"/>
  <c r="BE4" i="36"/>
  <c r="BF4" i="36"/>
  <c r="AX5" i="36"/>
  <c r="AZ5" i="36"/>
  <c r="BD5" i="36"/>
  <c r="BE5" i="36"/>
  <c r="BF5" i="36"/>
  <c r="AX6" i="36"/>
  <c r="AZ6" i="36"/>
  <c r="BD6" i="36"/>
  <c r="BE6" i="36"/>
  <c r="BF6" i="36"/>
  <c r="AX7" i="36"/>
  <c r="AZ7" i="36"/>
  <c r="BD7" i="36"/>
  <c r="BE7" i="36"/>
  <c r="BF7" i="36"/>
  <c r="AX8" i="36"/>
  <c r="AZ8" i="36"/>
  <c r="BD8" i="36"/>
  <c r="BE8" i="36"/>
  <c r="BF8" i="36"/>
  <c r="AX9" i="36"/>
  <c r="AZ9" i="36"/>
  <c r="BD9" i="36"/>
  <c r="BE9" i="36"/>
  <c r="BF9" i="36"/>
  <c r="AX10" i="36"/>
  <c r="AZ10" i="36"/>
  <c r="BD10" i="36"/>
  <c r="BE10" i="36"/>
  <c r="BF10" i="36"/>
  <c r="AX11" i="36"/>
  <c r="AZ11" i="36"/>
  <c r="BD11" i="36"/>
  <c r="BE11" i="36"/>
  <c r="BF11" i="36"/>
  <c r="AX12" i="36"/>
  <c r="AZ12" i="36"/>
  <c r="BD12" i="36"/>
  <c r="BE12" i="36"/>
  <c r="BF12" i="36"/>
  <c r="AX13" i="36"/>
  <c r="AZ13" i="36"/>
  <c r="BD13" i="36"/>
  <c r="BE13" i="36"/>
  <c r="BF13" i="36"/>
  <c r="AX14" i="36"/>
  <c r="AZ14" i="36"/>
  <c r="BD14" i="36"/>
  <c r="BE14" i="36"/>
  <c r="BF14" i="36"/>
  <c r="AX15" i="36"/>
  <c r="AZ15" i="36"/>
  <c r="BD15" i="36"/>
  <c r="BE15" i="36"/>
  <c r="BF15" i="36"/>
  <c r="AX16" i="36"/>
  <c r="AZ16" i="36"/>
  <c r="BD16" i="36"/>
  <c r="BE16" i="36"/>
  <c r="BF16" i="36"/>
  <c r="AX17" i="36"/>
  <c r="AZ17" i="36"/>
  <c r="BD17" i="36"/>
  <c r="BE17" i="36"/>
  <c r="BF17" i="36"/>
  <c r="AX18" i="36"/>
  <c r="AZ18" i="36"/>
  <c r="BD18" i="36"/>
  <c r="BE18" i="36"/>
  <c r="BF18" i="36"/>
  <c r="AX19" i="36"/>
  <c r="AZ19" i="36"/>
  <c r="BD19" i="36"/>
  <c r="BE19" i="36"/>
  <c r="BF19" i="36"/>
  <c r="AX20" i="36"/>
  <c r="AZ20" i="36"/>
  <c r="BD20" i="36"/>
  <c r="BE20" i="36"/>
  <c r="BF20" i="36"/>
  <c r="AX21" i="36"/>
  <c r="AZ21" i="36"/>
  <c r="BD21" i="36"/>
  <c r="BE21" i="36"/>
  <c r="BF21" i="36"/>
  <c r="AX22" i="36"/>
  <c r="AZ22" i="36"/>
  <c r="BD22" i="36"/>
  <c r="BE22" i="36"/>
  <c r="BF22" i="36"/>
  <c r="AX23" i="36"/>
  <c r="AZ23" i="36"/>
  <c r="BD23" i="36"/>
  <c r="BE23" i="36"/>
  <c r="BF23" i="36"/>
  <c r="AX24" i="36"/>
  <c r="AZ24" i="36"/>
  <c r="BD24" i="36"/>
  <c r="BE24" i="36"/>
  <c r="BF24" i="36"/>
  <c r="AX25" i="36"/>
  <c r="AZ25" i="36"/>
  <c r="BD25" i="36"/>
  <c r="BE25" i="36"/>
  <c r="BF25" i="36"/>
  <c r="AX26" i="36"/>
  <c r="AZ26" i="36"/>
  <c r="BD26" i="36"/>
  <c r="BE26" i="36"/>
  <c r="BF26" i="36"/>
  <c r="BB26" i="36"/>
  <c r="BC26" i="36"/>
  <c r="AX27" i="36"/>
  <c r="AZ27" i="36"/>
  <c r="BD27" i="36"/>
  <c r="BE27" i="36"/>
  <c r="BF27" i="36"/>
  <c r="BB27" i="36"/>
  <c r="BC27" i="36"/>
  <c r="AX28" i="36"/>
  <c r="AZ28" i="36"/>
  <c r="BD28" i="36"/>
  <c r="BE28" i="36"/>
  <c r="BF28" i="36"/>
  <c r="BB28" i="36"/>
  <c r="BC28" i="36"/>
  <c r="AX29" i="36"/>
  <c r="AZ29" i="36"/>
  <c r="BD29" i="36"/>
  <c r="BE29" i="36"/>
  <c r="BF29" i="36"/>
  <c r="BB29" i="36"/>
  <c r="BC29" i="36"/>
  <c r="AX30" i="36"/>
  <c r="AZ30" i="36"/>
  <c r="BD30" i="36"/>
  <c r="BE30" i="36"/>
  <c r="BF30" i="36"/>
  <c r="BB30" i="36"/>
  <c r="BC30" i="36"/>
  <c r="AX31" i="36"/>
  <c r="AZ31" i="36"/>
  <c r="BA31" i="36"/>
  <c r="BB31" i="36"/>
  <c r="BC31" i="36"/>
  <c r="AX32" i="36"/>
  <c r="AZ32" i="36"/>
  <c r="BD32" i="36"/>
  <c r="BE32" i="36"/>
  <c r="BF32" i="36"/>
  <c r="BA32" i="36"/>
  <c r="BB32" i="36"/>
  <c r="BC32" i="36"/>
  <c r="AX33" i="36"/>
  <c r="AZ33" i="36"/>
  <c r="BA33" i="36"/>
  <c r="BB33" i="36"/>
  <c r="BC33" i="36"/>
  <c r="AX34" i="36"/>
  <c r="AZ34" i="36"/>
  <c r="BD34" i="36"/>
  <c r="BE34" i="36"/>
  <c r="BF34" i="36"/>
  <c r="BA34" i="36"/>
  <c r="BB34" i="36"/>
  <c r="BC34" i="36"/>
  <c r="AX35" i="36"/>
  <c r="AZ35" i="36"/>
  <c r="BA35" i="36"/>
  <c r="BB35" i="36"/>
  <c r="BC35" i="36"/>
  <c r="AZ36" i="36"/>
  <c r="AX37" i="36"/>
  <c r="AZ37" i="36"/>
  <c r="AX38" i="36"/>
  <c r="AZ38" i="36"/>
  <c r="BA38" i="36"/>
  <c r="AX39" i="36"/>
  <c r="AZ39" i="36"/>
  <c r="BA39" i="36"/>
  <c r="AX40" i="36"/>
  <c r="AZ40" i="36"/>
  <c r="BA40" i="36"/>
  <c r="X46" i="31"/>
  <c r="X47" i="31"/>
  <c r="G3" i="37"/>
  <c r="I3" i="37"/>
  <c r="Y46" i="31"/>
  <c r="Y47" i="31"/>
  <c r="G4" i="37"/>
  <c r="I4" i="37"/>
  <c r="Z46" i="31"/>
  <c r="Z47" i="31"/>
  <c r="G5" i="37"/>
  <c r="I5" i="37"/>
  <c r="AC46" i="31"/>
  <c r="AC47" i="31"/>
  <c r="G8" i="37"/>
  <c r="I8" i="37"/>
  <c r="W44" i="36"/>
  <c r="AA44" i="36"/>
  <c r="AI48" i="31"/>
  <c r="G14" i="37"/>
  <c r="I14" i="37"/>
  <c r="AK46" i="31"/>
  <c r="AK47" i="31"/>
  <c r="AI44" i="36"/>
  <c r="AS46" i="31"/>
  <c r="AS47" i="31"/>
  <c r="AT46" i="31"/>
  <c r="AT47" i="31"/>
  <c r="AQ44" i="36"/>
  <c r="AZ46" i="31"/>
  <c r="AZ47" i="31"/>
  <c r="BA46" i="31"/>
  <c r="BA47" i="31"/>
  <c r="AU43" i="36"/>
  <c r="J3" i="37"/>
  <c r="O3" i="37"/>
  <c r="X43" i="36"/>
  <c r="AC44" i="36"/>
  <c r="R43" i="36"/>
  <c r="BB20" i="36"/>
  <c r="BC20" i="36"/>
  <c r="AP44" i="36"/>
  <c r="AX48" i="31"/>
  <c r="BB12" i="36"/>
  <c r="BC12" i="36"/>
  <c r="AH44" i="36"/>
  <c r="AP48" i="31"/>
  <c r="BB4" i="36"/>
  <c r="BC4" i="36"/>
  <c r="Z44" i="36"/>
  <c r="AH48" i="31"/>
  <c r="G13" i="37"/>
  <c r="I13" i="37"/>
  <c r="BB13" i="36"/>
  <c r="BC13" i="36"/>
  <c r="AK48" i="31"/>
  <c r="G16" i="37"/>
  <c r="I16" i="37"/>
  <c r="AO46" i="31"/>
  <c r="AO47" i="31"/>
  <c r="G6" i="37"/>
  <c r="I6" i="37"/>
  <c r="AF43" i="36"/>
  <c r="AK44" i="36"/>
  <c r="Z43" i="36"/>
  <c r="AB44" i="36"/>
  <c r="AJ48" i="31"/>
  <c r="G15" i="37"/>
  <c r="I15" i="37"/>
  <c r="BB5" i="36"/>
  <c r="BC5" i="36"/>
  <c r="AO43" i="36"/>
  <c r="AO44" i="36"/>
  <c r="AW48" i="31"/>
  <c r="AG43" i="36"/>
  <c r="AG44" i="36"/>
  <c r="AO48" i="31"/>
  <c r="Y43" i="36"/>
  <c r="Y44" i="36"/>
  <c r="AG48" i="31"/>
  <c r="G12" i="37"/>
  <c r="I12" i="37"/>
  <c r="Q43" i="36"/>
  <c r="F43" i="36"/>
  <c r="BD35" i="36"/>
  <c r="BE35" i="36"/>
  <c r="BF35" i="36"/>
  <c r="BD33" i="36"/>
  <c r="BE33" i="36"/>
  <c r="BF33" i="36"/>
  <c r="BD31" i="36"/>
  <c r="BE31" i="36"/>
  <c r="BF31" i="36"/>
  <c r="BB21" i="36"/>
  <c r="BC21" i="36"/>
  <c r="AX46" i="31"/>
  <c r="AX47" i="31"/>
  <c r="AG46" i="31"/>
  <c r="AG47" i="31"/>
  <c r="AR46" i="31"/>
  <c r="AR47" i="31"/>
  <c r="AJ46" i="31"/>
  <c r="AJ47" i="31"/>
  <c r="H43" i="36"/>
  <c r="AH43" i="36"/>
  <c r="AJ44" i="36"/>
  <c r="AN43" i="36"/>
  <c r="BB2" i="36"/>
  <c r="BC2" i="36"/>
  <c r="X44" i="36"/>
  <c r="AF48" i="31"/>
  <c r="G11" i="37"/>
  <c r="I11" i="37"/>
  <c r="AP46" i="31"/>
  <c r="AP47" i="31"/>
  <c r="AY48" i="31"/>
  <c r="AV46" i="31"/>
  <c r="AV47" i="31"/>
  <c r="P43" i="36"/>
  <c r="I43" i="36"/>
  <c r="AS48" i="31"/>
  <c r="BB10" i="36"/>
  <c r="BC10" i="36"/>
  <c r="AF44" i="36"/>
  <c r="AN48" i="31"/>
  <c r="BB25" i="36"/>
  <c r="BC25" i="36"/>
  <c r="AU44" i="36"/>
  <c r="BC48" i="31"/>
  <c r="BB17" i="36"/>
  <c r="BC17" i="36"/>
  <c r="AM44" i="36"/>
  <c r="AU48" i="31"/>
  <c r="BB9" i="36"/>
  <c r="BC9" i="36"/>
  <c r="AE44" i="36"/>
  <c r="AM48" i="31"/>
  <c r="G18" i="37"/>
  <c r="I18" i="37"/>
  <c r="AH46" i="31"/>
  <c r="AH47" i="31"/>
  <c r="AQ48" i="31"/>
  <c r="AN46" i="31"/>
  <c r="AN47" i="31"/>
  <c r="AS43" i="36"/>
  <c r="AS44" i="36"/>
  <c r="BA48" i="31"/>
  <c r="E43" i="36"/>
  <c r="AR48" i="31"/>
  <c r="AP43" i="36"/>
  <c r="AR44" i="36"/>
  <c r="AZ48" i="31"/>
  <c r="AQ46" i="31"/>
  <c r="AQ47" i="31"/>
  <c r="BB18" i="36"/>
  <c r="BC18" i="36"/>
  <c r="AN44" i="36"/>
  <c r="AV48" i="31"/>
  <c r="BB24" i="36"/>
  <c r="BC24" i="36"/>
  <c r="AT44" i="36"/>
  <c r="BB48" i="31"/>
  <c r="BB16" i="36"/>
  <c r="BC16" i="36"/>
  <c r="AL44" i="36"/>
  <c r="AT48" i="31"/>
  <c r="BB8" i="36"/>
  <c r="BC8" i="36"/>
  <c r="AD44" i="36"/>
  <c r="AL48" i="31"/>
  <c r="G17" i="37"/>
  <c r="I17" i="37"/>
  <c r="AE48" i="31"/>
  <c r="G10" i="37"/>
  <c r="I10" i="37"/>
  <c r="AU46" i="31"/>
  <c r="AU47" i="31"/>
  <c r="AF46" i="31"/>
  <c r="AF47" i="31"/>
  <c r="AB46" i="31"/>
  <c r="AB47" i="31"/>
  <c r="G7" i="37"/>
  <c r="I7" i="37"/>
  <c r="J5" i="37"/>
  <c r="D6" i="37"/>
  <c r="F6" i="37"/>
  <c r="J4" i="37"/>
  <c r="BA42" i="36"/>
  <c r="AZ42" i="36"/>
  <c r="BD2" i="36"/>
  <c r="BE2" i="36"/>
  <c r="BF2" i="36"/>
  <c r="AT43" i="36"/>
  <c r="AL43" i="36"/>
  <c r="AD43" i="36"/>
  <c r="V43" i="36"/>
  <c r="N43" i="36"/>
  <c r="BB23" i="36"/>
  <c r="BC23" i="36"/>
  <c r="BB15" i="36"/>
  <c r="BC15" i="36"/>
  <c r="BB7" i="36"/>
  <c r="BC7" i="36"/>
  <c r="BB22" i="36"/>
  <c r="BC22" i="36"/>
  <c r="BB14" i="36"/>
  <c r="BC14" i="36"/>
  <c r="BB6" i="36"/>
  <c r="BC6" i="36"/>
  <c r="AK43" i="36"/>
  <c r="AC43" i="36"/>
  <c r="U43" i="36"/>
  <c r="M43" i="36"/>
  <c r="AM43" i="36"/>
  <c r="AE43" i="36"/>
  <c r="W43" i="36"/>
  <c r="O43" i="36"/>
  <c r="G43" i="36"/>
  <c r="AR43" i="36"/>
  <c r="AJ43" i="36"/>
  <c r="AB43" i="36"/>
  <c r="T43" i="36"/>
  <c r="L43" i="36"/>
  <c r="AQ43" i="36"/>
  <c r="AI43" i="36"/>
  <c r="AA43" i="36"/>
  <c r="S43" i="36"/>
  <c r="K43" i="36"/>
  <c r="BB19" i="36"/>
  <c r="BC19" i="36"/>
  <c r="BB11" i="36"/>
  <c r="BC11" i="36"/>
  <c r="BB3" i="36"/>
  <c r="BC3" i="36"/>
  <c r="J43" i="36"/>
  <c r="BB41" i="35"/>
  <c r="AK41" i="35"/>
  <c r="D7" i="37"/>
  <c r="O4" i="37"/>
  <c r="O5" i="37"/>
  <c r="J6" i="37"/>
  <c r="F7" i="37"/>
  <c r="J7" i="37"/>
  <c r="D8" i="37"/>
  <c r="O6" i="37"/>
  <c r="O7" i="37"/>
  <c r="D9" i="37"/>
  <c r="F8" i="37"/>
  <c r="J8" i="37"/>
  <c r="AK10" i="35"/>
  <c r="AK21" i="35"/>
  <c r="BB63" i="35"/>
  <c r="BB62" i="35"/>
  <c r="BB61" i="35"/>
  <c r="BB60" i="35"/>
  <c r="BB59" i="35"/>
  <c r="BB58" i="35"/>
  <c r="BB57" i="35"/>
  <c r="BB56" i="35"/>
  <c r="BB55" i="35"/>
  <c r="BB54" i="35"/>
  <c r="BB53" i="35"/>
  <c r="BB52" i="35"/>
  <c r="BB51" i="35"/>
  <c r="BB50" i="35"/>
  <c r="BB49" i="35"/>
  <c r="BB48" i="35"/>
  <c r="BB47" i="35"/>
  <c r="BB46" i="35"/>
  <c r="BB45" i="35"/>
  <c r="BB44" i="35"/>
  <c r="BB43" i="35"/>
  <c r="BB42" i="35"/>
  <c r="BB40" i="35"/>
  <c r="BB39" i="35"/>
  <c r="BC38" i="35"/>
  <c r="BB38" i="35"/>
  <c r="BC37" i="35"/>
  <c r="BB37" i="35"/>
  <c r="BC36" i="35"/>
  <c r="BB36" i="35"/>
  <c r="BC35" i="35"/>
  <c r="BB35" i="35"/>
  <c r="BC34" i="35"/>
  <c r="BB34" i="35"/>
  <c r="BC33" i="35"/>
  <c r="BB33" i="35"/>
  <c r="BC32" i="35"/>
  <c r="BB32" i="35"/>
  <c r="BC31" i="35"/>
  <c r="BB31" i="35"/>
  <c r="BC30" i="35"/>
  <c r="BB30" i="35"/>
  <c r="BC29" i="35"/>
  <c r="BB29" i="35"/>
  <c r="BC28" i="35"/>
  <c r="BB28" i="35"/>
  <c r="BC27" i="35"/>
  <c r="BB27" i="35"/>
  <c r="BC26" i="35"/>
  <c r="BB26" i="35"/>
  <c r="BC25" i="35"/>
  <c r="BB25" i="35"/>
  <c r="BC24" i="35"/>
  <c r="BB24" i="35"/>
  <c r="BB23" i="35"/>
  <c r="BB22" i="35"/>
  <c r="BB21" i="35"/>
  <c r="BB20" i="35"/>
  <c r="AK20" i="35"/>
  <c r="BC19" i="35"/>
  <c r="BB19" i="35"/>
  <c r="BB18" i="35"/>
  <c r="AK18" i="35"/>
  <c r="BB17" i="35"/>
  <c r="BB16" i="35"/>
  <c r="AK16" i="35"/>
  <c r="BB15" i="35"/>
  <c r="AK15" i="35"/>
  <c r="BB14" i="35"/>
  <c r="AK14" i="35"/>
  <c r="AK13" i="35"/>
  <c r="AK11" i="35"/>
  <c r="AL9" i="35"/>
  <c r="B7" i="35"/>
  <c r="AR7" i="35"/>
  <c r="A7" i="35"/>
  <c r="A8" i="35"/>
  <c r="A9" i="35"/>
  <c r="A10" i="35"/>
  <c r="A11" i="35"/>
  <c r="A12" i="35"/>
  <c r="A13" i="35"/>
  <c r="A14" i="35"/>
  <c r="A15" i="35"/>
  <c r="A16" i="35"/>
  <c r="A17" i="35"/>
  <c r="A18" i="35"/>
  <c r="A19" i="35"/>
  <c r="A20" i="35"/>
  <c r="A21" i="35"/>
  <c r="A22" i="35"/>
  <c r="A23" i="35"/>
  <c r="A24" i="35"/>
  <c r="A25" i="35"/>
  <c r="A26" i="35"/>
  <c r="A27" i="35"/>
  <c r="A28" i="35"/>
  <c r="A29" i="35"/>
  <c r="A30" i="35"/>
  <c r="A31" i="35"/>
  <c r="A32" i="35"/>
  <c r="A33" i="35"/>
  <c r="A34" i="35"/>
  <c r="A35" i="35"/>
  <c r="A36" i="35"/>
  <c r="A37" i="35"/>
  <c r="A38" i="35"/>
  <c r="A39" i="35"/>
  <c r="A40" i="35"/>
  <c r="A41" i="35"/>
  <c r="A42" i="35"/>
  <c r="A43" i="35"/>
  <c r="A44" i="35"/>
  <c r="A45" i="35"/>
  <c r="A46" i="35"/>
  <c r="A47" i="35"/>
  <c r="A48" i="35"/>
  <c r="A49" i="35"/>
  <c r="A50" i="35"/>
  <c r="A51" i="35"/>
  <c r="A52" i="35"/>
  <c r="A53" i="35"/>
  <c r="A54" i="35"/>
  <c r="A55" i="35"/>
  <c r="A56" i="35"/>
  <c r="A57" i="35"/>
  <c r="A58" i="35"/>
  <c r="A59" i="35"/>
  <c r="A60" i="35"/>
  <c r="A61" i="35"/>
  <c r="A62" i="35"/>
  <c r="A63" i="35"/>
  <c r="B6" i="35"/>
  <c r="A6" i="35"/>
  <c r="AR5" i="35"/>
  <c r="AQ5" i="35"/>
  <c r="AP5" i="35"/>
  <c r="AN5" i="35"/>
  <c r="AO5" i="35"/>
  <c r="AX5" i="35"/>
  <c r="AL5" i="35"/>
  <c r="AL6" i="35"/>
  <c r="AL7" i="35"/>
  <c r="AL8" i="35"/>
  <c r="R5" i="35"/>
  <c r="Q5" i="35"/>
  <c r="P5" i="35"/>
  <c r="H5" i="35"/>
  <c r="AG5" i="35"/>
  <c r="AH5" i="35"/>
  <c r="E5" i="35"/>
  <c r="F5" i="35"/>
  <c r="N5" i="35"/>
  <c r="BC2" i="35"/>
  <c r="AW2" i="35"/>
  <c r="AQ6" i="35"/>
  <c r="C6" i="35"/>
  <c r="H6" i="35"/>
  <c r="D6" i="35"/>
  <c r="E6" i="35"/>
  <c r="P6" i="35"/>
  <c r="AN6" i="35"/>
  <c r="AO6" i="35"/>
  <c r="AX6" i="35"/>
  <c r="Y5" i="35"/>
  <c r="Z5" i="35"/>
  <c r="AR6" i="35"/>
  <c r="O8" i="37"/>
  <c r="AA5" i="35"/>
  <c r="AD5" i="35"/>
  <c r="F9" i="37"/>
  <c r="J9" i="37"/>
  <c r="D10" i="37"/>
  <c r="S5" i="35"/>
  <c r="T5" i="35"/>
  <c r="G5" i="35"/>
  <c r="I5" i="35"/>
  <c r="J5" i="35"/>
  <c r="L5" i="35"/>
  <c r="K5" i="35"/>
  <c r="O5" i="35"/>
  <c r="AL10" i="35"/>
  <c r="AL11" i="35"/>
  <c r="AL12" i="35"/>
  <c r="AL13" i="35"/>
  <c r="AL14" i="35"/>
  <c r="AL15" i="35"/>
  <c r="AL16" i="35"/>
  <c r="AL17" i="35"/>
  <c r="AL18" i="35"/>
  <c r="AL19" i="35"/>
  <c r="AL20" i="35"/>
  <c r="AL21" i="35"/>
  <c r="AL22" i="35"/>
  <c r="AL23" i="35"/>
  <c r="AL24" i="35"/>
  <c r="AL25" i="35"/>
  <c r="AL26" i="35"/>
  <c r="AL27" i="35"/>
  <c r="AL28" i="35"/>
  <c r="AL29" i="35"/>
  <c r="AL30" i="35"/>
  <c r="AL31" i="35"/>
  <c r="AL32" i="35"/>
  <c r="AL33" i="35"/>
  <c r="AL34" i="35"/>
  <c r="AL35" i="35"/>
  <c r="AL36" i="35"/>
  <c r="AL37" i="35"/>
  <c r="AL38" i="35"/>
  <c r="AL39" i="35"/>
  <c r="AL40" i="35"/>
  <c r="AL41" i="35"/>
  <c r="AL42" i="35"/>
  <c r="AL43" i="35"/>
  <c r="AL44" i="35"/>
  <c r="AL45" i="35"/>
  <c r="AL46" i="35"/>
  <c r="AL47" i="35"/>
  <c r="AL48" i="35"/>
  <c r="AL49" i="35"/>
  <c r="AL50" i="35"/>
  <c r="AL51" i="35"/>
  <c r="AL52" i="35"/>
  <c r="AL53" i="35"/>
  <c r="AL54" i="35"/>
  <c r="AL55" i="35"/>
  <c r="AL56" i="35"/>
  <c r="AL57" i="35"/>
  <c r="AL58" i="35"/>
  <c r="AL59" i="35"/>
  <c r="AL60" i="35"/>
  <c r="AL61" i="35"/>
  <c r="AL62" i="35"/>
  <c r="AL63" i="35"/>
  <c r="AM5" i="35"/>
  <c r="AY6" i="35"/>
  <c r="AY5" i="35"/>
  <c r="B8" i="35"/>
  <c r="AN8" i="35"/>
  <c r="AO8" i="35"/>
  <c r="AU5" i="35"/>
  <c r="AV5" i="35"/>
  <c r="AW5" i="35"/>
  <c r="AT5" i="35"/>
  <c r="AS5" i="35"/>
  <c r="F6" i="35"/>
  <c r="K6" i="35"/>
  <c r="O6" i="35"/>
  <c r="R6" i="35"/>
  <c r="AS6" i="35"/>
  <c r="B9" i="35"/>
  <c r="AR8" i="35"/>
  <c r="AQ8" i="35"/>
  <c r="AP8" i="35"/>
  <c r="AG6" i="35"/>
  <c r="AH6" i="35"/>
  <c r="Q6" i="35"/>
  <c r="AB6" i="35"/>
  <c r="AB7" i="35"/>
  <c r="AB8" i="35"/>
  <c r="C7" i="35"/>
  <c r="C8" i="35"/>
  <c r="D7" i="35"/>
  <c r="D8" i="35"/>
  <c r="AN7" i="35"/>
  <c r="AO7" i="35"/>
  <c r="AP7" i="35"/>
  <c r="AP6" i="35"/>
  <c r="AQ7" i="35"/>
  <c r="O9" i="37"/>
  <c r="AC5" i="35"/>
  <c r="AT6" i="35"/>
  <c r="AU6" i="35"/>
  <c r="AV6" i="35"/>
  <c r="AM6" i="35"/>
  <c r="G6" i="35"/>
  <c r="I6" i="35"/>
  <c r="J6" i="35"/>
  <c r="L6" i="35"/>
  <c r="M6" i="35"/>
  <c r="S6" i="35"/>
  <c r="T6" i="35"/>
  <c r="V5" i="35"/>
  <c r="W5" i="35"/>
  <c r="D11" i="37"/>
  <c r="F10" i="37"/>
  <c r="J10" i="37"/>
  <c r="N6" i="35"/>
  <c r="M5" i="35"/>
  <c r="AI5" i="35"/>
  <c r="AJ5" i="35"/>
  <c r="AW6" i="35"/>
  <c r="AY7" i="35"/>
  <c r="AM7" i="35"/>
  <c r="AX7" i="35"/>
  <c r="AX8" i="35"/>
  <c r="AM8" i="35"/>
  <c r="AY8" i="35"/>
  <c r="Q8" i="35"/>
  <c r="E8" i="35"/>
  <c r="H8" i="35"/>
  <c r="AG8" i="35"/>
  <c r="AU7" i="35"/>
  <c r="AV7" i="35"/>
  <c r="AT7" i="35"/>
  <c r="AS7" i="35"/>
  <c r="Y6" i="35"/>
  <c r="Z6" i="35"/>
  <c r="AA6" i="35"/>
  <c r="AC6" i="35"/>
  <c r="H7" i="35"/>
  <c r="AG7" i="35"/>
  <c r="AH7" i="35"/>
  <c r="AS8" i="35"/>
  <c r="AU8" i="35"/>
  <c r="AV8" i="35"/>
  <c r="AT8" i="35"/>
  <c r="E7" i="35"/>
  <c r="Q7" i="35"/>
  <c r="AE5" i="35"/>
  <c r="AF5" i="35"/>
  <c r="AB9" i="35"/>
  <c r="B10" i="35"/>
  <c r="AR9" i="35"/>
  <c r="AQ9" i="35"/>
  <c r="AP9" i="35"/>
  <c r="AN9" i="35"/>
  <c r="AO9" i="35"/>
  <c r="D9" i="35"/>
  <c r="C9" i="35"/>
  <c r="O10" i="37"/>
  <c r="AI6" i="35"/>
  <c r="AJ6" i="35"/>
  <c r="V6" i="35"/>
  <c r="W6" i="35"/>
  <c r="F11" i="37"/>
  <c r="J11" i="37"/>
  <c r="D12" i="37"/>
  <c r="AW7" i="35"/>
  <c r="AW8" i="35"/>
  <c r="AD6" i="35"/>
  <c r="AE6" i="35"/>
  <c r="AF6" i="35"/>
  <c r="AX9" i="35"/>
  <c r="AM9" i="35"/>
  <c r="AY9" i="35"/>
  <c r="AH8" i="35"/>
  <c r="H9" i="35"/>
  <c r="AG9" i="35"/>
  <c r="P8" i="35"/>
  <c r="F8" i="35"/>
  <c r="R8" i="35"/>
  <c r="Q9" i="35"/>
  <c r="E9" i="35"/>
  <c r="P7" i="35"/>
  <c r="F7" i="35"/>
  <c r="R7" i="35"/>
  <c r="AT9" i="35"/>
  <c r="AS9" i="35"/>
  <c r="AU9" i="35"/>
  <c r="AV9" i="35"/>
  <c r="C10" i="35"/>
  <c r="B11" i="35"/>
  <c r="AB10" i="35"/>
  <c r="AR10" i="35"/>
  <c r="AQ10" i="35"/>
  <c r="AP10" i="35"/>
  <c r="AN10" i="35"/>
  <c r="AO10" i="35"/>
  <c r="D10" i="35"/>
  <c r="S17" i="19"/>
  <c r="R15" i="19"/>
  <c r="R18" i="19"/>
  <c r="S18" i="19"/>
  <c r="S13" i="19"/>
  <c r="Q3" i="34"/>
  <c r="AA3" i="34"/>
  <c r="Q4" i="34"/>
  <c r="AA4" i="34"/>
  <c r="AB4" i="34"/>
  <c r="Q5" i="34"/>
  <c r="AA5" i="34"/>
  <c r="AB5" i="34"/>
  <c r="Q6" i="34"/>
  <c r="AA6" i="34"/>
  <c r="AB10" i="34"/>
  <c r="AB11" i="34"/>
  <c r="AA13" i="34"/>
  <c r="AA14" i="34"/>
  <c r="AB14" i="34"/>
  <c r="AA15" i="34"/>
  <c r="AB15" i="34"/>
  <c r="AA16" i="34"/>
  <c r="AA18" i="34"/>
  <c r="AB18" i="34"/>
  <c r="AB19" i="34"/>
  <c r="AA19" i="34"/>
  <c r="AA20" i="34"/>
  <c r="L21" i="34"/>
  <c r="W21" i="34"/>
  <c r="AA21" i="34"/>
  <c r="AB21" i="34"/>
  <c r="L22" i="34"/>
  <c r="W22" i="34"/>
  <c r="AA22" i="34"/>
  <c r="L23" i="34"/>
  <c r="W23" i="34"/>
  <c r="AA23" i="34"/>
  <c r="AB23" i="34"/>
  <c r="L24" i="34"/>
  <c r="W24" i="34"/>
  <c r="AA24" i="34"/>
  <c r="L25" i="34"/>
  <c r="AB25" i="34"/>
  <c r="W25" i="34"/>
  <c r="AA25" i="34"/>
  <c r="L26" i="34"/>
  <c r="W26" i="34"/>
  <c r="AA26" i="34"/>
  <c r="L27" i="34"/>
  <c r="W27" i="34"/>
  <c r="AA27" i="34"/>
  <c r="L28" i="34"/>
  <c r="W28" i="34"/>
  <c r="L29" i="34"/>
  <c r="W29" i="34"/>
  <c r="AA29" i="34"/>
  <c r="L30" i="34"/>
  <c r="W30" i="34"/>
  <c r="AA30" i="34"/>
  <c r="L31" i="34"/>
  <c r="W31" i="34"/>
  <c r="L32" i="34"/>
  <c r="W32" i="34"/>
  <c r="L33" i="34"/>
  <c r="W33" i="34"/>
  <c r="AA33" i="34"/>
  <c r="F34" i="34"/>
  <c r="L34" i="34"/>
  <c r="W34" i="34"/>
  <c r="AA34" i="34"/>
  <c r="L35" i="34"/>
  <c r="W35" i="34"/>
  <c r="L36" i="34"/>
  <c r="W36" i="34"/>
  <c r="AA36" i="34"/>
  <c r="L37" i="34"/>
  <c r="W37" i="34"/>
  <c r="AA37" i="34"/>
  <c r="AB37" i="34"/>
  <c r="L38" i="34"/>
  <c r="W38" i="34"/>
  <c r="AA38" i="34"/>
  <c r="AB38" i="34"/>
  <c r="L39" i="34"/>
  <c r="W39" i="34"/>
  <c r="L40" i="34"/>
  <c r="W40" i="34"/>
  <c r="AA40" i="34"/>
  <c r="L41" i="34"/>
  <c r="W41" i="34"/>
  <c r="AA41" i="34"/>
  <c r="L42" i="34"/>
  <c r="W42" i="34"/>
  <c r="L43" i="34"/>
  <c r="W43" i="34"/>
  <c r="L44" i="34"/>
  <c r="W44" i="34"/>
  <c r="AA44" i="34"/>
  <c r="L45" i="34"/>
  <c r="W45" i="34"/>
  <c r="AA45" i="34"/>
  <c r="L46" i="34"/>
  <c r="W46" i="34"/>
  <c r="AA46" i="34"/>
  <c r="AB46" i="34"/>
  <c r="L47" i="34"/>
  <c r="W47" i="34"/>
  <c r="L48" i="34"/>
  <c r="W48" i="34"/>
  <c r="AA48" i="34"/>
  <c r="L49" i="34"/>
  <c r="W49" i="34"/>
  <c r="AA49" i="34"/>
  <c r="L50" i="34"/>
  <c r="W50" i="34"/>
  <c r="L51" i="34"/>
  <c r="W51" i="34"/>
  <c r="L52" i="34"/>
  <c r="W52" i="34"/>
  <c r="AA52" i="34"/>
  <c r="L53" i="34"/>
  <c r="W53" i="34"/>
  <c r="AA53" i="34"/>
  <c r="AB53" i="34"/>
  <c r="L54" i="34"/>
  <c r="W54" i="34"/>
  <c r="AA54" i="34"/>
  <c r="AB54" i="34"/>
  <c r="L55" i="34"/>
  <c r="W55" i="34"/>
  <c r="L56" i="34"/>
  <c r="W56" i="34"/>
  <c r="AA56" i="34"/>
  <c r="AB56" i="34"/>
  <c r="L57" i="34"/>
  <c r="W57" i="34"/>
  <c r="AA57" i="34"/>
  <c r="L58" i="34"/>
  <c r="W58" i="34"/>
  <c r="L59" i="34"/>
  <c r="W59" i="34"/>
  <c r="L60" i="34"/>
  <c r="W60" i="34"/>
  <c r="AA60" i="34"/>
  <c r="G23" i="33"/>
  <c r="G22" i="33"/>
  <c r="G21" i="33"/>
  <c r="C28" i="33"/>
  <c r="J25" i="33"/>
  <c r="G24" i="33"/>
  <c r="J24" i="33"/>
  <c r="J23" i="33"/>
  <c r="J22" i="33"/>
  <c r="J21" i="33"/>
  <c r="G20" i="33"/>
  <c r="J20" i="33"/>
  <c r="J19" i="33"/>
  <c r="J18" i="33"/>
  <c r="J17" i="33"/>
  <c r="J16" i="33"/>
  <c r="J15" i="33"/>
  <c r="J14" i="33"/>
  <c r="J13" i="33"/>
  <c r="J12" i="33"/>
  <c r="J11" i="33"/>
  <c r="J10" i="33"/>
  <c r="J9" i="33"/>
  <c r="J8" i="33"/>
  <c r="J7" i="33"/>
  <c r="J6" i="33"/>
  <c r="J5" i="33"/>
  <c r="J4" i="33"/>
  <c r="J3" i="33"/>
  <c r="M2" i="33"/>
  <c r="M28" i="33"/>
  <c r="J2" i="33"/>
  <c r="G2" i="33"/>
  <c r="O11" i="37"/>
  <c r="AB60" i="34"/>
  <c r="AB49" i="34"/>
  <c r="AB7" i="34"/>
  <c r="AA28" i="34"/>
  <c r="AB28" i="34"/>
  <c r="AA55" i="34"/>
  <c r="AB55" i="34"/>
  <c r="AB57" i="34"/>
  <c r="AA31" i="34"/>
  <c r="AB31" i="34"/>
  <c r="AA58" i="34"/>
  <c r="AB58" i="34"/>
  <c r="AA51" i="34"/>
  <c r="AB51" i="34"/>
  <c r="AA47" i="34"/>
  <c r="AB47" i="34"/>
  <c r="AB44" i="34"/>
  <c r="AA50" i="34"/>
  <c r="AB50" i="34"/>
  <c r="AA32" i="34"/>
  <c r="AB32" i="34"/>
  <c r="AA42" i="34"/>
  <c r="AB42" i="34"/>
  <c r="AA35" i="34"/>
  <c r="AB35" i="34"/>
  <c r="AA59" i="34"/>
  <c r="AB59" i="34"/>
  <c r="AA43" i="34"/>
  <c r="AB43" i="34"/>
  <c r="AA39" i="34"/>
  <c r="AB39" i="34"/>
  <c r="D13" i="37"/>
  <c r="F12" i="37"/>
  <c r="J12" i="37"/>
  <c r="AH9" i="35"/>
  <c r="AW9" i="35"/>
  <c r="S7" i="35"/>
  <c r="T7" i="35"/>
  <c r="AX10" i="35"/>
  <c r="AM10" i="35"/>
  <c r="AY10" i="35"/>
  <c r="S8" i="35"/>
  <c r="T8" i="35"/>
  <c r="AP11" i="35"/>
  <c r="AN11" i="35"/>
  <c r="AO11" i="35"/>
  <c r="B12" i="35"/>
  <c r="C11" i="35"/>
  <c r="AB11" i="35"/>
  <c r="AR11" i="35"/>
  <c r="D11" i="35"/>
  <c r="AQ11" i="35"/>
  <c r="R9" i="35"/>
  <c r="P9" i="35"/>
  <c r="F9" i="35"/>
  <c r="H10" i="35"/>
  <c r="AG10" i="35"/>
  <c r="AT10" i="35"/>
  <c r="AS10" i="35"/>
  <c r="AU10" i="35"/>
  <c r="AV10" i="35"/>
  <c r="G7" i="35"/>
  <c r="I7" i="35"/>
  <c r="K7" i="35"/>
  <c r="N7" i="35"/>
  <c r="N8" i="35"/>
  <c r="K8" i="35"/>
  <c r="G8" i="35"/>
  <c r="I8" i="35"/>
  <c r="Y7" i="35"/>
  <c r="Z7" i="35"/>
  <c r="AA7" i="35"/>
  <c r="AA8" i="35"/>
  <c r="Y8" i="35"/>
  <c r="Q10" i="35"/>
  <c r="E10" i="35"/>
  <c r="AB3" i="34"/>
  <c r="AB20" i="34"/>
  <c r="AB30" i="34"/>
  <c r="AB12" i="34"/>
  <c r="AB8" i="34"/>
  <c r="AB29" i="34"/>
  <c r="AB27" i="34"/>
  <c r="AB16" i="34"/>
  <c r="AB6" i="34"/>
  <c r="AB24" i="34"/>
  <c r="AB9" i="34"/>
  <c r="AB17" i="34"/>
  <c r="AB13" i="34"/>
  <c r="AB36" i="34"/>
  <c r="AB41" i="34"/>
  <c r="AB48" i="34"/>
  <c r="AB33" i="34"/>
  <c r="AB40" i="34"/>
  <c r="AB52" i="34"/>
  <c r="AB22" i="34"/>
  <c r="AB26" i="34"/>
  <c r="AB45" i="34"/>
  <c r="AB34" i="34"/>
  <c r="G28" i="33"/>
  <c r="J28" i="33"/>
  <c r="J20" i="32"/>
  <c r="J21" i="32"/>
  <c r="J22" i="32"/>
  <c r="J23" i="32"/>
  <c r="J24" i="32"/>
  <c r="J25" i="32"/>
  <c r="J26" i="32"/>
  <c r="J27" i="32"/>
  <c r="G2" i="32"/>
  <c r="J2" i="32"/>
  <c r="M2" i="32"/>
  <c r="J3" i="32"/>
  <c r="M3" i="32"/>
  <c r="J4" i="32"/>
  <c r="M4" i="32"/>
  <c r="J5" i="32"/>
  <c r="M5" i="32"/>
  <c r="J6" i="32"/>
  <c r="M6" i="32"/>
  <c r="J7" i="32"/>
  <c r="M7" i="32"/>
  <c r="J8" i="32"/>
  <c r="M8" i="32"/>
  <c r="J9" i="32"/>
  <c r="M9" i="32"/>
  <c r="J10" i="32"/>
  <c r="M10" i="32"/>
  <c r="J11" i="32"/>
  <c r="M11" i="32"/>
  <c r="J12" i="32"/>
  <c r="M12" i="32"/>
  <c r="J13" i="32"/>
  <c r="M13" i="32"/>
  <c r="J14" i="32"/>
  <c r="M14" i="32"/>
  <c r="J15" i="32"/>
  <c r="M15" i="32"/>
  <c r="J16" i="32"/>
  <c r="M16" i="32"/>
  <c r="J17" i="32"/>
  <c r="M17" i="32"/>
  <c r="J18" i="32"/>
  <c r="M18" i="32"/>
  <c r="G19" i="32"/>
  <c r="J19" i="32"/>
  <c r="M19" i="32"/>
  <c r="M20" i="32"/>
  <c r="G21" i="32"/>
  <c r="M21" i="32"/>
  <c r="M22" i="32"/>
  <c r="G23" i="32"/>
  <c r="M23" i="32"/>
  <c r="M24" i="32"/>
  <c r="G25" i="32"/>
  <c r="M25" i="32"/>
  <c r="M26" i="32"/>
  <c r="M27" i="32"/>
  <c r="C28" i="32"/>
  <c r="O12" i="37"/>
  <c r="O28" i="33"/>
  <c r="G28" i="32"/>
  <c r="AH10" i="35"/>
  <c r="AW10" i="35"/>
  <c r="S9" i="35"/>
  <c r="T9" i="35"/>
  <c r="F13" i="37"/>
  <c r="J13" i="37"/>
  <c r="D14" i="37"/>
  <c r="AM11" i="35"/>
  <c r="AY11" i="35"/>
  <c r="AX11" i="35"/>
  <c r="Z8" i="35"/>
  <c r="AC7" i="35"/>
  <c r="AC8" i="35"/>
  <c r="AD7" i="35"/>
  <c r="K9" i="35"/>
  <c r="G9" i="35"/>
  <c r="I9" i="35"/>
  <c r="H11" i="35"/>
  <c r="AG11" i="35"/>
  <c r="AH11" i="35"/>
  <c r="R10" i="35"/>
  <c r="P10" i="35"/>
  <c r="F10" i="35"/>
  <c r="AA9" i="35"/>
  <c r="Y9" i="35"/>
  <c r="O8" i="35"/>
  <c r="AU11" i="35"/>
  <c r="AV11" i="35"/>
  <c r="AW11" i="35"/>
  <c r="AT11" i="35"/>
  <c r="AS11" i="35"/>
  <c r="V7" i="35"/>
  <c r="W7" i="35"/>
  <c r="AI7" i="35"/>
  <c r="AJ7" i="35"/>
  <c r="J7" i="35"/>
  <c r="L7" i="35"/>
  <c r="Q11" i="35"/>
  <c r="E11" i="35"/>
  <c r="N9" i="35"/>
  <c r="V8" i="35"/>
  <c r="W8" i="35"/>
  <c r="AI8" i="35"/>
  <c r="J8" i="35"/>
  <c r="AP12" i="35"/>
  <c r="AN12" i="35"/>
  <c r="AO12" i="35"/>
  <c r="D12" i="35"/>
  <c r="AR12" i="35"/>
  <c r="AQ12" i="35"/>
  <c r="AB12" i="35"/>
  <c r="B13" i="35"/>
  <c r="C12" i="35"/>
  <c r="O7" i="35"/>
  <c r="M28" i="32"/>
  <c r="J28" i="32"/>
  <c r="AP43" i="31"/>
  <c r="AH43" i="31"/>
  <c r="Z43" i="31"/>
  <c r="BI37" i="31"/>
  <c r="BJ37" i="31"/>
  <c r="BG37" i="31"/>
  <c r="BK37" i="31"/>
  <c r="BL37" i="31"/>
  <c r="BM37" i="31"/>
  <c r="BI36" i="31"/>
  <c r="BJ36" i="31"/>
  <c r="BG36" i="31"/>
  <c r="BK36" i="31"/>
  <c r="BL36" i="31"/>
  <c r="BM36" i="31"/>
  <c r="BI35" i="31"/>
  <c r="BJ35" i="31"/>
  <c r="BG35" i="31"/>
  <c r="BK35" i="31"/>
  <c r="BL35" i="31"/>
  <c r="BM35" i="31"/>
  <c r="BI34" i="31"/>
  <c r="BJ34" i="31"/>
  <c r="BG34" i="31"/>
  <c r="BK34" i="31"/>
  <c r="BL34" i="31"/>
  <c r="BM34" i="31"/>
  <c r="BI33" i="31"/>
  <c r="BJ33" i="31"/>
  <c r="BG33" i="31"/>
  <c r="BK33" i="31"/>
  <c r="BL33" i="31"/>
  <c r="BM33" i="31"/>
  <c r="BI32" i="31"/>
  <c r="BJ32" i="31"/>
  <c r="BG32" i="31"/>
  <c r="BK32" i="31"/>
  <c r="BL32" i="31"/>
  <c r="BM32" i="31"/>
  <c r="BH31" i="31"/>
  <c r="BI31" i="31"/>
  <c r="BJ31" i="31"/>
  <c r="BG31" i="31"/>
  <c r="BH30" i="31"/>
  <c r="BG30" i="31"/>
  <c r="BK30" i="31"/>
  <c r="BL30" i="31"/>
  <c r="BM30" i="31"/>
  <c r="BH29" i="31"/>
  <c r="BG29" i="31"/>
  <c r="BK29" i="31"/>
  <c r="BL29" i="31"/>
  <c r="BM29" i="31"/>
  <c r="BH28" i="31"/>
  <c r="BG28" i="31"/>
  <c r="BK28" i="31"/>
  <c r="BL28" i="31"/>
  <c r="BM28" i="31"/>
  <c r="AX43" i="31"/>
  <c r="BC43" i="31"/>
  <c r="BI27" i="31"/>
  <c r="BJ27" i="31"/>
  <c r="BG27" i="31"/>
  <c r="BK27" i="31"/>
  <c r="BL27" i="31"/>
  <c r="BM27" i="31"/>
  <c r="BI26" i="31"/>
  <c r="BJ26" i="31"/>
  <c r="BG26" i="31"/>
  <c r="BK26" i="31"/>
  <c r="BL26" i="31"/>
  <c r="BM26" i="31"/>
  <c r="BG2" i="31"/>
  <c r="BG3" i="31"/>
  <c r="BG4" i="31"/>
  <c r="BG5" i="31"/>
  <c r="BG6" i="31"/>
  <c r="BG7" i="31"/>
  <c r="BG8" i="31"/>
  <c r="BG9" i="31"/>
  <c r="BG10" i="31"/>
  <c r="BG11" i="31"/>
  <c r="BG12" i="31"/>
  <c r="BG13" i="31"/>
  <c r="BG14" i="31"/>
  <c r="BG15" i="31"/>
  <c r="BG16" i="31"/>
  <c r="BG17" i="31"/>
  <c r="BG18" i="31"/>
  <c r="BG19" i="31"/>
  <c r="BG20" i="31"/>
  <c r="BG21" i="31"/>
  <c r="BG22" i="31"/>
  <c r="BG23" i="31"/>
  <c r="BG24" i="31"/>
  <c r="BG25" i="31"/>
  <c r="BG42" i="31"/>
  <c r="BH42" i="31"/>
  <c r="O13" i="37"/>
  <c r="BK31" i="31"/>
  <c r="BL31" i="31"/>
  <c r="BM31" i="31"/>
  <c r="D15" i="37"/>
  <c r="F14" i="37"/>
  <c r="J14" i="37"/>
  <c r="Z9" i="35"/>
  <c r="AY12" i="35"/>
  <c r="AX12" i="35"/>
  <c r="AM12" i="35"/>
  <c r="N10" i="35"/>
  <c r="L8" i="35"/>
  <c r="M8" i="35"/>
  <c r="AJ8" i="35"/>
  <c r="AA10" i="35"/>
  <c r="Y10" i="35"/>
  <c r="O9" i="35"/>
  <c r="R11" i="35"/>
  <c r="P11" i="35"/>
  <c r="F11" i="35"/>
  <c r="M7" i="35"/>
  <c r="E12" i="35"/>
  <c r="Q12" i="35"/>
  <c r="AE7" i="35"/>
  <c r="AF7" i="35"/>
  <c r="AD8" i="35"/>
  <c r="V9" i="35"/>
  <c r="W9" i="35"/>
  <c r="AI9" i="35"/>
  <c r="J9" i="35"/>
  <c r="AP13" i="35"/>
  <c r="AN13" i="35"/>
  <c r="AO13" i="35"/>
  <c r="D13" i="35"/>
  <c r="C13" i="35"/>
  <c r="AR13" i="35"/>
  <c r="AQ13" i="35"/>
  <c r="AB13" i="35"/>
  <c r="B14" i="35"/>
  <c r="K10" i="35"/>
  <c r="G10" i="35"/>
  <c r="I10" i="35"/>
  <c r="H12" i="35"/>
  <c r="AG12" i="35"/>
  <c r="AH12" i="35"/>
  <c r="AU12" i="35"/>
  <c r="AV12" i="35"/>
  <c r="AW12" i="35"/>
  <c r="AT12" i="35"/>
  <c r="AS12" i="35"/>
  <c r="AC9" i="35"/>
  <c r="S10" i="35"/>
  <c r="T10" i="35"/>
  <c r="O28" i="32"/>
  <c r="J43" i="31"/>
  <c r="K43" i="31"/>
  <c r="S43" i="31"/>
  <c r="AA43" i="31"/>
  <c r="BI28" i="31"/>
  <c r="BJ28" i="31"/>
  <c r="L43" i="31"/>
  <c r="V43" i="31"/>
  <c r="AD43" i="31"/>
  <c r="AL43" i="31"/>
  <c r="AT43" i="31"/>
  <c r="BB43" i="31"/>
  <c r="O43" i="31"/>
  <c r="W43" i="31"/>
  <c r="AE43" i="31"/>
  <c r="AI43" i="31"/>
  <c r="AU43" i="31"/>
  <c r="BI29" i="31"/>
  <c r="BJ29" i="31"/>
  <c r="BA43" i="31"/>
  <c r="P43" i="31"/>
  <c r="T43" i="31"/>
  <c r="AB43" i="31"/>
  <c r="AJ43" i="31"/>
  <c r="AQ43" i="31"/>
  <c r="R43" i="31"/>
  <c r="AZ43" i="31"/>
  <c r="Q43" i="31"/>
  <c r="Y43" i="31"/>
  <c r="AG43" i="31"/>
  <c r="AO43" i="31"/>
  <c r="AR43" i="31"/>
  <c r="BI30" i="31"/>
  <c r="BJ30" i="31"/>
  <c r="M43" i="31"/>
  <c r="U43" i="31"/>
  <c r="AS43" i="31"/>
  <c r="N43" i="31"/>
  <c r="AK43" i="31"/>
  <c r="AM43" i="31"/>
  <c r="AC43" i="31"/>
  <c r="X43" i="31"/>
  <c r="AF43" i="31"/>
  <c r="AN43" i="31"/>
  <c r="AV43" i="31"/>
  <c r="AW43" i="31"/>
  <c r="AY43" i="31"/>
  <c r="BI13" i="31"/>
  <c r="BJ13" i="31"/>
  <c r="BI11" i="31"/>
  <c r="BJ11" i="31"/>
  <c r="BI10" i="31"/>
  <c r="BJ10" i="31"/>
  <c r="BI9" i="31"/>
  <c r="BJ9" i="31"/>
  <c r="BI7" i="31"/>
  <c r="BJ7" i="31"/>
  <c r="BI6" i="31"/>
  <c r="BJ6" i="31"/>
  <c r="BJ5" i="31"/>
  <c r="BI3" i="31"/>
  <c r="BJ3" i="31"/>
  <c r="BI2" i="31"/>
  <c r="BJ2" i="31"/>
  <c r="BI25" i="31"/>
  <c r="BJ25" i="31"/>
  <c r="BI24" i="31"/>
  <c r="BJ24" i="31"/>
  <c r="BK24" i="31"/>
  <c r="BL24" i="31"/>
  <c r="BM24" i="31"/>
  <c r="BI23" i="31"/>
  <c r="BJ23" i="31"/>
  <c r="BI22" i="31"/>
  <c r="BJ22" i="31"/>
  <c r="BK22" i="31"/>
  <c r="BL22" i="31"/>
  <c r="BM22" i="31"/>
  <c r="BI20" i="31"/>
  <c r="BJ20" i="31"/>
  <c r="BK20" i="31"/>
  <c r="BL20" i="31"/>
  <c r="BM20" i="31"/>
  <c r="BI19" i="31"/>
  <c r="BJ19" i="31"/>
  <c r="BK19" i="31"/>
  <c r="BL19" i="31"/>
  <c r="BM19" i="31"/>
  <c r="BI18" i="31"/>
  <c r="BJ18" i="31"/>
  <c r="BK18" i="31"/>
  <c r="BL18" i="31"/>
  <c r="BM18" i="31"/>
  <c r="BI17" i="31"/>
  <c r="BJ17" i="31"/>
  <c r="BK17" i="31"/>
  <c r="BL17" i="31"/>
  <c r="BM17" i="31"/>
  <c r="BI16" i="31"/>
  <c r="BJ16" i="31"/>
  <c r="BK16" i="31"/>
  <c r="BL16" i="31"/>
  <c r="BM16" i="31"/>
  <c r="BK15" i="31"/>
  <c r="BL15" i="31"/>
  <c r="BM15" i="31"/>
  <c r="BK14" i="31"/>
  <c r="BL14" i="31"/>
  <c r="BM14" i="31"/>
  <c r="BK13" i="31"/>
  <c r="BL13" i="31"/>
  <c r="BM13" i="31"/>
  <c r="BK12" i="31"/>
  <c r="BL12" i="31"/>
  <c r="BM12" i="31"/>
  <c r="BK11" i="31"/>
  <c r="BL11" i="31"/>
  <c r="BM11" i="31"/>
  <c r="BK10" i="31"/>
  <c r="BL10" i="31"/>
  <c r="BM10" i="31"/>
  <c r="BK9" i="31"/>
  <c r="BL9" i="31"/>
  <c r="BM9" i="31"/>
  <c r="BK8" i="31"/>
  <c r="BL8" i="31"/>
  <c r="BM8" i="31"/>
  <c r="BK7" i="31"/>
  <c r="BL7" i="31"/>
  <c r="BM7" i="31"/>
  <c r="BK6" i="31"/>
  <c r="BL6" i="31"/>
  <c r="BM6" i="31"/>
  <c r="BK5" i="31"/>
  <c r="BL5" i="31"/>
  <c r="BM5" i="31"/>
  <c r="BK4" i="31"/>
  <c r="BL4" i="31"/>
  <c r="BM4" i="31"/>
  <c r="BK3" i="31"/>
  <c r="BL3" i="31"/>
  <c r="BM3" i="31"/>
  <c r="BK2" i="31"/>
  <c r="BL2" i="31"/>
  <c r="BM2" i="31"/>
  <c r="O14" i="37"/>
  <c r="F15" i="37"/>
  <c r="J15" i="37"/>
  <c r="D16" i="37"/>
  <c r="Z10" i="35"/>
  <c r="N11" i="35"/>
  <c r="AM13" i="35"/>
  <c r="AX13" i="35"/>
  <c r="AY13" i="35"/>
  <c r="L9" i="35"/>
  <c r="M9" i="35"/>
  <c r="AJ9" i="35"/>
  <c r="AA11" i="35"/>
  <c r="Y11" i="35"/>
  <c r="Z11" i="35"/>
  <c r="S11" i="35"/>
  <c r="T11" i="35"/>
  <c r="AE8" i="35"/>
  <c r="AF8" i="35"/>
  <c r="AD9" i="35"/>
  <c r="V10" i="35"/>
  <c r="W10" i="35"/>
  <c r="AI10" i="35"/>
  <c r="J10" i="35"/>
  <c r="AP14" i="35"/>
  <c r="AN14" i="35"/>
  <c r="AO14" i="35"/>
  <c r="D14" i="35"/>
  <c r="C14" i="35"/>
  <c r="AR14" i="35"/>
  <c r="B15" i="35"/>
  <c r="AQ14" i="35"/>
  <c r="AB14" i="35"/>
  <c r="O10" i="35"/>
  <c r="E13" i="35"/>
  <c r="Q13" i="35"/>
  <c r="P12" i="35"/>
  <c r="R12" i="35"/>
  <c r="F12" i="35"/>
  <c r="N12" i="35"/>
  <c r="AU13" i="35"/>
  <c r="AV13" i="35"/>
  <c r="AW13" i="35"/>
  <c r="AT13" i="35"/>
  <c r="AS13" i="35"/>
  <c r="AC10" i="35"/>
  <c r="H13" i="35"/>
  <c r="AG13" i="35"/>
  <c r="AH13" i="35"/>
  <c r="K11" i="35"/>
  <c r="G11" i="35"/>
  <c r="I11" i="35"/>
  <c r="BI15" i="31"/>
  <c r="BJ15" i="31"/>
  <c r="BK21" i="31"/>
  <c r="BL21" i="31"/>
  <c r="BM21" i="31"/>
  <c r="BK25" i="31"/>
  <c r="BL25" i="31"/>
  <c r="BM25" i="31"/>
  <c r="BK23" i="31"/>
  <c r="BL23" i="31"/>
  <c r="BM23" i="31"/>
  <c r="BI14" i="31"/>
  <c r="BJ14" i="31"/>
  <c r="BI8" i="31"/>
  <c r="BJ8" i="31"/>
  <c r="BI4" i="31"/>
  <c r="BJ4" i="31"/>
  <c r="BI12" i="31"/>
  <c r="BJ12" i="31"/>
  <c r="BI21" i="31"/>
  <c r="BJ21" i="31"/>
  <c r="S7" i="24"/>
  <c r="Q7" i="24"/>
  <c r="P7" i="24"/>
  <c r="I7" i="24"/>
  <c r="H7" i="24"/>
  <c r="G7" i="24"/>
  <c r="F7" i="24"/>
  <c r="E7" i="24"/>
  <c r="S5" i="24"/>
  <c r="Q5" i="24"/>
  <c r="P5" i="24"/>
  <c r="D7" i="24"/>
  <c r="N15" i="19"/>
  <c r="N18" i="19"/>
  <c r="O17" i="19"/>
  <c r="O13" i="19"/>
  <c r="O7" i="24"/>
  <c r="O15" i="37"/>
  <c r="D17" i="37"/>
  <c r="F16" i="37"/>
  <c r="J16" i="37"/>
  <c r="L10" i="35"/>
  <c r="M10" i="35"/>
  <c r="AX14" i="35"/>
  <c r="AM14" i="35"/>
  <c r="AY14" i="35"/>
  <c r="AJ10" i="35"/>
  <c r="S12" i="35"/>
  <c r="T12" i="35"/>
  <c r="AU14" i="35"/>
  <c r="AV14" i="35"/>
  <c r="AW14" i="35"/>
  <c r="AT14" i="35"/>
  <c r="AS14" i="35"/>
  <c r="AE9" i="35"/>
  <c r="AF9" i="35"/>
  <c r="AD10" i="35"/>
  <c r="V11" i="35"/>
  <c r="W11" i="35"/>
  <c r="AI11" i="35"/>
  <c r="J11" i="35"/>
  <c r="Y12" i="35"/>
  <c r="Z12" i="35"/>
  <c r="AA12" i="35"/>
  <c r="D15" i="35"/>
  <c r="B16" i="35"/>
  <c r="C15" i="35"/>
  <c r="AR15" i="35"/>
  <c r="AQ15" i="35"/>
  <c r="AP15" i="35"/>
  <c r="AB15" i="35"/>
  <c r="AN15" i="35"/>
  <c r="AO15" i="35"/>
  <c r="O11" i="35"/>
  <c r="E14" i="35"/>
  <c r="Q14" i="35"/>
  <c r="AC11" i="35"/>
  <c r="K12" i="35"/>
  <c r="G12" i="35"/>
  <c r="I12" i="35"/>
  <c r="R13" i="35"/>
  <c r="F13" i="35"/>
  <c r="P13" i="35"/>
  <c r="H14" i="35"/>
  <c r="CI2" i="1"/>
  <c r="O16" i="37"/>
  <c r="F17" i="37"/>
  <c r="J17" i="37"/>
  <c r="D18" i="37"/>
  <c r="F18" i="37"/>
  <c r="J18" i="37"/>
  <c r="L11" i="35"/>
  <c r="M11" i="35"/>
  <c r="AJ11" i="35"/>
  <c r="AY15" i="35"/>
  <c r="AM15" i="35"/>
  <c r="AX15" i="35"/>
  <c r="S13" i="35"/>
  <c r="T13" i="35"/>
  <c r="AN16" i="35"/>
  <c r="AO16" i="35"/>
  <c r="D16" i="35"/>
  <c r="B17" i="35"/>
  <c r="C16" i="35"/>
  <c r="AB16" i="35"/>
  <c r="AQ16" i="35"/>
  <c r="AR16" i="35"/>
  <c r="AP16" i="35"/>
  <c r="AC12" i="35"/>
  <c r="O12" i="35"/>
  <c r="V12" i="35"/>
  <c r="W12" i="35"/>
  <c r="AI12" i="35"/>
  <c r="J12" i="35"/>
  <c r="L12" i="35"/>
  <c r="M12" i="35"/>
  <c r="AG14" i="35"/>
  <c r="AH14" i="35"/>
  <c r="AU15" i="35"/>
  <c r="AV15" i="35"/>
  <c r="AW15" i="35"/>
  <c r="AT15" i="35"/>
  <c r="AS15" i="35"/>
  <c r="R14" i="35"/>
  <c r="F14" i="35"/>
  <c r="P14" i="35"/>
  <c r="H15" i="35"/>
  <c r="AG15" i="35"/>
  <c r="AE10" i="35"/>
  <c r="AF10" i="35"/>
  <c r="AD11" i="35"/>
  <c r="Q15" i="35"/>
  <c r="E15" i="35"/>
  <c r="Y13" i="35"/>
  <c r="Z13" i="35"/>
  <c r="AA13" i="35"/>
  <c r="K13" i="35"/>
  <c r="G13" i="35"/>
  <c r="I13" i="35"/>
  <c r="N13" i="35"/>
  <c r="C6" i="30"/>
  <c r="E6" i="30"/>
  <c r="G6" i="30"/>
  <c r="J6" i="30"/>
  <c r="O17" i="37"/>
  <c r="O18" i="37"/>
  <c r="AJ12" i="35"/>
  <c r="AH15" i="35"/>
  <c r="AM16" i="35"/>
  <c r="AY16" i="35"/>
  <c r="AX16" i="35"/>
  <c r="S14" i="35"/>
  <c r="T14" i="35"/>
  <c r="N14" i="35"/>
  <c r="AC13" i="35"/>
  <c r="O13" i="35"/>
  <c r="Y14" i="35"/>
  <c r="Z14" i="35"/>
  <c r="AA14" i="35"/>
  <c r="K14" i="35"/>
  <c r="G14" i="35"/>
  <c r="I14" i="35"/>
  <c r="H16" i="35"/>
  <c r="AU16" i="35"/>
  <c r="AV16" i="35"/>
  <c r="AW16" i="35"/>
  <c r="AT16" i="35"/>
  <c r="AS16" i="35"/>
  <c r="V13" i="35"/>
  <c r="W13" i="35"/>
  <c r="AI13" i="35"/>
  <c r="AJ13" i="35"/>
  <c r="J13" i="35"/>
  <c r="L13" i="35"/>
  <c r="E16" i="35"/>
  <c r="Q16" i="35"/>
  <c r="F15" i="35"/>
  <c r="R15" i="35"/>
  <c r="P15" i="35"/>
  <c r="AE11" i="35"/>
  <c r="AF11" i="35"/>
  <c r="AD12" i="35"/>
  <c r="AN17" i="35"/>
  <c r="AO17" i="35"/>
  <c r="D17" i="35"/>
  <c r="C17" i="35"/>
  <c r="B18" i="35"/>
  <c r="AB17" i="35"/>
  <c r="AB18" i="35"/>
  <c r="AR17" i="35"/>
  <c r="AQ17" i="35"/>
  <c r="AP17" i="35"/>
  <c r="H6" i="30"/>
  <c r="I6" i="30"/>
  <c r="K6" i="30"/>
  <c r="L6" i="30"/>
  <c r="C2" i="30"/>
  <c r="E2" i="30"/>
  <c r="G2" i="30"/>
  <c r="J2" i="30"/>
  <c r="C3" i="30"/>
  <c r="E3" i="30"/>
  <c r="G3" i="30"/>
  <c r="H3" i="30"/>
  <c r="J3" i="30"/>
  <c r="L3" i="30"/>
  <c r="C4" i="30"/>
  <c r="L4" i="30"/>
  <c r="E4" i="30"/>
  <c r="G4" i="30"/>
  <c r="H4" i="30"/>
  <c r="J4" i="30"/>
  <c r="C5" i="30"/>
  <c r="L5" i="30"/>
  <c r="E5" i="30"/>
  <c r="G5" i="30"/>
  <c r="H5" i="30"/>
  <c r="J5" i="30"/>
  <c r="M6" i="30"/>
  <c r="N6" i="30"/>
  <c r="L2" i="30"/>
  <c r="N15" i="35"/>
  <c r="AX17" i="35"/>
  <c r="AM17" i="35"/>
  <c r="AY17" i="35"/>
  <c r="AC14" i="35"/>
  <c r="D18" i="35"/>
  <c r="B19" i="35"/>
  <c r="AB19" i="35"/>
  <c r="C18" i="35"/>
  <c r="AN18" i="35"/>
  <c r="AO18" i="35"/>
  <c r="H17" i="35"/>
  <c r="AG17" i="35"/>
  <c r="AE12" i="35"/>
  <c r="AF12" i="35"/>
  <c r="AD13" i="35"/>
  <c r="M13" i="35"/>
  <c r="R16" i="35"/>
  <c r="P16" i="35"/>
  <c r="F16" i="35"/>
  <c r="Y15" i="35"/>
  <c r="Z15" i="35"/>
  <c r="AA15" i="35"/>
  <c r="AG16" i="35"/>
  <c r="AH16" i="35"/>
  <c r="S15" i="35"/>
  <c r="T15" i="35"/>
  <c r="Q17" i="35"/>
  <c r="E17" i="35"/>
  <c r="V14" i="35"/>
  <c r="W14" i="35"/>
  <c r="AI14" i="35"/>
  <c r="AJ14" i="35"/>
  <c r="J14" i="35"/>
  <c r="L14" i="35"/>
  <c r="AU17" i="35"/>
  <c r="AV17" i="35"/>
  <c r="AW17" i="35"/>
  <c r="AT17" i="35"/>
  <c r="AS17" i="35"/>
  <c r="K15" i="35"/>
  <c r="G15" i="35"/>
  <c r="I15" i="35"/>
  <c r="O14" i="35"/>
  <c r="I5" i="30"/>
  <c r="K5" i="30"/>
  <c r="M5" i="30"/>
  <c r="N5" i="30"/>
  <c r="I4" i="30"/>
  <c r="K4" i="30"/>
  <c r="M4" i="30"/>
  <c r="N4" i="30"/>
  <c r="I3" i="30"/>
  <c r="K3" i="30"/>
  <c r="M3" i="30"/>
  <c r="N3" i="30"/>
  <c r="H2" i="30"/>
  <c r="I2" i="30"/>
  <c r="K2" i="30"/>
  <c r="M2" i="30"/>
  <c r="N2" i="30"/>
  <c r="N16" i="35"/>
  <c r="S16" i="35"/>
  <c r="T16" i="35"/>
  <c r="AC15" i="35"/>
  <c r="M14" i="35"/>
  <c r="B20" i="35"/>
  <c r="C19" i="35"/>
  <c r="AN19" i="35"/>
  <c r="AO19" i="35"/>
  <c r="D19" i="35"/>
  <c r="AE13" i="35"/>
  <c r="AF13" i="35"/>
  <c r="AD14" i="35"/>
  <c r="AU18" i="35"/>
  <c r="AV18" i="35"/>
  <c r="AW18" i="35"/>
  <c r="O15" i="35"/>
  <c r="AA16" i="35"/>
  <c r="Y16" i="35"/>
  <c r="Z16" i="35"/>
  <c r="Q18" i="35"/>
  <c r="E18" i="35"/>
  <c r="K16" i="35"/>
  <c r="G16" i="35"/>
  <c r="I16" i="35"/>
  <c r="R17" i="35"/>
  <c r="P17" i="35"/>
  <c r="F17" i="35"/>
  <c r="N17" i="35"/>
  <c r="H18" i="35"/>
  <c r="AG18" i="35"/>
  <c r="V15" i="35"/>
  <c r="W15" i="35"/>
  <c r="AI15" i="35"/>
  <c r="AJ15" i="35"/>
  <c r="J15" i="35"/>
  <c r="L15" i="35"/>
  <c r="AH17" i="35"/>
  <c r="N16" i="24"/>
  <c r="N20" i="24"/>
  <c r="N11" i="24"/>
  <c r="N12" i="24"/>
  <c r="AC16" i="35"/>
  <c r="S17" i="35"/>
  <c r="T17" i="35"/>
  <c r="M15" i="35"/>
  <c r="H19" i="35"/>
  <c r="AG19" i="35"/>
  <c r="AA17" i="35"/>
  <c r="Y17" i="35"/>
  <c r="Z17" i="35"/>
  <c r="AE14" i="35"/>
  <c r="AF14" i="35"/>
  <c r="AD15" i="35"/>
  <c r="AB20" i="35"/>
  <c r="AN20" i="35"/>
  <c r="AO20" i="35"/>
  <c r="D20" i="35"/>
  <c r="C20" i="35"/>
  <c r="B21" i="35"/>
  <c r="V16" i="35"/>
  <c r="W16" i="35"/>
  <c r="AI16" i="35"/>
  <c r="AJ16" i="35"/>
  <c r="J16" i="35"/>
  <c r="L16" i="35"/>
  <c r="Q19" i="35"/>
  <c r="E19" i="35"/>
  <c r="G17" i="35"/>
  <c r="I17" i="35"/>
  <c r="K17" i="35"/>
  <c r="AU19" i="35"/>
  <c r="AV19" i="35"/>
  <c r="AW19" i="35"/>
  <c r="AH18" i="35"/>
  <c r="O16" i="35"/>
  <c r="R18" i="35"/>
  <c r="P18" i="35"/>
  <c r="F18" i="35"/>
  <c r="AC17" i="35"/>
  <c r="S18" i="35"/>
  <c r="T18" i="35"/>
  <c r="M16" i="35"/>
  <c r="K18" i="35"/>
  <c r="G18" i="35"/>
  <c r="I18" i="35"/>
  <c r="R19" i="35"/>
  <c r="P19" i="35"/>
  <c r="F19" i="35"/>
  <c r="AH19" i="35"/>
  <c r="AA18" i="35"/>
  <c r="Y18" i="35"/>
  <c r="Z18" i="35"/>
  <c r="AN21" i="35"/>
  <c r="AO21" i="35"/>
  <c r="D21" i="35"/>
  <c r="C21" i="35"/>
  <c r="B22" i="35"/>
  <c r="AB21" i="35"/>
  <c r="H20" i="35"/>
  <c r="AG20" i="35"/>
  <c r="AH20" i="35"/>
  <c r="N18" i="35"/>
  <c r="Q20" i="35"/>
  <c r="E20" i="35"/>
  <c r="AE15" i="35"/>
  <c r="AF15" i="35"/>
  <c r="AD16" i="35"/>
  <c r="O17" i="35"/>
  <c r="V17" i="35"/>
  <c r="W17" i="35"/>
  <c r="AI17" i="35"/>
  <c r="AJ17" i="35"/>
  <c r="J17" i="35"/>
  <c r="L17" i="35"/>
  <c r="AU20" i="35"/>
  <c r="AV20" i="35"/>
  <c r="AW20" i="35"/>
  <c r="CI17" i="1"/>
  <c r="CH17" i="1"/>
  <c r="CG17" i="1"/>
  <c r="CF17" i="1"/>
  <c r="CJ13" i="1"/>
  <c r="CJ12" i="1"/>
  <c r="CJ11" i="1"/>
  <c r="CJ10" i="1"/>
  <c r="CK10" i="1"/>
  <c r="CJ9" i="1"/>
  <c r="CJ8" i="1"/>
  <c r="CJ7" i="1"/>
  <c r="CJ6" i="1"/>
  <c r="CK6" i="1"/>
  <c r="CJ5" i="1"/>
  <c r="CK5" i="1"/>
  <c r="CJ4" i="1"/>
  <c r="CK4" i="1"/>
  <c r="CJ3" i="1"/>
  <c r="CK3" i="1"/>
  <c r="CJ2" i="1"/>
  <c r="CK2" i="1"/>
  <c r="CB17" i="1"/>
  <c r="AC18" i="35"/>
  <c r="N19" i="35"/>
  <c r="M17" i="35"/>
  <c r="Q21" i="35"/>
  <c r="E21" i="35"/>
  <c r="V18" i="35"/>
  <c r="W18" i="35"/>
  <c r="AI18" i="35"/>
  <c r="AJ18" i="35"/>
  <c r="J18" i="35"/>
  <c r="L18" i="35"/>
  <c r="AA19" i="35"/>
  <c r="AC19" i="35"/>
  <c r="Y19" i="35"/>
  <c r="Z19" i="35"/>
  <c r="S19" i="35"/>
  <c r="T19" i="35"/>
  <c r="O18" i="35"/>
  <c r="H21" i="35"/>
  <c r="AG21" i="35"/>
  <c r="AH21" i="35"/>
  <c r="AE16" i="35"/>
  <c r="AF16" i="35"/>
  <c r="AD17" i="35"/>
  <c r="R20" i="35"/>
  <c r="P20" i="35"/>
  <c r="F20" i="35"/>
  <c r="K19" i="35"/>
  <c r="G19" i="35"/>
  <c r="I19" i="35"/>
  <c r="AN22" i="35"/>
  <c r="AO22" i="35"/>
  <c r="D22" i="35"/>
  <c r="C22" i="35"/>
  <c r="AB22" i="35"/>
  <c r="B23" i="35"/>
  <c r="AU21" i="35"/>
  <c r="AV21" i="35"/>
  <c r="AW21" i="35"/>
  <c r="CJ17" i="1"/>
  <c r="O4" i="24"/>
  <c r="CJ14" i="1"/>
  <c r="CJ16" i="1"/>
  <c r="P2" i="24"/>
  <c r="P1" i="24"/>
  <c r="O5" i="24"/>
  <c r="O8" i="24"/>
  <c r="K20" i="35"/>
  <c r="G20" i="35"/>
  <c r="I20" i="35"/>
  <c r="V20" i="35"/>
  <c r="W20" i="35"/>
  <c r="N20" i="35"/>
  <c r="S20" i="35"/>
  <c r="T20" i="35"/>
  <c r="M18" i="35"/>
  <c r="AU22" i="35"/>
  <c r="AV22" i="35"/>
  <c r="AW22" i="35"/>
  <c r="AE17" i="35"/>
  <c r="AF17" i="35"/>
  <c r="AD18" i="35"/>
  <c r="AA20" i="35"/>
  <c r="AC20" i="35"/>
  <c r="Y20" i="35"/>
  <c r="Z20" i="35"/>
  <c r="H22" i="35"/>
  <c r="AG22" i="35"/>
  <c r="AH22" i="35"/>
  <c r="AN23" i="35"/>
  <c r="AO23" i="35"/>
  <c r="D23" i="35"/>
  <c r="C23" i="35"/>
  <c r="AB23" i="35"/>
  <c r="B24" i="35"/>
  <c r="P21" i="35"/>
  <c r="F21" i="35"/>
  <c r="R21" i="35"/>
  <c r="E22" i="35"/>
  <c r="Q22" i="35"/>
  <c r="V19" i="35"/>
  <c r="W19" i="35"/>
  <c r="AI19" i="35"/>
  <c r="AJ19" i="35"/>
  <c r="J19" i="35"/>
  <c r="L19" i="35"/>
  <c r="O19" i="35"/>
  <c r="CK17" i="1"/>
  <c r="CK14" i="1"/>
  <c r="CK16" i="1"/>
  <c r="K21" i="35"/>
  <c r="G21" i="35"/>
  <c r="I21" i="35"/>
  <c r="V21" i="35"/>
  <c r="W21" i="35"/>
  <c r="N21" i="35"/>
  <c r="M19" i="35"/>
  <c r="AI20" i="35"/>
  <c r="AJ20" i="35"/>
  <c r="J20" i="35"/>
  <c r="L20" i="35"/>
  <c r="O20" i="35"/>
  <c r="P22" i="35"/>
  <c r="F22" i="35"/>
  <c r="R22" i="35"/>
  <c r="H23" i="35"/>
  <c r="AG23" i="35"/>
  <c r="AH23" i="35"/>
  <c r="AC2" i="35"/>
  <c r="AE18" i="35"/>
  <c r="AF18" i="35"/>
  <c r="AD19" i="35"/>
  <c r="E23" i="35"/>
  <c r="Q23" i="35"/>
  <c r="AH24" i="35"/>
  <c r="Z24" i="35"/>
  <c r="O24" i="35"/>
  <c r="G24" i="35"/>
  <c r="I24" i="35"/>
  <c r="AF24" i="35"/>
  <c r="W24" i="35"/>
  <c r="N24" i="35"/>
  <c r="AE24" i="35"/>
  <c r="AN24" i="35"/>
  <c r="AO24" i="35"/>
  <c r="AD24" i="35"/>
  <c r="T24" i="35"/>
  <c r="L24" i="35"/>
  <c r="D24" i="35"/>
  <c r="B25" i="35"/>
  <c r="AC24" i="35"/>
  <c r="K24" i="35"/>
  <c r="C24" i="35"/>
  <c r="AJ24" i="35"/>
  <c r="AI24" i="35"/>
  <c r="AB24" i="35"/>
  <c r="AU23" i="35"/>
  <c r="AV23" i="35"/>
  <c r="AW23" i="35"/>
  <c r="AA21" i="35"/>
  <c r="AC21" i="35"/>
  <c r="Y21" i="35"/>
  <c r="Z21" i="35"/>
  <c r="S21" i="35"/>
  <c r="T21" i="35"/>
  <c r="S22" i="35"/>
  <c r="T22" i="35"/>
  <c r="K22" i="35"/>
  <c r="G22" i="35"/>
  <c r="I22" i="35"/>
  <c r="N22" i="35"/>
  <c r="M20" i="35"/>
  <c r="AI21" i="35"/>
  <c r="AJ21" i="35"/>
  <c r="J21" i="35"/>
  <c r="L21" i="35"/>
  <c r="O21" i="35"/>
  <c r="AE19" i="35"/>
  <c r="AF19" i="35"/>
  <c r="AD20" i="35"/>
  <c r="M24" i="35"/>
  <c r="Y22" i="35"/>
  <c r="Z22" i="35"/>
  <c r="AA22" i="35"/>
  <c r="AC22" i="35"/>
  <c r="V22" i="35"/>
  <c r="W22" i="35"/>
  <c r="AU24" i="35"/>
  <c r="AV24" i="35"/>
  <c r="AW24" i="35"/>
  <c r="O25" i="35"/>
  <c r="G25" i="35"/>
  <c r="I25" i="35"/>
  <c r="AF25" i="35"/>
  <c r="W25" i="35"/>
  <c r="N25" i="35"/>
  <c r="AE25" i="35"/>
  <c r="AN25" i="35"/>
  <c r="AO25" i="35"/>
  <c r="AD25" i="35"/>
  <c r="T25" i="35"/>
  <c r="L25" i="35"/>
  <c r="D25" i="35"/>
  <c r="B26" i="35"/>
  <c r="AC25" i="35"/>
  <c r="K25" i="35"/>
  <c r="C25" i="35"/>
  <c r="AJ25" i="35"/>
  <c r="AB25" i="35"/>
  <c r="AI25" i="35"/>
  <c r="AH25" i="35"/>
  <c r="Z25" i="35"/>
  <c r="E24" i="35"/>
  <c r="Q24" i="35"/>
  <c r="P23" i="35"/>
  <c r="F23" i="35"/>
  <c r="R23" i="35"/>
  <c r="H24" i="35"/>
  <c r="M21" i="35"/>
  <c r="N23" i="35"/>
  <c r="AE20" i="35"/>
  <c r="AF20" i="35"/>
  <c r="AD21" i="35"/>
  <c r="AI22" i="35"/>
  <c r="AJ22" i="35"/>
  <c r="J22" i="35"/>
  <c r="L22" i="35"/>
  <c r="O22" i="35"/>
  <c r="K23" i="35"/>
  <c r="G23" i="35"/>
  <c r="I23" i="35"/>
  <c r="S23" i="35"/>
  <c r="T23" i="35"/>
  <c r="H25" i="35"/>
  <c r="AU25" i="35"/>
  <c r="AV25" i="35"/>
  <c r="AW25" i="35"/>
  <c r="P24" i="35"/>
  <c r="F24" i="35"/>
  <c r="R24" i="35"/>
  <c r="M25" i="35"/>
  <c r="J24" i="35"/>
  <c r="E25" i="35"/>
  <c r="Q25" i="35"/>
  <c r="Y23" i="35"/>
  <c r="Z23" i="35"/>
  <c r="AA23" i="35"/>
  <c r="AC23" i="35"/>
  <c r="AG24" i="35"/>
  <c r="AF26" i="35"/>
  <c r="W26" i="35"/>
  <c r="N26" i="35"/>
  <c r="AE26" i="35"/>
  <c r="AN26" i="35"/>
  <c r="AO26" i="35"/>
  <c r="AD26" i="35"/>
  <c r="T26" i="35"/>
  <c r="L26" i="35"/>
  <c r="D26" i="35"/>
  <c r="AC26" i="35"/>
  <c r="K26" i="35"/>
  <c r="C26" i="35"/>
  <c r="AJ26" i="35"/>
  <c r="AB26" i="35"/>
  <c r="AI26" i="35"/>
  <c r="O26" i="35"/>
  <c r="G26" i="35"/>
  <c r="I26" i="35"/>
  <c r="AH26" i="35"/>
  <c r="B27" i="35"/>
  <c r="Z26" i="35"/>
  <c r="S24" i="35"/>
  <c r="M22" i="35"/>
  <c r="AE21" i="35"/>
  <c r="AF21" i="35"/>
  <c r="AD22" i="35"/>
  <c r="AI23" i="35"/>
  <c r="AJ23" i="35"/>
  <c r="J23" i="35"/>
  <c r="L23" i="35"/>
  <c r="M23" i="35"/>
  <c r="O23" i="35"/>
  <c r="V23" i="35"/>
  <c r="W23" i="35"/>
  <c r="F25" i="35"/>
  <c r="R25" i="35"/>
  <c r="P25" i="35"/>
  <c r="E26" i="35"/>
  <c r="Q26" i="35"/>
  <c r="AU26" i="35"/>
  <c r="AV26" i="35"/>
  <c r="AW26" i="35"/>
  <c r="S25" i="35"/>
  <c r="J25" i="35"/>
  <c r="O27" i="35"/>
  <c r="G27" i="35"/>
  <c r="I27" i="35"/>
  <c r="AF27" i="35"/>
  <c r="W27" i="35"/>
  <c r="N27" i="35"/>
  <c r="AH27" i="35"/>
  <c r="T27" i="35"/>
  <c r="B28" i="35"/>
  <c r="AE27" i="35"/>
  <c r="AD27" i="35"/>
  <c r="AC27" i="35"/>
  <c r="AN27" i="35"/>
  <c r="AO27" i="35"/>
  <c r="AB27" i="35"/>
  <c r="D27" i="35"/>
  <c r="C27" i="35"/>
  <c r="AJ27" i="35"/>
  <c r="AI27" i="35"/>
  <c r="Z27" i="35"/>
  <c r="L27" i="35"/>
  <c r="K27" i="35"/>
  <c r="H26" i="35"/>
  <c r="AG26" i="35"/>
  <c r="AG25" i="35"/>
  <c r="M26" i="35"/>
  <c r="Y24" i="35"/>
  <c r="AA24" i="35"/>
  <c r="V24" i="35"/>
  <c r="M27" i="35"/>
  <c r="AE22" i="35"/>
  <c r="AF22" i="35"/>
  <c r="AD23" i="35"/>
  <c r="AE23" i="35"/>
  <c r="AF23" i="35"/>
  <c r="AH28" i="35"/>
  <c r="Z28" i="35"/>
  <c r="AF28" i="35"/>
  <c r="W28" i="35"/>
  <c r="N28" i="35"/>
  <c r="AE28" i="35"/>
  <c r="AC28" i="35"/>
  <c r="O28" i="35"/>
  <c r="C28" i="35"/>
  <c r="B29" i="35"/>
  <c r="AB28" i="35"/>
  <c r="L28" i="35"/>
  <c r="AN28" i="35"/>
  <c r="AO28" i="35"/>
  <c r="K28" i="35"/>
  <c r="AJ28" i="35"/>
  <c r="T28" i="35"/>
  <c r="AI28" i="35"/>
  <c r="AD28" i="35"/>
  <c r="G28" i="35"/>
  <c r="I28" i="35"/>
  <c r="D28" i="35"/>
  <c r="F26" i="35"/>
  <c r="R26" i="35"/>
  <c r="P26" i="35"/>
  <c r="H27" i="35"/>
  <c r="Q27" i="35"/>
  <c r="E27" i="35"/>
  <c r="AU27" i="35"/>
  <c r="AV27" i="35"/>
  <c r="AW27" i="35"/>
  <c r="Y25" i="35"/>
  <c r="AA25" i="35"/>
  <c r="V25" i="35"/>
  <c r="J26" i="35"/>
  <c r="M28" i="35"/>
  <c r="O29" i="35"/>
  <c r="G29" i="35"/>
  <c r="I29" i="35"/>
  <c r="AF29" i="35"/>
  <c r="W29" i="35"/>
  <c r="N29" i="35"/>
  <c r="AE29" i="35"/>
  <c r="AN29" i="35"/>
  <c r="AO29" i="35"/>
  <c r="AD29" i="35"/>
  <c r="T29" i="35"/>
  <c r="L29" i="35"/>
  <c r="D29" i="35"/>
  <c r="AJ29" i="35"/>
  <c r="C29" i="35"/>
  <c r="B30" i="35"/>
  <c r="AI29" i="35"/>
  <c r="AH29" i="35"/>
  <c r="AC29" i="35"/>
  <c r="K29" i="35"/>
  <c r="AB29" i="35"/>
  <c r="Z29" i="35"/>
  <c r="H28" i="35"/>
  <c r="F27" i="35"/>
  <c r="R27" i="35"/>
  <c r="P27" i="35"/>
  <c r="AA26" i="35"/>
  <c r="Y26" i="35"/>
  <c r="V26" i="35"/>
  <c r="J27" i="35"/>
  <c r="AG27" i="35"/>
  <c r="AU28" i="35"/>
  <c r="AV28" i="35"/>
  <c r="AW28" i="35"/>
  <c r="S26" i="35"/>
  <c r="E28" i="35"/>
  <c r="Q28" i="35"/>
  <c r="M29" i="35"/>
  <c r="E29" i="35"/>
  <c r="Q29" i="35"/>
  <c r="Y27" i="35"/>
  <c r="AA27" i="35"/>
  <c r="V27" i="35"/>
  <c r="AF30" i="35"/>
  <c r="W30" i="35"/>
  <c r="N30" i="35"/>
  <c r="AE30" i="35"/>
  <c r="AN30" i="35"/>
  <c r="AO30" i="35"/>
  <c r="AD30" i="35"/>
  <c r="T30" i="35"/>
  <c r="L30" i="35"/>
  <c r="D30" i="35"/>
  <c r="B31" i="35"/>
  <c r="AC30" i="35"/>
  <c r="K30" i="35"/>
  <c r="C30" i="35"/>
  <c r="AJ30" i="35"/>
  <c r="AB30" i="35"/>
  <c r="AI30" i="35"/>
  <c r="AH30" i="35"/>
  <c r="G30" i="35"/>
  <c r="I30" i="35"/>
  <c r="Z30" i="35"/>
  <c r="O30" i="35"/>
  <c r="J28" i="35"/>
  <c r="H29" i="35"/>
  <c r="AG29" i="35"/>
  <c r="P28" i="35"/>
  <c r="F28" i="35"/>
  <c r="R28" i="35"/>
  <c r="S27" i="35"/>
  <c r="AG28" i="35"/>
  <c r="AU29" i="35"/>
  <c r="AV29" i="35"/>
  <c r="AW29" i="35"/>
  <c r="I5" i="26"/>
  <c r="F5" i="26"/>
  <c r="J4" i="26"/>
  <c r="G4" i="26"/>
  <c r="K3" i="26"/>
  <c r="J3" i="26"/>
  <c r="H3" i="26"/>
  <c r="K2" i="26"/>
  <c r="J2" i="26"/>
  <c r="H2" i="26"/>
  <c r="H4" i="26"/>
  <c r="G5" i="26"/>
  <c r="K4" i="26"/>
  <c r="K5" i="26"/>
  <c r="H5" i="26"/>
  <c r="S28" i="35"/>
  <c r="AU30" i="35"/>
  <c r="AV30" i="35"/>
  <c r="AW30" i="35"/>
  <c r="AA28" i="35"/>
  <c r="Y28" i="35"/>
  <c r="V28" i="35"/>
  <c r="M30" i="35"/>
  <c r="E30" i="35"/>
  <c r="Q30" i="35"/>
  <c r="R29" i="35"/>
  <c r="P29" i="35"/>
  <c r="F29" i="35"/>
  <c r="H30" i="35"/>
  <c r="AG30" i="35"/>
  <c r="J29" i="35"/>
  <c r="AE31" i="35"/>
  <c r="AN31" i="35"/>
  <c r="AO31" i="35"/>
  <c r="AD31" i="35"/>
  <c r="T31" i="35"/>
  <c r="L31" i="35"/>
  <c r="D31" i="35"/>
  <c r="B32" i="35"/>
  <c r="AC31" i="35"/>
  <c r="K31" i="35"/>
  <c r="C31" i="35"/>
  <c r="AJ31" i="35"/>
  <c r="AB31" i="35"/>
  <c r="AI31" i="35"/>
  <c r="AH31" i="35"/>
  <c r="Z31" i="35"/>
  <c r="N31" i="35"/>
  <c r="G31" i="35"/>
  <c r="I31" i="35"/>
  <c r="AF31" i="35"/>
  <c r="W31" i="35"/>
  <c r="O31" i="35"/>
  <c r="J5" i="26"/>
  <c r="BY6" i="1"/>
  <c r="CA6" i="1"/>
  <c r="M31" i="35"/>
  <c r="H31" i="35"/>
  <c r="AG31" i="35"/>
  <c r="Y29" i="35"/>
  <c r="AA29" i="35"/>
  <c r="V29" i="35"/>
  <c r="AU31" i="35"/>
  <c r="AV31" i="35"/>
  <c r="AW31" i="35"/>
  <c r="AN32" i="35"/>
  <c r="AO32" i="35"/>
  <c r="AD32" i="35"/>
  <c r="T32" i="35"/>
  <c r="L32" i="35"/>
  <c r="D32" i="35"/>
  <c r="B33" i="35"/>
  <c r="AC32" i="35"/>
  <c r="K32" i="35"/>
  <c r="C32" i="35"/>
  <c r="AJ32" i="35"/>
  <c r="AB32" i="35"/>
  <c r="AI32" i="35"/>
  <c r="AH32" i="35"/>
  <c r="Z32" i="35"/>
  <c r="O32" i="35"/>
  <c r="G32" i="35"/>
  <c r="I32" i="35"/>
  <c r="AF32" i="35"/>
  <c r="W32" i="35"/>
  <c r="N32" i="35"/>
  <c r="AE32" i="35"/>
  <c r="E31" i="35"/>
  <c r="Q31" i="35"/>
  <c r="S29" i="35"/>
  <c r="F30" i="35"/>
  <c r="R30" i="35"/>
  <c r="P30" i="35"/>
  <c r="J30" i="35"/>
  <c r="BY5" i="1"/>
  <c r="S30" i="35"/>
  <c r="H32" i="35"/>
  <c r="AG32" i="35"/>
  <c r="AU32" i="35"/>
  <c r="AV32" i="35"/>
  <c r="AW32" i="35"/>
  <c r="M32" i="35"/>
  <c r="R31" i="35"/>
  <c r="P31" i="35"/>
  <c r="F31" i="35"/>
  <c r="AN33" i="35"/>
  <c r="AO33" i="35"/>
  <c r="AC33" i="35"/>
  <c r="K33" i="35"/>
  <c r="C33" i="35"/>
  <c r="AB33" i="35"/>
  <c r="AJ33" i="35"/>
  <c r="AI33" i="35"/>
  <c r="Z33" i="35"/>
  <c r="B34" i="35"/>
  <c r="AH33" i="35"/>
  <c r="O33" i="35"/>
  <c r="G33" i="35"/>
  <c r="I33" i="35"/>
  <c r="AF33" i="35"/>
  <c r="W33" i="35"/>
  <c r="N33" i="35"/>
  <c r="AE33" i="35"/>
  <c r="AD33" i="35"/>
  <c r="T33" i="35"/>
  <c r="D33" i="35"/>
  <c r="L33" i="35"/>
  <c r="J31" i="35"/>
  <c r="AA30" i="35"/>
  <c r="Y30" i="35"/>
  <c r="V30" i="35"/>
  <c r="Q32" i="35"/>
  <c r="E32" i="35"/>
  <c r="CC13" i="1"/>
  <c r="CC12" i="1"/>
  <c r="CD12" i="1"/>
  <c r="CC11" i="1"/>
  <c r="CD11" i="1"/>
  <c r="CC10" i="1"/>
  <c r="CD10" i="1"/>
  <c r="CC9" i="1"/>
  <c r="CD9" i="1"/>
  <c r="CC8" i="1"/>
  <c r="CD8" i="1"/>
  <c r="CC7" i="1"/>
  <c r="CC6" i="1"/>
  <c r="CC5" i="1"/>
  <c r="CD5" i="1"/>
  <c r="CC4" i="1"/>
  <c r="CC3" i="1"/>
  <c r="CC2" i="1"/>
  <c r="S31" i="35"/>
  <c r="AH34" i="35"/>
  <c r="Z34" i="35"/>
  <c r="AF34" i="35"/>
  <c r="W34" i="35"/>
  <c r="N34" i="35"/>
  <c r="AD34" i="35"/>
  <c r="G34" i="35"/>
  <c r="I34" i="35"/>
  <c r="B35" i="35"/>
  <c r="AC34" i="35"/>
  <c r="AN34" i="35"/>
  <c r="AO34" i="35"/>
  <c r="AB34" i="35"/>
  <c r="O34" i="35"/>
  <c r="D34" i="35"/>
  <c r="C34" i="35"/>
  <c r="AJ34" i="35"/>
  <c r="L34" i="35"/>
  <c r="AI34" i="35"/>
  <c r="K34" i="35"/>
  <c r="T34" i="35"/>
  <c r="AE34" i="35"/>
  <c r="AA31" i="35"/>
  <c r="Y31" i="35"/>
  <c r="V31" i="35"/>
  <c r="AU33" i="35"/>
  <c r="AV33" i="35"/>
  <c r="AW33" i="35"/>
  <c r="R32" i="35"/>
  <c r="P32" i="35"/>
  <c r="F32" i="35"/>
  <c r="Q33" i="35"/>
  <c r="E33" i="35"/>
  <c r="H33" i="35"/>
  <c r="J32" i="35"/>
  <c r="M33" i="35"/>
  <c r="CC14" i="1"/>
  <c r="CC25" i="1"/>
  <c r="CD4" i="1"/>
  <c r="M34" i="35"/>
  <c r="J33" i="35"/>
  <c r="O35" i="35"/>
  <c r="G35" i="35"/>
  <c r="I35" i="35"/>
  <c r="AF35" i="35"/>
  <c r="W35" i="35"/>
  <c r="N35" i="35"/>
  <c r="AE35" i="35"/>
  <c r="AD35" i="35"/>
  <c r="C35" i="35"/>
  <c r="AC35" i="35"/>
  <c r="B36" i="35"/>
  <c r="AB35" i="35"/>
  <c r="L35" i="35"/>
  <c r="AN35" i="35"/>
  <c r="AO35" i="35"/>
  <c r="K35" i="35"/>
  <c r="Z35" i="35"/>
  <c r="AJ35" i="35"/>
  <c r="T35" i="35"/>
  <c r="AI35" i="35"/>
  <c r="AH35" i="35"/>
  <c r="D35" i="35"/>
  <c r="AG33" i="35"/>
  <c r="AU34" i="35"/>
  <c r="AV34" i="35"/>
  <c r="AW34" i="35"/>
  <c r="R33" i="35"/>
  <c r="P33" i="35"/>
  <c r="F33" i="35"/>
  <c r="AA32" i="35"/>
  <c r="Y32" i="35"/>
  <c r="V32" i="35"/>
  <c r="H34" i="35"/>
  <c r="S32" i="35"/>
  <c r="Q34" i="35"/>
  <c r="E34" i="35"/>
  <c r="M35" i="35"/>
  <c r="J34" i="35"/>
  <c r="AF36" i="35"/>
  <c r="W36" i="35"/>
  <c r="N36" i="35"/>
  <c r="AE36" i="35"/>
  <c r="AN36" i="35"/>
  <c r="AO36" i="35"/>
  <c r="AD36" i="35"/>
  <c r="T36" i="35"/>
  <c r="L36" i="35"/>
  <c r="D36" i="35"/>
  <c r="AH36" i="35"/>
  <c r="G36" i="35"/>
  <c r="I36" i="35"/>
  <c r="C36" i="35"/>
  <c r="AC36" i="35"/>
  <c r="B37" i="35"/>
  <c r="AB36" i="35"/>
  <c r="O36" i="35"/>
  <c r="K36" i="35"/>
  <c r="Z36" i="35"/>
  <c r="AJ36" i="35"/>
  <c r="AI36" i="35"/>
  <c r="H35" i="35"/>
  <c r="P34" i="35"/>
  <c r="F34" i="35"/>
  <c r="R34" i="35"/>
  <c r="AU35" i="35"/>
  <c r="AV35" i="35"/>
  <c r="AW35" i="35"/>
  <c r="AA33" i="35"/>
  <c r="Y33" i="35"/>
  <c r="V33" i="35"/>
  <c r="E35" i="35"/>
  <c r="Q35" i="35"/>
  <c r="S33" i="35"/>
  <c r="AG34" i="35"/>
  <c r="D31" i="22"/>
  <c r="M36" i="35"/>
  <c r="S34" i="35"/>
  <c r="J35" i="35"/>
  <c r="H36" i="35"/>
  <c r="AG36" i="35"/>
  <c r="E36" i="35"/>
  <c r="Q36" i="35"/>
  <c r="AG35" i="35"/>
  <c r="AE37" i="35"/>
  <c r="AN37" i="35"/>
  <c r="AO37" i="35"/>
  <c r="AD37" i="35"/>
  <c r="T37" i="35"/>
  <c r="L37" i="35"/>
  <c r="D37" i="35"/>
  <c r="B38" i="35"/>
  <c r="AC37" i="35"/>
  <c r="K37" i="35"/>
  <c r="C37" i="35"/>
  <c r="AI37" i="35"/>
  <c r="W37" i="35"/>
  <c r="AH37" i="35"/>
  <c r="G37" i="35"/>
  <c r="I37" i="35"/>
  <c r="AF37" i="35"/>
  <c r="AB37" i="35"/>
  <c r="O37" i="35"/>
  <c r="N37" i="35"/>
  <c r="Z37" i="35"/>
  <c r="AJ37" i="35"/>
  <c r="AA34" i="35"/>
  <c r="Y34" i="35"/>
  <c r="V34" i="35"/>
  <c r="F35" i="35"/>
  <c r="P35" i="35"/>
  <c r="R35" i="35"/>
  <c r="AU36" i="35"/>
  <c r="AV36" i="35"/>
  <c r="AW36" i="35"/>
  <c r="CD2" i="1"/>
  <c r="CD3" i="1"/>
  <c r="E37" i="35"/>
  <c r="Q37" i="35"/>
  <c r="F36" i="35"/>
  <c r="R36" i="35"/>
  <c r="P36" i="35"/>
  <c r="Y35" i="35"/>
  <c r="AA35" i="35"/>
  <c r="V35" i="35"/>
  <c r="J36" i="35"/>
  <c r="AN38" i="35"/>
  <c r="AO38" i="35"/>
  <c r="AD38" i="35"/>
  <c r="T38" i="35"/>
  <c r="L38" i="35"/>
  <c r="D38" i="35"/>
  <c r="B39" i="35"/>
  <c r="AC38" i="35"/>
  <c r="K38" i="35"/>
  <c r="C38" i="35"/>
  <c r="AJ38" i="35"/>
  <c r="AB38" i="35"/>
  <c r="AI38" i="35"/>
  <c r="W38" i="35"/>
  <c r="AH38" i="35"/>
  <c r="G38" i="35"/>
  <c r="I38" i="35"/>
  <c r="AF38" i="35"/>
  <c r="AE38" i="35"/>
  <c r="O38" i="35"/>
  <c r="N38" i="35"/>
  <c r="Z38" i="35"/>
  <c r="S35" i="35"/>
  <c r="H37" i="35"/>
  <c r="AG37" i="35"/>
  <c r="AU37" i="35"/>
  <c r="AV37" i="35"/>
  <c r="AW37" i="35"/>
  <c r="M37" i="35"/>
  <c r="S36" i="35"/>
  <c r="R37" i="35"/>
  <c r="F37" i="35"/>
  <c r="P37" i="35"/>
  <c r="J37" i="35"/>
  <c r="H38" i="35"/>
  <c r="M38" i="35"/>
  <c r="AC39" i="35"/>
  <c r="K39" i="35"/>
  <c r="C39" i="35"/>
  <c r="B40" i="35"/>
  <c r="AJ39" i="35"/>
  <c r="AB39" i="35"/>
  <c r="AI39" i="35"/>
  <c r="AH39" i="35"/>
  <c r="Z39" i="35"/>
  <c r="AF39" i="35"/>
  <c r="N39" i="35"/>
  <c r="AE39" i="35"/>
  <c r="AD39" i="35"/>
  <c r="L39" i="35"/>
  <c r="G39" i="35"/>
  <c r="I39" i="35"/>
  <c r="W39" i="35"/>
  <c r="AN39" i="35"/>
  <c r="AO39" i="35"/>
  <c r="T39" i="35"/>
  <c r="D39" i="35"/>
  <c r="O39" i="35"/>
  <c r="AA36" i="35"/>
  <c r="Y36" i="35"/>
  <c r="V36" i="35"/>
  <c r="AU38" i="35"/>
  <c r="AV38" i="35"/>
  <c r="AW38" i="35"/>
  <c r="Q38" i="35"/>
  <c r="E38" i="35"/>
  <c r="H2" i="22"/>
  <c r="S37" i="35"/>
  <c r="M39" i="35"/>
  <c r="Q39" i="35"/>
  <c r="E39" i="35"/>
  <c r="H39" i="35"/>
  <c r="AG39" i="35"/>
  <c r="AA37" i="35"/>
  <c r="Y37" i="35"/>
  <c r="V37" i="35"/>
  <c r="R38" i="35"/>
  <c r="F38" i="35"/>
  <c r="P38" i="35"/>
  <c r="J38" i="35"/>
  <c r="AU39" i="35"/>
  <c r="AV39" i="35"/>
  <c r="AW39" i="35"/>
  <c r="B41" i="35"/>
  <c r="AJ40" i="35"/>
  <c r="AN40" i="35"/>
  <c r="AO40" i="35"/>
  <c r="AC40" i="35"/>
  <c r="K40" i="35"/>
  <c r="C40" i="35"/>
  <c r="AB40" i="35"/>
  <c r="AI40" i="35"/>
  <c r="AH40" i="35"/>
  <c r="Z40" i="35"/>
  <c r="AE40" i="35"/>
  <c r="AD40" i="35"/>
  <c r="L40" i="35"/>
  <c r="G40" i="35"/>
  <c r="I40" i="35"/>
  <c r="W40" i="35"/>
  <c r="T40" i="35"/>
  <c r="D40" i="35"/>
  <c r="O40" i="35"/>
  <c r="AF40" i="35"/>
  <c r="N40" i="35"/>
  <c r="AG38" i="35"/>
  <c r="K30" i="25"/>
  <c r="O29" i="25"/>
  <c r="O30" i="25"/>
  <c r="K29" i="25"/>
  <c r="G29" i="25"/>
  <c r="G30" i="25"/>
  <c r="G37" i="25"/>
  <c r="G21" i="25"/>
  <c r="N22" i="25"/>
  <c r="M22" i="25"/>
  <c r="L22" i="25"/>
  <c r="J22" i="25"/>
  <c r="I22" i="25"/>
  <c r="H22" i="25"/>
  <c r="S21" i="25"/>
  <c r="O21" i="25"/>
  <c r="K21" i="25"/>
  <c r="Q14" i="25"/>
  <c r="S19" i="25"/>
  <c r="S18" i="25"/>
  <c r="S15" i="25"/>
  <c r="O19" i="25"/>
  <c r="K19" i="25"/>
  <c r="O18" i="25"/>
  <c r="K18" i="25"/>
  <c r="G19" i="25"/>
  <c r="G18" i="25"/>
  <c r="K22" i="25"/>
  <c r="K24" i="25"/>
  <c r="S22" i="25"/>
  <c r="S26" i="25"/>
  <c r="G22" i="25"/>
  <c r="O22" i="25"/>
  <c r="O26" i="25"/>
  <c r="O27" i="25"/>
  <c r="S38" i="35"/>
  <c r="M40" i="35"/>
  <c r="Q40" i="35"/>
  <c r="E40" i="35"/>
  <c r="AU40" i="35"/>
  <c r="AV40" i="35"/>
  <c r="AW40" i="35"/>
  <c r="B42" i="35"/>
  <c r="AJ41" i="35"/>
  <c r="AB41" i="35"/>
  <c r="AI41" i="35"/>
  <c r="Z41" i="35"/>
  <c r="O41" i="35"/>
  <c r="AH41" i="35"/>
  <c r="N41" i="35"/>
  <c r="W41" i="35"/>
  <c r="D41" i="35"/>
  <c r="AF41" i="35"/>
  <c r="L41" i="35"/>
  <c r="C41" i="35"/>
  <c r="AN41" i="35"/>
  <c r="AO41" i="35"/>
  <c r="AC41" i="35"/>
  <c r="K41" i="35"/>
  <c r="AE41" i="35"/>
  <c r="AD41" i="35"/>
  <c r="G41" i="35"/>
  <c r="I41" i="35"/>
  <c r="T41" i="35"/>
  <c r="J39" i="35"/>
  <c r="Y38" i="35"/>
  <c r="AA38" i="35"/>
  <c r="V38" i="35"/>
  <c r="R39" i="35"/>
  <c r="P39" i="35"/>
  <c r="F39" i="35"/>
  <c r="H40" i="35"/>
  <c r="AG40" i="35"/>
  <c r="K27" i="25"/>
  <c r="O24" i="25"/>
  <c r="K26" i="25"/>
  <c r="P29" i="25"/>
  <c r="S24" i="25"/>
  <c r="P30" i="25"/>
  <c r="O16" i="25"/>
  <c r="K15" i="25"/>
  <c r="G14" i="25"/>
  <c r="J10" i="25"/>
  <c r="J12" i="25"/>
  <c r="Y10" i="25"/>
  <c r="Y11" i="25"/>
  <c r="Y12" i="25"/>
  <c r="Y13" i="25"/>
  <c r="Y9" i="25"/>
  <c r="T22" i="25"/>
  <c r="T23" i="25"/>
  <c r="G26" i="25"/>
  <c r="G27" i="25"/>
  <c r="P27" i="25"/>
  <c r="P33" i="25"/>
  <c r="P22" i="25"/>
  <c r="P23" i="25"/>
  <c r="G24" i="25"/>
  <c r="Q10" i="25"/>
  <c r="M11" i="25"/>
  <c r="AB13" i="25"/>
  <c r="AB12" i="25"/>
  <c r="AB11" i="25"/>
  <c r="AB10" i="25"/>
  <c r="M12" i="25"/>
  <c r="AA39" i="35"/>
  <c r="Y39" i="35"/>
  <c r="V39" i="35"/>
  <c r="E41" i="35"/>
  <c r="Q41" i="35"/>
  <c r="R40" i="35"/>
  <c r="P40" i="35"/>
  <c r="F40" i="35"/>
  <c r="H41" i="35"/>
  <c r="M41" i="35"/>
  <c r="J40" i="35"/>
  <c r="B43" i="35"/>
  <c r="AJ42" i="35"/>
  <c r="AB42" i="35"/>
  <c r="W42" i="35"/>
  <c r="D42" i="35"/>
  <c r="AF42" i="35"/>
  <c r="L42" i="35"/>
  <c r="C42" i="35"/>
  <c r="AE42" i="35"/>
  <c r="T42" i="35"/>
  <c r="K42" i="35"/>
  <c r="AD42" i="35"/>
  <c r="AI42" i="35"/>
  <c r="Z42" i="35"/>
  <c r="O42" i="35"/>
  <c r="AN42" i="35"/>
  <c r="AO42" i="35"/>
  <c r="N42" i="35"/>
  <c r="AH42" i="35"/>
  <c r="G42" i="35"/>
  <c r="I42" i="35"/>
  <c r="AC42" i="35"/>
  <c r="S39" i="35"/>
  <c r="AU41" i="35"/>
  <c r="AV41" i="35"/>
  <c r="AW41" i="35"/>
  <c r="J13" i="25"/>
  <c r="J9" i="25"/>
  <c r="M13" i="25"/>
  <c r="M10" i="25"/>
  <c r="J11" i="25"/>
  <c r="M16" i="24"/>
  <c r="M19" i="24"/>
  <c r="M18" i="24"/>
  <c r="U10" i="24"/>
  <c r="T10" i="24"/>
  <c r="S10" i="24"/>
  <c r="Q10" i="24"/>
  <c r="P10" i="24"/>
  <c r="D10" i="24"/>
  <c r="L12" i="24"/>
  <c r="P26" i="25"/>
  <c r="P32" i="25"/>
  <c r="AA40" i="35"/>
  <c r="Y40" i="35"/>
  <c r="V40" i="35"/>
  <c r="S40" i="35"/>
  <c r="M42" i="35"/>
  <c r="E42" i="35"/>
  <c r="Q42" i="35"/>
  <c r="R41" i="35"/>
  <c r="F41" i="35"/>
  <c r="P41" i="35"/>
  <c r="J41" i="35"/>
  <c r="B44" i="35"/>
  <c r="AJ43" i="35"/>
  <c r="AB43" i="35"/>
  <c r="AH43" i="35"/>
  <c r="Z43" i="35"/>
  <c r="K43" i="35"/>
  <c r="AF43" i="35"/>
  <c r="T43" i="35"/>
  <c r="AE43" i="35"/>
  <c r="AD43" i="35"/>
  <c r="G43" i="35"/>
  <c r="I43" i="35"/>
  <c r="D43" i="35"/>
  <c r="L43" i="35"/>
  <c r="AN43" i="35"/>
  <c r="AO43" i="35"/>
  <c r="AI43" i="35"/>
  <c r="AC43" i="35"/>
  <c r="C43" i="35"/>
  <c r="W43" i="35"/>
  <c r="O43" i="35"/>
  <c r="N43" i="35"/>
  <c r="AU42" i="35"/>
  <c r="AV42" i="35"/>
  <c r="AW42" i="35"/>
  <c r="AG41" i="35"/>
  <c r="H42" i="35"/>
  <c r="CA17" i="1"/>
  <c r="BZ17" i="1"/>
  <c r="BY17" i="1"/>
  <c r="CD13" i="1"/>
  <c r="CD7" i="1"/>
  <c r="CD6" i="1"/>
  <c r="S11" i="22"/>
  <c r="D13" i="22"/>
  <c r="R11" i="22"/>
  <c r="D12" i="22"/>
  <c r="Q11" i="22"/>
  <c r="D11" i="22"/>
  <c r="P11" i="22"/>
  <c r="D10" i="22"/>
  <c r="O11" i="22"/>
  <c r="D9" i="22"/>
  <c r="N11" i="22"/>
  <c r="D8" i="22"/>
  <c r="M11" i="22"/>
  <c r="D7" i="22"/>
  <c r="L11" i="22"/>
  <c r="D6" i="22"/>
  <c r="K11" i="22"/>
  <c r="D5" i="22"/>
  <c r="J11" i="22"/>
  <c r="D4" i="22"/>
  <c r="I11" i="22"/>
  <c r="D3" i="22"/>
  <c r="H11" i="22"/>
  <c r="D2" i="22"/>
  <c r="L39" i="22"/>
  <c r="K20" i="22"/>
  <c r="S6" i="22"/>
  <c r="R6" i="22"/>
  <c r="Q6" i="22"/>
  <c r="P6" i="22"/>
  <c r="O6" i="22"/>
  <c r="N6" i="22"/>
  <c r="M6" i="22"/>
  <c r="L6" i="22"/>
  <c r="J6" i="22"/>
  <c r="I6" i="22"/>
  <c r="S41" i="35"/>
  <c r="Y41" i="35"/>
  <c r="AA41" i="35"/>
  <c r="V41" i="35"/>
  <c r="R42" i="35"/>
  <c r="F42" i="35"/>
  <c r="P42" i="35"/>
  <c r="J42" i="35"/>
  <c r="M43" i="35"/>
  <c r="AU43" i="35"/>
  <c r="AV43" i="35"/>
  <c r="AW43" i="35"/>
  <c r="Q43" i="35"/>
  <c r="E43" i="35"/>
  <c r="AG42" i="35"/>
  <c r="H43" i="35"/>
  <c r="B45" i="35"/>
  <c r="AJ44" i="35"/>
  <c r="AB44" i="35"/>
  <c r="AI44" i="35"/>
  <c r="AH44" i="35"/>
  <c r="Z44" i="35"/>
  <c r="AD44" i="35"/>
  <c r="N44" i="35"/>
  <c r="D44" i="35"/>
  <c r="AC44" i="35"/>
  <c r="C44" i="35"/>
  <c r="L44" i="35"/>
  <c r="AN44" i="35"/>
  <c r="AO44" i="35"/>
  <c r="W44" i="35"/>
  <c r="K44" i="35"/>
  <c r="AF44" i="35"/>
  <c r="O44" i="35"/>
  <c r="G44" i="35"/>
  <c r="I44" i="35"/>
  <c r="AE44" i="35"/>
  <c r="T44" i="35"/>
  <c r="D14" i="22"/>
  <c r="CC16" i="1"/>
  <c r="CC17" i="1"/>
  <c r="N4" i="24"/>
  <c r="C13" i="22"/>
  <c r="C12" i="22"/>
  <c r="C11" i="22"/>
  <c r="C10" i="22"/>
  <c r="C4" i="22"/>
  <c r="C3" i="22"/>
  <c r="C9" i="22"/>
  <c r="C8" i="22"/>
  <c r="C7" i="22"/>
  <c r="C6" i="22"/>
  <c r="K2" i="22"/>
  <c r="O2" i="24"/>
  <c r="O10" i="24"/>
  <c r="O1" i="24"/>
  <c r="N5" i="24"/>
  <c r="M44" i="35"/>
  <c r="Q44" i="35"/>
  <c r="E44" i="35"/>
  <c r="AC45" i="35"/>
  <c r="K45" i="35"/>
  <c r="C45" i="35"/>
  <c r="B46" i="35"/>
  <c r="AJ45" i="35"/>
  <c r="AB45" i="35"/>
  <c r="AI45" i="35"/>
  <c r="AH45" i="35"/>
  <c r="Z45" i="35"/>
  <c r="AN45" i="35"/>
  <c r="AO45" i="35"/>
  <c r="T45" i="35"/>
  <c r="D45" i="35"/>
  <c r="O45" i="35"/>
  <c r="AF45" i="35"/>
  <c r="N45" i="35"/>
  <c r="G45" i="35"/>
  <c r="I45" i="35"/>
  <c r="AE45" i="35"/>
  <c r="AD45" i="35"/>
  <c r="W45" i="35"/>
  <c r="L45" i="35"/>
  <c r="J43" i="35"/>
  <c r="H44" i="35"/>
  <c r="AG44" i="35"/>
  <c r="AA42" i="35"/>
  <c r="Y42" i="35"/>
  <c r="V42" i="35"/>
  <c r="AG43" i="35"/>
  <c r="R43" i="35"/>
  <c r="P43" i="35"/>
  <c r="F43" i="35"/>
  <c r="S42" i="35"/>
  <c r="AU44" i="35"/>
  <c r="AV44" i="35"/>
  <c r="AW44" i="35"/>
  <c r="K6" i="22"/>
  <c r="C5" i="22"/>
  <c r="H6" i="22"/>
  <c r="CD17" i="1"/>
  <c r="N6" i="24"/>
  <c r="CD14" i="1"/>
  <c r="CD16" i="1"/>
  <c r="C2" i="22"/>
  <c r="C14" i="22"/>
  <c r="D15" i="22"/>
  <c r="C19" i="22"/>
  <c r="C31" i="22"/>
  <c r="D32" i="22"/>
  <c r="F32" i="22"/>
  <c r="N8" i="24"/>
  <c r="N7" i="24"/>
  <c r="S43" i="35"/>
  <c r="M45" i="35"/>
  <c r="H45" i="35"/>
  <c r="AG45" i="35"/>
  <c r="AU45" i="35"/>
  <c r="AV45" i="35"/>
  <c r="AW45" i="35"/>
  <c r="Y43" i="35"/>
  <c r="AA43" i="35"/>
  <c r="V43" i="35"/>
  <c r="J44" i="35"/>
  <c r="AC46" i="35"/>
  <c r="K46" i="35"/>
  <c r="C46" i="35"/>
  <c r="B47" i="35"/>
  <c r="AJ46" i="35"/>
  <c r="AB46" i="35"/>
  <c r="AI46" i="35"/>
  <c r="AH46" i="35"/>
  <c r="Z46" i="35"/>
  <c r="AN46" i="35"/>
  <c r="AO46" i="35"/>
  <c r="T46" i="35"/>
  <c r="D46" i="35"/>
  <c r="O46" i="35"/>
  <c r="AF46" i="35"/>
  <c r="N46" i="35"/>
  <c r="AE46" i="35"/>
  <c r="W46" i="35"/>
  <c r="L46" i="35"/>
  <c r="G46" i="35"/>
  <c r="I46" i="35"/>
  <c r="AD46" i="35"/>
  <c r="R44" i="35"/>
  <c r="P44" i="35"/>
  <c r="F44" i="35"/>
  <c r="Q45" i="35"/>
  <c r="E45" i="35"/>
  <c r="BV8" i="1"/>
  <c r="BW8" i="1"/>
  <c r="M46" i="35"/>
  <c r="AA44" i="35"/>
  <c r="Y44" i="35"/>
  <c r="V44" i="35"/>
  <c r="S44" i="35"/>
  <c r="Q46" i="35"/>
  <c r="E46" i="35"/>
  <c r="AC47" i="35"/>
  <c r="K47" i="35"/>
  <c r="C47" i="35"/>
  <c r="B48" i="35"/>
  <c r="AJ47" i="35"/>
  <c r="AB47" i="35"/>
  <c r="AI47" i="35"/>
  <c r="AH47" i="35"/>
  <c r="Z47" i="35"/>
  <c r="O47" i="35"/>
  <c r="AF47" i="35"/>
  <c r="N47" i="35"/>
  <c r="AE47" i="35"/>
  <c r="AD47" i="35"/>
  <c r="L47" i="35"/>
  <c r="G47" i="35"/>
  <c r="I47" i="35"/>
  <c r="D47" i="35"/>
  <c r="AN47" i="35"/>
  <c r="AO47" i="35"/>
  <c r="W47" i="35"/>
  <c r="T47" i="35"/>
  <c r="J45" i="35"/>
  <c r="R45" i="35"/>
  <c r="P45" i="35"/>
  <c r="F45" i="35"/>
  <c r="AU46" i="35"/>
  <c r="AV46" i="35"/>
  <c r="AW46" i="35"/>
  <c r="H46" i="35"/>
  <c r="AG46" i="35"/>
  <c r="BU17" i="1"/>
  <c r="BT17" i="1"/>
  <c r="BS17" i="1"/>
  <c r="BN17" i="1"/>
  <c r="BE17" i="1"/>
  <c r="BD17" i="1"/>
  <c r="BC17" i="1"/>
  <c r="BA17" i="1"/>
  <c r="AY17" i="1"/>
  <c r="AW17" i="1"/>
  <c r="AS17" i="1"/>
  <c r="AO17" i="1"/>
  <c r="AN17" i="1"/>
  <c r="AI17" i="1"/>
  <c r="AG17" i="1"/>
  <c r="AD17" i="1"/>
  <c r="S45" i="35"/>
  <c r="AA45" i="35"/>
  <c r="Y45" i="35"/>
  <c r="V45" i="35"/>
  <c r="J46" i="35"/>
  <c r="Q47" i="35"/>
  <c r="E47" i="35"/>
  <c r="H47" i="35"/>
  <c r="AG47" i="35"/>
  <c r="R46" i="35"/>
  <c r="P46" i="35"/>
  <c r="F46" i="35"/>
  <c r="AU47" i="35"/>
  <c r="AV47" i="35"/>
  <c r="AW47" i="35"/>
  <c r="B49" i="35"/>
  <c r="AJ48" i="35"/>
  <c r="AB48" i="35"/>
  <c r="AF48" i="35"/>
  <c r="L48" i="35"/>
  <c r="C48" i="35"/>
  <c r="AE48" i="35"/>
  <c r="T48" i="35"/>
  <c r="K48" i="35"/>
  <c r="AD48" i="35"/>
  <c r="AN48" i="35"/>
  <c r="AO48" i="35"/>
  <c r="AC48" i="35"/>
  <c r="AI48" i="35"/>
  <c r="O48" i="35"/>
  <c r="AH48" i="35"/>
  <c r="N48" i="35"/>
  <c r="G48" i="35"/>
  <c r="I48" i="35"/>
  <c r="W48" i="35"/>
  <c r="D48" i="35"/>
  <c r="Z48" i="35"/>
  <c r="M47" i="35"/>
  <c r="BP31" i="1"/>
  <c r="BO11" i="1"/>
  <c r="BO17" i="1"/>
  <c r="BV13" i="1"/>
  <c r="BW13" i="1"/>
  <c r="BV12" i="1"/>
  <c r="BW12" i="1"/>
  <c r="BV11" i="1"/>
  <c r="BW11" i="1"/>
  <c r="BV10" i="1"/>
  <c r="BW10" i="1"/>
  <c r="BV9" i="1"/>
  <c r="BW9" i="1"/>
  <c r="BV7" i="1"/>
  <c r="BW7" i="1"/>
  <c r="BV6" i="1"/>
  <c r="BW6" i="1"/>
  <c r="BV5" i="1"/>
  <c r="BV4" i="1"/>
  <c r="BW4" i="1"/>
  <c r="BV3" i="1"/>
  <c r="BW3" i="1"/>
  <c r="BV2" i="1"/>
  <c r="BW2" i="1"/>
  <c r="M48" i="35"/>
  <c r="S46" i="35"/>
  <c r="AA46" i="35"/>
  <c r="Y46" i="35"/>
  <c r="V46" i="35"/>
  <c r="AU48" i="35"/>
  <c r="AV48" i="35"/>
  <c r="AW48" i="35"/>
  <c r="H48" i="35"/>
  <c r="AG48" i="35"/>
  <c r="J47" i="35"/>
  <c r="AJ49" i="35"/>
  <c r="AB49" i="35"/>
  <c r="AD49" i="35"/>
  <c r="AN49" i="35"/>
  <c r="AO49" i="35"/>
  <c r="AC49" i="35"/>
  <c r="G49" i="35"/>
  <c r="I49" i="35"/>
  <c r="AI49" i="35"/>
  <c r="Z49" i="35"/>
  <c r="O49" i="35"/>
  <c r="C49" i="35"/>
  <c r="T49" i="35"/>
  <c r="N49" i="35"/>
  <c r="AH49" i="35"/>
  <c r="B50" i="35"/>
  <c r="AF49" i="35"/>
  <c r="AE49" i="35"/>
  <c r="W49" i="35"/>
  <c r="L49" i="35"/>
  <c r="K49" i="35"/>
  <c r="D49" i="35"/>
  <c r="Q48" i="35"/>
  <c r="E48" i="35"/>
  <c r="R47" i="35"/>
  <c r="P47" i="35"/>
  <c r="F47" i="35"/>
  <c r="BW5" i="1"/>
  <c r="BW17" i="1"/>
  <c r="M6" i="24"/>
  <c r="M7" i="24"/>
  <c r="BV17" i="1"/>
  <c r="M4" i="24"/>
  <c r="BV14" i="1"/>
  <c r="BV16" i="1"/>
  <c r="BW14" i="1"/>
  <c r="BW16" i="1"/>
  <c r="BM9" i="1"/>
  <c r="N2" i="24"/>
  <c r="M5" i="24"/>
  <c r="N10" i="24"/>
  <c r="S47" i="35"/>
  <c r="M49" i="35"/>
  <c r="Q49" i="35"/>
  <c r="E49" i="35"/>
  <c r="R48" i="35"/>
  <c r="P48" i="35"/>
  <c r="F48" i="35"/>
  <c r="J48" i="35"/>
  <c r="AI50" i="35"/>
  <c r="B51" i="35"/>
  <c r="W50" i="35"/>
  <c r="D50" i="35"/>
  <c r="AF50" i="35"/>
  <c r="T50" i="35"/>
  <c r="AE50" i="35"/>
  <c r="AD50" i="35"/>
  <c r="G50" i="35"/>
  <c r="I50" i="35"/>
  <c r="AC50" i="35"/>
  <c r="Z50" i="35"/>
  <c r="N50" i="35"/>
  <c r="C50" i="35"/>
  <c r="O50" i="35"/>
  <c r="L50" i="35"/>
  <c r="AH50" i="35"/>
  <c r="AN50" i="35"/>
  <c r="AO50" i="35"/>
  <c r="AJ50" i="35"/>
  <c r="AB50" i="35"/>
  <c r="K50" i="35"/>
  <c r="AU49" i="35"/>
  <c r="AV49" i="35"/>
  <c r="AW49" i="35"/>
  <c r="AA47" i="35"/>
  <c r="Y47" i="35"/>
  <c r="V47" i="35"/>
  <c r="H49" i="35"/>
  <c r="AG49" i="35"/>
  <c r="M9" i="24"/>
  <c r="N1" i="24"/>
  <c r="M8" i="24"/>
  <c r="BM8" i="1"/>
  <c r="M50" i="35"/>
  <c r="AU50" i="35"/>
  <c r="AV50" i="35"/>
  <c r="AW50" i="35"/>
  <c r="AA48" i="35"/>
  <c r="Y48" i="35"/>
  <c r="V48" i="35"/>
  <c r="Q50" i="35"/>
  <c r="E50" i="35"/>
  <c r="AI51" i="35"/>
  <c r="AE51" i="35"/>
  <c r="T51" i="35"/>
  <c r="K51" i="35"/>
  <c r="AD51" i="35"/>
  <c r="AB51" i="35"/>
  <c r="N51" i="35"/>
  <c r="D51" i="35"/>
  <c r="B52" i="35"/>
  <c r="AN51" i="35"/>
  <c r="AO51" i="35"/>
  <c r="Z51" i="35"/>
  <c r="C51" i="35"/>
  <c r="L51" i="35"/>
  <c r="AJ51" i="35"/>
  <c r="W51" i="35"/>
  <c r="G51" i="35"/>
  <c r="I51" i="35"/>
  <c r="AF51" i="35"/>
  <c r="AC51" i="35"/>
  <c r="O51" i="35"/>
  <c r="AH51" i="35"/>
  <c r="R49" i="35"/>
  <c r="P49" i="35"/>
  <c r="F49" i="35"/>
  <c r="J49" i="35"/>
  <c r="H50" i="35"/>
  <c r="S48" i="35"/>
  <c r="BM7" i="1"/>
  <c r="S49" i="35"/>
  <c r="AU51" i="35"/>
  <c r="AV51" i="35"/>
  <c r="AW51" i="35"/>
  <c r="AI52" i="35"/>
  <c r="AD52" i="35"/>
  <c r="AN52" i="35"/>
  <c r="AO52" i="35"/>
  <c r="AC52" i="35"/>
  <c r="AB52" i="35"/>
  <c r="G52" i="35"/>
  <c r="I52" i="35"/>
  <c r="B53" i="35"/>
  <c r="AH52" i="35"/>
  <c r="O52" i="35"/>
  <c r="C52" i="35"/>
  <c r="AF52" i="35"/>
  <c r="N52" i="35"/>
  <c r="AE52" i="35"/>
  <c r="Z52" i="35"/>
  <c r="L52" i="35"/>
  <c r="W52" i="35"/>
  <c r="K52" i="35"/>
  <c r="D52" i="35"/>
  <c r="AJ52" i="35"/>
  <c r="T52" i="35"/>
  <c r="Q51" i="35"/>
  <c r="E51" i="35"/>
  <c r="AA49" i="35"/>
  <c r="Y49" i="35"/>
  <c r="V49" i="35"/>
  <c r="J50" i="35"/>
  <c r="H51" i="35"/>
  <c r="R50" i="35"/>
  <c r="P50" i="35"/>
  <c r="F50" i="35"/>
  <c r="AG50" i="35"/>
  <c r="M51" i="35"/>
  <c r="BM5" i="1"/>
  <c r="S50" i="35"/>
  <c r="J51" i="35"/>
  <c r="R51" i="35"/>
  <c r="P51" i="35"/>
  <c r="F51" i="35"/>
  <c r="AI53" i="35"/>
  <c r="AB53" i="35"/>
  <c r="G53" i="35"/>
  <c r="I53" i="35"/>
  <c r="AJ53" i="35"/>
  <c r="Z53" i="35"/>
  <c r="O53" i="35"/>
  <c r="AH53" i="35"/>
  <c r="N53" i="35"/>
  <c r="AE53" i="35"/>
  <c r="T53" i="35"/>
  <c r="K53" i="35"/>
  <c r="C53" i="35"/>
  <c r="AN53" i="35"/>
  <c r="AO53" i="35"/>
  <c r="B54" i="35"/>
  <c r="AD53" i="35"/>
  <c r="D53" i="35"/>
  <c r="AF53" i="35"/>
  <c r="L53" i="35"/>
  <c r="AC53" i="35"/>
  <c r="W53" i="35"/>
  <c r="AG51" i="35"/>
  <c r="Q52" i="35"/>
  <c r="E52" i="35"/>
  <c r="AA50" i="35"/>
  <c r="Y50" i="35"/>
  <c r="V50" i="35"/>
  <c r="M52" i="35"/>
  <c r="H52" i="35"/>
  <c r="AG52" i="35"/>
  <c r="AU52" i="35"/>
  <c r="AV52" i="35"/>
  <c r="AW52" i="35"/>
  <c r="BM4" i="1"/>
  <c r="S51" i="35"/>
  <c r="J52" i="35"/>
  <c r="AU53" i="35"/>
  <c r="AV53" i="35"/>
  <c r="AW53" i="35"/>
  <c r="AA51" i="35"/>
  <c r="Y51" i="35"/>
  <c r="V51" i="35"/>
  <c r="H53" i="35"/>
  <c r="M53" i="35"/>
  <c r="AI54" i="35"/>
  <c r="AH54" i="35"/>
  <c r="N54" i="35"/>
  <c r="B55" i="35"/>
  <c r="W54" i="35"/>
  <c r="D54" i="35"/>
  <c r="AF54" i="35"/>
  <c r="L54" i="35"/>
  <c r="C54" i="35"/>
  <c r="AD54" i="35"/>
  <c r="AN54" i="35"/>
  <c r="AO54" i="35"/>
  <c r="AC54" i="35"/>
  <c r="K54" i="35"/>
  <c r="AJ54" i="35"/>
  <c r="G54" i="35"/>
  <c r="I54" i="35"/>
  <c r="AE54" i="35"/>
  <c r="AB54" i="35"/>
  <c r="T54" i="35"/>
  <c r="Z54" i="35"/>
  <c r="O54" i="35"/>
  <c r="R52" i="35"/>
  <c r="P52" i="35"/>
  <c r="F52" i="35"/>
  <c r="Q53" i="35"/>
  <c r="E53" i="35"/>
  <c r="BM3" i="1"/>
  <c r="S52" i="35"/>
  <c r="M54" i="35"/>
  <c r="Q54" i="35"/>
  <c r="E54" i="35"/>
  <c r="J53" i="35"/>
  <c r="P53" i="35"/>
  <c r="F53" i="35"/>
  <c r="R53" i="35"/>
  <c r="AI55" i="35"/>
  <c r="AF55" i="35"/>
  <c r="L55" i="35"/>
  <c r="C55" i="35"/>
  <c r="AE55" i="35"/>
  <c r="T55" i="35"/>
  <c r="K55" i="35"/>
  <c r="AD55" i="35"/>
  <c r="AB55" i="35"/>
  <c r="G55" i="35"/>
  <c r="I55" i="35"/>
  <c r="AJ55" i="35"/>
  <c r="Z55" i="35"/>
  <c r="O55" i="35"/>
  <c r="AH55" i="35"/>
  <c r="B56" i="35"/>
  <c r="AC55" i="35"/>
  <c r="D55" i="35"/>
  <c r="W55" i="35"/>
  <c r="AN55" i="35"/>
  <c r="AO55" i="35"/>
  <c r="N55" i="35"/>
  <c r="AA52" i="35"/>
  <c r="Y52" i="35"/>
  <c r="V52" i="35"/>
  <c r="AU54" i="35"/>
  <c r="AV54" i="35"/>
  <c r="AW54" i="35"/>
  <c r="AG53" i="35"/>
  <c r="H54" i="35"/>
  <c r="S53" i="35"/>
  <c r="H55" i="35"/>
  <c r="AG55" i="35"/>
  <c r="AU55" i="35"/>
  <c r="AV55" i="35"/>
  <c r="AW55" i="35"/>
  <c r="J54" i="35"/>
  <c r="AG54" i="35"/>
  <c r="AI56" i="35"/>
  <c r="AD56" i="35"/>
  <c r="AN56" i="35"/>
  <c r="AO56" i="35"/>
  <c r="AC56" i="35"/>
  <c r="AB56" i="35"/>
  <c r="G56" i="35"/>
  <c r="I56" i="35"/>
  <c r="AH56" i="35"/>
  <c r="N56" i="35"/>
  <c r="B57" i="35"/>
  <c r="W56" i="35"/>
  <c r="D56" i="35"/>
  <c r="AF56" i="35"/>
  <c r="AE56" i="35"/>
  <c r="C56" i="35"/>
  <c r="Z56" i="35"/>
  <c r="O56" i="35"/>
  <c r="L56" i="35"/>
  <c r="K56" i="35"/>
  <c r="AJ56" i="35"/>
  <c r="T56" i="35"/>
  <c r="M55" i="35"/>
  <c r="AA53" i="35"/>
  <c r="Y53" i="35"/>
  <c r="V53" i="35"/>
  <c r="Q55" i="35"/>
  <c r="E55" i="35"/>
  <c r="R54" i="35"/>
  <c r="F54" i="35"/>
  <c r="P54" i="35"/>
  <c r="M56" i="35"/>
  <c r="AU56" i="35"/>
  <c r="AV56" i="35"/>
  <c r="AW56" i="35"/>
  <c r="AI57" i="35"/>
  <c r="AB57" i="35"/>
  <c r="G57" i="35"/>
  <c r="I57" i="35"/>
  <c r="AJ57" i="35"/>
  <c r="Z57" i="35"/>
  <c r="O57" i="35"/>
  <c r="AH57" i="35"/>
  <c r="N57" i="35"/>
  <c r="B58" i="35"/>
  <c r="AF57" i="35"/>
  <c r="L57" i="35"/>
  <c r="C57" i="35"/>
  <c r="AE57" i="35"/>
  <c r="T57" i="35"/>
  <c r="K57" i="35"/>
  <c r="AD57" i="35"/>
  <c r="D57" i="35"/>
  <c r="AC57" i="35"/>
  <c r="W57" i="35"/>
  <c r="AN57" i="35"/>
  <c r="AO57" i="35"/>
  <c r="AA54" i="35"/>
  <c r="Y54" i="35"/>
  <c r="V54" i="35"/>
  <c r="H56" i="35"/>
  <c r="AG56" i="35"/>
  <c r="S54" i="35"/>
  <c r="J55" i="35"/>
  <c r="Q56" i="35"/>
  <c r="E56" i="35"/>
  <c r="P55" i="35"/>
  <c r="F55" i="35"/>
  <c r="R55" i="35"/>
  <c r="BP18" i="1"/>
  <c r="BM2" i="1"/>
  <c r="BM17" i="1"/>
  <c r="BP13" i="1"/>
  <c r="BQ13" i="1"/>
  <c r="BP12" i="1"/>
  <c r="BQ12" i="1"/>
  <c r="BP11" i="1"/>
  <c r="BQ11" i="1"/>
  <c r="BP10" i="1"/>
  <c r="BQ10" i="1"/>
  <c r="BP9" i="1"/>
  <c r="BQ9" i="1"/>
  <c r="BP8" i="1"/>
  <c r="BQ8" i="1"/>
  <c r="BP7" i="1"/>
  <c r="BQ7" i="1"/>
  <c r="BP6" i="1"/>
  <c r="BQ6" i="1"/>
  <c r="BP5" i="1"/>
  <c r="BQ5" i="1"/>
  <c r="BP4" i="1"/>
  <c r="BQ4" i="1"/>
  <c r="BP3" i="1"/>
  <c r="BQ3" i="1"/>
  <c r="BP2" i="1"/>
  <c r="S55" i="35"/>
  <c r="M57" i="35"/>
  <c r="AU57" i="35"/>
  <c r="AV57" i="35"/>
  <c r="AW57" i="35"/>
  <c r="H57" i="35"/>
  <c r="AG57" i="35"/>
  <c r="R56" i="35"/>
  <c r="P56" i="35"/>
  <c r="S56" i="35"/>
  <c r="F56" i="35"/>
  <c r="AI58" i="35"/>
  <c r="AH58" i="35"/>
  <c r="N58" i="35"/>
  <c r="B59" i="35"/>
  <c r="W58" i="35"/>
  <c r="D58" i="35"/>
  <c r="AF58" i="35"/>
  <c r="L58" i="35"/>
  <c r="C58" i="35"/>
  <c r="AE58" i="35"/>
  <c r="T58" i="35"/>
  <c r="K58" i="35"/>
  <c r="AD58" i="35"/>
  <c r="AN58" i="35"/>
  <c r="AO58" i="35"/>
  <c r="AC58" i="35"/>
  <c r="G58" i="35"/>
  <c r="I58" i="35"/>
  <c r="AJ58" i="35"/>
  <c r="Z58" i="35"/>
  <c r="AB58" i="35"/>
  <c r="O58" i="35"/>
  <c r="AA55" i="35"/>
  <c r="Y55" i="35"/>
  <c r="V55" i="35"/>
  <c r="J56" i="35"/>
  <c r="Q57" i="35"/>
  <c r="E57" i="35"/>
  <c r="BQ2" i="1"/>
  <c r="BQ17" i="1"/>
  <c r="L6" i="24"/>
  <c r="L7" i="24"/>
  <c r="BP17" i="1"/>
  <c r="L4" i="24"/>
  <c r="BP14" i="1"/>
  <c r="BP16" i="1"/>
  <c r="BH13" i="1"/>
  <c r="M2" i="24"/>
  <c r="L5" i="24"/>
  <c r="M10" i="24"/>
  <c r="H58" i="35"/>
  <c r="AG58" i="35"/>
  <c r="J57" i="35"/>
  <c r="AI59" i="35"/>
  <c r="AF59" i="35"/>
  <c r="L59" i="35"/>
  <c r="C59" i="35"/>
  <c r="AE59" i="35"/>
  <c r="T59" i="35"/>
  <c r="K59" i="35"/>
  <c r="AD59" i="35"/>
  <c r="AN59" i="35"/>
  <c r="AO59" i="35"/>
  <c r="AC59" i="35"/>
  <c r="AB59" i="35"/>
  <c r="G59" i="35"/>
  <c r="I59" i="35"/>
  <c r="AJ59" i="35"/>
  <c r="Z59" i="35"/>
  <c r="O59" i="35"/>
  <c r="W59" i="35"/>
  <c r="B60" i="35"/>
  <c r="N59" i="35"/>
  <c r="AH59" i="35"/>
  <c r="D59" i="35"/>
  <c r="M58" i="35"/>
  <c r="Q58" i="35"/>
  <c r="E58" i="35"/>
  <c r="AA56" i="35"/>
  <c r="Y56" i="35"/>
  <c r="V56" i="35"/>
  <c r="AU58" i="35"/>
  <c r="AV58" i="35"/>
  <c r="AW58" i="35"/>
  <c r="P57" i="35"/>
  <c r="F57" i="35"/>
  <c r="R57" i="35"/>
  <c r="BQ14" i="1"/>
  <c r="BQ16" i="1"/>
  <c r="L9" i="24"/>
  <c r="L8" i="24"/>
  <c r="M1" i="24"/>
  <c r="BH12" i="1"/>
  <c r="S57" i="35"/>
  <c r="M59" i="35"/>
  <c r="R58" i="35"/>
  <c r="F58" i="35"/>
  <c r="P58" i="35"/>
  <c r="Q59" i="35"/>
  <c r="E59" i="35"/>
  <c r="H59" i="35"/>
  <c r="AG59" i="35"/>
  <c r="J58" i="35"/>
  <c r="AA57" i="35"/>
  <c r="Y57" i="35"/>
  <c r="V57" i="35"/>
  <c r="AI60" i="35"/>
  <c r="AD60" i="35"/>
  <c r="AN60" i="35"/>
  <c r="AO60" i="35"/>
  <c r="AC60" i="35"/>
  <c r="AB60" i="35"/>
  <c r="G60" i="35"/>
  <c r="I60" i="35"/>
  <c r="AJ60" i="35"/>
  <c r="Z60" i="35"/>
  <c r="O60" i="35"/>
  <c r="AH60" i="35"/>
  <c r="N60" i="35"/>
  <c r="B61" i="35"/>
  <c r="W60" i="35"/>
  <c r="D60" i="35"/>
  <c r="L60" i="35"/>
  <c r="K60" i="35"/>
  <c r="C60" i="35"/>
  <c r="AE60" i="35"/>
  <c r="AF60" i="35"/>
  <c r="T60" i="35"/>
  <c r="AU59" i="35"/>
  <c r="AV59" i="35"/>
  <c r="AW59" i="35"/>
  <c r="BH11" i="1"/>
  <c r="BH10" i="1"/>
  <c r="M60" i="35"/>
  <c r="R59" i="35"/>
  <c r="P59" i="35"/>
  <c r="F59" i="35"/>
  <c r="J59" i="35"/>
  <c r="Q60" i="35"/>
  <c r="E60" i="35"/>
  <c r="AA58" i="35"/>
  <c r="Y58" i="35"/>
  <c r="V58" i="35"/>
  <c r="AI61" i="35"/>
  <c r="AB61" i="35"/>
  <c r="G61" i="35"/>
  <c r="I61" i="35"/>
  <c r="AJ61" i="35"/>
  <c r="Z61" i="35"/>
  <c r="O61" i="35"/>
  <c r="AH61" i="35"/>
  <c r="N61" i="35"/>
  <c r="B62" i="35"/>
  <c r="W61" i="35"/>
  <c r="D61" i="35"/>
  <c r="AF61" i="35"/>
  <c r="L61" i="35"/>
  <c r="C61" i="35"/>
  <c r="AE61" i="35"/>
  <c r="T61" i="35"/>
  <c r="K61" i="35"/>
  <c r="AN61" i="35"/>
  <c r="AO61" i="35"/>
  <c r="AD61" i="35"/>
  <c r="AC61" i="35"/>
  <c r="S58" i="35"/>
  <c r="H60" i="35"/>
  <c r="AG60" i="35"/>
  <c r="AU60" i="35"/>
  <c r="AV60" i="35"/>
  <c r="AW60" i="35"/>
  <c r="BI10" i="1"/>
  <c r="S59" i="35"/>
  <c r="M61" i="35"/>
  <c r="R60" i="35"/>
  <c r="P60" i="35"/>
  <c r="F60" i="35"/>
  <c r="J60" i="35"/>
  <c r="AI62" i="35"/>
  <c r="AH62" i="35"/>
  <c r="N62" i="35"/>
  <c r="B63" i="35"/>
  <c r="W62" i="35"/>
  <c r="D62" i="35"/>
  <c r="AF62" i="35"/>
  <c r="L62" i="35"/>
  <c r="C62" i="35"/>
  <c r="AE62" i="35"/>
  <c r="T62" i="35"/>
  <c r="K62" i="35"/>
  <c r="AD62" i="35"/>
  <c r="AN62" i="35"/>
  <c r="AO62" i="35"/>
  <c r="AC62" i="35"/>
  <c r="Z62" i="35"/>
  <c r="O62" i="35"/>
  <c r="G62" i="35"/>
  <c r="I62" i="35"/>
  <c r="AJ62" i="35"/>
  <c r="AB62" i="35"/>
  <c r="H61" i="35"/>
  <c r="AG61" i="35"/>
  <c r="AA59" i="35"/>
  <c r="Y59" i="35"/>
  <c r="V59" i="35"/>
  <c r="Q61" i="35"/>
  <c r="E61" i="35"/>
  <c r="AU61" i="35"/>
  <c r="AV61" i="35"/>
  <c r="AW61" i="35"/>
  <c r="BH9" i="1"/>
  <c r="S60" i="35"/>
  <c r="M62" i="35"/>
  <c r="AI63" i="35"/>
  <c r="AF63" i="35"/>
  <c r="L63" i="35"/>
  <c r="C63" i="35"/>
  <c r="AE63" i="35"/>
  <c r="T63" i="35"/>
  <c r="K63" i="35"/>
  <c r="AD63" i="35"/>
  <c r="AN63" i="35"/>
  <c r="AO63" i="35"/>
  <c r="AC63" i="35"/>
  <c r="AB63" i="35"/>
  <c r="G63" i="35"/>
  <c r="I63" i="35"/>
  <c r="AJ63" i="35"/>
  <c r="Z63" i="35"/>
  <c r="O63" i="35"/>
  <c r="D63" i="35"/>
  <c r="AH63" i="35"/>
  <c r="W63" i="35"/>
  <c r="N63" i="35"/>
  <c r="AT2" i="35"/>
  <c r="AL2" i="35"/>
  <c r="AR2" i="35"/>
  <c r="AP63" i="35"/>
  <c r="AD2" i="35"/>
  <c r="AS2" i="35"/>
  <c r="AA60" i="35"/>
  <c r="Y60" i="35"/>
  <c r="V60" i="35"/>
  <c r="J61" i="35"/>
  <c r="Q62" i="35"/>
  <c r="E62" i="35"/>
  <c r="P61" i="35"/>
  <c r="F61" i="35"/>
  <c r="R61" i="35"/>
  <c r="H62" i="35"/>
  <c r="AU62" i="35"/>
  <c r="AV62" i="35"/>
  <c r="AW62" i="35"/>
  <c r="BI9" i="1"/>
  <c r="BI17" i="1"/>
  <c r="S61" i="35"/>
  <c r="AR63" i="35"/>
  <c r="AR18" i="35"/>
  <c r="AT18" i="35"/>
  <c r="AR19" i="35"/>
  <c r="AT19" i="35"/>
  <c r="AQ63" i="35"/>
  <c r="AQ18" i="35"/>
  <c r="AQ19" i="35"/>
  <c r="AS18" i="35"/>
  <c r="AS19" i="35"/>
  <c r="AP18" i="35"/>
  <c r="AP19" i="35"/>
  <c r="AM18" i="35"/>
  <c r="AM19" i="35"/>
  <c r="AM20" i="35"/>
  <c r="AM63" i="35"/>
  <c r="AM59" i="35"/>
  <c r="AM52" i="35"/>
  <c r="AM21" i="35"/>
  <c r="AM45" i="35"/>
  <c r="AM40" i="35"/>
  <c r="AM57" i="35"/>
  <c r="AM41" i="35"/>
  <c r="AM60" i="35"/>
  <c r="AM23" i="35"/>
  <c r="AM48" i="35"/>
  <c r="AM25" i="35"/>
  <c r="AM31" i="35"/>
  <c r="AM46" i="35"/>
  <c r="AM35" i="35"/>
  <c r="AM55" i="35"/>
  <c r="AM62" i="35"/>
  <c r="AM49" i="35"/>
  <c r="AM22" i="35"/>
  <c r="AM50" i="35"/>
  <c r="AM54" i="35"/>
  <c r="AM29" i="35"/>
  <c r="AM44" i="35"/>
  <c r="AM34" i="35"/>
  <c r="AM26" i="35"/>
  <c r="AM30" i="35"/>
  <c r="AM56" i="35"/>
  <c r="AM47" i="35"/>
  <c r="AM33" i="35"/>
  <c r="AM36" i="35"/>
  <c r="AM51" i="35"/>
  <c r="AM32" i="35"/>
  <c r="AM58" i="35"/>
  <c r="AM42" i="35"/>
  <c r="AM37" i="35"/>
  <c r="AM38" i="35"/>
  <c r="AM39" i="35"/>
  <c r="AM27" i="35"/>
  <c r="AM61" i="35"/>
  <c r="AM28" i="35"/>
  <c r="AM43" i="35"/>
  <c r="AM24" i="35"/>
  <c r="AM53" i="35"/>
  <c r="J62" i="35"/>
  <c r="AA61" i="35"/>
  <c r="Y61" i="35"/>
  <c r="V61" i="35"/>
  <c r="R62" i="35"/>
  <c r="P62" i="35"/>
  <c r="F62" i="35"/>
  <c r="Q63" i="35"/>
  <c r="E63" i="35"/>
  <c r="AY2" i="35"/>
  <c r="AZ2" i="35"/>
  <c r="P1" i="35"/>
  <c r="P2" i="35"/>
  <c r="AP20" i="35"/>
  <c r="AP21" i="35"/>
  <c r="AP22" i="35"/>
  <c r="AP23" i="35"/>
  <c r="AP24" i="35"/>
  <c r="AP25" i="35"/>
  <c r="AP26" i="35"/>
  <c r="AP27" i="35"/>
  <c r="AP28" i="35"/>
  <c r="AP29" i="35"/>
  <c r="AP30" i="35"/>
  <c r="AP31" i="35"/>
  <c r="AP32" i="35"/>
  <c r="AP33" i="35"/>
  <c r="AP34" i="35"/>
  <c r="AP35" i="35"/>
  <c r="AP36" i="35"/>
  <c r="AP37" i="35"/>
  <c r="AP38" i="35"/>
  <c r="AP39" i="35"/>
  <c r="AP40" i="35"/>
  <c r="AP41" i="35"/>
  <c r="AP42" i="35"/>
  <c r="AP43" i="35"/>
  <c r="AP44" i="35"/>
  <c r="AP45" i="35"/>
  <c r="AP46" i="35"/>
  <c r="AP47" i="35"/>
  <c r="AP48" i="35"/>
  <c r="AP49" i="35"/>
  <c r="AP50" i="35"/>
  <c r="AP51" i="35"/>
  <c r="AP52" i="35"/>
  <c r="AP53" i="35"/>
  <c r="AP54" i="35"/>
  <c r="AP55" i="35"/>
  <c r="AP56" i="35"/>
  <c r="AP57" i="35"/>
  <c r="AP58" i="35"/>
  <c r="AP59" i="35"/>
  <c r="AP60" i="35"/>
  <c r="AP61" i="35"/>
  <c r="AP62" i="35"/>
  <c r="AG62" i="35"/>
  <c r="H63" i="35"/>
  <c r="AG63" i="35"/>
  <c r="AQ20" i="35"/>
  <c r="AS20" i="35"/>
  <c r="AQ21" i="35"/>
  <c r="AQ22" i="35"/>
  <c r="AS21" i="35"/>
  <c r="AQ23" i="35"/>
  <c r="AS22" i="35"/>
  <c r="AQ24" i="35"/>
  <c r="AS23" i="35"/>
  <c r="AS24" i="35"/>
  <c r="AQ25" i="35"/>
  <c r="AS25" i="35"/>
  <c r="AQ26" i="35"/>
  <c r="AS26" i="35"/>
  <c r="AQ27" i="35"/>
  <c r="AS27" i="35"/>
  <c r="AQ28" i="35"/>
  <c r="AQ29" i="35"/>
  <c r="AS28" i="35"/>
  <c r="AS29" i="35"/>
  <c r="AQ30" i="35"/>
  <c r="AQ31" i="35"/>
  <c r="AS30" i="35"/>
  <c r="AQ32" i="35"/>
  <c r="AS31" i="35"/>
  <c r="AQ33" i="35"/>
  <c r="AS32" i="35"/>
  <c r="AQ34" i="35"/>
  <c r="AS33" i="35"/>
  <c r="AQ35" i="35"/>
  <c r="AS34" i="35"/>
  <c r="AS35" i="35"/>
  <c r="AQ36" i="35"/>
  <c r="AS36" i="35"/>
  <c r="AQ37" i="35"/>
  <c r="AQ38" i="35"/>
  <c r="AS37" i="35"/>
  <c r="AS38" i="35"/>
  <c r="AQ39" i="35"/>
  <c r="AS39" i="35"/>
  <c r="AQ40" i="35"/>
  <c r="AS40" i="35"/>
  <c r="AQ41" i="35"/>
  <c r="AS41" i="35"/>
  <c r="AQ42" i="35"/>
  <c r="AQ43" i="35"/>
  <c r="AS42" i="35"/>
  <c r="AQ44" i="35"/>
  <c r="AS43" i="35"/>
  <c r="AS44" i="35"/>
  <c r="AQ45" i="35"/>
  <c r="AQ46" i="35"/>
  <c r="AS45" i="35"/>
  <c r="AQ47" i="35"/>
  <c r="AS46" i="35"/>
  <c r="AS47" i="35"/>
  <c r="AQ48" i="35"/>
  <c r="AS48" i="35"/>
  <c r="AQ49" i="35"/>
  <c r="AQ50" i="35"/>
  <c r="AS49" i="35"/>
  <c r="AQ51" i="35"/>
  <c r="AS50" i="35"/>
  <c r="AS51" i="35"/>
  <c r="AQ52" i="35"/>
  <c r="AQ53" i="35"/>
  <c r="AS52" i="35"/>
  <c r="AS53" i="35"/>
  <c r="AQ54" i="35"/>
  <c r="AS54" i="35"/>
  <c r="AQ55" i="35"/>
  <c r="AS55" i="35"/>
  <c r="AQ56" i="35"/>
  <c r="AS56" i="35"/>
  <c r="AQ57" i="35"/>
  <c r="AS57" i="35"/>
  <c r="AQ58" i="35"/>
  <c r="AS58" i="35"/>
  <c r="AQ59" i="35"/>
  <c r="AQ60" i="35"/>
  <c r="AS59" i="35"/>
  <c r="AQ61" i="35"/>
  <c r="AS60" i="35"/>
  <c r="AQ62" i="35"/>
  <c r="AS61" i="35"/>
  <c r="AU63" i="35"/>
  <c r="AV63" i="35"/>
  <c r="AW63" i="35"/>
  <c r="AS62" i="35"/>
  <c r="M63" i="35"/>
  <c r="AR20" i="35"/>
  <c r="AT20" i="35"/>
  <c r="AR21" i="35"/>
  <c r="AT21" i="35"/>
  <c r="AR22" i="35"/>
  <c r="AT22" i="35"/>
  <c r="AR23" i="35"/>
  <c r="AT23" i="35"/>
  <c r="AR24" i="35"/>
  <c r="AT24" i="35"/>
  <c r="AR25" i="35"/>
  <c r="AT25" i="35"/>
  <c r="AR26" i="35"/>
  <c r="AT26" i="35"/>
  <c r="AR27" i="35"/>
  <c r="AT27" i="35"/>
  <c r="AR28" i="35"/>
  <c r="AT28" i="35"/>
  <c r="AR29" i="35"/>
  <c r="AT29" i="35"/>
  <c r="AR30" i="35"/>
  <c r="AT30" i="35"/>
  <c r="AR31" i="35"/>
  <c r="AT31" i="35"/>
  <c r="AR32" i="35"/>
  <c r="AT32" i="35"/>
  <c r="AR33" i="35"/>
  <c r="AT33" i="35"/>
  <c r="AR34" i="35"/>
  <c r="AT34" i="35"/>
  <c r="AR35" i="35"/>
  <c r="AT35" i="35"/>
  <c r="AR36" i="35"/>
  <c r="AT36" i="35"/>
  <c r="AR37" i="35"/>
  <c r="AT37" i="35"/>
  <c r="AR38" i="35"/>
  <c r="AT38" i="35"/>
  <c r="AR39" i="35"/>
  <c r="AT39" i="35"/>
  <c r="AR40" i="35"/>
  <c r="AT40" i="35"/>
  <c r="AR41" i="35"/>
  <c r="AT41" i="35"/>
  <c r="AR42" i="35"/>
  <c r="AT42" i="35"/>
  <c r="AR43" i="35"/>
  <c r="AT43" i="35"/>
  <c r="AR44" i="35"/>
  <c r="AT44" i="35"/>
  <c r="AR45" i="35"/>
  <c r="AT45" i="35"/>
  <c r="AR46" i="35"/>
  <c r="AT46" i="35"/>
  <c r="AR47" i="35"/>
  <c r="AT47" i="35"/>
  <c r="AR48" i="35"/>
  <c r="AT48" i="35"/>
  <c r="AR49" i="35"/>
  <c r="AT49" i="35"/>
  <c r="AR50" i="35"/>
  <c r="AT50" i="35"/>
  <c r="AR51" i="35"/>
  <c r="AT51" i="35"/>
  <c r="AR52" i="35"/>
  <c r="AT52" i="35"/>
  <c r="AR53" i="35"/>
  <c r="AT53" i="35"/>
  <c r="AR54" i="35"/>
  <c r="AT54" i="35"/>
  <c r="AR55" i="35"/>
  <c r="AT55" i="35"/>
  <c r="AR56" i="35"/>
  <c r="AT56" i="35"/>
  <c r="AR57" i="35"/>
  <c r="AT57" i="35"/>
  <c r="AR58" i="35"/>
  <c r="AT58" i="35"/>
  <c r="AR59" i="35"/>
  <c r="AT59" i="35"/>
  <c r="AR60" i="35"/>
  <c r="AT60" i="35"/>
  <c r="AR61" i="35"/>
  <c r="AT61" i="35"/>
  <c r="AR62" i="35"/>
  <c r="AT62" i="35"/>
  <c r="BH8" i="1"/>
  <c r="AY46" i="35"/>
  <c r="S62" i="35"/>
  <c r="AY19" i="35"/>
  <c r="AY40" i="35"/>
  <c r="AY27" i="35"/>
  <c r="AY47" i="35"/>
  <c r="AY45" i="35"/>
  <c r="AY53" i="35"/>
  <c r="AY37" i="35"/>
  <c r="AY56" i="35"/>
  <c r="AY22" i="35"/>
  <c r="AY48" i="35"/>
  <c r="AY52" i="35"/>
  <c r="AY34" i="35"/>
  <c r="AY31" i="35"/>
  <c r="AY25" i="35"/>
  <c r="AY24" i="35"/>
  <c r="AY42" i="35"/>
  <c r="AY30" i="35"/>
  <c r="AY49" i="35"/>
  <c r="AY23" i="35"/>
  <c r="AY59" i="35"/>
  <c r="AY36" i="35"/>
  <c r="AY39" i="35"/>
  <c r="AY60" i="35"/>
  <c r="AY50" i="35"/>
  <c r="AY58" i="35"/>
  <c r="AY26" i="35"/>
  <c r="AY33" i="35"/>
  <c r="AY38" i="35"/>
  <c r="AY21" i="35"/>
  <c r="AY28" i="35"/>
  <c r="AY32" i="35"/>
  <c r="AY55" i="35"/>
  <c r="AY41" i="35"/>
  <c r="AY20" i="35"/>
  <c r="AX18" i="35"/>
  <c r="AY18" i="35"/>
  <c r="AX19" i="35"/>
  <c r="AX20" i="35"/>
  <c r="AX21" i="35"/>
  <c r="AX22" i="35"/>
  <c r="AX23" i="35"/>
  <c r="AX24" i="35"/>
  <c r="AX25" i="35"/>
  <c r="AX26" i="35"/>
  <c r="AX27" i="35"/>
  <c r="AX28" i="35"/>
  <c r="AX29" i="35"/>
  <c r="AX30" i="35"/>
  <c r="AX31" i="35"/>
  <c r="AX32" i="35"/>
  <c r="AX33" i="35"/>
  <c r="AX34" i="35"/>
  <c r="AX35" i="35"/>
  <c r="AX36" i="35"/>
  <c r="AX37" i="35"/>
  <c r="AX38" i="35"/>
  <c r="AX39" i="35"/>
  <c r="AX40" i="35"/>
  <c r="AX41" i="35"/>
  <c r="AX42" i="35"/>
  <c r="AX43" i="35"/>
  <c r="AX44" i="35"/>
  <c r="AX45" i="35"/>
  <c r="AX46" i="35"/>
  <c r="AX47" i="35"/>
  <c r="AX48" i="35"/>
  <c r="AX49" i="35"/>
  <c r="AX50" i="35"/>
  <c r="AX51" i="35"/>
  <c r="AX52" i="35"/>
  <c r="AX53" i="35"/>
  <c r="AX54" i="35"/>
  <c r="AX55" i="35"/>
  <c r="AX56" i="35"/>
  <c r="AX57" i="35"/>
  <c r="AX58" i="35"/>
  <c r="AX59" i="35"/>
  <c r="AX60" i="35"/>
  <c r="AX61" i="35"/>
  <c r="AX62" i="35"/>
  <c r="AY54" i="35"/>
  <c r="AY29" i="35"/>
  <c r="AY61" i="35"/>
  <c r="AY51" i="35"/>
  <c r="AY44" i="35"/>
  <c r="AY35" i="35"/>
  <c r="AY57" i="35"/>
  <c r="AY43" i="35"/>
  <c r="AY62" i="35"/>
  <c r="AS63" i="35"/>
  <c r="AX63" i="35"/>
  <c r="AT63" i="35"/>
  <c r="AY63" i="35"/>
  <c r="R63" i="35"/>
  <c r="P63" i="35"/>
  <c r="F63" i="35"/>
  <c r="J63" i="35"/>
  <c r="AA62" i="35"/>
  <c r="Y62" i="35"/>
  <c r="V62" i="35"/>
  <c r="BH7" i="1"/>
  <c r="S63" i="35"/>
  <c r="AA63" i="35"/>
  <c r="Y63" i="35"/>
  <c r="V63" i="35"/>
  <c r="BH6" i="1"/>
  <c r="BJ5" i="1"/>
  <c r="BJ17" i="1"/>
  <c r="BH5" i="1"/>
  <c r="BH4" i="1"/>
  <c r="BH17" i="1"/>
  <c r="BK13" i="1"/>
  <c r="BL13" i="1"/>
  <c r="BK12" i="1"/>
  <c r="BL12" i="1"/>
  <c r="BK11" i="1"/>
  <c r="BL11" i="1"/>
  <c r="BK10" i="1"/>
  <c r="BL10" i="1"/>
  <c r="BK9" i="1"/>
  <c r="BL9" i="1"/>
  <c r="BK8" i="1"/>
  <c r="BL8" i="1"/>
  <c r="BK7" i="1"/>
  <c r="BL7" i="1"/>
  <c r="BK6" i="1"/>
  <c r="BL6" i="1"/>
  <c r="BK5" i="1"/>
  <c r="BL5" i="1"/>
  <c r="BK4" i="1"/>
  <c r="BL4" i="1"/>
  <c r="BK3" i="1"/>
  <c r="BL3" i="1"/>
  <c r="BK2" i="1"/>
  <c r="BL2" i="1"/>
  <c r="BL17" i="1"/>
  <c r="K6" i="24"/>
  <c r="K7" i="24"/>
  <c r="BK17" i="1"/>
  <c r="K4" i="24"/>
  <c r="BK14" i="1"/>
  <c r="BK16" i="1"/>
  <c r="BF11" i="1"/>
  <c r="L2" i="24"/>
  <c r="K5" i="24"/>
  <c r="L10" i="24"/>
  <c r="BL14" i="1"/>
  <c r="BL16" i="1"/>
  <c r="K8" i="24"/>
  <c r="L1" i="24"/>
  <c r="BF13" i="1"/>
  <c r="BG13" i="1"/>
  <c r="BF12" i="1"/>
  <c r="BG12" i="1"/>
  <c r="BF10" i="1"/>
  <c r="BG10" i="1"/>
  <c r="BF9" i="1"/>
  <c r="BG9" i="1"/>
  <c r="BF8" i="1"/>
  <c r="BG8" i="1"/>
  <c r="BF7" i="1"/>
  <c r="BF6" i="1"/>
  <c r="BG6" i="1"/>
  <c r="BF5" i="1"/>
  <c r="BG5" i="1"/>
  <c r="BF4" i="1"/>
  <c r="BG4" i="1"/>
  <c r="BF3" i="1"/>
  <c r="BG3" i="1"/>
  <c r="BF2" i="1"/>
  <c r="BG2" i="1"/>
  <c r="BF17" i="1"/>
  <c r="J4" i="24"/>
  <c r="BF20" i="1"/>
  <c r="BG7" i="1"/>
  <c r="K2" i="24"/>
  <c r="J5" i="24"/>
  <c r="K10" i="24"/>
  <c r="BG14" i="1"/>
  <c r="BG16" i="1"/>
  <c r="J9" i="24"/>
  <c r="K1" i="24"/>
  <c r="BG17" i="1"/>
  <c r="J6" i="24"/>
  <c r="B19" i="19"/>
  <c r="E4" i="19"/>
  <c r="E5" i="19"/>
  <c r="H3" i="19"/>
  <c r="H4" i="19"/>
  <c r="J8" i="24"/>
  <c r="J7" i="24"/>
  <c r="B20" i="19"/>
  <c r="E10" i="19"/>
  <c r="E11" i="19"/>
  <c r="H11" i="19"/>
  <c r="H12" i="19"/>
  <c r="H6" i="19"/>
  <c r="H7" i="19"/>
  <c r="AR8" i="1"/>
  <c r="AR17" i="1"/>
  <c r="AV6" i="1"/>
  <c r="AX6" i="1"/>
  <c r="AW23" i="1"/>
  <c r="AV5" i="1"/>
  <c r="AX5" i="1"/>
  <c r="AV3" i="1"/>
  <c r="AX3" i="1"/>
  <c r="AV2" i="1"/>
  <c r="AZ5" i="1"/>
  <c r="BB5" i="1"/>
  <c r="BA22" i="1"/>
  <c r="AZ10" i="1"/>
  <c r="BB10" i="1"/>
  <c r="AZ8" i="1"/>
  <c r="BB8" i="1"/>
  <c r="BA18" i="1"/>
  <c r="AU10" i="1"/>
  <c r="AU17" i="1"/>
  <c r="AM12" i="1"/>
  <c r="AK10" i="1"/>
  <c r="AK17" i="1"/>
  <c r="AF13" i="1"/>
  <c r="AH13" i="1"/>
  <c r="AC6" i="1"/>
  <c r="AQ10" i="1"/>
  <c r="AT10" i="1"/>
  <c r="AQ5" i="1"/>
  <c r="AJ11" i="1"/>
  <c r="AL11" i="1"/>
  <c r="AJ12" i="1"/>
  <c r="AL12" i="1"/>
  <c r="AJ9" i="1"/>
  <c r="BB13" i="1"/>
  <c r="AX13" i="1"/>
  <c r="AT13" i="1"/>
  <c r="AP13" i="1"/>
  <c r="AL13" i="1"/>
  <c r="AE13" i="1"/>
  <c r="BB12" i="1"/>
  <c r="AX12" i="1"/>
  <c r="AT12" i="1"/>
  <c r="AH12" i="1"/>
  <c r="AE12" i="1"/>
  <c r="BB11" i="1"/>
  <c r="AX11" i="1"/>
  <c r="AT11" i="1"/>
  <c r="AP11" i="1"/>
  <c r="AH11" i="1"/>
  <c r="AE11" i="1"/>
  <c r="AP10" i="1"/>
  <c r="AL10" i="1"/>
  <c r="AH10" i="1"/>
  <c r="AE10" i="1"/>
  <c r="BB9" i="1"/>
  <c r="AX9" i="1"/>
  <c r="AT9" i="1"/>
  <c r="AP9" i="1"/>
  <c r="AH9" i="1"/>
  <c r="AE9" i="1"/>
  <c r="AX8" i="1"/>
  <c r="AP8" i="1"/>
  <c r="AL8" i="1"/>
  <c r="AF8" i="1"/>
  <c r="AE8" i="1"/>
  <c r="BB7" i="1"/>
  <c r="AX7" i="1"/>
  <c r="AT7" i="1"/>
  <c r="AP7" i="1"/>
  <c r="AL7" i="1"/>
  <c r="AH7" i="1"/>
  <c r="AE7" i="1"/>
  <c r="BB6" i="1"/>
  <c r="AT6" i="1"/>
  <c r="AP6" i="1"/>
  <c r="AL6" i="1"/>
  <c r="AH6" i="1"/>
  <c r="AP5" i="1"/>
  <c r="AL5" i="1"/>
  <c r="AH5" i="1"/>
  <c r="AE5" i="1"/>
  <c r="BB4" i="1"/>
  <c r="AX4" i="1"/>
  <c r="AT4" i="1"/>
  <c r="AP4" i="1"/>
  <c r="AL4" i="1"/>
  <c r="AH4" i="1"/>
  <c r="BB3" i="1"/>
  <c r="AT3" i="1"/>
  <c r="AP3" i="1"/>
  <c r="AL3" i="1"/>
  <c r="AH3" i="1"/>
  <c r="BB2" i="1"/>
  <c r="AT2" i="1"/>
  <c r="AP2" i="1"/>
  <c r="AL2" i="1"/>
  <c r="AH2" i="1"/>
  <c r="AT8" i="1"/>
  <c r="AJ17" i="1"/>
  <c r="AZ17" i="1"/>
  <c r="AX2" i="1"/>
  <c r="AV17" i="1"/>
  <c r="AT5" i="1"/>
  <c r="AQ17" i="1"/>
  <c r="AL9" i="1"/>
  <c r="AL14" i="1"/>
  <c r="AL16" i="1"/>
  <c r="AH8" i="1"/>
  <c r="AH14" i="1"/>
  <c r="AH16" i="1"/>
  <c r="AF17" i="1"/>
  <c r="AX10" i="1"/>
  <c r="AE6" i="1"/>
  <c r="AE14" i="1"/>
  <c r="AE16" i="1"/>
  <c r="AC17" i="1"/>
  <c r="AT17" i="1"/>
  <c r="G4" i="24"/>
  <c r="AP12" i="1"/>
  <c r="AP14" i="1"/>
  <c r="AP16" i="1"/>
  <c r="AM17" i="1"/>
  <c r="BB17" i="1"/>
  <c r="I4" i="24"/>
  <c r="BF14" i="1"/>
  <c r="BF16" i="1"/>
  <c r="BB14" i="1"/>
  <c r="BB16" i="1"/>
  <c r="AT14" i="1"/>
  <c r="AT16" i="1"/>
  <c r="J2" i="24"/>
  <c r="I5" i="24"/>
  <c r="J10" i="24"/>
  <c r="G5" i="24"/>
  <c r="AX14" i="1"/>
  <c r="AX16" i="1"/>
  <c r="AE17" i="1"/>
  <c r="AH17" i="1"/>
  <c r="D4" i="24"/>
  <c r="G8" i="24"/>
  <c r="I8" i="24"/>
  <c r="J1" i="24"/>
  <c r="AP17" i="1"/>
  <c r="F4" i="24"/>
  <c r="AL17" i="1"/>
  <c r="E4" i="24"/>
  <c r="AX17" i="1"/>
  <c r="H4" i="24"/>
  <c r="Z12" i="1"/>
  <c r="Z11" i="1"/>
  <c r="Z10" i="1"/>
  <c r="Z9" i="1"/>
  <c r="Z8" i="1"/>
  <c r="Z7" i="1"/>
  <c r="Z6" i="1"/>
  <c r="Z5" i="1"/>
  <c r="Z4" i="1"/>
  <c r="Z3" i="1"/>
  <c r="Z2" i="1"/>
  <c r="Z1" i="1"/>
  <c r="R9" i="1"/>
  <c r="C4" i="24"/>
  <c r="G10" i="24"/>
  <c r="F2" i="24"/>
  <c r="I10" i="24"/>
  <c r="H2" i="24"/>
  <c r="I2" i="24"/>
  <c r="E2" i="24"/>
  <c r="G2" i="24"/>
  <c r="F5" i="24"/>
  <c r="F10" i="24"/>
  <c r="E5" i="24"/>
  <c r="E10" i="24"/>
  <c r="H5" i="24"/>
  <c r="H10" i="24"/>
  <c r="D8" i="24"/>
  <c r="D5" i="24"/>
  <c r="F1" i="24"/>
  <c r="F8" i="24"/>
  <c r="G1" i="24"/>
  <c r="E1" i="24"/>
  <c r="E8" i="24"/>
  <c r="H8" i="24"/>
  <c r="H1" i="24"/>
  <c r="I1" i="24"/>
  <c r="Z13" i="1"/>
  <c r="P7" i="1"/>
  <c r="Q7" i="1"/>
  <c r="S5" i="1"/>
  <c r="T5" i="1"/>
  <c r="V4" i="1"/>
  <c r="W4" i="1"/>
  <c r="I13" i="1"/>
  <c r="H13" i="1"/>
  <c r="G13" i="1"/>
  <c r="W12" i="1"/>
  <c r="T12" i="1"/>
  <c r="Q12" i="1"/>
  <c r="N12" i="1"/>
  <c r="K12" i="1"/>
  <c r="W11" i="1"/>
  <c r="T11" i="1"/>
  <c r="Q11" i="1"/>
  <c r="N11" i="1"/>
  <c r="K11" i="1"/>
  <c r="W10" i="1"/>
  <c r="T10" i="1"/>
  <c r="Q10" i="1"/>
  <c r="N10" i="1"/>
  <c r="K10" i="1"/>
  <c r="W9" i="1"/>
  <c r="T9" i="1"/>
  <c r="Q9" i="1"/>
  <c r="N9" i="1"/>
  <c r="K9" i="1"/>
  <c r="W8" i="1"/>
  <c r="T8" i="1"/>
  <c r="Q8" i="1"/>
  <c r="N8" i="1"/>
  <c r="K8" i="1"/>
  <c r="W7" i="1"/>
  <c r="T7" i="1"/>
  <c r="N7" i="1"/>
  <c r="K7" i="1"/>
  <c r="W6" i="1"/>
  <c r="T6" i="1"/>
  <c r="Q6" i="1"/>
  <c r="N6" i="1"/>
  <c r="K6" i="1"/>
  <c r="W5" i="1"/>
  <c r="Q5" i="1"/>
  <c r="N5" i="1"/>
  <c r="K5" i="1"/>
  <c r="T4" i="1"/>
  <c r="Q4" i="1"/>
  <c r="N4" i="1"/>
  <c r="W3" i="1"/>
  <c r="T3" i="1"/>
  <c r="Q3" i="1"/>
  <c r="N3" i="1"/>
  <c r="W2" i="1"/>
  <c r="T2" i="1"/>
  <c r="Q2" i="1"/>
  <c r="N2" i="1"/>
  <c r="W1" i="1"/>
  <c r="T1" i="1"/>
  <c r="Q1" i="1"/>
  <c r="N1" i="1"/>
  <c r="H2" i="7"/>
  <c r="H3" i="7"/>
  <c r="H4" i="7"/>
  <c r="H5" i="7"/>
  <c r="H6" i="7"/>
  <c r="H7" i="7"/>
  <c r="H8" i="7"/>
  <c r="H9" i="7"/>
  <c r="H10" i="7"/>
  <c r="H11" i="7"/>
  <c r="H12" i="7"/>
  <c r="H13" i="7"/>
  <c r="H14" i="7"/>
  <c r="H15" i="7"/>
  <c r="H16" i="7"/>
  <c r="H17" i="7"/>
  <c r="H18" i="7"/>
  <c r="H19" i="7"/>
  <c r="H20" i="7"/>
  <c r="H21" i="7"/>
  <c r="H22" i="7"/>
  <c r="H23" i="7"/>
  <c r="H24" i="7"/>
  <c r="H25" i="7"/>
  <c r="H26" i="7"/>
  <c r="H27" i="7"/>
  <c r="H28" i="7"/>
  <c r="H29" i="7"/>
  <c r="H30" i="7"/>
  <c r="H31" i="7"/>
  <c r="H32" i="7"/>
  <c r="H33" i="7"/>
  <c r="H34" i="7"/>
  <c r="H35" i="7"/>
  <c r="H36" i="7"/>
  <c r="H37" i="7"/>
  <c r="H38" i="7"/>
  <c r="H39" i="7"/>
  <c r="H40" i="7"/>
  <c r="H41" i="7"/>
  <c r="H42" i="7"/>
  <c r="H43" i="7"/>
  <c r="H44" i="7"/>
  <c r="H45" i="7"/>
  <c r="H46" i="7"/>
  <c r="H47" i="7"/>
  <c r="H48" i="7"/>
  <c r="H49" i="7"/>
  <c r="H50" i="7"/>
  <c r="H51" i="7"/>
  <c r="H52" i="7"/>
  <c r="H53" i="7"/>
  <c r="H54" i="7"/>
  <c r="H55" i="7"/>
  <c r="H56" i="7"/>
  <c r="H57" i="7"/>
  <c r="H58" i="7"/>
  <c r="H59" i="7"/>
  <c r="H60" i="7"/>
  <c r="H61" i="7"/>
  <c r="H62" i="7"/>
  <c r="H63" i="7"/>
  <c r="H64" i="7"/>
  <c r="H65" i="7"/>
  <c r="H66" i="7"/>
  <c r="H67" i="7"/>
  <c r="H68" i="7"/>
  <c r="H69" i="7"/>
  <c r="H70" i="7"/>
  <c r="H71" i="7"/>
  <c r="H72" i="7"/>
  <c r="H73" i="7"/>
  <c r="H74" i="7"/>
  <c r="H75" i="7"/>
  <c r="H76" i="7"/>
  <c r="H77" i="7"/>
  <c r="H78" i="7"/>
  <c r="H79" i="7"/>
  <c r="H80" i="7"/>
  <c r="H81" i="7"/>
  <c r="H82" i="7"/>
  <c r="H83" i="7"/>
  <c r="H84" i="7"/>
  <c r="H85" i="7"/>
  <c r="H86" i="7"/>
  <c r="H87" i="7"/>
  <c r="H88" i="7"/>
  <c r="H89" i="7"/>
  <c r="H90" i="7"/>
  <c r="H91" i="7"/>
  <c r="H92" i="7"/>
  <c r="H93" i="7"/>
  <c r="H94" i="7"/>
  <c r="H95" i="7"/>
  <c r="H96" i="7"/>
  <c r="D56" i="1"/>
  <c r="D55" i="1"/>
  <c r="D54" i="1"/>
  <c r="D53" i="1"/>
  <c r="D52" i="1"/>
  <c r="D51" i="1"/>
  <c r="D50" i="1"/>
  <c r="D49" i="1"/>
  <c r="D48" i="1"/>
  <c r="D47" i="1"/>
  <c r="D46" i="1"/>
  <c r="D45" i="1"/>
  <c r="D44" i="1"/>
  <c r="D43" i="1"/>
  <c r="D42" i="1"/>
  <c r="D41" i="1"/>
  <c r="D40" i="1"/>
  <c r="D39" i="1"/>
  <c r="D38" i="1"/>
  <c r="D37" i="1"/>
  <c r="D36" i="1"/>
  <c r="D35" i="1"/>
  <c r="D34" i="1"/>
  <c r="D33" i="1"/>
  <c r="D32" i="1"/>
  <c r="D31" i="1"/>
  <c r="D30" i="1"/>
  <c r="D29" i="1"/>
  <c r="D28" i="1"/>
  <c r="D27" i="1"/>
  <c r="D26" i="1"/>
  <c r="D25" i="1"/>
  <c r="D24" i="1"/>
  <c r="D23" i="1"/>
  <c r="D22" i="1"/>
  <c r="D21" i="1"/>
  <c r="D20" i="1"/>
  <c r="D19" i="1"/>
  <c r="D18" i="1"/>
  <c r="D16" i="1"/>
  <c r="D15" i="1"/>
  <c r="D14" i="1"/>
  <c r="D13" i="1"/>
  <c r="D12" i="1"/>
  <c r="D11" i="1"/>
  <c r="D10" i="1"/>
  <c r="D9" i="1"/>
  <c r="D8" i="1"/>
  <c r="D7" i="1"/>
  <c r="D6" i="1"/>
  <c r="D5" i="1"/>
  <c r="D4" i="1"/>
  <c r="D3" i="1"/>
  <c r="D2" i="1"/>
  <c r="D1" i="1"/>
  <c r="C8" i="24"/>
  <c r="K13" i="1"/>
  <c r="W13" i="1"/>
  <c r="N13" i="1"/>
  <c r="Q13" i="1"/>
  <c r="T13" i="1"/>
  <c r="O18" i="19"/>
</calcChain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Mahajan, Vinay</author>
  </authors>
  <commentList>
    <comment ref="L1" authorId="0" shapeId="0" xr:uid="{00000000-0006-0000-0200-000001000000}">
      <text>
        <r>
          <rPr>
            <b/>
            <sz val="9"/>
            <color indexed="81"/>
            <rFont val="Tahoma"/>
            <family val="2"/>
          </rPr>
          <t>Replace with TATA fund</t>
        </r>
      </text>
    </comment>
    <comment ref="A12" authorId="0" shapeId="0" xr:uid="{00000000-0006-0000-0200-000002000000}">
      <text>
        <r>
          <rPr>
            <b/>
            <sz val="9"/>
            <color indexed="81"/>
            <rFont val="Tahoma"/>
            <family val="2"/>
          </rPr>
          <t>Replace with TATA fund</t>
        </r>
      </text>
    </comment>
  </commentList>
</comments>
</file>

<file path=xl/comments2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Mahajan, Vinay</author>
  </authors>
  <commentList>
    <comment ref="A17" authorId="0" shapeId="0" xr:uid="{00000000-0006-0000-0300-000001000000}">
      <text>
        <r>
          <rPr>
            <b/>
            <sz val="9"/>
            <color indexed="81"/>
            <rFont val="Tahoma"/>
            <family val="2"/>
          </rPr>
          <t>Replace with TATA fund</t>
        </r>
      </text>
    </comment>
  </commentList>
</comments>
</file>

<file path=xl/comments3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Mahajan, Vinay</author>
  </authors>
  <commentList>
    <comment ref="AI20" authorId="0" shapeId="0" xr:uid="{00000000-0006-0000-0400-000001000000}">
      <text>
        <r>
          <rPr>
            <b/>
            <sz val="9"/>
            <color indexed="81"/>
            <rFont val="Tahoma"/>
            <family val="2"/>
          </rPr>
          <t>Replace with TATA fund</t>
        </r>
      </text>
    </comment>
    <comment ref="BJ20" authorId="0" shapeId="0" xr:uid="{D6D04DF9-C61D-4E52-8F7B-E494201783AA}">
      <text>
        <r>
          <rPr>
            <b/>
            <sz val="9"/>
            <color indexed="81"/>
            <rFont val="Tahoma"/>
            <family val="2"/>
          </rPr>
          <t>Replace with TATA fund</t>
        </r>
      </text>
    </comment>
  </commentList>
</comments>
</file>

<file path=xl/comments4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tc={34579F5E-12B3-47F1-958C-2F069929E122}</author>
  </authors>
  <commentList>
    <comment ref="I25" authorId="0" shapeId="0" xr:uid="{34579F5E-12B3-47F1-958C-2F069929E122}">
      <text>
        <t>[Threaded comment]
Your version of Excel allows you to read this threaded comment; however, any edits to it will get removed if the file is opened in a newer version of Excel. Learn more: https://go.microsoft.com/fwlink/?linkid=870924
Comment:
    Actual bonus 21,74,286.6, business factor 145, plan was to get 14,99,508</t>
      </text>
    </comment>
  </commentList>
</comments>
</file>

<file path=xl/comments5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Mahajan, Vinay</author>
    <author>tc={5A22C587-9A4A-462E-8712-04771DE9DEA9}</author>
    <author>tc={06DAE581-8A4C-4BD0-AF7F-4E7AAA150EC2}</author>
    <author>tc={0AC91421-BC4F-478E-8277-279922B48FD2}</author>
    <author>tc={1CC7B165-6F89-4AFF-9952-114A2228065C}</author>
    <author>tc={CDEFC840-0D52-4244-A115-ECCCC97E143F}</author>
    <author>Windows User</author>
    <author>tc={1F0E1F8A-087C-4540-9720-7D0B45AAAE48}</author>
  </authors>
  <commentList>
    <comment ref="CI1" authorId="0" shapeId="0" xr:uid="{00000000-0006-0000-0600-000001000000}">
      <text>
        <r>
          <rPr>
            <b/>
            <sz val="9"/>
            <color indexed="81"/>
            <rFont val="Tahoma"/>
            <family val="2"/>
          </rPr>
          <t xml:space="preserve">HDFC: 134487500 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CP1" authorId="0" shapeId="0" xr:uid="{E444BE2E-119C-4220-8911-7D2A407ADE01}">
      <text>
        <r>
          <rPr>
            <b/>
            <sz val="9"/>
            <color indexed="81"/>
            <rFont val="Tahoma"/>
            <family val="2"/>
          </rPr>
          <t xml:space="preserve">HDFC: 134487500 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CW1" authorId="0" shapeId="0" xr:uid="{95785F09-7C92-4883-8160-CD8E716EFA6D}">
      <text>
        <r>
          <rPr>
            <b/>
            <sz val="9"/>
            <color indexed="81"/>
            <rFont val="Tahoma"/>
            <family val="2"/>
          </rPr>
          <t xml:space="preserve">HDFC: 134487500 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DD1" authorId="0" shapeId="0" xr:uid="{B3FC471A-1DF2-49CF-90BC-DC631AFD1EEF}">
      <text>
        <r>
          <rPr>
            <b/>
            <sz val="9"/>
            <color indexed="81"/>
            <rFont val="Tahoma"/>
            <family val="2"/>
          </rPr>
          <t xml:space="preserve">HDFC: 134487500 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CI2" authorId="0" shapeId="0" xr:uid="{00000000-0006-0000-0600-000002000000}">
      <text>
        <r>
          <rPr>
            <b/>
            <sz val="9"/>
            <color indexed="81"/>
            <rFont val="Tahoma"/>
            <family val="2"/>
          </rPr>
          <t>Gyani's phone: 53,999, which had paid to Varsha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CD4" authorId="0" shapeId="0" xr:uid="{00000000-0006-0000-0600-000003000000}">
      <text>
        <r>
          <rPr>
            <b/>
            <sz val="9"/>
            <color indexed="81"/>
            <rFont val="Tahoma"/>
            <family val="2"/>
          </rPr>
          <t>TATA cliq fridge refund 32000,
LG fridge: 40,000, so 8000 additional expense</t>
        </r>
      </text>
    </comment>
    <comment ref="CG4" authorId="0" shapeId="0" xr:uid="{00000000-0006-0000-0600-000004000000}">
      <text>
        <r>
          <rPr>
            <sz val="9"/>
            <color indexed="81"/>
            <rFont val="Tahoma"/>
            <family val="2"/>
          </rPr>
          <t xml:space="preserve">Ignis insurance
</t>
        </r>
      </text>
    </comment>
    <comment ref="DA4" authorId="1" shapeId="0" xr:uid="{5A22C587-9A4A-462E-8712-04771DE9DEA9}">
      <text>
        <t>[Threaded comment]
Your version of Excel allows you to read this threaded comment; however, any edits to it will get removed if the file is opened in a newer version of Excel. Learn more: https://go.microsoft.com/fwlink/?linkid=870924
Comment:
    Paid for Creta 2024 ~22 lacs</t>
      </text>
    </comment>
    <comment ref="CC5" authorId="0" shapeId="0" xr:uid="{00000000-0006-0000-0600-000005000000}">
      <text>
        <r>
          <rPr>
            <b/>
            <sz val="9"/>
            <color indexed="81"/>
            <rFont val="Tahoma"/>
            <family val="2"/>
          </rPr>
          <t xml:space="preserve">Vinay Credit bill for March2020: 61921.61
Varsha March bill: 55316.64
HDFC March bill: 33417
Total CC bill: 150655.25
Total April 2020: 185200
Actual monthly expenses: 34545
</t>
        </r>
      </text>
    </comment>
    <comment ref="CQ5" authorId="2" shapeId="0" xr:uid="{06DAE581-8A4C-4BD0-AF7F-4E7AAA150EC2}">
      <text>
        <t>[Threaded comment]
Your version of Excel allows you to read this threaded comment; however, any edits to it will get removed if the file is opened in a newer version of Excel. Learn more: https://go.microsoft.com/fwlink/?linkid=870924
Comment:
    Jeans: 12k, clothes: 12k, Laptop: 35k (after discounts), insurance: 33k,</t>
      </text>
    </comment>
    <comment ref="CW5" authorId="3" shapeId="0" xr:uid="{0AC91421-BC4F-478E-8277-279922B48FD2}">
      <text>
        <t>[Threaded comment]
Your version of Excel allows you to read this threaded comment; however, any edits to it will get removed if the file is opened in a newer version of Excel. Learn more: https://go.microsoft.com/fwlink/?linkid=870924
Comment:
    Vyom Fees 309111</t>
      </text>
    </comment>
    <comment ref="CX5" authorId="4" shapeId="0" xr:uid="{1CC7B165-6F89-4AFF-9952-114A2228065C}">
      <text>
        <t>[Threaded comment]
Your version of Excel allows you to read this threaded comment; however, any edits to it will get removed if the file is opened in a newer version of Excel. Learn more: https://go.microsoft.com/fwlink/?linkid=870924
Comment:
    Jeans: 12k, clothes: 12k, Laptop: 35k (after discounts), insurance: 33k,</t>
      </text>
    </comment>
    <comment ref="BY6" authorId="0" shapeId="0" xr:uid="{00000000-0006-0000-0600-000006000000}">
      <text>
        <r>
          <rPr>
            <b/>
            <sz val="9"/>
            <color indexed="81"/>
            <rFont val="Tahoma"/>
            <family val="2"/>
          </rPr>
          <t>28th May 2020:
47280 Total ICICI
23236.38 this month
24043.62 Last month Credit card bill</t>
        </r>
      </text>
    </comment>
    <comment ref="CG6" authorId="0" shapeId="0" xr:uid="{00000000-0006-0000-0600-000007000000}">
      <text>
        <r>
          <rPr>
            <sz val="9"/>
            <color indexed="81"/>
            <rFont val="Tahoma"/>
            <family val="2"/>
          </rPr>
          <t>Health insurance + Ignis insurance</t>
        </r>
      </text>
    </comment>
    <comment ref="CI6" authorId="0" shapeId="0" xr:uid="{00000000-0006-0000-0600-000008000000}">
      <text>
        <r>
          <rPr>
            <sz val="9"/>
            <color indexed="81"/>
            <rFont val="Tahoma"/>
            <family val="2"/>
          </rPr>
          <t>Vyom fees 80k+</t>
        </r>
      </text>
    </comment>
    <comment ref="DA6" authorId="5" shapeId="0" xr:uid="{CDEFC840-0D52-4244-A115-ECCCC97E143F}">
      <text>
        <t>[Threaded comment]
Your version of Excel allows you to read this threaded comment; however, any edits to it will get removed if the file is opened in a newer version of Excel. Learn more: https://go.microsoft.com/fwlink/?linkid=870924
Comment:
    Vyom's Physics tuitions started - 1500/- per class</t>
      </text>
    </comment>
    <comment ref="AV7" authorId="6" shapeId="0" xr:uid="{00000000-0006-0000-0600-000009000000}">
      <text>
        <r>
          <rPr>
            <b/>
            <sz val="9"/>
            <color indexed="81"/>
            <rFont val="Tahoma"/>
            <family val="2"/>
          </rPr>
          <t>Some confusion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BY10" authorId="0" shapeId="0" xr:uid="{00000000-0006-0000-0600-00000A000000}">
      <text>
        <r>
          <rPr>
            <b/>
            <sz val="9"/>
            <color indexed="81"/>
            <rFont val="Tahoma"/>
            <family val="2"/>
          </rPr>
          <t>Income tax 55,540</t>
        </r>
      </text>
    </comment>
    <comment ref="CJ11" authorId="7" shapeId="0" xr:uid="{1F0E1F8A-087C-4540-9720-7D0B45AAAE48}">
      <text>
        <t>[Threaded comment]
Your version of Excel allows you to read this threaded comment; however, any edits to it will get removed if the file is opened in a newer version of Excel. Learn more: https://go.microsoft.com/fwlink/?linkid=870924
Comment:
    In Mumbai, so less expeses</t>
      </text>
    </comment>
  </commentList>
</comments>
</file>

<file path=xl/comments6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Windows User</author>
    <author>tc={096C0891-6215-4DF0-9500-4228883747DD}</author>
    <author>tc={A1ABF04E-8410-4D8C-9993-8E8D3867C6E1}</author>
    <author>tc={2FF73098-F0CF-4514-949B-00D34AC2F6A8}</author>
    <author>tc={6C99EC23-A883-4CA2-AE48-74A294697FB7}</author>
    <author>tc={AC44AF00-A3B1-49AF-8D27-94A91B7DA173}</author>
  </authors>
  <commentList>
    <comment ref="D6" authorId="0" shapeId="0" xr:uid="{00000000-0006-0000-0700-000001000000}">
      <text>
        <r>
          <rPr>
            <sz val="9"/>
            <color indexed="81"/>
            <rFont val="Tahoma"/>
            <family val="2"/>
          </rPr>
          <t xml:space="preserve">Did not have split of regular vs. Episodic expenses
</t>
        </r>
      </text>
    </comment>
    <comment ref="E6" authorId="0" shapeId="0" xr:uid="{00000000-0006-0000-0700-000002000000}">
      <text>
        <r>
          <rPr>
            <sz val="9"/>
            <color indexed="81"/>
            <rFont val="Tahoma"/>
            <family val="2"/>
          </rPr>
          <t xml:space="preserve">Did not have split of regular vs. Episodic expenses
</t>
        </r>
      </text>
    </comment>
    <comment ref="F6" authorId="0" shapeId="0" xr:uid="{00000000-0006-0000-0700-000003000000}">
      <text>
        <r>
          <rPr>
            <sz val="9"/>
            <color indexed="81"/>
            <rFont val="Tahoma"/>
            <family val="2"/>
          </rPr>
          <t xml:space="preserve">Did not have split of regular vs. Episodic expenses
</t>
        </r>
      </text>
    </comment>
    <comment ref="G6" authorId="0" shapeId="0" xr:uid="{00000000-0006-0000-0700-000004000000}">
      <text>
        <r>
          <rPr>
            <sz val="9"/>
            <color indexed="81"/>
            <rFont val="Tahoma"/>
            <family val="2"/>
          </rPr>
          <t xml:space="preserve">Did not have split of regular vs. Episodic expenses
</t>
        </r>
      </text>
    </comment>
    <comment ref="H6" authorId="0" shapeId="0" xr:uid="{00000000-0006-0000-0700-000005000000}">
      <text>
        <r>
          <rPr>
            <sz val="9"/>
            <color indexed="81"/>
            <rFont val="Tahoma"/>
            <family val="2"/>
          </rPr>
          <t xml:space="preserve">Did not have split of regular vs. Episodic expenses
</t>
        </r>
      </text>
    </comment>
    <comment ref="I6" authorId="0" shapeId="0" xr:uid="{00000000-0006-0000-0700-000006000000}">
      <text>
        <r>
          <rPr>
            <sz val="9"/>
            <color indexed="81"/>
            <rFont val="Tahoma"/>
            <family val="2"/>
          </rPr>
          <t xml:space="preserve">Did not have split of regular vs. Episodic expenses
</t>
        </r>
      </text>
    </comment>
    <comment ref="H11" authorId="0" shapeId="0" xr:uid="{00000000-0006-0000-0700-000007000000}">
      <text>
        <r>
          <rPr>
            <b/>
            <sz val="9"/>
            <color indexed="81"/>
            <rFont val="Tahoma"/>
            <family val="2"/>
          </rPr>
          <t>Platinum rings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J11" authorId="0" shapeId="0" xr:uid="{00000000-0006-0000-0700-000008000000}">
      <text>
        <r>
          <rPr>
            <b/>
            <sz val="9"/>
            <color indexed="81"/>
            <rFont val="Tahoma"/>
            <family val="2"/>
          </rPr>
          <t>Varsha's jewellary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L11" authorId="0" shapeId="0" xr:uid="{00000000-0006-0000-0700-000009000000}">
      <text>
        <r>
          <rPr>
            <b/>
            <sz val="9"/>
            <color indexed="81"/>
            <rFont val="Tahoma"/>
            <family val="2"/>
          </rPr>
          <t>CARATLANE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M11" authorId="0" shapeId="0" xr:uid="{00000000-0006-0000-0700-00000A000000}">
      <text>
        <r>
          <rPr>
            <sz val="9"/>
            <color indexed="81"/>
            <rFont val="Tahoma"/>
            <family val="2"/>
          </rPr>
          <t xml:space="preserve">Joyalukas
</t>
        </r>
      </text>
    </comment>
    <comment ref="Q11" authorId="1" shapeId="0" xr:uid="{096C0891-6215-4DF0-9500-4228883747DD}">
      <text>
        <t>[Threaded comment]
Your version of Excel allows you to read this threaded comment; however, any edits to it will get removed if the file is opened in a newer version of Excel. Learn more: https://go.microsoft.com/fwlink/?linkid=870924
Comment:
    Earrings CARATLane Mumbai Dec2023</t>
      </text>
    </comment>
    <comment ref="P12" authorId="2" shapeId="0" xr:uid="{A1ABF04E-8410-4D8C-9993-8E8D3867C6E1}">
      <text>
        <t>[Threaded comment]
Your version of Excel allows you to read this threaded comment; however, any edits to it will get removed if the file is opened in a newer version of Excel. Learn more: https://go.microsoft.com/fwlink/?linkid=870924
Comment:
    Will get 70k tax back, so extrax tax = 1Lakh</t>
      </text>
    </comment>
    <comment ref="H15" authorId="0" shapeId="0" xr:uid="{00000000-0006-0000-0700-00000B000000}">
      <text>
        <r>
          <rPr>
            <b/>
            <sz val="9"/>
            <color indexed="81"/>
            <rFont val="Tahoma"/>
            <family val="2"/>
          </rPr>
          <t>Xcent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K15" authorId="0" shapeId="0" xr:uid="{00000000-0006-0000-0700-00000C000000}">
      <text>
        <r>
          <rPr>
            <b/>
            <sz val="9"/>
            <color indexed="81"/>
            <rFont val="Tahoma"/>
            <family val="2"/>
          </rPr>
          <t>Ignis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H16" authorId="0" shapeId="0" xr:uid="{00000000-0006-0000-0700-00000D000000}">
      <text>
        <r>
          <rPr>
            <b/>
            <sz val="9"/>
            <color indexed="81"/>
            <rFont val="Tahoma"/>
            <family val="2"/>
          </rPr>
          <t>Kesari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I16" authorId="0" shapeId="0" xr:uid="{00000000-0006-0000-0700-00000E000000}">
      <text>
        <r>
          <rPr>
            <b/>
            <sz val="9"/>
            <color indexed="81"/>
            <rFont val="Tahoma"/>
            <family val="2"/>
          </rPr>
          <t>Approx. Kerala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J16" authorId="0" shapeId="0" xr:uid="{00000000-0006-0000-0700-00000F000000}">
      <text>
        <r>
          <rPr>
            <sz val="9"/>
            <color indexed="81"/>
            <rFont val="Tahoma"/>
            <family val="2"/>
          </rPr>
          <t>Approx Rajasthan</t>
        </r>
      </text>
    </comment>
    <comment ref="K16" authorId="0" shapeId="0" xr:uid="{00000000-0006-0000-0700-000010000000}">
      <text>
        <r>
          <rPr>
            <sz val="9"/>
            <color indexed="81"/>
            <rFont val="Tahoma"/>
            <family val="2"/>
          </rPr>
          <t>Gangtok and NorthEast</t>
        </r>
      </text>
    </comment>
    <comment ref="L16" authorId="0" shapeId="0" xr:uid="{00000000-0006-0000-0700-000011000000}">
      <text>
        <r>
          <rPr>
            <sz val="9"/>
            <color indexed="81"/>
            <rFont val="Tahoma"/>
            <family val="2"/>
          </rPr>
          <t xml:space="preserve">US trip
</t>
        </r>
      </text>
    </comment>
    <comment ref="M16" authorId="0" shapeId="0" xr:uid="{00000000-0006-0000-0700-000012000000}">
      <text>
        <r>
          <rPr>
            <sz val="9"/>
            <color indexed="81"/>
            <rFont val="Tahoma"/>
            <family val="2"/>
          </rPr>
          <t xml:space="preserve">Feb2019 - Trident Agra (from Dec2018)
Dec2019 - Amritsar, Dharamshala, Dalhousie -- some part, 2nd part will reflect in Jan2020
</t>
        </r>
      </text>
    </comment>
    <comment ref="Q16" authorId="3" shapeId="0" xr:uid="{2FF73098-F0CF-4514-949B-00D34AC2F6A8}">
      <text>
        <t>[Threaded comment]
Your version of Excel allows you to read this threaded comment; however, any edits to it will get removed if the file is opened in a newer version of Excel. Learn more: https://go.microsoft.com/fwlink/?linkid=870924
Comment:
    Varsha received 1.17 lacs out of this 2.78 lacs</t>
      </text>
    </comment>
    <comment ref="R16" authorId="4" shapeId="0" xr:uid="{6C99EC23-A883-4CA2-AE48-74A294697FB7}">
      <text>
        <t>[Threaded comment]
Your version of Excel allows you to read this threaded comment; however, any edits to it will get removed if the file is opened in a newer version of Excel. Learn more: https://go.microsoft.com/fwlink/?linkid=870924
Comment:
    Abu Dhabi + Dubai + Tickets May2024, Goa trip Dec2024</t>
      </text>
    </comment>
    <comment ref="M19" authorId="0" shapeId="0" xr:uid="{00000000-0006-0000-0700-000013000000}">
      <text>
        <r>
          <rPr>
            <sz val="9"/>
            <color indexed="81"/>
            <rFont val="Tahoma"/>
            <family val="2"/>
          </rPr>
          <t xml:space="preserve">Should have been re-imbursed
</t>
        </r>
      </text>
    </comment>
    <comment ref="Q21" authorId="5" shapeId="0" xr:uid="{AC44AF00-A3B1-49AF-8D27-94A91B7DA173}">
      <text>
        <t>[Threaded comment]
Your version of Excel allows you to read this threaded comment; however, any edits to it will get removed if the file is opened in a newer version of Excel. Learn more: https://go.microsoft.com/fwlink/?linkid=870924
Comment:
    Total 68,000 currently paid 38,000</t>
      </text>
    </comment>
  </commentList>
</comments>
</file>

<file path=xl/comments7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tc={D28D7645-CEA2-4165-BF2B-8786520B0C99}</author>
    <author>tc={CBED079D-84CB-4258-90C4-BC68C1313265}</author>
    <author>tc={FE3EEF88-EB7F-48A4-802E-BC714D8DD300}</author>
    <author>tc={A3E71020-7ED9-4501-B363-28A47A6D14F4}</author>
  </authors>
  <commentList>
    <comment ref="D3524" authorId="0" shapeId="0" xr:uid="{D28D7645-CEA2-4165-BF2B-8786520B0C99}">
      <text>
        <t>[Threaded comment]
Your version of Excel allows you to read this threaded comment; however, any edits to it will get removed if the file is opened in a newer version of Excel. Learn more: https://go.microsoft.com/fwlink/?linkid=870924
Comment:
    Not sure of this number</t>
      </text>
    </comment>
    <comment ref="D3802" authorId="1" shapeId="0" xr:uid="{CBED079D-84CB-4258-90C4-BC68C1313265}">
      <text>
        <t>[Threaded comment]
Your version of Excel allows you to read this threaded comment; however, any edits to it will get removed if the file is opened in a newer version of Excel. Learn more: https://go.microsoft.com/fwlink/?linkid=870924
Comment:
    Kitchen renovation</t>
      </text>
    </comment>
    <comment ref="D3825" authorId="2" shapeId="0" xr:uid="{FE3EEF88-EB7F-48A4-802E-BC714D8DD300}">
      <text>
        <t>[Threaded comment]
Your version of Excel allows you to read this threaded comment; however, any edits to it will get removed if the file is opened in a newer version of Excel. Learn more: https://go.microsoft.com/fwlink/?linkid=870924
Comment:
    Kitchen renovation</t>
      </text>
    </comment>
    <comment ref="D3826" authorId="3" shapeId="0" xr:uid="{A3E71020-7ED9-4501-B363-28A47A6D14F4}">
      <text>
        <t>[Threaded comment]
Your version of Excel allows you to read this threaded comment; however, any edits to it will get removed if the file is opened in a newer version of Excel. Learn more: https://go.microsoft.com/fwlink/?linkid=870924
Comment:
    Kitchen renovation</t>
      </text>
    </comment>
  </commentList>
</comments>
</file>

<file path=xl/comments8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Mahajan, Vinay</author>
  </authors>
  <commentList>
    <comment ref="H2" authorId="0" shapeId="0" xr:uid="{00000000-0006-0000-0800-000001000000}">
      <text>
        <r>
          <rPr>
            <sz val="9"/>
            <color indexed="81"/>
            <rFont val="Tahoma"/>
            <family val="2"/>
          </rPr>
          <t>Vyom's additional 25,000+</t>
        </r>
      </text>
    </comment>
  </commentList>
</comments>
</file>

<file path=xl/comments9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Mahajan, Vinay</author>
    <author>tc={1664AF74-A0A8-4C59-BBAB-C460E95BA222}</author>
  </authors>
  <commentList>
    <comment ref="BH28" authorId="0" shapeId="0" xr:uid="{00000000-0006-0000-0A00-000001000000}">
      <text>
        <r>
          <rPr>
            <sz val="9"/>
            <color indexed="81"/>
            <rFont val="Tahoma"/>
            <family val="2"/>
          </rPr>
          <t>Calculated till age 85 -- 2.40 lacs per year * 25</t>
        </r>
      </text>
    </comment>
    <comment ref="BH29" authorId="0" shapeId="0" xr:uid="{00000000-0006-0000-0A00-000002000000}">
      <text>
        <r>
          <rPr>
            <sz val="9"/>
            <color indexed="81"/>
            <rFont val="Tahoma"/>
            <family val="2"/>
          </rPr>
          <t>Calculated till age 85 -- 2.40 lacs per year * 25</t>
        </r>
      </text>
    </comment>
    <comment ref="BH30" authorId="0" shapeId="0" xr:uid="{00000000-0006-0000-0A00-000003000000}">
      <text>
        <r>
          <rPr>
            <sz val="9"/>
            <color indexed="81"/>
            <rFont val="Tahoma"/>
            <family val="2"/>
          </rPr>
          <t>Calculated till age 85 -- 1.60 lacs per year * 25</t>
        </r>
      </text>
    </comment>
    <comment ref="BH31" authorId="0" shapeId="0" xr:uid="{00000000-0006-0000-0A00-000004000000}">
      <text>
        <r>
          <rPr>
            <sz val="9"/>
            <color indexed="81"/>
            <rFont val="Tahoma"/>
            <family val="2"/>
          </rPr>
          <t>Calculated till age 85 -- 2.40 lacs per year * 25</t>
        </r>
      </text>
    </comment>
    <comment ref="BH36" authorId="0" shapeId="0" xr:uid="{00000000-0006-0000-0A00-000005000000}">
      <text>
        <r>
          <rPr>
            <b/>
            <sz val="9"/>
            <color indexed="81"/>
            <rFont val="Tahoma"/>
            <family val="2"/>
          </rPr>
          <t>Based on the calculations, refer to "Jeevan Komal sheet"</t>
        </r>
      </text>
    </comment>
    <comment ref="BH37" authorId="0" shapeId="0" xr:uid="{00000000-0006-0000-0A00-000006000000}">
      <text>
        <r>
          <rPr>
            <b/>
            <sz val="9"/>
            <color indexed="81"/>
            <rFont val="Tahoma"/>
            <family val="2"/>
          </rPr>
          <t>Approx 11 lakh, sheet created in Varsha's computer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BH38" authorId="0" shapeId="0" xr:uid="{00000000-0006-0000-0A00-000007000000}">
      <text>
        <r>
          <rPr>
            <b/>
            <sz val="9"/>
            <color indexed="81"/>
            <rFont val="Tahoma"/>
            <family val="2"/>
          </rPr>
          <t>Assumption is to get 10% return</t>
        </r>
      </text>
    </comment>
    <comment ref="X39" authorId="1" shapeId="0" xr:uid="{1664AF74-A0A8-4C59-BBAB-C460E95BA222}">
      <text>
        <t>[Threaded comment]
Your version of Excel allows you to read this threaded comment; however, any edits to it will get removed if the file is opened in a newer version of Excel. Learn more: https://go.microsoft.com/fwlink/?linkid=870924
Comment:
    Undecided for these 2 years</t>
      </text>
    </comment>
    <comment ref="BH39" authorId="0" shapeId="0" xr:uid="{00000000-0006-0000-0A00-000008000000}">
      <text>
        <r>
          <rPr>
            <b/>
            <sz val="9"/>
            <color indexed="81"/>
            <rFont val="Tahoma"/>
            <family val="2"/>
          </rPr>
          <t>Assumption is to get 10% return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BH40" authorId="0" shapeId="0" xr:uid="{00000000-0006-0000-0A00-000009000000}">
      <text>
        <r>
          <rPr>
            <b/>
            <sz val="9"/>
            <color indexed="81"/>
            <rFont val="Tahoma"/>
            <family val="2"/>
          </rPr>
          <t>Assumption is to get 10% return</t>
        </r>
      </text>
    </comment>
  </commentList>
</comments>
</file>

<file path=xl/comments10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Mahajan, Vinay</author>
    <author>tc={64577FB3-BDB1-46DE-8FCF-EFD27CE0405D}</author>
  </authors>
  <commentList>
    <comment ref="BA31" authorId="0" shapeId="0" xr:uid="{00000000-0006-0000-0B00-000001000000}">
      <text>
        <r>
          <rPr>
            <sz val="9"/>
            <color indexed="81"/>
            <rFont val="Tahoma"/>
            <family val="2"/>
          </rPr>
          <t>Calculated till age 85 -- 2.40 lacs per year * 25</t>
        </r>
      </text>
    </comment>
    <comment ref="BA32" authorId="0" shapeId="0" xr:uid="{00000000-0006-0000-0B00-000002000000}">
      <text>
        <r>
          <rPr>
            <sz val="9"/>
            <color indexed="81"/>
            <rFont val="Tahoma"/>
            <family val="2"/>
          </rPr>
          <t>Calculated till age 85 -- 2.40 lacs per year * 25</t>
        </r>
      </text>
    </comment>
    <comment ref="BA33" authorId="0" shapeId="0" xr:uid="{00000000-0006-0000-0B00-000003000000}">
      <text>
        <r>
          <rPr>
            <sz val="9"/>
            <color indexed="81"/>
            <rFont val="Tahoma"/>
            <family val="2"/>
          </rPr>
          <t>Calculated till age 85 -- 0.80 lacs per year * 25</t>
        </r>
      </text>
    </comment>
    <comment ref="BA34" authorId="0" shapeId="0" xr:uid="{00000000-0006-0000-0B00-000004000000}">
      <text>
        <r>
          <rPr>
            <sz val="9"/>
            <color indexed="81"/>
            <rFont val="Tahoma"/>
            <family val="2"/>
          </rPr>
          <t>Calculated till age 85 -- 2.40 lacs per year * 25</t>
        </r>
      </text>
    </comment>
    <comment ref="BA35" authorId="0" shapeId="0" xr:uid="{00000000-0006-0000-0B00-000005000000}">
      <text>
        <r>
          <rPr>
            <sz val="9"/>
            <color indexed="81"/>
            <rFont val="Tahoma"/>
            <family val="2"/>
          </rPr>
          <t>Calculated till age 85 -- 0.80 lacs per year * 25</t>
        </r>
      </text>
    </comment>
    <comment ref="BA38" authorId="0" shapeId="0" xr:uid="{00000000-0006-0000-0B00-000006000000}">
      <text>
        <r>
          <rPr>
            <b/>
            <sz val="9"/>
            <color indexed="81"/>
            <rFont val="Tahoma"/>
            <family val="2"/>
          </rPr>
          <t>Assumption is to get 10% return</t>
        </r>
      </text>
    </comment>
    <comment ref="Q39" authorId="1" shapeId="0" xr:uid="{64577FB3-BDB1-46DE-8FCF-EFD27CE0405D}">
      <text>
        <t>[Threaded comment]
Your version of Excel allows you to read this threaded comment; however, any edits to it will get removed if the file is opened in a newer version of Excel. Learn more: https://go.microsoft.com/fwlink/?linkid=870924
Comment:
    Undecided for these 2 years</t>
      </text>
    </comment>
    <comment ref="BA39" authorId="0" shapeId="0" xr:uid="{00000000-0006-0000-0B00-000007000000}">
      <text>
        <r>
          <rPr>
            <b/>
            <sz val="9"/>
            <color indexed="81"/>
            <rFont val="Tahoma"/>
            <family val="2"/>
          </rPr>
          <t>Assumption is to get 10% return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BA40" authorId="0" shapeId="0" xr:uid="{00000000-0006-0000-0B00-000008000000}">
      <text>
        <r>
          <rPr>
            <b/>
            <sz val="9"/>
            <color indexed="81"/>
            <rFont val="Tahoma"/>
            <family val="2"/>
          </rPr>
          <t>Assumption is to get 10% return</t>
        </r>
      </text>
    </comment>
  </commentList>
</comments>
</file>

<file path=xl/comments1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Mahajan, Vinay</author>
    <author>Windows User</author>
  </authors>
  <commentList>
    <comment ref="AX2" authorId="0" shapeId="0" xr:uid="{00000000-0006-0000-0900-000001000000}">
      <text>
        <r>
          <rPr>
            <sz val="9"/>
            <color indexed="81"/>
            <rFont val="Tahoma"/>
            <family val="2"/>
          </rPr>
          <t xml:space="preserve">
This needs to be checked against the NPS calculator, see what is "times" return, 
If difficult then put it as 1 which could be a conservative return
</t>
        </r>
      </text>
    </comment>
    <comment ref="I4" authorId="0" shapeId="0" xr:uid="{00000000-0006-0000-0900-000002000000}">
      <text>
        <r>
          <rPr>
            <b/>
            <sz val="9"/>
            <color indexed="81"/>
            <rFont val="Tahoma"/>
            <family val="2"/>
          </rPr>
          <t>Should 50,000/- be considered?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N4" authorId="0" shapeId="0" xr:uid="{00000000-0006-0000-0900-000003000000}">
      <text>
        <r>
          <rPr>
            <b/>
            <sz val="9"/>
            <color indexed="81"/>
            <rFont val="Tahoma"/>
            <family val="2"/>
          </rPr>
          <t>On this cumulative savings, NPS returns will be based -- 100% could be put in annuity</t>
        </r>
      </text>
    </comment>
    <comment ref="W4" authorId="0" shapeId="0" xr:uid="{00000000-0006-0000-0900-000004000000}">
      <text>
        <r>
          <rPr>
            <b/>
            <sz val="9"/>
            <color indexed="81"/>
            <rFont val="Tahoma"/>
            <family val="2"/>
          </rPr>
          <t>NPS contribution is considered a cut so, the denominator is reduced, but that should generate additional annuity</t>
        </r>
      </text>
    </comment>
    <comment ref="AB4" authorId="0" shapeId="0" xr:uid="{00000000-0006-0000-0900-000005000000}">
      <text>
        <r>
          <rPr>
            <b/>
            <sz val="9"/>
            <color indexed="81"/>
            <rFont val="Tahoma"/>
            <family val="2"/>
          </rPr>
          <t>Considering on lower side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C6" authorId="0" shapeId="0" xr:uid="{00000000-0006-0000-0900-000006000000}">
      <text>
        <r>
          <rPr>
            <b/>
            <sz val="9"/>
            <color indexed="81"/>
            <rFont val="Tahoma"/>
            <family val="2"/>
          </rPr>
          <t>Formula: =IF(B6&lt;= $C$2, C5+C5*$D$2, 0)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AK10" authorId="0" shapeId="0" xr:uid="{00000000-0006-0000-0900-000007000000}">
      <text>
        <r>
          <rPr>
            <b/>
            <sz val="9"/>
            <color indexed="81"/>
            <rFont val="Tahoma"/>
            <family val="2"/>
          </rPr>
          <t>Varsha's Savings ICICI+ Jeevan Komal+HDFC saving+PF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BB10" authorId="0" shapeId="0" xr:uid="{00000000-0006-0000-0900-000008000000}">
      <text>
        <r>
          <rPr>
            <b/>
            <sz val="9"/>
            <color indexed="81"/>
            <rFont val="Tahoma"/>
            <family val="2"/>
          </rPr>
          <t>Varsha's Savings + PF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AK11" authorId="1" shapeId="0" xr:uid="{00000000-0006-0000-0900-000009000000}">
      <text>
        <r>
          <rPr>
            <b/>
            <sz val="9"/>
            <color indexed="81"/>
            <rFont val="Tahoma"/>
            <family val="2"/>
          </rPr>
          <t>Jeevan Shree + Child future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BB11" authorId="1" shapeId="0" xr:uid="{00000000-0006-0000-0900-00000A000000}">
      <text>
        <r>
          <rPr>
            <b/>
            <sz val="9"/>
            <color indexed="81"/>
            <rFont val="Tahoma"/>
            <family val="2"/>
          </rPr>
          <t>Jeevan Shree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BC11" authorId="1" shapeId="0" xr:uid="{00000000-0006-0000-0900-00000B000000}">
      <text>
        <r>
          <rPr>
            <b/>
            <sz val="9"/>
            <color indexed="81"/>
            <rFont val="Tahoma"/>
            <family val="2"/>
          </rPr>
          <t>Jeevan Shree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AK12" authorId="0" shapeId="0" xr:uid="{00000000-0006-0000-0900-00000C000000}">
      <text>
        <r>
          <rPr>
            <sz val="9"/>
            <color indexed="81"/>
            <rFont val="Tahoma"/>
            <family val="2"/>
          </rPr>
          <t>Vinay's ICICIPru Life + Jeevan Komal + Child future</t>
        </r>
      </text>
    </comment>
    <comment ref="BB12" authorId="0" shapeId="0" xr:uid="{00000000-0006-0000-0900-00000D000000}">
      <text>
        <r>
          <rPr>
            <sz val="9"/>
            <color indexed="81"/>
            <rFont val="Tahoma"/>
            <family val="2"/>
          </rPr>
          <t>Vinay's ICICIPru Life</t>
        </r>
      </text>
    </comment>
    <comment ref="AK13" authorId="0" shapeId="0" xr:uid="{00000000-0006-0000-0900-00000E000000}">
      <text>
        <r>
          <rPr>
            <sz val="9"/>
            <color indexed="81"/>
            <rFont val="Tahoma"/>
            <family val="2"/>
          </rPr>
          <t xml:space="preserve">Varsha's ICICIPru Life + Child future
</t>
        </r>
      </text>
    </comment>
    <comment ref="BB13" authorId="0" shapeId="0" xr:uid="{00000000-0006-0000-0900-00000F000000}">
      <text>
        <r>
          <rPr>
            <sz val="9"/>
            <color indexed="81"/>
            <rFont val="Tahoma"/>
            <family val="2"/>
          </rPr>
          <t xml:space="preserve">Varsha's ICICIPru Life
</t>
        </r>
      </text>
    </comment>
    <comment ref="AK14" authorId="0" shapeId="0" xr:uid="{00000000-0006-0000-0900-000010000000}">
      <text>
        <r>
          <rPr>
            <sz val="9"/>
            <color indexed="81"/>
            <rFont val="Tahoma"/>
            <family val="2"/>
          </rPr>
          <t xml:space="preserve">Jeevan Komal + Child future
</t>
        </r>
      </text>
    </comment>
    <comment ref="AK15" authorId="0" shapeId="0" xr:uid="{00000000-0006-0000-0900-000011000000}">
      <text>
        <r>
          <rPr>
            <sz val="9"/>
            <color indexed="81"/>
            <rFont val="Tahoma"/>
            <family val="2"/>
          </rPr>
          <t xml:space="preserve">Child future
</t>
        </r>
      </text>
    </comment>
    <comment ref="AK16" authorId="0" shapeId="0" xr:uid="{00000000-0006-0000-0900-000012000000}">
      <text>
        <r>
          <rPr>
            <sz val="9"/>
            <color indexed="81"/>
            <rFont val="Tahoma"/>
            <family val="2"/>
          </rPr>
          <t xml:space="preserve">Jeevan Komal + Child future
</t>
        </r>
      </text>
    </comment>
    <comment ref="AK18" authorId="0" shapeId="0" xr:uid="{00000000-0006-0000-0900-000013000000}">
      <text>
        <r>
          <rPr>
            <sz val="9"/>
            <color indexed="81"/>
            <rFont val="Tahoma"/>
            <family val="2"/>
          </rPr>
          <t xml:space="preserve">Jeevan Komal
</t>
        </r>
      </text>
    </comment>
    <comment ref="AK19" authorId="0" shapeId="0" xr:uid="{00000000-0006-0000-0900-000014000000}">
      <text>
        <r>
          <rPr>
            <b/>
            <sz val="9"/>
            <color indexed="81"/>
            <rFont val="Tahoma"/>
            <family val="2"/>
          </rPr>
          <t>PPF: 35 + 35 lacs assumption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BC19" authorId="0" shapeId="0" xr:uid="{00000000-0006-0000-0900-000015000000}">
      <text>
        <r>
          <rPr>
            <b/>
            <sz val="9"/>
            <color indexed="81"/>
            <rFont val="Tahoma"/>
            <family val="2"/>
          </rPr>
          <t>PPF 35 lacs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AK21" authorId="0" shapeId="0" xr:uid="{00000000-0006-0000-0900-000016000000}">
      <text>
        <r>
          <rPr>
            <sz val="9"/>
            <color indexed="81"/>
            <rFont val="Tahoma"/>
            <family val="2"/>
          </rPr>
          <t>House sell 1cr, 
Currently not included in the calculations - if needed add</t>
        </r>
      </text>
    </comment>
    <comment ref="BB21" authorId="0" shapeId="0" xr:uid="{00000000-0006-0000-0900-000017000000}">
      <text>
        <r>
          <rPr>
            <sz val="9"/>
            <color indexed="81"/>
            <rFont val="Tahoma"/>
            <family val="2"/>
          </rPr>
          <t>House sell 1cr, 
Currently not included in the calculations - if needed add</t>
        </r>
      </text>
    </comment>
    <comment ref="AK24" authorId="0" shapeId="0" xr:uid="{00000000-0006-0000-0900-000018000000}">
      <text>
        <r>
          <rPr>
            <b/>
            <sz val="9"/>
            <color indexed="81"/>
            <rFont val="Tahoma"/>
            <family val="2"/>
          </rPr>
          <t>Gratuity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BC24" authorId="1" shapeId="0" xr:uid="{00000000-0006-0000-0900-000019000000}">
      <text>
        <r>
          <rPr>
            <b/>
            <sz val="9"/>
            <color indexed="81"/>
            <rFont val="Tahoma"/>
            <family val="2"/>
          </rPr>
          <t>Gratuity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BC28" authorId="1" shapeId="0" xr:uid="{00000000-0006-0000-0900-00001A000000}">
      <text>
        <r>
          <rPr>
            <b/>
            <sz val="9"/>
            <color indexed="81"/>
            <rFont val="Tahoma"/>
            <family val="2"/>
          </rPr>
          <t>Jeevan Labh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BC34" authorId="1" shapeId="0" xr:uid="{00000000-0006-0000-0900-00001B000000}">
      <text>
        <r>
          <rPr>
            <b/>
            <sz val="9"/>
            <color indexed="81"/>
            <rFont val="Tahoma"/>
            <family val="2"/>
          </rPr>
          <t>Jeevan Anand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BC38" authorId="1" shapeId="0" xr:uid="{00000000-0006-0000-0900-00001C000000}">
      <text>
        <r>
          <rPr>
            <b/>
            <sz val="9"/>
            <color indexed="81"/>
            <rFont val="Tahoma"/>
            <family val="2"/>
          </rPr>
          <t>Jeevan Anand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AK41" authorId="0" shapeId="0" xr:uid="{00000000-0006-0000-0900-00001D000000}">
      <text>
        <r>
          <rPr>
            <b/>
            <sz val="9"/>
            <color indexed="81"/>
            <rFont val="Tahoma"/>
            <family val="2"/>
          </rPr>
          <t>Endowment policy for Vyom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BB41" authorId="0" shapeId="0" xr:uid="{00000000-0006-0000-0900-00001E000000}">
      <text>
        <r>
          <rPr>
            <b/>
            <sz val="9"/>
            <color indexed="81"/>
            <rFont val="Tahoma"/>
            <family val="2"/>
          </rPr>
          <t>Endowment policy for Vyom</t>
        </r>
        <r>
          <rPr>
            <sz val="9"/>
            <color indexed="81"/>
            <rFont val="Tahoma"/>
            <family val="2"/>
          </rPr>
          <t xml:space="preserve">
</t>
        </r>
      </text>
    </comment>
  </commentList>
</comments>
</file>

<file path=xl/comments12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tc={9D5479AC-A971-4C78-9450-FC60BE8A91E6}</author>
  </authors>
  <commentList>
    <comment ref="O2" authorId="0" shapeId="0" xr:uid="{9D5479AC-A971-4C78-9450-FC60BE8A91E6}">
      <text>
        <t>[Threaded comment]
Your version of Excel allows you to read this threaded comment; however, any edits to it will get removed if the file is opened in a newer version of Excel. Learn more: https://go.microsoft.com/fwlink/?linkid=870924
Comment:
    If tax free income of 12 crore is to be earned, almost 18 crores are needed before tax, considering 30% bracket, which may not be sufficient, this could be even on the higher side</t>
      </text>
    </comment>
  </commentList>
</comments>
</file>

<file path=xl/comments13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tc={8D10851A-5540-43DC-8378-5B628CAB5672}</author>
    <author>tc={21AAD6AD-ADAB-476E-8E87-007E454EF30E}</author>
    <author>tc={18A7AB2D-2B24-4BC4-A600-3614F0230B12}</author>
    <author>tc={90EA3649-856C-4B4A-86B3-9D16EAB58E99}</author>
    <author>tc={30FFF134-CB71-4E28-87BA-AD1134137586}</author>
    <author>tc={8C95BBF4-287A-4EE2-A434-435460E0E283}</author>
    <author>Mahajan, Vinay</author>
  </authors>
  <commentList>
    <comment ref="Y8" authorId="0" shapeId="0" xr:uid="{8D10851A-5540-43DC-8378-5B628CAB5672}">
      <text>
        <t>[Threaded comment]
Your version of Excel allows you to read this threaded comment; however, any edits to it will get removed if the file is opened in a newer version of Excel. Learn more: https://go.microsoft.com/fwlink/?linkid=870924
Comment:
    Elite Life II (5 years), policy number: 20477630,
10th year, Nov-2026: ~25 lacs</t>
      </text>
    </comment>
    <comment ref="P9" authorId="1" shapeId="0" xr:uid="{21AAD6AD-ADAB-476E-8E87-007E454EF30E}">
      <text>
        <t>[Threaded comment]
Your version of Excel allows you to read this threaded comment; however, any edits to it will get removed if the file is opened in a newer version of Excel. Learn more: https://go.microsoft.com/fwlink/?linkid=870924
Comment:
    Elite life II</t>
      </text>
    </comment>
    <comment ref="Y10" authorId="2" shapeId="0" xr:uid="{18A7AB2D-2B24-4BC4-A600-3614F0230B12}">
      <text>
        <t>[Threaded comment]
Your version of Excel allows you to read this threaded comment; however, any edits to it will get removed if the file is opened in a newer version of Excel. Learn more: https://go.microsoft.com/fwlink/?linkid=870924
Comment:
    Elite Life Super (7 years), Policy number: 21131016, Jun-2028, ~30 lacs</t>
      </text>
    </comment>
    <comment ref="P11" authorId="3" shapeId="0" xr:uid="{90EA3649-856C-4B4A-86B3-9D16EAB58E99}">
      <text>
        <t>[Threaded comment]
Your version of Excel allows you to read this threaded comment; however, any edits to it will get removed if the file is opened in a newer version of Excel. Learn more: https://go.microsoft.com/fwlink/?linkid=870924
Comment:
    ELite Super Life</t>
      </text>
    </comment>
    <comment ref="Y12" authorId="4" shapeId="0" xr:uid="{30FFF134-CB71-4E28-87BA-AD1134137586}">
      <text>
        <t>[Threaded comment]
Your version of Excel allows you to read this threaded comment; however, any edits to it will get removed if the file is opened in a newer version of Excel. Learn more: https://go.microsoft.com/fwlink/?linkid=870924
Comment:
    Elite Life Super (7 years), Policy number: 24511656, Jul-2030, ~35 lacs</t>
      </text>
    </comment>
    <comment ref="P13" authorId="5" shapeId="0" xr:uid="{8C95BBF4-287A-4EE2-A434-435460E0E283}">
      <text>
        <t>[Threaded comment]
Your version of Excel allows you to read this threaded comment; however, any edits to it will get removed if the file is opened in a newer version of Excel. Learn more: https://go.microsoft.com/fwlink/?linkid=870924
Comment:
    ELite Super Life</t>
      </text>
    </comment>
    <comment ref="F19" authorId="6" shapeId="0" xr:uid="{00000000-0006-0000-0E00-000001000000}">
      <text>
        <r>
          <rPr>
            <b/>
            <sz val="9"/>
            <color indexed="81"/>
            <rFont val="Tahoma"/>
            <family val="2"/>
          </rPr>
          <t>Assumed, 35 Lakh returns from PPF, could be more or less and could be parked in any other year, or could be taken out of PPF on a recurring basis</t>
        </r>
      </text>
    </comment>
    <comment ref="U23" authorId="6" shapeId="0" xr:uid="{00000000-0006-0000-0E00-000002000000}">
      <text>
        <r>
          <rPr>
            <b/>
            <sz val="9"/>
            <color indexed="81"/>
            <rFont val="Tahoma"/>
            <family val="2"/>
          </rPr>
          <t>Assumed, 35 Lakh returns from PPF, could be more or less and could be parked in any other year, or could be taken out of PPF on a recurring basis</t>
        </r>
      </text>
    </comment>
  </commentList>
</comments>
</file>

<file path=xl/comments14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Mahajan, Vinay</author>
  </authors>
  <commentList>
    <comment ref="G2" authorId="0" shapeId="0" xr:uid="{00000000-0006-0000-0C00-000001000000}">
      <text>
        <r>
          <rPr>
            <b/>
            <sz val="9"/>
            <color indexed="81"/>
            <rFont val="Tahoma"/>
            <family val="2"/>
          </rPr>
          <t>Vinay+Varsha
PPF
LIC
ICICI Pru Life
Zerodha MF SIP</t>
        </r>
      </text>
    </comment>
    <comment ref="G3" authorId="0" shapeId="0" xr:uid="{00000000-0006-0000-0C00-000002000000}">
      <text>
        <r>
          <rPr>
            <b/>
            <sz val="9"/>
            <color indexed="81"/>
            <rFont val="Tahoma"/>
            <family val="2"/>
          </rPr>
          <t>Vinay+Varsha
PPF
LIC
ICICI Pru Life
Zerodha MF SIP</t>
        </r>
      </text>
    </comment>
    <comment ref="G4" authorId="0" shapeId="0" xr:uid="{00000000-0006-0000-0C00-000003000000}">
      <text>
        <r>
          <rPr>
            <b/>
            <sz val="9"/>
            <color indexed="81"/>
            <rFont val="Tahoma"/>
            <family val="2"/>
          </rPr>
          <t>Vinay+Varsha
PPF
LIC
ICICI Pru Life
Zerodha MF SIP</t>
        </r>
      </text>
    </comment>
    <comment ref="G5" authorId="0" shapeId="0" xr:uid="{00000000-0006-0000-0C00-000004000000}">
      <text>
        <r>
          <rPr>
            <b/>
            <sz val="9"/>
            <color indexed="81"/>
            <rFont val="Tahoma"/>
            <family val="2"/>
          </rPr>
          <t>Vinay+Varsha
PPF
LIC
ICICI Pru Life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b/>
            <sz val="9"/>
            <color indexed="81"/>
            <rFont val="Tahoma"/>
            <family val="2"/>
          </rPr>
          <t>Zerodha MF SIP</t>
        </r>
      </text>
    </comment>
    <comment ref="G6" authorId="0" shapeId="0" xr:uid="{00000000-0006-0000-0C00-000005000000}">
      <text>
        <r>
          <rPr>
            <b/>
            <sz val="9"/>
            <color indexed="81"/>
            <rFont val="Tahoma"/>
            <family val="2"/>
          </rPr>
          <t>Vinay+Varsha
PPF
LIC
ICICI Pru Life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G7" authorId="0" shapeId="0" xr:uid="{00000000-0006-0000-0C00-000006000000}">
      <text>
        <r>
          <rPr>
            <b/>
            <sz val="9"/>
            <color indexed="81"/>
            <rFont val="Tahoma"/>
            <family val="2"/>
          </rPr>
          <t>Vinay+Varsha
PPF
LIC
ICICI Pru Life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b/>
            <sz val="9"/>
            <color indexed="81"/>
            <rFont val="Tahoma"/>
            <family val="2"/>
          </rPr>
          <t>Zerodha MF SIP</t>
        </r>
      </text>
    </comment>
    <comment ref="G8" authorId="0" shapeId="0" xr:uid="{00000000-0006-0000-0C00-000007000000}">
      <text>
        <r>
          <rPr>
            <b/>
            <sz val="9"/>
            <color indexed="81"/>
            <rFont val="Tahoma"/>
            <family val="2"/>
          </rPr>
          <t>Vinay+Varsha
PPF
LIC
ICICI Pru Life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b/>
            <sz val="9"/>
            <color indexed="81"/>
            <rFont val="Tahoma"/>
            <family val="2"/>
          </rPr>
          <t>Zerodha MF SIP</t>
        </r>
      </text>
    </comment>
    <comment ref="G9" authorId="0" shapeId="0" xr:uid="{00000000-0006-0000-0C00-000008000000}">
      <text>
        <r>
          <rPr>
            <b/>
            <sz val="9"/>
            <color indexed="81"/>
            <rFont val="Tahoma"/>
            <family val="2"/>
          </rPr>
          <t>Vinay+Varsha
PPF
LIC
ICICI Pru Life
Zerodha MF SIP</t>
        </r>
      </text>
    </comment>
    <comment ref="G10" authorId="0" shapeId="0" xr:uid="{00000000-0006-0000-0C00-000009000000}">
      <text>
        <r>
          <rPr>
            <b/>
            <sz val="9"/>
            <color indexed="81"/>
            <rFont val="Tahoma"/>
            <family val="2"/>
          </rPr>
          <t>This year, we will start getting some LIC policies: Vinay+Varsha
PPF
LIC
ICICI Pru Life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G11" authorId="0" shapeId="0" xr:uid="{00000000-0006-0000-0C00-00000A000000}">
      <text>
        <r>
          <rPr>
            <b/>
            <sz val="9"/>
            <color indexed="81"/>
            <rFont val="Tahoma"/>
            <family val="2"/>
          </rPr>
          <t>This year, we will start getting some LIC policies: Vinay+Varsha
PPF
LIC
ICICI Pru Life</t>
        </r>
        <r>
          <rPr>
            <sz val="9"/>
            <color indexed="81"/>
            <rFont val="Tahoma"/>
            <family val="2"/>
          </rPr>
          <t xml:space="preserve">
</t>
        </r>
      </text>
    </comment>
  </commentList>
</comments>
</file>

<file path=xl/comments15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tc={B5112707-00AB-485F-B52E-F0B3A91AA690}</author>
  </authors>
  <commentList>
    <comment ref="H30" authorId="0" shapeId="0" xr:uid="{B5112707-00AB-485F-B52E-F0B3A91AA690}">
      <text>
        <t>[Threaded comment]
Your version of Excel allows you to read this threaded comment; however, any edits to it will get removed if the file is opened in a newer version of Excel. Learn more: https://go.microsoft.com/fwlink/?linkid=870924
Comment:
    1.5% at 10 years + 0.3% + 0.25%</t>
      </text>
    </comment>
  </commentList>
</comments>
</file>

<file path=xl/comments16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Mahajan, Vinay</author>
  </authors>
  <commentList>
    <comment ref="G19" authorId="0" shapeId="0" xr:uid="{00000000-0006-0000-1100-000001000000}">
      <text>
        <r>
          <rPr>
            <b/>
            <sz val="9"/>
            <color indexed="81"/>
            <rFont val="Tahoma"/>
            <family val="2"/>
          </rPr>
          <t>There are 4 funds, so 1.35% * fund value * 4 times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G21" authorId="0" shapeId="0" xr:uid="{00000000-0006-0000-1100-000002000000}">
      <text>
        <r>
          <rPr>
            <b/>
            <sz val="9"/>
            <color indexed="81"/>
            <rFont val="Tahoma"/>
            <family val="2"/>
          </rPr>
          <t>Page 11:
1.12 / 1000, 
1.12 * 1000 * 4 for 40lac cover</t>
        </r>
      </text>
    </comment>
    <comment ref="K21" authorId="0" shapeId="0" xr:uid="{00000000-0006-0000-1100-000003000000}">
      <text>
        <r>
          <rPr>
            <b/>
            <sz val="9"/>
            <color indexed="81"/>
            <rFont val="Tahoma"/>
            <family val="2"/>
          </rPr>
          <t>Page 25:
1.81 / 1000, 
1.81 * 1000 * 4 for 40lac cover</t>
        </r>
      </text>
    </comment>
    <comment ref="S21" authorId="0" shapeId="0" xr:uid="{00000000-0006-0000-1100-000004000000}">
      <text>
        <r>
          <rPr>
            <b/>
            <sz val="9"/>
            <color indexed="81"/>
            <rFont val="Tahoma"/>
            <family val="2"/>
          </rPr>
          <t>Page 25:
1.55 / 1000, 
1.55 * 1000 * 5 for 50lac cover</t>
        </r>
      </text>
    </comment>
  </commentList>
</comments>
</file>

<file path=xl/comments17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Mahajan, Vinay</author>
  </authors>
  <commentList>
    <comment ref="M17" authorId="0" shapeId="0" xr:uid="{00000000-0006-0000-1500-000001000000}">
      <text>
        <r>
          <rPr>
            <b/>
            <sz val="9"/>
            <color indexed="81"/>
            <rFont val="Tahoma"/>
            <family val="2"/>
          </rPr>
          <t>Plan to have this money parked for yearly 1 - 2 trips</t>
        </r>
      </text>
    </comment>
    <comment ref="Q17" authorId="0" shapeId="0" xr:uid="{00000000-0006-0000-1500-000002000000}">
      <text>
        <r>
          <rPr>
            <b/>
            <sz val="9"/>
            <color indexed="81"/>
            <rFont val="Tahoma"/>
            <family val="2"/>
          </rPr>
          <t>Plan to have this money parked for yearly 1 - 2 trips</t>
        </r>
      </text>
    </comment>
  </commentList>
</comments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24D45BC8-6095-42B5-9C3F-EF7A39083866}" keepAlive="1" name="ThisWorkbookDataModel" description="Data Model" type="5" refreshedVersion="8" minRefreshableVersion="5" background="1">
    <dbPr connection="Data Model Connection" command="Model" commandType="1"/>
    <olapPr sendLocale="1" rowDrillCount="1000"/>
    <extLst>
      <ext xmlns:x15="http://schemas.microsoft.com/office/spreadsheetml/2010/11/main" uri="{DE250136-89BD-433C-8126-D09CA5730AF9}">
        <x15:connection id="" model="1"/>
      </ext>
    </extLst>
  </connection>
  <connection id="2" xr16:uid="{2C497B43-FB08-4E99-9A4E-3F283C626812}" name="WorksheetConnection_Var-Apr2009-Mar2023!$A:$G" type="102" refreshedVersion="8" minRefreshableVersion="5">
    <extLst>
      <ext xmlns:x15="http://schemas.microsoft.com/office/spreadsheetml/2010/11/main" uri="{DE250136-89BD-433C-8126-D09CA5730AF9}">
        <x15:connection id="Range" autoDelete="1">
          <x15:rangePr sourceName="_xlcn.WorksheetConnection_VarApr2009Mar2023AG"/>
        </x15:connection>
      </ext>
    </extLst>
  </connection>
  <connection id="3" xr16:uid="{45648BE0-A932-424B-BA88-4551128B4F60}" name="WorksheetConnection_Vin-2001-Mar2023!$A:$G" type="102" refreshedVersion="8" minRefreshableVersion="5">
    <extLst>
      <ext xmlns:x15="http://schemas.microsoft.com/office/spreadsheetml/2010/11/main" uri="{DE250136-89BD-433C-8126-D09CA5730AF9}">
        <x15:connection id="Range 1" autoDelete="1">
          <x15:rangePr sourceName="_xlcn.WorksheetConnection_Vin2001Mar2023AG"/>
        </x15:connection>
      </ext>
    </extLst>
  </connection>
</connections>
</file>

<file path=xl/sharedStrings.xml><?xml version="1.0" encoding="utf-8"?>
<sst xmlns="http://schemas.openxmlformats.org/spreadsheetml/2006/main" count="44165" uniqueCount="14427">
  <si>
    <t>url1</t>
  </si>
  <si>
    <t>url_tbl1</t>
  </si>
  <si>
    <t>Contra</t>
  </si>
  <si>
    <t>https://www.advisorkhoj.com/mutual-funds-research/top-performing-systematic-investment-plan?category=Equity:%20</t>
  </si>
  <si>
    <t>&amp;period=</t>
  </si>
  <si>
    <t>&amp;amount=3000</t>
  </si>
  <si>
    <t>url2</t>
  </si>
  <si>
    <t>url_tbl2</t>
  </si>
  <si>
    <t>url3</t>
  </si>
  <si>
    <t>url_tbl3</t>
  </si>
  <si>
    <t>url4</t>
  </si>
  <si>
    <t>url_tbl4</t>
  </si>
  <si>
    <t>url5</t>
  </si>
  <si>
    <t>url_tbl5</t>
  </si>
  <si>
    <t>url6</t>
  </si>
  <si>
    <t>url_tbl6</t>
  </si>
  <si>
    <t>url7</t>
  </si>
  <si>
    <t>url_tbl7</t>
  </si>
  <si>
    <t>url8</t>
  </si>
  <si>
    <t>url_tbl8</t>
  </si>
  <si>
    <t>url9</t>
  </si>
  <si>
    <t>url_tbl9</t>
  </si>
  <si>
    <t>url10</t>
  </si>
  <si>
    <t>url_tbl10</t>
  </si>
  <si>
    <t>url11</t>
  </si>
  <si>
    <t>url_tbl11</t>
  </si>
  <si>
    <t>url12</t>
  </si>
  <si>
    <t>url_tbl12</t>
  </si>
  <si>
    <t>url13</t>
  </si>
  <si>
    <t>url_tbl13</t>
  </si>
  <si>
    <t>url14</t>
  </si>
  <si>
    <t>url_tbl14</t>
  </si>
  <si>
    <t>url15</t>
  </si>
  <si>
    <t>url_tbl15</t>
  </si>
  <si>
    <t>url16</t>
  </si>
  <si>
    <t>url_tbl16</t>
  </si>
  <si>
    <t>url17</t>
  </si>
  <si>
    <t>url_tbl17</t>
  </si>
  <si>
    <t>Dividend Yield</t>
  </si>
  <si>
    <t>url18</t>
  </si>
  <si>
    <t>url_tbl18</t>
  </si>
  <si>
    <t>url19</t>
  </si>
  <si>
    <t>url_tbl19</t>
  </si>
  <si>
    <t>url20</t>
  </si>
  <si>
    <t>url_tbl20</t>
  </si>
  <si>
    <t>url21</t>
  </si>
  <si>
    <t>url_tbl21</t>
  </si>
  <si>
    <t>url22</t>
  </si>
  <si>
    <t>url_tbl22</t>
  </si>
  <si>
    <t>url23</t>
  </si>
  <si>
    <t>url_tbl23</t>
  </si>
  <si>
    <t>url24</t>
  </si>
  <si>
    <t>url_tbl24</t>
  </si>
  <si>
    <t>url25</t>
  </si>
  <si>
    <t>url_tbl25</t>
  </si>
  <si>
    <t>url26</t>
  </si>
  <si>
    <t>url_tbl26</t>
  </si>
  <si>
    <t>url27</t>
  </si>
  <si>
    <t>url_tbl27</t>
  </si>
  <si>
    <t>url28</t>
  </si>
  <si>
    <t>url_tbl28</t>
  </si>
  <si>
    <t>url29</t>
  </si>
  <si>
    <t>url_tbl29</t>
  </si>
  <si>
    <t>url30</t>
  </si>
  <si>
    <t>url_tbl30</t>
  </si>
  <si>
    <t>url31</t>
  </si>
  <si>
    <t>url_tbl31</t>
  </si>
  <si>
    <t>url32</t>
  </si>
  <si>
    <t>url_tbl32</t>
  </si>
  <si>
    <t>url33</t>
  </si>
  <si>
    <t>url_tbl33</t>
  </si>
  <si>
    <t>url34</t>
  </si>
  <si>
    <t>url_tbl34</t>
  </si>
  <si>
    <t>ELSS</t>
  </si>
  <si>
    <t>url35</t>
  </si>
  <si>
    <t>url_tbl35</t>
  </si>
  <si>
    <t>url36</t>
  </si>
  <si>
    <t>url_tbl36</t>
  </si>
  <si>
    <t>url37</t>
  </si>
  <si>
    <t>url_tbl37</t>
  </si>
  <si>
    <t>url38</t>
  </si>
  <si>
    <t>url_tbl38</t>
  </si>
  <si>
    <t>url39</t>
  </si>
  <si>
    <t>url_tbl39</t>
  </si>
  <si>
    <t>url40</t>
  </si>
  <si>
    <t>url_tbl40</t>
  </si>
  <si>
    <t>url41</t>
  </si>
  <si>
    <t>url_tbl41</t>
  </si>
  <si>
    <t>url42</t>
  </si>
  <si>
    <t>url_tbl42</t>
  </si>
  <si>
    <t>url43</t>
  </si>
  <si>
    <t>url_tbl43</t>
  </si>
  <si>
    <t>url44</t>
  </si>
  <si>
    <t>url_tbl44</t>
  </si>
  <si>
    <t>url45</t>
  </si>
  <si>
    <t>url_tbl45</t>
  </si>
  <si>
    <t>url46</t>
  </si>
  <si>
    <t>url_tbl46</t>
  </si>
  <si>
    <t>url47</t>
  </si>
  <si>
    <t>url_tbl47</t>
  </si>
  <si>
    <t>url48</t>
  </si>
  <si>
    <t>url_tbl48</t>
  </si>
  <si>
    <t>url49</t>
  </si>
  <si>
    <t>url_tbl49</t>
  </si>
  <si>
    <t>url50</t>
  </si>
  <si>
    <t>url_tbl50</t>
  </si>
  <si>
    <t>Flexi Cap</t>
  </si>
  <si>
    <t>url51</t>
  </si>
  <si>
    <t>url_tbl51</t>
  </si>
  <si>
    <t>url52</t>
  </si>
  <si>
    <t>url_tbl52</t>
  </si>
  <si>
    <t>url53</t>
  </si>
  <si>
    <t>url_tbl53</t>
  </si>
  <si>
    <t>url54</t>
  </si>
  <si>
    <t>url_tbl54</t>
  </si>
  <si>
    <t>url55</t>
  </si>
  <si>
    <t>url_tbl55</t>
  </si>
  <si>
    <t>url56</t>
  </si>
  <si>
    <t>url_tbl56</t>
  </si>
  <si>
    <t>url57</t>
  </si>
  <si>
    <t>url_tbl57</t>
  </si>
  <si>
    <t>url58</t>
  </si>
  <si>
    <t>url_tbl58</t>
  </si>
  <si>
    <t>url59</t>
  </si>
  <si>
    <t>url_tbl59</t>
  </si>
  <si>
    <t>url60</t>
  </si>
  <si>
    <t>url_tbl60</t>
  </si>
  <si>
    <t>url61</t>
  </si>
  <si>
    <t>url_tbl61</t>
  </si>
  <si>
    <t>url62</t>
  </si>
  <si>
    <t>url_tbl62</t>
  </si>
  <si>
    <t>url63</t>
  </si>
  <si>
    <t>url_tbl63</t>
  </si>
  <si>
    <t>url64</t>
  </si>
  <si>
    <t>url_tbl64</t>
  </si>
  <si>
    <t>url65</t>
  </si>
  <si>
    <t>url_tbl65</t>
  </si>
  <si>
    <t>url66</t>
  </si>
  <si>
    <t>url_tbl66</t>
  </si>
  <si>
    <t>Focused</t>
  </si>
  <si>
    <t>url67</t>
  </si>
  <si>
    <t>url_tbl67</t>
  </si>
  <si>
    <t>url68</t>
  </si>
  <si>
    <t>url_tbl68</t>
  </si>
  <si>
    <t>url69</t>
  </si>
  <si>
    <t>url_tbl69</t>
  </si>
  <si>
    <t>url70</t>
  </si>
  <si>
    <t>url_tbl70</t>
  </si>
  <si>
    <t>url71</t>
  </si>
  <si>
    <t>url_tbl71</t>
  </si>
  <si>
    <t>url72</t>
  </si>
  <si>
    <t>url_tbl72</t>
  </si>
  <si>
    <t>url73</t>
  </si>
  <si>
    <t>url_tbl73</t>
  </si>
  <si>
    <t>url74</t>
  </si>
  <si>
    <t>url_tbl74</t>
  </si>
  <si>
    <t>url75</t>
  </si>
  <si>
    <t>url_tbl75</t>
  </si>
  <si>
    <t>url76</t>
  </si>
  <si>
    <t>url_tbl76</t>
  </si>
  <si>
    <t>url77</t>
  </si>
  <si>
    <t>url_tbl77</t>
  </si>
  <si>
    <t>url78</t>
  </si>
  <si>
    <t>url_tbl78</t>
  </si>
  <si>
    <t>url79</t>
  </si>
  <si>
    <t>url_tbl79</t>
  </si>
  <si>
    <t>url80</t>
  </si>
  <si>
    <t>url_tbl80</t>
  </si>
  <si>
    <t>url81</t>
  </si>
  <si>
    <t>url_tbl81</t>
  </si>
  <si>
    <t>url82</t>
  </si>
  <si>
    <t>url_tbl82</t>
  </si>
  <si>
    <t>Large and Mid Cap</t>
  </si>
  <si>
    <t>url83</t>
  </si>
  <si>
    <t>url_tbl83</t>
  </si>
  <si>
    <t>url84</t>
  </si>
  <si>
    <t>url_tbl84</t>
  </si>
  <si>
    <t>url85</t>
  </si>
  <si>
    <t>url_tbl85</t>
  </si>
  <si>
    <t>url86</t>
  </si>
  <si>
    <t>url_tbl86</t>
  </si>
  <si>
    <t>url87</t>
  </si>
  <si>
    <t>url_tbl87</t>
  </si>
  <si>
    <t>url88</t>
  </si>
  <si>
    <t>url_tbl88</t>
  </si>
  <si>
    <t>url89</t>
  </si>
  <si>
    <t>url_tbl89</t>
  </si>
  <si>
    <t>url90</t>
  </si>
  <si>
    <t>url_tbl90</t>
  </si>
  <si>
    <t>url91</t>
  </si>
  <si>
    <t>url_tbl91</t>
  </si>
  <si>
    <t>url92</t>
  </si>
  <si>
    <t>url_tbl92</t>
  </si>
  <si>
    <t>url93</t>
  </si>
  <si>
    <t>url_tbl93</t>
  </si>
  <si>
    <t>url94</t>
  </si>
  <si>
    <t>url_tbl94</t>
  </si>
  <si>
    <t>url95</t>
  </si>
  <si>
    <t>url_tbl95</t>
  </si>
  <si>
    <t>url96</t>
  </si>
  <si>
    <t>url_tbl96</t>
  </si>
  <si>
    <t>url97</t>
  </si>
  <si>
    <t>url_tbl97</t>
  </si>
  <si>
    <t>url98</t>
  </si>
  <si>
    <t>url_tbl98</t>
  </si>
  <si>
    <t>Large Cap</t>
  </si>
  <si>
    <t>url99</t>
  </si>
  <si>
    <t>url_tbl99</t>
  </si>
  <si>
    <t>url100</t>
  </si>
  <si>
    <t>url_tbl100</t>
  </si>
  <si>
    <t>url101</t>
  </si>
  <si>
    <t>url_tbl101</t>
  </si>
  <si>
    <t>url102</t>
  </si>
  <si>
    <t>url_tbl102</t>
  </si>
  <si>
    <t>url103</t>
  </si>
  <si>
    <t>url_tbl103</t>
  </si>
  <si>
    <t>url104</t>
  </si>
  <si>
    <t>url_tbl104</t>
  </si>
  <si>
    <t>url105</t>
  </si>
  <si>
    <t>url_tbl105</t>
  </si>
  <si>
    <t>url106</t>
  </si>
  <si>
    <t>url_tbl106</t>
  </si>
  <si>
    <t>url107</t>
  </si>
  <si>
    <t>url_tbl107</t>
  </si>
  <si>
    <t>url108</t>
  </si>
  <si>
    <t>url_tbl108</t>
  </si>
  <si>
    <t>url109</t>
  </si>
  <si>
    <t>url_tbl109</t>
  </si>
  <si>
    <t>url110</t>
  </si>
  <si>
    <t>url_tbl110</t>
  </si>
  <si>
    <t>url111</t>
  </si>
  <si>
    <t>url_tbl111</t>
  </si>
  <si>
    <t>url112</t>
  </si>
  <si>
    <t>url_tbl112</t>
  </si>
  <si>
    <t>url113</t>
  </si>
  <si>
    <t>url_tbl113</t>
  </si>
  <si>
    <t>url114</t>
  </si>
  <si>
    <t>url_tbl114</t>
  </si>
  <si>
    <t>Mid Cap</t>
  </si>
  <si>
    <t>url115</t>
  </si>
  <si>
    <t>url_tbl115</t>
  </si>
  <si>
    <t>url116</t>
  </si>
  <si>
    <t>url_tbl116</t>
  </si>
  <si>
    <t>url117</t>
  </si>
  <si>
    <t>url_tbl117</t>
  </si>
  <si>
    <t>url118</t>
  </si>
  <si>
    <t>url_tbl118</t>
  </si>
  <si>
    <t>url119</t>
  </si>
  <si>
    <t>url_tbl119</t>
  </si>
  <si>
    <t>url120</t>
  </si>
  <si>
    <t>url_tbl120</t>
  </si>
  <si>
    <t>url121</t>
  </si>
  <si>
    <t>url_tbl121</t>
  </si>
  <si>
    <t>url122</t>
  </si>
  <si>
    <t>url_tbl122</t>
  </si>
  <si>
    <t>url123</t>
  </si>
  <si>
    <t>url_tbl123</t>
  </si>
  <si>
    <t>url124</t>
  </si>
  <si>
    <t>url_tbl124</t>
  </si>
  <si>
    <t>url125</t>
  </si>
  <si>
    <t>url_tbl125</t>
  </si>
  <si>
    <t>url126</t>
  </si>
  <si>
    <t>url_tbl126</t>
  </si>
  <si>
    <t>url127</t>
  </si>
  <si>
    <t>url_tbl127</t>
  </si>
  <si>
    <t>url128</t>
  </si>
  <si>
    <t>url_tbl128</t>
  </si>
  <si>
    <t>url129</t>
  </si>
  <si>
    <t>url_tbl129</t>
  </si>
  <si>
    <t>url130</t>
  </si>
  <si>
    <t>url_tbl130</t>
  </si>
  <si>
    <t>Multi Cap</t>
  </si>
  <si>
    <t>url131</t>
  </si>
  <si>
    <t>url_tbl131</t>
  </si>
  <si>
    <t>url132</t>
  </si>
  <si>
    <t>url_tbl132</t>
  </si>
  <si>
    <t>url133</t>
  </si>
  <si>
    <t>url_tbl133</t>
  </si>
  <si>
    <t>url134</t>
  </si>
  <si>
    <t>url_tbl134</t>
  </si>
  <si>
    <t>url135</t>
  </si>
  <si>
    <t>url_tbl135</t>
  </si>
  <si>
    <t>url136</t>
  </si>
  <si>
    <t>url_tbl136</t>
  </si>
  <si>
    <t>url137</t>
  </si>
  <si>
    <t>url_tbl137</t>
  </si>
  <si>
    <t>url138</t>
  </si>
  <si>
    <t>url_tbl138</t>
  </si>
  <si>
    <t>url139</t>
  </si>
  <si>
    <t>url_tbl139</t>
  </si>
  <si>
    <t>url140</t>
  </si>
  <si>
    <t>url_tbl140</t>
  </si>
  <si>
    <t>url141</t>
  </si>
  <si>
    <t>url_tbl141</t>
  </si>
  <si>
    <t>url142</t>
  </si>
  <si>
    <t>url_tbl142</t>
  </si>
  <si>
    <t>url143</t>
  </si>
  <si>
    <t>url_tbl143</t>
  </si>
  <si>
    <t>url144</t>
  </si>
  <si>
    <t>url_tbl144</t>
  </si>
  <si>
    <t>url145</t>
  </si>
  <si>
    <t>url_tbl145</t>
  </si>
  <si>
    <t>url146</t>
  </si>
  <si>
    <t>url_tbl146</t>
  </si>
  <si>
    <t>Sectoral-Banking and Financial</t>
  </si>
  <si>
    <t>url147</t>
  </si>
  <si>
    <t>url_tbl147</t>
  </si>
  <si>
    <t>url148</t>
  </si>
  <si>
    <t>url_tbl148</t>
  </si>
  <si>
    <t>url149</t>
  </si>
  <si>
    <t>url_tbl149</t>
  </si>
  <si>
    <t>url150</t>
  </si>
  <si>
    <t>url_tbl150</t>
  </si>
  <si>
    <t>url151</t>
  </si>
  <si>
    <t>url_tbl151</t>
  </si>
  <si>
    <t>url152</t>
  </si>
  <si>
    <t>url_tbl152</t>
  </si>
  <si>
    <t>url153</t>
  </si>
  <si>
    <t>url_tbl153</t>
  </si>
  <si>
    <t>url154</t>
  </si>
  <si>
    <t>url_tbl154</t>
  </si>
  <si>
    <t>url155</t>
  </si>
  <si>
    <t>url_tbl155</t>
  </si>
  <si>
    <t>url156</t>
  </si>
  <si>
    <t>url_tbl156</t>
  </si>
  <si>
    <t>url157</t>
  </si>
  <si>
    <t>url_tbl157</t>
  </si>
  <si>
    <t>url158</t>
  </si>
  <si>
    <t>url_tbl158</t>
  </si>
  <si>
    <t>url159</t>
  </si>
  <si>
    <t>url_tbl159</t>
  </si>
  <si>
    <t>url160</t>
  </si>
  <si>
    <t>url_tbl160</t>
  </si>
  <si>
    <t>url161</t>
  </si>
  <si>
    <t>url_tbl161</t>
  </si>
  <si>
    <t>url162</t>
  </si>
  <si>
    <t>url_tbl162</t>
  </si>
  <si>
    <t>Sectoral-Infrastructure</t>
  </si>
  <si>
    <t>url163</t>
  </si>
  <si>
    <t>url_tbl163</t>
  </si>
  <si>
    <t>url164</t>
  </si>
  <si>
    <t>url_tbl164</t>
  </si>
  <si>
    <t>url165</t>
  </si>
  <si>
    <t>url_tbl165</t>
  </si>
  <si>
    <t>url166</t>
  </si>
  <si>
    <t>url_tbl166</t>
  </si>
  <si>
    <t>url167</t>
  </si>
  <si>
    <t>url_tbl167</t>
  </si>
  <si>
    <t>url168</t>
  </si>
  <si>
    <t>url_tbl168</t>
  </si>
  <si>
    <t>url169</t>
  </si>
  <si>
    <t>url_tbl169</t>
  </si>
  <si>
    <t>url170</t>
  </si>
  <si>
    <t>url_tbl170</t>
  </si>
  <si>
    <t>url171</t>
  </si>
  <si>
    <t>url_tbl171</t>
  </si>
  <si>
    <t>url172</t>
  </si>
  <si>
    <t>url_tbl172</t>
  </si>
  <si>
    <t>url173</t>
  </si>
  <si>
    <t>url_tbl173</t>
  </si>
  <si>
    <t>url174</t>
  </si>
  <si>
    <t>url_tbl174</t>
  </si>
  <si>
    <t>url175</t>
  </si>
  <si>
    <t>url_tbl175</t>
  </si>
  <si>
    <t>url176</t>
  </si>
  <si>
    <t>url_tbl176</t>
  </si>
  <si>
    <t>url177</t>
  </si>
  <si>
    <t>url_tbl177</t>
  </si>
  <si>
    <t>url178</t>
  </si>
  <si>
    <t>url_tbl178</t>
  </si>
  <si>
    <t>Sectoral-Pharma and Healthcare</t>
  </si>
  <si>
    <t>url179</t>
  </si>
  <si>
    <t>url_tbl179</t>
  </si>
  <si>
    <t>url180</t>
  </si>
  <si>
    <t>url_tbl180</t>
  </si>
  <si>
    <t>url181</t>
  </si>
  <si>
    <t>url_tbl181</t>
  </si>
  <si>
    <t>url182</t>
  </si>
  <si>
    <t>url_tbl182</t>
  </si>
  <si>
    <t>url183</t>
  </si>
  <si>
    <t>url_tbl183</t>
  </si>
  <si>
    <t>url184</t>
  </si>
  <si>
    <t>url_tbl184</t>
  </si>
  <si>
    <t>url185</t>
  </si>
  <si>
    <t>url_tbl185</t>
  </si>
  <si>
    <t>url186</t>
  </si>
  <si>
    <t>url_tbl186</t>
  </si>
  <si>
    <t>url187</t>
  </si>
  <si>
    <t>url_tbl187</t>
  </si>
  <si>
    <t>url188</t>
  </si>
  <si>
    <t>url_tbl188</t>
  </si>
  <si>
    <t>url189</t>
  </si>
  <si>
    <t>url_tbl189</t>
  </si>
  <si>
    <t>url190</t>
  </si>
  <si>
    <t>url_tbl190</t>
  </si>
  <si>
    <t>url191</t>
  </si>
  <si>
    <t>url_tbl191</t>
  </si>
  <si>
    <t>url192</t>
  </si>
  <si>
    <t>url_tbl192</t>
  </si>
  <si>
    <t>url193</t>
  </si>
  <si>
    <t>url_tbl193</t>
  </si>
  <si>
    <t>url194</t>
  </si>
  <si>
    <t>url_tbl194</t>
  </si>
  <si>
    <t>Sectoral-Technology</t>
  </si>
  <si>
    <t>url195</t>
  </si>
  <si>
    <t>url_tbl195</t>
  </si>
  <si>
    <t>url196</t>
  </si>
  <si>
    <t>url_tbl196</t>
  </si>
  <si>
    <t>url197</t>
  </si>
  <si>
    <t>url_tbl197</t>
  </si>
  <si>
    <t>url198</t>
  </si>
  <si>
    <t>url_tbl198</t>
  </si>
  <si>
    <t>url199</t>
  </si>
  <si>
    <t>url_tbl199</t>
  </si>
  <si>
    <t>url200</t>
  </si>
  <si>
    <t>url_tbl200</t>
  </si>
  <si>
    <t>url201</t>
  </si>
  <si>
    <t>url_tbl201</t>
  </si>
  <si>
    <t>url202</t>
  </si>
  <si>
    <t>url_tbl202</t>
  </si>
  <si>
    <t>url203</t>
  </si>
  <si>
    <t>url_tbl203</t>
  </si>
  <si>
    <t>url204</t>
  </si>
  <si>
    <t>url_tbl204</t>
  </si>
  <si>
    <t>url205</t>
  </si>
  <si>
    <t>url_tbl205</t>
  </si>
  <si>
    <t>url206</t>
  </si>
  <si>
    <t>url_tbl206</t>
  </si>
  <si>
    <t>url207</t>
  </si>
  <si>
    <t>url_tbl207</t>
  </si>
  <si>
    <t>url208</t>
  </si>
  <si>
    <t>url_tbl208</t>
  </si>
  <si>
    <t>url209</t>
  </si>
  <si>
    <t>url_tbl209</t>
  </si>
  <si>
    <t>url210</t>
  </si>
  <si>
    <t>url_tbl210</t>
  </si>
  <si>
    <t>Small Cap</t>
  </si>
  <si>
    <t>url211</t>
  </si>
  <si>
    <t>url_tbl211</t>
  </si>
  <si>
    <t>url212</t>
  </si>
  <si>
    <t>url_tbl212</t>
  </si>
  <si>
    <t>url213</t>
  </si>
  <si>
    <t>url_tbl213</t>
  </si>
  <si>
    <t>url214</t>
  </si>
  <si>
    <t>url_tbl214</t>
  </si>
  <si>
    <t>url215</t>
  </si>
  <si>
    <t>url_tbl215</t>
  </si>
  <si>
    <t>url216</t>
  </si>
  <si>
    <t>url_tbl216</t>
  </si>
  <si>
    <t>url217</t>
  </si>
  <si>
    <t>url_tbl217</t>
  </si>
  <si>
    <t>url218</t>
  </si>
  <si>
    <t>url_tbl218</t>
  </si>
  <si>
    <t>url219</t>
  </si>
  <si>
    <t>url_tbl219</t>
  </si>
  <si>
    <t>url220</t>
  </si>
  <si>
    <t>url_tbl220</t>
  </si>
  <si>
    <t>url221</t>
  </si>
  <si>
    <t>url_tbl221</t>
  </si>
  <si>
    <t>url222</t>
  </si>
  <si>
    <t>url_tbl222</t>
  </si>
  <si>
    <t>url223</t>
  </si>
  <si>
    <t>url_tbl223</t>
  </si>
  <si>
    <t>url224</t>
  </si>
  <si>
    <t>url_tbl224</t>
  </si>
  <si>
    <t>url225</t>
  </si>
  <si>
    <t>url_tbl225</t>
  </si>
  <si>
    <t>url226</t>
  </si>
  <si>
    <t>url_tbl226</t>
  </si>
  <si>
    <t>ETFs</t>
  </si>
  <si>
    <t>https://www.advisorkhoj.com/mutual-funds-research/top-performing-systematic-investment-plan?category=</t>
  </si>
  <si>
    <t>url227</t>
  </si>
  <si>
    <t>url_tbl227</t>
  </si>
  <si>
    <t>url228</t>
  </si>
  <si>
    <t>url_tbl228</t>
  </si>
  <si>
    <t>url229</t>
  </si>
  <si>
    <t>url_tbl229</t>
  </si>
  <si>
    <t>url230</t>
  </si>
  <si>
    <t>url_tbl230</t>
  </si>
  <si>
    <t>url231</t>
  </si>
  <si>
    <t>url_tbl231</t>
  </si>
  <si>
    <t>url232</t>
  </si>
  <si>
    <t>url_tbl232</t>
  </si>
  <si>
    <t>url233</t>
  </si>
  <si>
    <t>url_tbl233</t>
  </si>
  <si>
    <t>url234</t>
  </si>
  <si>
    <t>url_tbl234</t>
  </si>
  <si>
    <t>url235</t>
  </si>
  <si>
    <t>url_tbl235</t>
  </si>
  <si>
    <t>url236</t>
  </si>
  <si>
    <t>url_tbl236</t>
  </si>
  <si>
    <t>url237</t>
  </si>
  <si>
    <t>url_tbl237</t>
  </si>
  <si>
    <t>url238</t>
  </si>
  <si>
    <t>url_tbl238</t>
  </si>
  <si>
    <t>url239</t>
  </si>
  <si>
    <t>url_tbl239</t>
  </si>
  <si>
    <t>url240</t>
  </si>
  <si>
    <t>url_tbl240</t>
  </si>
  <si>
    <t>url241</t>
  </si>
  <si>
    <t>url_tbl241</t>
  </si>
  <si>
    <t>url242</t>
  </si>
  <si>
    <t>url_tbl242</t>
  </si>
  <si>
    <t>Index Fund</t>
  </si>
  <si>
    <t>url243</t>
  </si>
  <si>
    <t>url_tbl243</t>
  </si>
  <si>
    <t>url244</t>
  </si>
  <si>
    <t>url_tbl244</t>
  </si>
  <si>
    <t>url245</t>
  </si>
  <si>
    <t>url_tbl245</t>
  </si>
  <si>
    <t>url246</t>
  </si>
  <si>
    <t>url_tbl246</t>
  </si>
  <si>
    <t>url247</t>
  </si>
  <si>
    <t>url_tbl247</t>
  </si>
  <si>
    <t>url248</t>
  </si>
  <si>
    <t>url_tbl248</t>
  </si>
  <si>
    <t>url249</t>
  </si>
  <si>
    <t>url_tbl249</t>
  </si>
  <si>
    <t>url250</t>
  </si>
  <si>
    <t>url_tbl250</t>
  </si>
  <si>
    <t>url251</t>
  </si>
  <si>
    <t>url_tbl251</t>
  </si>
  <si>
    <t>url252</t>
  </si>
  <si>
    <t>url_tbl252</t>
  </si>
  <si>
    <t>url253</t>
  </si>
  <si>
    <t>url_tbl253</t>
  </si>
  <si>
    <t>url254</t>
  </si>
  <si>
    <t>url_tbl254</t>
  </si>
  <si>
    <t>url255</t>
  </si>
  <si>
    <t>url_tbl255</t>
  </si>
  <si>
    <t>url256</t>
  </si>
  <si>
    <t>url_tbl256</t>
  </si>
  <si>
    <t>url257</t>
  </si>
  <si>
    <t>url_tbl257</t>
  </si>
  <si>
    <t>url258</t>
  </si>
  <si>
    <t>url_tbl258</t>
  </si>
  <si>
    <t>url259</t>
  </si>
  <si>
    <t>url_tbl259</t>
  </si>
  <si>
    <t>url260</t>
  </si>
  <si>
    <t>url_tbl260</t>
  </si>
  <si>
    <t>url261</t>
  </si>
  <si>
    <t>url_tbl261</t>
  </si>
  <si>
    <t>url262</t>
  </si>
  <si>
    <t>url_tbl262</t>
  </si>
  <si>
    <t>url263</t>
  </si>
  <si>
    <t>url_tbl263</t>
  </si>
  <si>
    <t>url264</t>
  </si>
  <si>
    <t>url_tbl264</t>
  </si>
  <si>
    <t>url265</t>
  </si>
  <si>
    <t>url_tbl265</t>
  </si>
  <si>
    <t>url266</t>
  </si>
  <si>
    <t>url_tbl266</t>
  </si>
  <si>
    <t>url267</t>
  </si>
  <si>
    <t>url_tbl267</t>
  </si>
  <si>
    <t>url268</t>
  </si>
  <si>
    <t>url_tbl268</t>
  </si>
  <si>
    <t>url269</t>
  </si>
  <si>
    <t>url_tbl269</t>
  </si>
  <si>
    <t>url270</t>
  </si>
  <si>
    <t>url_tbl270</t>
  </si>
  <si>
    <t>url271</t>
  </si>
  <si>
    <t>url_tbl271</t>
  </si>
  <si>
    <t>url272</t>
  </si>
  <si>
    <t>url_tbl272</t>
  </si>
  <si>
    <t>url273</t>
  </si>
  <si>
    <t>url_tbl273</t>
  </si>
  <si>
    <t>url274</t>
  </si>
  <si>
    <t>url_tbl274</t>
  </si>
  <si>
    <t>url275</t>
  </si>
  <si>
    <t>url_tbl275</t>
  </si>
  <si>
    <t>url276</t>
  </si>
  <si>
    <t>url_tbl276</t>
  </si>
  <si>
    <t>url277</t>
  </si>
  <si>
    <t>url_tbl277</t>
  </si>
  <si>
    <t>url278</t>
  </si>
  <si>
    <t>url_tbl278</t>
  </si>
  <si>
    <t>url279</t>
  </si>
  <si>
    <t>url_tbl279</t>
  </si>
  <si>
    <t>url280</t>
  </si>
  <si>
    <t>url_tbl280</t>
  </si>
  <si>
    <t>url281</t>
  </si>
  <si>
    <t>url_tbl281</t>
  </si>
  <si>
    <t>url282</t>
  </si>
  <si>
    <t>url_tbl282</t>
  </si>
  <si>
    <t>url283</t>
  </si>
  <si>
    <t>url_tbl283</t>
  </si>
  <si>
    <t>url284</t>
  </si>
  <si>
    <t>url_tbl284</t>
  </si>
  <si>
    <t>url285</t>
  </si>
  <si>
    <t>url_tbl285</t>
  </si>
  <si>
    <t>url286</t>
  </si>
  <si>
    <t>url_tbl286</t>
  </si>
  <si>
    <t>url287</t>
  </si>
  <si>
    <t>url_tbl287</t>
  </si>
  <si>
    <t>url288</t>
  </si>
  <si>
    <t>url_tbl288</t>
  </si>
  <si>
    <t>url289</t>
  </si>
  <si>
    <t>url_tbl289</t>
  </si>
  <si>
    <t>url290</t>
  </si>
  <si>
    <t>url_tbl290</t>
  </si>
  <si>
    <t>url291</t>
  </si>
  <si>
    <t>url_tbl291</t>
  </si>
  <si>
    <t>url292</t>
  </si>
  <si>
    <t>url_tbl292</t>
  </si>
  <si>
    <t>url293</t>
  </si>
  <si>
    <t>url_tbl293</t>
  </si>
  <si>
    <t>url294</t>
  </si>
  <si>
    <t>url_tbl294</t>
  </si>
  <si>
    <t>url295</t>
  </si>
  <si>
    <t>url_tbl295</t>
  </si>
  <si>
    <t>url296</t>
  </si>
  <si>
    <t>url_tbl296</t>
  </si>
  <si>
    <t>url297</t>
  </si>
  <si>
    <t>url_tbl297</t>
  </si>
  <si>
    <t>url298</t>
  </si>
  <si>
    <t>url_tbl298</t>
  </si>
  <si>
    <t>url299</t>
  </si>
  <si>
    <t>url_tbl299</t>
  </si>
  <si>
    <t>url300</t>
  </si>
  <si>
    <t>url_tbl300</t>
  </si>
  <si>
    <t>url301</t>
  </si>
  <si>
    <t>url_tbl301</t>
  </si>
  <si>
    <t>url302</t>
  </si>
  <si>
    <t>url_tbl302</t>
  </si>
  <si>
    <t>url303</t>
  </si>
  <si>
    <t>url_tbl303</t>
  </si>
  <si>
    <t>url304</t>
  </si>
  <si>
    <t>url_tbl304</t>
  </si>
  <si>
    <t>url305</t>
  </si>
  <si>
    <t>url_tbl305</t>
  </si>
  <si>
    <t>url306</t>
  </si>
  <si>
    <t>url_tbl306</t>
  </si>
  <si>
    <t>url307</t>
  </si>
  <si>
    <t>url_tbl307</t>
  </si>
  <si>
    <t>url308</t>
  </si>
  <si>
    <t>url_tbl308</t>
  </si>
  <si>
    <t>url309</t>
  </si>
  <si>
    <t>url_tbl309</t>
  </si>
  <si>
    <t>url310</t>
  </si>
  <si>
    <t>url_tbl310</t>
  </si>
  <si>
    <t>url311</t>
  </si>
  <si>
    <t>url_tbl311</t>
  </si>
  <si>
    <t>url312</t>
  </si>
  <si>
    <t>url_tbl312</t>
  </si>
  <si>
    <t>url313</t>
  </si>
  <si>
    <t>url_tbl313</t>
  </si>
  <si>
    <t>url314</t>
  </si>
  <si>
    <t>url_tbl314</t>
  </si>
  <si>
    <t>url315</t>
  </si>
  <si>
    <t>url_tbl315</t>
  </si>
  <si>
    <t>url316</t>
  </si>
  <si>
    <t>url_tbl316</t>
  </si>
  <si>
    <t>url317</t>
  </si>
  <si>
    <t>url_tbl317</t>
  </si>
  <si>
    <t>url318</t>
  </si>
  <si>
    <t>url_tbl318</t>
  </si>
  <si>
    <t>url319</t>
  </si>
  <si>
    <t>url_tbl319</t>
  </si>
  <si>
    <t>url320</t>
  </si>
  <si>
    <t>url_tbl320</t>
  </si>
  <si>
    <t>url321</t>
  </si>
  <si>
    <t>url_tbl321</t>
  </si>
  <si>
    <t>url322</t>
  </si>
  <si>
    <t>url_tbl322</t>
  </si>
  <si>
    <t>url323</t>
  </si>
  <si>
    <t>url_tbl323</t>
  </si>
  <si>
    <t>url324</t>
  </si>
  <si>
    <t>url_tbl324</t>
  </si>
  <si>
    <t>url325</t>
  </si>
  <si>
    <t>url_tbl325</t>
  </si>
  <si>
    <t>url326</t>
  </si>
  <si>
    <t>url_tbl326</t>
  </si>
  <si>
    <t>url327</t>
  </si>
  <si>
    <t>url_tbl327</t>
  </si>
  <si>
    <t>url328</t>
  </si>
  <si>
    <t>url_tbl328</t>
  </si>
  <si>
    <t>url329</t>
  </si>
  <si>
    <t>url_tbl329</t>
  </si>
  <si>
    <t>url330</t>
  </si>
  <si>
    <t>url_tbl330</t>
  </si>
  <si>
    <t>url331</t>
  </si>
  <si>
    <t>url_tbl331</t>
  </si>
  <si>
    <t>url332</t>
  </si>
  <si>
    <t>url_tbl332</t>
  </si>
  <si>
    <t>url333</t>
  </si>
  <si>
    <t>url_tbl333</t>
  </si>
  <si>
    <t>url334</t>
  </si>
  <si>
    <t>url_tbl334</t>
  </si>
  <si>
    <t>url335</t>
  </si>
  <si>
    <t>url_tbl335</t>
  </si>
  <si>
    <t>url336</t>
  </si>
  <si>
    <t>url_tbl336</t>
  </si>
  <si>
    <t>url337</t>
  </si>
  <si>
    <t>url_tbl337</t>
  </si>
  <si>
    <t>url338</t>
  </si>
  <si>
    <t>url_tbl338</t>
  </si>
  <si>
    <t>url339</t>
  </si>
  <si>
    <t>url_tbl339</t>
  </si>
  <si>
    <t>url340</t>
  </si>
  <si>
    <t>url_tbl340</t>
  </si>
  <si>
    <t>url341</t>
  </si>
  <si>
    <t>url_tbl341</t>
  </si>
  <si>
    <t>url342</t>
  </si>
  <si>
    <t>url_tbl342</t>
  </si>
  <si>
    <t>url343</t>
  </si>
  <si>
    <t>url_tbl343</t>
  </si>
  <si>
    <t>url344</t>
  </si>
  <si>
    <t>url_tbl344</t>
  </si>
  <si>
    <t>url345</t>
  </si>
  <si>
    <t>url_tbl345</t>
  </si>
  <si>
    <t>url346</t>
  </si>
  <si>
    <t>url_tbl346</t>
  </si>
  <si>
    <t>url347</t>
  </si>
  <si>
    <t>url_tbl347</t>
  </si>
  <si>
    <t>url348</t>
  </si>
  <si>
    <t>url_tbl348</t>
  </si>
  <si>
    <t>url349</t>
  </si>
  <si>
    <t>url_tbl349</t>
  </si>
  <si>
    <t>url350</t>
  </si>
  <si>
    <t>url_tbl350</t>
  </si>
  <si>
    <t>url351</t>
  </si>
  <si>
    <t>url_tbl351</t>
  </si>
  <si>
    <t>url352</t>
  </si>
  <si>
    <t>url_tbl352</t>
  </si>
  <si>
    <t>url353</t>
  </si>
  <si>
    <t>url_tbl353</t>
  </si>
  <si>
    <t>url354</t>
  </si>
  <si>
    <t>url_tbl354</t>
  </si>
  <si>
    <t>url355</t>
  </si>
  <si>
    <t>url_tbl355</t>
  </si>
  <si>
    <t>url356</t>
  </si>
  <si>
    <t>url_tbl356</t>
  </si>
  <si>
    <t>url357</t>
  </si>
  <si>
    <t>url_tbl357</t>
  </si>
  <si>
    <t>url358</t>
  </si>
  <si>
    <t>url_tbl358</t>
  </si>
  <si>
    <t>url359</t>
  </si>
  <si>
    <t>url_tbl359</t>
  </si>
  <si>
    <t>url360</t>
  </si>
  <si>
    <t>url_tbl360</t>
  </si>
  <si>
    <t>url361</t>
  </si>
  <si>
    <t>url_tbl361</t>
  </si>
  <si>
    <t>url362</t>
  </si>
  <si>
    <t>url_tbl362</t>
  </si>
  <si>
    <t>url363</t>
  </si>
  <si>
    <t>url_tbl363</t>
  </si>
  <si>
    <t>url364</t>
  </si>
  <si>
    <t>url_tbl364</t>
  </si>
  <si>
    <t>url365</t>
  </si>
  <si>
    <t>url_tbl365</t>
  </si>
  <si>
    <t>url366</t>
  </si>
  <si>
    <t>url_tbl366</t>
  </si>
  <si>
    <t>url367</t>
  </si>
  <si>
    <t>url_tbl367</t>
  </si>
  <si>
    <t>url368</t>
  </si>
  <si>
    <t>url_tbl368</t>
  </si>
  <si>
    <t>url369</t>
  </si>
  <si>
    <t>url_tbl369</t>
  </si>
  <si>
    <t>url370</t>
  </si>
  <si>
    <t>url_tbl370</t>
  </si>
  <si>
    <t>url371</t>
  </si>
  <si>
    <t>url_tbl371</t>
  </si>
  <si>
    <t>url372</t>
  </si>
  <si>
    <t>url_tbl372</t>
  </si>
  <si>
    <t>url373</t>
  </si>
  <si>
    <t>url_tbl373</t>
  </si>
  <si>
    <t>url374</t>
  </si>
  <si>
    <t>url_tbl374</t>
  </si>
  <si>
    <t>url375</t>
  </si>
  <si>
    <t>url_tbl375</t>
  </si>
  <si>
    <t>url376</t>
  </si>
  <si>
    <t>url_tbl376</t>
  </si>
  <si>
    <t>url377</t>
  </si>
  <si>
    <t>url_tbl377</t>
  </si>
  <si>
    <t>url378</t>
  </si>
  <si>
    <t>url_tbl378</t>
  </si>
  <si>
    <t>url379</t>
  </si>
  <si>
    <t>url_tbl379</t>
  </si>
  <si>
    <t>url380</t>
  </si>
  <si>
    <t>url_tbl380</t>
  </si>
  <si>
    <t>url381</t>
  </si>
  <si>
    <t>url_tbl381</t>
  </si>
  <si>
    <t>url382</t>
  </si>
  <si>
    <t>url_tbl382</t>
  </si>
  <si>
    <t>url383</t>
  </si>
  <si>
    <t>url_tbl383</t>
  </si>
  <si>
    <t>url384</t>
  </si>
  <si>
    <t>url_tbl384</t>
  </si>
  <si>
    <t>url385</t>
  </si>
  <si>
    <t>url_tbl385</t>
  </si>
  <si>
    <t>url386</t>
  </si>
  <si>
    <t>url_tbl386</t>
  </si>
  <si>
    <t>url387</t>
  </si>
  <si>
    <t>url_tbl387</t>
  </si>
  <si>
    <t>url388</t>
  </si>
  <si>
    <t>url_tbl388</t>
  </si>
  <si>
    <t>url389</t>
  </si>
  <si>
    <t>url_tbl389</t>
  </si>
  <si>
    <t>url390</t>
  </si>
  <si>
    <t>url_tbl390</t>
  </si>
  <si>
    <t>url391</t>
  </si>
  <si>
    <t>url_tbl391</t>
  </si>
  <si>
    <t>url392</t>
  </si>
  <si>
    <t>url_tbl392</t>
  </si>
  <si>
    <t>url393</t>
  </si>
  <si>
    <t>url_tbl393</t>
  </si>
  <si>
    <t>url394</t>
  </si>
  <si>
    <t>url_tbl394</t>
  </si>
  <si>
    <t>url395</t>
  </si>
  <si>
    <t>url_tbl395</t>
  </si>
  <si>
    <t>url396</t>
  </si>
  <si>
    <t>url_tbl396</t>
  </si>
  <si>
    <t>url397</t>
  </si>
  <si>
    <t>url_tbl397</t>
  </si>
  <si>
    <t>url398</t>
  </si>
  <si>
    <t>url_tbl398</t>
  </si>
  <si>
    <t>url399</t>
  </si>
  <si>
    <t>url_tbl399</t>
  </si>
  <si>
    <t>url400</t>
  </si>
  <si>
    <t>url_tbl400</t>
  </si>
  <si>
    <t>url401</t>
  </si>
  <si>
    <t>url_tbl401</t>
  </si>
  <si>
    <t>url402</t>
  </si>
  <si>
    <t>url_tbl402</t>
  </si>
  <si>
    <t>url403</t>
  </si>
  <si>
    <t>url_tbl403</t>
  </si>
  <si>
    <t>url404</t>
  </si>
  <si>
    <t>url_tbl404</t>
  </si>
  <si>
    <t>url405</t>
  </si>
  <si>
    <t>url_tbl405</t>
  </si>
  <si>
    <t>url406</t>
  </si>
  <si>
    <t>url_tbl406</t>
  </si>
  <si>
    <t>url407</t>
  </si>
  <si>
    <t>url_tbl407</t>
  </si>
  <si>
    <t>url408</t>
  </si>
  <si>
    <t>url_tbl408</t>
  </si>
  <si>
    <t>url409</t>
  </si>
  <si>
    <t>url_tbl409</t>
  </si>
  <si>
    <t>url410</t>
  </si>
  <si>
    <t>url_tbl410</t>
  </si>
  <si>
    <t>url411</t>
  </si>
  <si>
    <t>url_tbl411</t>
  </si>
  <si>
    <t>url412</t>
  </si>
  <si>
    <t>url_tbl412</t>
  </si>
  <si>
    <t>url413</t>
  </si>
  <si>
    <t>url_tbl413</t>
  </si>
  <si>
    <t>url414</t>
  </si>
  <si>
    <t>url_tbl414</t>
  </si>
  <si>
    <t>url415</t>
  </si>
  <si>
    <t>url_tbl415</t>
  </si>
  <si>
    <t>url416</t>
  </si>
  <si>
    <t>url_tbl416</t>
  </si>
  <si>
    <t>url417</t>
  </si>
  <si>
    <t>url_tbl417</t>
  </si>
  <si>
    <t>https://www.morningstar.in/tools/mutual-fund-returns-calculator.aspx</t>
  </si>
  <si>
    <t>Great tool to have multi year and multi fund return calculator</t>
  </si>
  <si>
    <t>https://www.morningstar.in/tools/mutual-fund-sip-calculator.aspx</t>
  </si>
  <si>
    <t>SIP with dates and for multiple funds</t>
  </si>
  <si>
    <t>Fund compare</t>
  </si>
  <si>
    <t>http://lt.morningstar.com/dk7pkae7kl/fundcompare/default.aspx?SecurityTokenList=F00000PDTT%5D2%5D0%5DFOIND$$ALL%7cF00000SC5Y%5D2%5D0%5DFOIND$$ALL%7cF00000PD8F%5D2%5D0%5DFOIND$$ALL%7cF00000PCZA%5D2%5D0%5DFOIND$$ALL%7cF00000PDUM%5D2%5D0%5DFOIND$$ALL&amp;CurrencyId=INR&amp;LanguageId=en-GB</t>
  </si>
  <si>
    <t>Side by side comparison</t>
  </si>
  <si>
    <t>SBI small cap</t>
  </si>
  <si>
    <t>Kotak small cap</t>
  </si>
  <si>
    <t>Axis small cap</t>
  </si>
  <si>
    <t>DSP small cap</t>
  </si>
  <si>
    <t>Nippon small cap</t>
  </si>
  <si>
    <t>Mirae Asset Emerging Bluechip Fund - Regular Plan - Growth Option</t>
  </si>
  <si>
    <t>Canara Robeco Emerging Equities - Regular Plan - GROWTH</t>
  </si>
  <si>
    <t>ICICI Prudential Technology Fund - Growth</t>
  </si>
  <si>
    <t>Axis Bluechip Fund - Regular Plan - Growth
| Invest Online</t>
  </si>
  <si>
    <t>Axis Focused 25 Fund - Regular Plan - Growth Option
| Invest Online</t>
  </si>
  <si>
    <t>TATA digital India</t>
  </si>
  <si>
    <t>UTI - Flexi Cap Fund-Growth Option</t>
  </si>
  <si>
    <t>Parag Parikh Flexi Cap Fund - Direct Plan - Growth</t>
  </si>
  <si>
    <t>12 (24%)</t>
  </si>
  <si>
    <t>13 (21%)</t>
  </si>
  <si>
    <t>11 (14%)</t>
  </si>
  <si>
    <t>8 (10%)</t>
  </si>
  <si>
    <t>1 (2%)</t>
  </si>
  <si>
    <t>3 (3%)</t>
  </si>
  <si>
    <t>2 (1%)</t>
  </si>
  <si>
    <t>4 (4%)</t>
  </si>
  <si>
    <t>8 (13%)</t>
  </si>
  <si>
    <t>15 (21%)</t>
  </si>
  <si>
    <t>12 (11%)</t>
  </si>
  <si>
    <t>4 (5%)</t>
  </si>
  <si>
    <t>5 (6%)</t>
  </si>
  <si>
    <t>3 (5%)</t>
  </si>
  <si>
    <t>3 (2%)</t>
  </si>
  <si>
    <t>3 (6%)</t>
  </si>
  <si>
    <t>2 (5%)</t>
  </si>
  <si>
    <t>8 (8%)</t>
  </si>
  <si>
    <t>6 (7%)</t>
  </si>
  <si>
    <t>9 (8%)</t>
  </si>
  <si>
    <t>6 (6%)</t>
  </si>
  <si>
    <t>8 (6%)</t>
  </si>
  <si>
    <t>1 (1%)</t>
  </si>
  <si>
    <t>5 (3%)</t>
  </si>
  <si>
    <t>13 (10%)</t>
  </si>
  <si>
    <t>2 (2%)</t>
  </si>
  <si>
    <t>3 (4%)</t>
  </si>
  <si>
    <t>10 (8%)</t>
  </si>
  <si>
    <t>11 (9%)</t>
  </si>
  <si>
    <t>7 (6%)</t>
  </si>
  <si>
    <t>25 (41%)</t>
  </si>
  <si>
    <t>6 (13%)</t>
  </si>
  <si>
    <t>20 (36%)</t>
  </si>
  <si>
    <t>12 (25%)</t>
  </si>
  <si>
    <t>4 (9%)</t>
  </si>
  <si>
    <t>20 (27%)</t>
  </si>
  <si>
    <t>5 (10%)</t>
  </si>
  <si>
    <t>21 (36%)</t>
  </si>
  <si>
    <t>12 (27%)</t>
  </si>
  <si>
    <t>5 (9%)</t>
  </si>
  <si>
    <t>15 (27%)</t>
  </si>
  <si>
    <t>4 (18%)</t>
  </si>
  <si>
    <t>4 (13%)</t>
  </si>
  <si>
    <t>20 (72%)</t>
  </si>
  <si>
    <t>7 (15%)</t>
  </si>
  <si>
    <t>16 (60%)</t>
  </si>
  <si>
    <t>3 (16%)</t>
  </si>
  <si>
    <t>16 (41%)</t>
  </si>
  <si>
    <t>4 (16%)</t>
  </si>
  <si>
    <t>13 (41%)</t>
  </si>
  <si>
    <t>Date</t>
  </si>
  <si>
    <t>Vinay</t>
  </si>
  <si>
    <t>Varsha</t>
  </si>
  <si>
    <t>Combined</t>
  </si>
  <si>
    <t>Modified Nippon on 10th July 2023 due to Nippon AMC reason</t>
  </si>
  <si>
    <t>Small 1</t>
  </si>
  <si>
    <t>Done</t>
  </si>
  <si>
    <t>Small 4</t>
  </si>
  <si>
    <t>Small 2</t>
  </si>
  <si>
    <t>Flexi</t>
  </si>
  <si>
    <t>Sector</t>
  </si>
  <si>
    <t>Small 5</t>
  </si>
  <si>
    <t>Small 3</t>
  </si>
  <si>
    <t>Flexi 1</t>
  </si>
  <si>
    <t>Large</t>
  </si>
  <si>
    <t>L &amp; M 1</t>
  </si>
  <si>
    <t>L &amp; M 2</t>
  </si>
  <si>
    <t>SBI TECHNOLOGY OPPORTUNITIES FUND - REGULAR PLAN - GROWTH
| Invest Online</t>
  </si>
  <si>
    <t>Expense</t>
  </si>
  <si>
    <t>Min investment
to start the fund</t>
  </si>
  <si>
    <t>Week</t>
  </si>
  <si>
    <t>Based on Aug 2021</t>
  </si>
  <si>
    <t>Years</t>
  </si>
  <si>
    <t>mean</t>
  </si>
  <si>
    <t>median</t>
  </si>
  <si>
    <t>SD</t>
  </si>
  <si>
    <t>min</t>
  </si>
  <si>
    <t>max</t>
  </si>
  <si>
    <t>Total</t>
  </si>
  <si>
    <t>SIP/week</t>
  </si>
  <si>
    <t>Freq</t>
  </si>
  <si>
    <r>
      <t>Canara Robeco Emerging Equities - Direct Plan </t>
    </r>
    <r>
      <rPr>
        <sz val="10"/>
        <color rgb="FF3F4D71"/>
        <rFont val="Arial"/>
        <family val="2"/>
      </rPr>
      <t xml:space="preserve">- </t>
    </r>
    <r>
      <rPr>
        <b/>
        <sz val="10"/>
        <color rgb="FF3F4D71"/>
        <rFont val="Arial"/>
        <family val="2"/>
      </rPr>
      <t>Growth</t>
    </r>
  </si>
  <si>
    <t>DSP Equity Opportunities Fund - Direct Plan - Growth</t>
  </si>
  <si>
    <t>Axis Focused 25 Fund - Direct Plan - Growth</t>
  </si>
  <si>
    <t>Mirae Asset Emerging Bluechip Fund - Growth</t>
  </si>
  <si>
    <t>LIC</t>
  </si>
  <si>
    <t>TATA</t>
  </si>
  <si>
    <t>Small</t>
  </si>
  <si>
    <t>Restriction</t>
  </si>
  <si>
    <t>Varsha / Vinay both via mobile</t>
  </si>
  <si>
    <t>1.57 Cr</t>
  </si>
  <si>
    <t>1.45 Cr</t>
  </si>
  <si>
    <t>1.55 Cr</t>
  </si>
  <si>
    <t>1.48 Cr</t>
  </si>
  <si>
    <t>1.41 Cr</t>
  </si>
  <si>
    <t>Axis Small Cap Fund</t>
  </si>
  <si>
    <t>Kotak Small Cap Fund</t>
  </si>
  <si>
    <t>Nippon India Small Cap</t>
  </si>
  <si>
    <t>HDFC Small Cap Fund - Direct Plan - Growth</t>
  </si>
  <si>
    <t>Varsha / Vinay both</t>
  </si>
  <si>
    <t>1.56 Cr</t>
  </si>
  <si>
    <t>1.43 Cr</t>
  </si>
  <si>
    <t>Canara Robeco Bluechip Equity Fund - Direct Plan - Growth</t>
  </si>
  <si>
    <t>Axis Blue Chip</t>
  </si>
  <si>
    <t>Kotak Bluechip Fund - Direct Plan - Growth</t>
  </si>
  <si>
    <t>1.59 Cr</t>
  </si>
  <si>
    <t>1.47 Cr</t>
  </si>
  <si>
    <t>freq</t>
  </si>
  <si>
    <t>Mid</t>
  </si>
  <si>
    <t>Kotak Emerging Equity Scheme - Growth</t>
  </si>
  <si>
    <t>L &amp; M</t>
  </si>
  <si>
    <t>Tata Mid Cap Growth - Direct (G)</t>
  </si>
  <si>
    <t>Edelweiss Large &amp; Mid Cap Fund - Regular Plan - Growth Option</t>
  </si>
  <si>
    <t>L</t>
  </si>
  <si>
    <t>CR Bluechip Equity Fund - D (G)</t>
  </si>
  <si>
    <t>CR Emerging equities</t>
  </si>
  <si>
    <t>Axis Focused 25 Fund - Regular Plan - Growth Option</t>
  </si>
  <si>
    <t>SBI FOCUSED EQUITY FUND - REGULAR PLAN -GROWTH</t>
  </si>
  <si>
    <t>Mirae Asset Focused Fund Regular Plan Growth</t>
  </si>
  <si>
    <t>Nippon India Pharma Fund-Growth Plan-Growth Option</t>
  </si>
  <si>
    <t>&gt;17 in 10 years</t>
  </si>
  <si>
    <t>&gt;22 in 10 years</t>
  </si>
  <si>
    <t>https://www.advisorkhoj.com/mutual-funds-research/top-performing-systematic-investment-plan?category=Equity:%20Flexi%20Cap&amp;period=15&amp;amount=5000</t>
  </si>
  <si>
    <t>Parag Parikh</t>
  </si>
  <si>
    <t>UTI midcap</t>
  </si>
  <si>
    <t>ETF</t>
  </si>
  <si>
    <t>Motilal Oswal Nasdaq 100 ETF (MOFN100)</t>
  </si>
  <si>
    <t>Varsha + Vinay</t>
  </si>
  <si>
    <t>&lt;-- Initial investment to start SIP</t>
  </si>
  <si>
    <t>Mirae asset emerging bluechip</t>
  </si>
  <si>
    <t>For each</t>
  </si>
  <si>
    <t>Weekly Varsha</t>
  </si>
  <si>
    <t>Bank mandate transfer of 10,500/- per week</t>
  </si>
  <si>
    <t>Axis focused 25</t>
  </si>
  <si>
    <t>Weekly Vinay</t>
  </si>
  <si>
    <t>SBI bluechip</t>
  </si>
  <si>
    <t>Weekly mandate</t>
  </si>
  <si>
    <t>Added UTI Nifty200 Momentum 30: 3000/- month for both and reduced a few other parts to keep 41,000/- month</t>
  </si>
  <si>
    <t>Axis Midcap Fund - Regular Plan - Growth</t>
  </si>
  <si>
    <t>Mirae Asset Tax Saver Fund-Regular Plan-Growth</t>
  </si>
  <si>
    <t>Axis Midcap Fund - Regular Plan - Growth
| Invest Online</t>
  </si>
  <si>
    <t>Tata Mid Cap Growth Fund Regular Plan- Growth</t>
  </si>
  <si>
    <t>Edelweiss Mid Cap Fund - Regular Plan - Growth Option</t>
  </si>
  <si>
    <t>Invesco India Contra Fund - Growth</t>
  </si>
  <si>
    <t>Canara Robeco Bluechip Equity Fund - Regular Plan - Growth</t>
  </si>
  <si>
    <t>Tata India Pharma &amp; Healthcare Fund-Regular Plan-Growth</t>
  </si>
  <si>
    <t>Age</t>
  </si>
  <si>
    <t>YoY increase</t>
  </si>
  <si>
    <t>Year</t>
  </si>
  <si>
    <t>Gratuity</t>
  </si>
  <si>
    <t>Basic</t>
  </si>
  <si>
    <t>PF</t>
  </si>
  <si>
    <t>Short term incentive</t>
  </si>
  <si>
    <t>CTC</t>
  </si>
  <si>
    <t>Shares (Rs.)</t>
  </si>
  <si>
    <t>Comments</t>
  </si>
  <si>
    <t>Gratuity / CTC</t>
  </si>
  <si>
    <t>Basic * 8.33%/ CTC</t>
  </si>
  <si>
    <t>Basic * 9.49%/ CTC</t>
  </si>
  <si>
    <t>Approximation</t>
  </si>
  <si>
    <t>Approximation, basic, PF based on 1st July 2004 salary slip</t>
  </si>
  <si>
    <t>Approximation, basic based on increment letter</t>
  </si>
  <si>
    <t>Based on 17th April 2006 document, physical copy</t>
  </si>
  <si>
    <t>Based on 6th March 2007 document, physical copy: 30812
Based on 10th April 2007 document, physical copy: 35434</t>
  </si>
  <si>
    <t>Based on 24th March 2008 document, physical copy</t>
  </si>
  <si>
    <t>2008-2009</t>
  </si>
  <si>
    <t>C:\Users\mahajvi1\OneDrive - Novartis Pharma AG\mahajvi1\money\_Expenses-Inflow-Outflow\Money-comparison.xls - sheet2</t>
  </si>
  <si>
    <t>Approx</t>
  </si>
  <si>
    <t>2012-2013</t>
  </si>
  <si>
    <t>Based on the excel file which I have + shares related image</t>
  </si>
  <si>
    <t>2013-2014</t>
  </si>
  <si>
    <t>Based on the excel file which I have, physical copy, 22nd March 2013</t>
  </si>
  <si>
    <t>2015-2016</t>
  </si>
  <si>
    <t>2016-2017</t>
  </si>
  <si>
    <t>2017-2018</t>
  </si>
  <si>
    <t>2018-2019</t>
  </si>
  <si>
    <t>ICICI</t>
  </si>
  <si>
    <t>Month</t>
  </si>
  <si>
    <t>2009 v</t>
  </si>
  <si>
    <t>2009 Tot</t>
  </si>
  <si>
    <t>2010 v</t>
  </si>
  <si>
    <t>2010 Tot</t>
  </si>
  <si>
    <t>2011
ICICI</t>
  </si>
  <si>
    <t>2011
HDFC</t>
  </si>
  <si>
    <t>2011 v</t>
  </si>
  <si>
    <t>2011 Tot</t>
  </si>
  <si>
    <t>2012
ICICI</t>
  </si>
  <si>
    <t xml:space="preserve">2012
HDFC </t>
  </si>
  <si>
    <t>2012 v</t>
  </si>
  <si>
    <t>2012 Tot</t>
  </si>
  <si>
    <t>2013
ICICI</t>
  </si>
  <si>
    <t>2013
HDFC</t>
  </si>
  <si>
    <t>2013 v</t>
  </si>
  <si>
    <t>2013 Tot</t>
  </si>
  <si>
    <t>2014
ICICI</t>
  </si>
  <si>
    <t>2014
HDFC</t>
  </si>
  <si>
    <t>2014 v</t>
  </si>
  <si>
    <t>2014 Tot</t>
  </si>
  <si>
    <t>2015
ICICI</t>
  </si>
  <si>
    <t>2015
HDFC</t>
  </si>
  <si>
    <t>2015 v</t>
  </si>
  <si>
    <t>2015 Tot</t>
  </si>
  <si>
    <t>2016
ICICI</t>
  </si>
  <si>
    <t>2016
HDFC</t>
  </si>
  <si>
    <t>2016 v</t>
  </si>
  <si>
    <t>2016 Tot</t>
  </si>
  <si>
    <t>Approx regular expenses 2016</t>
  </si>
  <si>
    <t>2017
ICICI</t>
  </si>
  <si>
    <t>2017
HDFC</t>
  </si>
  <si>
    <t>2017 v</t>
  </si>
  <si>
    <t>2017 Tot</t>
  </si>
  <si>
    <t>Approx regular expenses 2017</t>
  </si>
  <si>
    <t>2018
ICICI</t>
  </si>
  <si>
    <t>2018
HDFC</t>
  </si>
  <si>
    <t>2018 v</t>
  </si>
  <si>
    <t>2018 Tot</t>
  </si>
  <si>
    <t>Approx regular expenses 2018</t>
  </si>
  <si>
    <t>2019
ICICI</t>
  </si>
  <si>
    <t>2019
HDFC</t>
  </si>
  <si>
    <t>2019 v</t>
  </si>
  <si>
    <t>2019 Tot</t>
  </si>
  <si>
    <t>Approx regular expenses 2019</t>
  </si>
  <si>
    <t>2020
ICICI</t>
  </si>
  <si>
    <t>2020
HDFC</t>
  </si>
  <si>
    <t>2020 v</t>
  </si>
  <si>
    <t>2020
Varsha
HDFC</t>
  </si>
  <si>
    <t>2020 Tot</t>
  </si>
  <si>
    <t>Approx regular expenses 2020</t>
  </si>
  <si>
    <t>2021
ICICI</t>
  </si>
  <si>
    <t>2021
HDFC</t>
  </si>
  <si>
    <t>2021 v</t>
  </si>
  <si>
    <t>2021
Varsha
HDFC</t>
  </si>
  <si>
    <t>2021 Tot</t>
  </si>
  <si>
    <t>Approx regular expenses 2021</t>
  </si>
  <si>
    <t>2022
ICICI</t>
  </si>
  <si>
    <t>2022
HDFC</t>
  </si>
  <si>
    <t>2022 v</t>
  </si>
  <si>
    <t>2022
Varsha
HDFC</t>
  </si>
  <si>
    <t>2022 Tot</t>
  </si>
  <si>
    <t>Approx regular expenses 2022</t>
  </si>
  <si>
    <t>2023
Vinay
ICICI</t>
  </si>
  <si>
    <t>2023
Vinay
HDFC</t>
  </si>
  <si>
    <t>2023 
Varsha
ICICI</t>
  </si>
  <si>
    <t>2023
Varsha
HDFC</t>
  </si>
  <si>
    <t>2023 Tot</t>
  </si>
  <si>
    <t>Approx regular expenses 2023</t>
  </si>
  <si>
    <t>Jan</t>
  </si>
  <si>
    <t>Feb</t>
  </si>
  <si>
    <t>Mar</t>
  </si>
  <si>
    <t>Apr</t>
  </si>
  <si>
    <t>May</t>
  </si>
  <si>
    <t>Jun</t>
  </si>
  <si>
    <t>Jul</t>
  </si>
  <si>
    <t>Aug</t>
  </si>
  <si>
    <t>Sep</t>
  </si>
  <si>
    <t>Oct</t>
  </si>
  <si>
    <t>Nov</t>
  </si>
  <si>
    <t>Dec</t>
  </si>
  <si>
    <t>Average</t>
  </si>
  <si>
    <t>AVG</t>
  </si>
  <si>
    <t>Coupons</t>
  </si>
  <si>
    <t>Grand total</t>
  </si>
  <si>
    <t>Basel, Paris trip</t>
  </si>
  <si>
    <t>Gem motors Jul 2012</t>
  </si>
  <si>
    <t>Ramky house expenses</t>
  </si>
  <si>
    <t>Niper talk Nov2012</t>
  </si>
  <si>
    <t>US ticket</t>
  </si>
  <si>
    <t>stem cell</t>
  </si>
  <si>
    <t>Sarees Dec2015, Nov</t>
  </si>
  <si>
    <t>Papikundlu Feb2016</t>
  </si>
  <si>
    <t>Trip to Gangtok, Pelling, Darjileeng</t>
  </si>
  <si>
    <t>CARATLANE</t>
  </si>
  <si>
    <t>Rupesh Jain Dec 2012</t>
  </si>
  <si>
    <t>TV</t>
  </si>
  <si>
    <t>Kesari Sep2014</t>
  </si>
  <si>
    <t>Car insurance Nov</t>
  </si>
  <si>
    <t>Vyom Munj Apr2016</t>
  </si>
  <si>
    <t>Vyom School fee</t>
  </si>
  <si>
    <t>Agashe kaku dress</t>
  </si>
  <si>
    <t>Jan 2019: Joyalukas</t>
  </si>
  <si>
    <t>Jan 2020: Trip Dec 2019</t>
  </si>
  <si>
    <t>Jan 2021:</t>
  </si>
  <si>
    <t>Hyundai car service</t>
  </si>
  <si>
    <t>Sofa + center table</t>
  </si>
  <si>
    <t>Kitchen and bathroom</t>
  </si>
  <si>
    <t>Music system</t>
  </si>
  <si>
    <t>Vizag, the Park Dec2013</t>
  </si>
  <si>
    <t>Golkonda resort birthday</t>
  </si>
  <si>
    <t>June: Vyom Munj trip (Pune, Kolhapur, Ganpatipule)</t>
  </si>
  <si>
    <t>Car</t>
  </si>
  <si>
    <t>Feb 2018: Gokarna trip</t>
  </si>
  <si>
    <t>Jan 2019: Nalli silk</t>
  </si>
  <si>
    <t>Feb 2020: Whirlpool fridge</t>
  </si>
  <si>
    <t>32k refund from TATA Cliq</t>
  </si>
  <si>
    <t>Jan 2021: New HP laptop</t>
  </si>
  <si>
    <t>AC's</t>
  </si>
  <si>
    <t>Dentist</t>
  </si>
  <si>
    <t>Washing machine</t>
  </si>
  <si>
    <t>Platinum rings Jan</t>
  </si>
  <si>
    <t>Varsha Phone Sep</t>
  </si>
  <si>
    <t>Extra tax, July2017</t>
  </si>
  <si>
    <t>Feb 2018: Vyom's cycle</t>
  </si>
  <si>
    <t>Feb 2019: Trident Agra</t>
  </si>
  <si>
    <t>Feb 2020: Joyalukas</t>
  </si>
  <si>
    <t>Feb2021: SMA treatment donation (ayansh Gupta)</t>
  </si>
  <si>
    <t>Forbes cleaner - Varun</t>
  </si>
  <si>
    <t>Washing machine (dscale 2000, pipe 400, water softerner 2560)</t>
  </si>
  <si>
    <t>VLCC April</t>
  </si>
  <si>
    <t>Basel trip Mar + SBB</t>
  </si>
  <si>
    <t>Varsha jewellary</t>
  </si>
  <si>
    <t>Oct, Vizag trip (Dec2017 tickets, hotel)</t>
  </si>
  <si>
    <t>May 2018: Golconda resort</t>
  </si>
  <si>
    <t>Feb 2019: Flipkart Vivo phone</t>
  </si>
  <si>
    <t>Feb 2020: Geyser</t>
  </si>
  <si>
    <t>Feb2021: Chappals</t>
  </si>
  <si>
    <t>Varsha specs lenscart</t>
  </si>
  <si>
    <t>LIC policies</t>
  </si>
  <si>
    <t>Coorg holiday</t>
  </si>
  <si>
    <t>Pepperfry Jul</t>
  </si>
  <si>
    <t>June: i10 insurance</t>
  </si>
  <si>
    <t>Jul 2018: Window mesh</t>
  </si>
  <si>
    <t>Total 64,000</t>
  </si>
  <si>
    <t>April 2019: Apollo munich</t>
  </si>
  <si>
    <t>Mar 2020: Goa trip</t>
  </si>
  <si>
    <t>Feb2021: Varsha Specs</t>
  </si>
  <si>
    <t>Vinay specs lenscart</t>
  </si>
  <si>
    <t>PhD examination fee</t>
  </si>
  <si>
    <t>Car insurance Jun</t>
  </si>
  <si>
    <t>Kerala trip tickets from Sunetra</t>
  </si>
  <si>
    <t>Jul 2018: Extra tax Vinay</t>
  </si>
  <si>
    <t>April 2019: Ignis insurance</t>
  </si>
  <si>
    <t>Mar 2020: Vyom fee</t>
  </si>
  <si>
    <t>Mar 2021: Apollo munich</t>
  </si>
  <si>
    <t>HDFC card</t>
  </si>
  <si>
    <t>Property tax</t>
  </si>
  <si>
    <t>Zakir Hussain</t>
  </si>
  <si>
    <t>July: Rajasthan tickets</t>
  </si>
  <si>
    <t>Jul 2018: US VISA fee</t>
  </si>
  <si>
    <t>April 2019: Samsung TV</t>
  </si>
  <si>
    <t>Mar 2020: Apollo munich</t>
  </si>
  <si>
    <t>Mar 2021: Ignis insurance</t>
  </si>
  <si>
    <t>HDFC Ergo Health insurance</t>
  </si>
  <si>
    <t>Kitchen</t>
  </si>
  <si>
    <t>July: Banglore ticket</t>
  </si>
  <si>
    <t>Jul 2018: Extra tax Varsha</t>
  </si>
  <si>
    <t>Mar 2020: Paste control</t>
  </si>
  <si>
    <t>Apr 2021: COVID treatment, me + aai</t>
  </si>
  <si>
    <t>increase compared to last year</t>
  </si>
  <si>
    <t>Byju's NEET 11/12</t>
  </si>
  <si>
    <t>Sept: Birthday treat Rs. 7000/-</t>
  </si>
  <si>
    <t>Jul 2018: Vyom Tennis</t>
  </si>
  <si>
    <t>April 2019: Vyom fees</t>
  </si>
  <si>
    <t>Mar 2020: Corona donation</t>
  </si>
  <si>
    <t>Apr 2021: Vinay Mumbai - HYD Flight</t>
  </si>
  <si>
    <t>Dell 2in1 laptop</t>
  </si>
  <si>
    <t>53000 from Office Spark points + 9500 from old lenovo laptop</t>
  </si>
  <si>
    <t>Minor Accident Ignis near school</t>
  </si>
  <si>
    <t>25000 total, 14,000 covered by Insurance</t>
  </si>
  <si>
    <t>Sept: Xiaomi phone Rs. 9999/-</t>
  </si>
  <si>
    <t>Aug 2018: Windows</t>
  </si>
  <si>
    <t>April 2019: Vyom books</t>
  </si>
  <si>
    <t>Mar 2020: Varsha knee test</t>
  </si>
  <si>
    <t>Apr 2021: Laxmi COVID</t>
  </si>
  <si>
    <t>Novotel + flight Vihan Munj, chennai</t>
  </si>
  <si>
    <t>Sept: Puja bill Rs. 8,000/- + 3,000/-</t>
  </si>
  <si>
    <t>Sept 2018: US trip</t>
  </si>
  <si>
    <t>July 2019: Tax</t>
  </si>
  <si>
    <t>April 2020: Ignis insurance</t>
  </si>
  <si>
    <t>Old meal card till May2021</t>
  </si>
  <si>
    <t>Goa trip</t>
  </si>
  <si>
    <t>50k flight + 50k hotel + 25k expenses</t>
  </si>
  <si>
    <t>Tiles and basin</t>
  </si>
  <si>
    <t>Sept: Rs. 5000/- A/C repair</t>
  </si>
  <si>
    <t>Oct 2018: US trip</t>
  </si>
  <si>
    <t>July 2019: US trip GCE</t>
  </si>
  <si>
    <t>July 2020: Dish washer</t>
  </si>
  <si>
    <t>May 2021: Vyom fee</t>
  </si>
  <si>
    <t>Vyom fees</t>
  </si>
  <si>
    <t>May trip Taj Bekal</t>
  </si>
  <si>
    <t>Taj hotel and flight</t>
  </si>
  <si>
    <t>Sept: Rs. 21600/- for sofa</t>
  </si>
  <si>
    <t>600 USD Varsha cash</t>
  </si>
  <si>
    <t>August 2019: PhD fee</t>
  </si>
  <si>
    <t>Aug 2020: Joyalukas</t>
  </si>
  <si>
    <t>June 2021: Water filter</t>
  </si>
  <si>
    <t>Vinay old specs, change of glasses</t>
  </si>
  <si>
    <t>Lost in Latur Dec2022</t>
  </si>
  <si>
    <t>Suborder</t>
  </si>
  <si>
    <t>Sept: Coloring: Rs. 1,35,000/-</t>
  </si>
  <si>
    <t>August 2019: Joyalukas</t>
  </si>
  <si>
    <t>Aug 2020: Dish washer</t>
  </si>
  <si>
    <t>Aug 2021: Chair in Vyom's room</t>
  </si>
  <si>
    <t>Pune flight ticket PhD work</t>
  </si>
  <si>
    <t>Next tax calculations:</t>
  </si>
  <si>
    <t>4 burner Stove Prestige</t>
  </si>
  <si>
    <t>Sept: Banglore ticket, Rs. 5,000/-</t>
  </si>
  <si>
    <t>Sept (August) 2019: Fridge</t>
  </si>
  <si>
    <t>Sept 2020: Income tax Vinay</t>
  </si>
  <si>
    <t>Aug 2021: Blood test</t>
  </si>
  <si>
    <t>Blore flight ticket PhD work</t>
  </si>
  <si>
    <t>CPOF XIV Plan 1275 days 3-Jun-2022, ICICI PRU MF</t>
  </si>
  <si>
    <t>Ramky Coloring</t>
  </si>
  <si>
    <t>Oct: PhD fees 35,000/-</t>
  </si>
  <si>
    <t>Sept (August) 2019: IKEA</t>
  </si>
  <si>
    <t>Oct 2020: PhD fees</t>
  </si>
  <si>
    <t>Aug 2021: Tabla exam</t>
  </si>
  <si>
    <t>Varsha Goa trip</t>
  </si>
  <si>
    <t>NAV= 13.43 units</t>
  </si>
  <si>
    <t>Oct: Phd coursera course 20,000/-</t>
  </si>
  <si>
    <t>Oct 2019: 2 REDMI Note 7 phones</t>
  </si>
  <si>
    <t>Oct 2020: Blood tests</t>
  </si>
  <si>
    <t>Oct 2021: Colonoscopy Fortis Mumbai</t>
  </si>
  <si>
    <t>Varsha Mumbai JJ joining trip</t>
  </si>
  <si>
    <t>Cost NAV = 10</t>
  </si>
  <si>
    <t>Oct: Rajasthan trip -- additional expenses almost 40,000/-</t>
  </si>
  <si>
    <t>TV HYD</t>
  </si>
  <si>
    <t>Oct 2020: Kollur farm-house trip</t>
  </si>
  <si>
    <t>Nov 2021: xcent insurance</t>
  </si>
  <si>
    <t>PhD fees</t>
  </si>
  <si>
    <t>Approx. 2019 investment</t>
  </si>
  <si>
    <t>Javed Ali concert</t>
  </si>
  <si>
    <t>Money received - tickets cancelled</t>
  </si>
  <si>
    <t>Nov: Trip to Mumbai for Sripad's engagement 8,000/-</t>
  </si>
  <si>
    <t>Dec 2019 Dharmshala, Amritsar, Dalhousie</t>
  </si>
  <si>
    <t>Nov 2020: Xcent insurance</t>
  </si>
  <si>
    <t>Nov 2021: xcent servicing</t>
  </si>
  <si>
    <t>Vinay extra tax</t>
  </si>
  <si>
    <t>70,0000 return</t>
  </si>
  <si>
    <t>Vinay 20lac</t>
  </si>
  <si>
    <t>Nov: xcent insurance 13,000/-</t>
  </si>
  <si>
    <t>Water purifier</t>
  </si>
  <si>
    <t>Nov2021: Mysore Bandipur Ooty trip</t>
  </si>
  <si>
    <t>Vyom clothes for trip</t>
  </si>
  <si>
    <t>Varsha Vyom 20lac</t>
  </si>
  <si>
    <t>Dec2021: Varsha jewellary (Mumbai)</t>
  </si>
  <si>
    <t>Vyom Black belt exam</t>
  </si>
  <si>
    <t>US trip clothes</t>
  </si>
  <si>
    <t>Dec2021: New Gas connection</t>
  </si>
  <si>
    <t>IKEA: diwali gifts, lights, curtains</t>
  </si>
  <si>
    <t>Electrician</t>
  </si>
  <si>
    <t>Dec2021: Washing machine</t>
  </si>
  <si>
    <t>Vyom iphone</t>
  </si>
  <si>
    <t>Kitchen basin</t>
  </si>
  <si>
    <t>Dec2021: Mysore Bandipur Ooty trip</t>
  </si>
  <si>
    <t>Vyom fee</t>
  </si>
  <si>
    <t>Xcent insurance</t>
  </si>
  <si>
    <t>Kitchen tips</t>
  </si>
  <si>
    <t>Varsha aai Cataract</t>
  </si>
  <si>
    <t>Coloring</t>
  </si>
  <si>
    <t>Vyom bday</t>
  </si>
  <si>
    <t>Ignis insurance</t>
  </si>
  <si>
    <t>Ignis servicing</t>
  </si>
  <si>
    <t>Sheya Ghoshal concert</t>
  </si>
  <si>
    <t>Microwave</t>
  </si>
  <si>
    <t>Taj Bekal taxi</t>
  </si>
  <si>
    <t>Blood report Varsha Vinay + Eye check Varsha</t>
  </si>
  <si>
    <t>Physicwallah NEET 11/12</t>
  </si>
  <si>
    <t>Vyom dental treatment</t>
  </si>
  <si>
    <t>Total amount, currently paid 38000</t>
  </si>
  <si>
    <t>Ignis car battey</t>
  </si>
  <si>
    <t>Mac for Vyom</t>
  </si>
  <si>
    <t>Dell inspiron repair + SSD for HP</t>
  </si>
  <si>
    <t>HDFC</t>
  </si>
  <si>
    <t>YoY Difference in total exp</t>
  </si>
  <si>
    <t>YoY Difference in total exp %</t>
  </si>
  <si>
    <t>Total yearly expenditure</t>
  </si>
  <si>
    <t>Total yearly expenditure / month</t>
  </si>
  <si>
    <t>Regular approximate total</t>
  </si>
  <si>
    <t>Regular approximate total / month</t>
  </si>
  <si>
    <t>Difference (Regular - Episodic)</t>
  </si>
  <si>
    <t>Real exp, exclude Jewel, Tax, GCE trip</t>
  </si>
  <si>
    <t>Approx total of episodic exp</t>
  </si>
  <si>
    <t>Jewellary</t>
  </si>
  <si>
    <t>Extra tax</t>
  </si>
  <si>
    <t>Vyom munj overall</t>
  </si>
  <si>
    <t>Trips</t>
  </si>
  <si>
    <t>Window mesh</t>
  </si>
  <si>
    <t>Nalli Silk</t>
  </si>
  <si>
    <t>US trip GCE Varsha</t>
  </si>
  <si>
    <t>Stemade / Vyom's dental treatment</t>
  </si>
  <si>
    <t>Row Labels</t>
  </si>
  <si>
    <t>Sum of WITHDRAWALS</t>
  </si>
  <si>
    <t>Sum of DEPOSITS</t>
  </si>
  <si>
    <t>(blank)</t>
  </si>
  <si>
    <t>Aai Bappa?</t>
  </si>
  <si>
    <t>??</t>
  </si>
  <si>
    <t>Bonds Deposit</t>
  </si>
  <si>
    <t>Cash WDL</t>
  </si>
  <si>
    <t>Credit Card payment</t>
  </si>
  <si>
    <t>Deposit to own a/c</t>
  </si>
  <si>
    <t>Typically transferred to HDFC a/c</t>
  </si>
  <si>
    <t>Typically transferred to HDFC a/c + Vyom a/c Rs. 500/-</t>
  </si>
  <si>
    <t>Home loan</t>
  </si>
  <si>
    <t>HDFC fee</t>
  </si>
  <si>
    <t>Interest</t>
  </si>
  <si>
    <t>LIC India - income</t>
  </si>
  <si>
    <t>LIC India - outgo</t>
  </si>
  <si>
    <t>2023 onwards Additional Jeevan Umang for Vyom</t>
  </si>
  <si>
    <t>MF buy - outgo</t>
  </si>
  <si>
    <t>As of 01-09-2021</t>
  </si>
  <si>
    <t>Total value / total invested</t>
  </si>
  <si>
    <t>MF returns - income</t>
  </si>
  <si>
    <t>35 lac current value ICICI</t>
  </si>
  <si>
    <t>5 lac Nippon + 15 lac ICICI</t>
  </si>
  <si>
    <t>PPF</t>
  </si>
  <si>
    <t>RD - FD</t>
  </si>
  <si>
    <t>Salary</t>
  </si>
  <si>
    <t>ULIP</t>
  </si>
  <si>
    <t>ULIP - reversed</t>
  </si>
  <si>
    <t>ULIP - term</t>
  </si>
  <si>
    <t>Vinay Transfer</t>
  </si>
  <si>
    <t>Grand Total</t>
  </si>
  <si>
    <t>DATE</t>
  </si>
  <si>
    <t>MODE</t>
  </si>
  <si>
    <t>PARTICULARS</t>
  </si>
  <si>
    <t>WITHDRAWALS</t>
  </si>
  <si>
    <t>DEPOSITS</t>
  </si>
  <si>
    <t>BALANCE</t>
  </si>
  <si>
    <t>Type</t>
  </si>
  <si>
    <t>Date re-work</t>
  </si>
  <si>
    <t>B/F</t>
  </si>
  <si>
    <t>ATM/CASH WDL/01-04-09/07:21:28/1</t>
  </si>
  <si>
    <t>REL-TS-IC40491237376</t>
  </si>
  <si>
    <t>VPS/SUN CORP-LI/20090412145026/0</t>
  </si>
  <si>
    <t>VPS/PANTALOON R/20090412154529/0</t>
  </si>
  <si>
    <t>VPS/KARACHI BAK/20090412162457/0</t>
  </si>
  <si>
    <t>ATM/CASH WDL/19-04-09/10:50:03/0</t>
  </si>
  <si>
    <t>ATM/CASH WDL/23-04-09/08:31:28/0</t>
  </si>
  <si>
    <t>REL-BF-IC40491262475</t>
  </si>
  <si>
    <t>NFS/CASH WDL/28-04-09/18:39:13/0</t>
  </si>
  <si>
    <t>BY SALARY</t>
  </si>
  <si>
    <t>ATM/CASH WDL/03-05-09/12:03:50/0</t>
  </si>
  <si>
    <t>ATM/CASH WDL/04-05-09/19:53:37/0</t>
  </si>
  <si>
    <t>THE SARASWAT CO OP BK LTD</t>
  </si>
  <si>
    <t>ATM/CASH WDL/06-05-09/08:44:04/0</t>
  </si>
  <si>
    <t>FCM TRAVEL  SOLUTIONS I PVT LTD</t>
  </si>
  <si>
    <t>CASH PAID:SELF</t>
  </si>
  <si>
    <t>ATM/CASH WDL/07-05-09/23:05:10/0</t>
  </si>
  <si>
    <t>AMERICAN EXPRESS CARD</t>
  </si>
  <si>
    <t>TWRDS EXPENSE REIMBURSEMENT</t>
  </si>
  <si>
    <t>Twds Expense Reimbursement</t>
  </si>
  <si>
    <t>HOLA HOUSING &amp; CONSTRUCTION LTD</t>
  </si>
  <si>
    <t>AMERICAN EXPRESS CORPORATE CARD</t>
  </si>
  <si>
    <t>ATM/CASH WDL/01-06-09/06:55:01/0</t>
  </si>
  <si>
    <t>ATM/CASH WDL/01-06-09/06:56:03/0</t>
  </si>
  <si>
    <t>EXPENSE REIMBURSEMENT</t>
  </si>
  <si>
    <t>SARASWAT COOP BANK</t>
  </si>
  <si>
    <t>VARSHA MAHAJAN</t>
  </si>
  <si>
    <t>REL-TS-IC404912373762092560</t>
  </si>
  <si>
    <t>ATM/CASH WDL/12-06-09/09:47:10/0</t>
  </si>
  <si>
    <t>ICICI CREDIT CARD PAYMENT</t>
  </si>
  <si>
    <t>CITI BANK CARD</t>
  </si>
  <si>
    <t>AMEX CREDIT CARD</t>
  </si>
  <si>
    <t>REL-BF-IC404912624752211647</t>
  </si>
  <si>
    <t>ATM/CASH WDL/30-06-09/08:16:13/0</t>
  </si>
  <si>
    <t>ATM/CASH WDL/03-07-09/20:13:37/0</t>
  </si>
  <si>
    <t>THE SARASWAT COOP BANK LTD</t>
  </si>
  <si>
    <t>REL-TS-IC404912373762266405</t>
  </si>
  <si>
    <t>TRFR TO:SATNAV PRESCHOOL PVT LTD</t>
  </si>
  <si>
    <t>Twds Exp Reimbursement</t>
  </si>
  <si>
    <t>REL-BF-IC404912624752393378</t>
  </si>
  <si>
    <t>Twds Exp Reimb</t>
  </si>
  <si>
    <t>ATM/CASH WDL/01-08-09/10:20:46/0</t>
  </si>
  <si>
    <t>ATM/CASH WDL/04-08-09/21:48:40/0</t>
  </si>
  <si>
    <t>REL-TS-IC404912373762450087</t>
  </si>
  <si>
    <t>ATM/CASH WDL/27-08-09/08:39:39/0</t>
  </si>
  <si>
    <t>REL-BF-IC404912624752583980</t>
  </si>
  <si>
    <t>000401043279:Int.Pd:01-03-2009 to 31-08-2009</t>
  </si>
  <si>
    <t>ATM/CASH WDL/03-09-09/12:58:38/0</t>
  </si>
  <si>
    <t>BSL TAX RELIEF'96 FUND - DIV</t>
  </si>
  <si>
    <t>THE SARASWAT CO OP BANK LTD</t>
  </si>
  <si>
    <t>REL-TS-IC404912373762642552</t>
  </si>
  <si>
    <t>REL-BF-IC404912624752780684</t>
  </si>
  <si>
    <t>KC MAHINDRA EDUCATION TRUST</t>
  </si>
  <si>
    <t>ATM/CASH WDL/04-10-09/20:46:44/0</t>
  </si>
  <si>
    <t>BIRLA SUN LIFE MF-DIVIDEND</t>
  </si>
  <si>
    <t>REL-TS-IC404912373762840437</t>
  </si>
  <si>
    <t>ATM/CASH WDL/11-10-09/19:35:52/0</t>
  </si>
  <si>
    <t>REL-BF-IC404912624752982336</t>
  </si>
  <si>
    <t>Twds Expenses Reimbursement</t>
  </si>
  <si>
    <t>ATM/CASH WDL/30-10-09/20:19:52/0</t>
  </si>
  <si>
    <t>ATM/CASH WDL/02-11-09/17:07:58/0</t>
  </si>
  <si>
    <t>ATM/CASH WDL/04-11-09/20:43:44/0</t>
  </si>
  <si>
    <t>REL-TS-IC404912373763043503</t>
  </si>
  <si>
    <t>916588 SRC</t>
  </si>
  <si>
    <t>AMERICAN EXPRES CARD</t>
  </si>
  <si>
    <t>REL-BF-IC404912624753188515</t>
  </si>
  <si>
    <t>ATM/CASH WDL/03-12-09/13:10:07/0</t>
  </si>
  <si>
    <t>ATM/CASH WDL/03-12-09/21:44:57/0</t>
  </si>
  <si>
    <t>ATM/CASH WDL/09-12-09/13:09:40/0</t>
  </si>
  <si>
    <t>Twds Reimbursement of Expenses</t>
  </si>
  <si>
    <t>REL-TS-IC404912373763261480</t>
  </si>
  <si>
    <t>AEBC CARD</t>
  </si>
  <si>
    <t>Trfr frm Novartis Healthcare</t>
  </si>
  <si>
    <t>REL-BF-IC404912624753470969</t>
  </si>
  <si>
    <t>ATM/CASH WDL/04-01-10/20:33:36/0</t>
  </si>
  <si>
    <t>ICICI CREDIT CARD</t>
  </si>
  <si>
    <t>TRFR TO:SATNAV PRESCHOOLTRFR TO:</t>
  </si>
  <si>
    <t>REL-TS-IC404912373763540841</t>
  </si>
  <si>
    <t>LIC OF INDIA</t>
  </si>
  <si>
    <t>ATM/CASH WDL/17-01-10/22:23:53/0</t>
  </si>
  <si>
    <t>REL-BF-IC404912624753703413</t>
  </si>
  <si>
    <t>ATM/CASH WDL/02-02-10/13:01:51/0</t>
  </si>
  <si>
    <t>ATM/CASH WDL/04-02-10/20:10:02/0</t>
  </si>
  <si>
    <t>REL-TS-IC404912373763777160</t>
  </si>
  <si>
    <t>SATNAV PRE SCHOOL</t>
  </si>
  <si>
    <t>ATM/CASH WDL/15-02-10/19:27:15/0</t>
  </si>
  <si>
    <t>MATRIX CELLULAR INTERNATIONAL SERVICES PVT LTD</t>
  </si>
  <si>
    <t>MATRIX CELLULAR INDIA SERVICES PVT LTD</t>
  </si>
  <si>
    <t>000401043279:Int.Pd:01-09-2009 to 28-02-2010</t>
  </si>
  <si>
    <t>REL-BF-IC404912624753938727</t>
  </si>
  <si>
    <t>ATM/CASH WDL/02-03-10/19:41:08/0</t>
  </si>
  <si>
    <t>TRI/O CLEARING 3</t>
  </si>
  <si>
    <t>BIRLA MF DIV-1013024638</t>
  </si>
  <si>
    <t>AEBC CARD NO</t>
  </si>
  <si>
    <t>VPS/MANGATRAI P/20100308123816/0</t>
  </si>
  <si>
    <t>REL-TS-IC404912373764026921</t>
  </si>
  <si>
    <t>RDM. OF ICICI BONDS</t>
  </si>
  <si>
    <t>ATM/CASH WDL/12-03-10/16:22:23/0</t>
  </si>
  <si>
    <t>ATM/CASH WDL/24-03-10/17:40:16/0</t>
  </si>
  <si>
    <t>CMS/000017029100/ BIRLA MF DIV</t>
  </si>
  <si>
    <t>REL-BF-IC404912624754203101</t>
  </si>
  <si>
    <t>ATM/CASH WDL/03-04-10/17:46:25/0</t>
  </si>
  <si>
    <t>twds exp reimb</t>
  </si>
  <si>
    <t>ATM/CASH WDL/05-04-10/13:26:05/0</t>
  </si>
  <si>
    <t>TRI/O CLEARING 5</t>
  </si>
  <si>
    <t>BIL/000150166190/Thanks/NSP</t>
  </si>
  <si>
    <t>REL-TS-IC404912373764283495</t>
  </si>
  <si>
    <t>VARSHA  MAHAJAN</t>
  </si>
  <si>
    <t>LOK HOUSING &amp; CONSTRUCTION LTD</t>
  </si>
  <si>
    <t>ATM/CASH WDL/25-04-10/17:33:24/0</t>
  </si>
  <si>
    <t>000401043279:Int.Pd:01-03-2010 to 31-03-2010</t>
  </si>
  <si>
    <t>REL-BF-IC404912624754463490</t>
  </si>
  <si>
    <t>ATM/CASH WDL/04-05-10/19:31:43/0</t>
  </si>
  <si>
    <t>REL-TS-IC404912373764545795</t>
  </si>
  <si>
    <t>ATM/CASH WDL/11-05-10/22:07:47/0</t>
  </si>
  <si>
    <t>ATM/CASH WDL/20-05-10/20:21:28/0</t>
  </si>
  <si>
    <t>REL-BF-IC404912624754732709</t>
  </si>
  <si>
    <t>ICICI CARD-4864093103226017</t>
  </si>
  <si>
    <t>ATM/CASH WDL/02-06-10/19:25:06/0</t>
  </si>
  <si>
    <t>SATNAV PRE SCHOOLS</t>
  </si>
  <si>
    <t>SATNAV PRESCHOOLS PLTD</t>
  </si>
  <si>
    <t>REL-TS-IC404912373764819413</t>
  </si>
  <si>
    <t>ATM/CASH WDL/14-06-10/19:31:43/0</t>
  </si>
  <si>
    <t>ATM/CASH WDL/27-06-10/19:23:41/0</t>
  </si>
  <si>
    <t>REL-BF-IC404912624755013893</t>
  </si>
  <si>
    <t>ATM/CASH WDL/02-07-10/18:28:44/0</t>
  </si>
  <si>
    <t>ATM/CASH WDL/05-07-10/19:57:36/0</t>
  </si>
  <si>
    <t>REL-TS-IC404912373765104475</t>
  </si>
  <si>
    <t>SATNAV PRESCHOOLS P</t>
  </si>
  <si>
    <t>GEM MOTORS INDIA P L</t>
  </si>
  <si>
    <t>REL-BF-IC404912624755305772</t>
  </si>
  <si>
    <t>SATNAV PRESCHOOL P LTD</t>
  </si>
  <si>
    <t>REL-TS-IC404912373765402432</t>
  </si>
  <si>
    <t>REL-BF-IC404912624755612831</t>
  </si>
  <si>
    <t>ATM/CASH WDL/29-08-10/19:44:01/0</t>
  </si>
  <si>
    <t>000401043279:Int.Pd:01-04-2010 to 31-08-2010</t>
  </si>
  <si>
    <t>ATM/CASH WDL/05-09-10/20:01:22/0</t>
  </si>
  <si>
    <t>REL-TS-IC404912373765715040</t>
  </si>
  <si>
    <t>NEFT(KKBKH10258796853)Birla Mu</t>
  </si>
  <si>
    <t>REL-BF-IC404912624756027923</t>
  </si>
  <si>
    <t>ATM/CASH WDL/03-10-10/18:56:03/0</t>
  </si>
  <si>
    <t>LOK HSG AND CONSTRUCTION LTD</t>
  </si>
  <si>
    <t>TWDS EXPENSES REIMBURSEMENT</t>
  </si>
  <si>
    <t>AMEX CARD</t>
  </si>
  <si>
    <t>REL-TS-IC404912373766135177</t>
  </si>
  <si>
    <t>TRI/O CLEARING</t>
  </si>
  <si>
    <t>ATM/CASH WDL/24-10-10/08:40:45/0</t>
  </si>
  <si>
    <t>MATRIX CELLULAR INTE</t>
  </si>
  <si>
    <t>RUPES JAIN CITI BNK</t>
  </si>
  <si>
    <t>TWDS EXPENSE REIMBURSEMENT-NOV</t>
  </si>
  <si>
    <t>REL-BF-IC404912624756375717</t>
  </si>
  <si>
    <t>BY SALARY-NOVARTIS HEALTHCARE</t>
  </si>
  <si>
    <t>TRFR TO:</t>
  </si>
  <si>
    <t>TWDS EXP. REIMB.-NOVARTIS</t>
  </si>
  <si>
    <t>ATM/CASH WDL/04-11-10/10:29:40/0</t>
  </si>
  <si>
    <t>SATNAV PRESCHOOLS</t>
  </si>
  <si>
    <t>AMERICAN EXPRESS</t>
  </si>
  <si>
    <t>REL-TS-IC404912373766574393</t>
  </si>
  <si>
    <t>TRFR TO:SATNAV PRE SCHOOLS</t>
  </si>
  <si>
    <t>REL-BF-IC404912624757386356</t>
  </si>
  <si>
    <t>ATM/CASH WDL/01-12-10/13:17:49/0</t>
  </si>
  <si>
    <t>RUPESH JAIN</t>
  </si>
  <si>
    <t>TRFR TO:SATNAV PRESCHOOL P.LTD</t>
  </si>
  <si>
    <t>ATM/CASH WDL/06-12-10/22:13:29/0</t>
  </si>
  <si>
    <t>REL-TS-IC404912373767537423</t>
  </si>
  <si>
    <t>Dr. Tran for funding A/c 000425030772</t>
  </si>
  <si>
    <t>REL-BF-IC404912624757734911</t>
  </si>
  <si>
    <t>BY SALARY-NOVARTIS</t>
  </si>
  <si>
    <t>BIL/000197155469/test transaction/06521000008889</t>
  </si>
  <si>
    <t>TWDS REIMBURSEMENT-NOVARTIS</t>
  </si>
  <si>
    <t>BIL/000197703100/Vinay Hyd Cell bill/1.53584126</t>
  </si>
  <si>
    <t>BIL/000197799773/LIC policy/LICPGI_MICI1013</t>
  </si>
  <si>
    <t>BIL/000197997811/Transfer to HDFC a/c/065210000088</t>
  </si>
  <si>
    <t>BIL/000198261919/Hyd403 Rent Jan2011/5530101001720</t>
  </si>
  <si>
    <t>BIL/000198261444/ICICI credit card bi/486409310322</t>
  </si>
  <si>
    <t>CRY CHILD RIGHTS AND</t>
  </si>
  <si>
    <t>To RD A/C no 000425030772</t>
  </si>
  <si>
    <t>REL-TS-IC404912373767891734</t>
  </si>
  <si>
    <t>BIL/000200533026/Hyd403 electric bill/A9009837</t>
  </si>
  <si>
    <t>BIL/000202381522/HomeHydcell Jan 2011/1.17525091</t>
  </si>
  <si>
    <t>NFS/CASH WDL/25-01-11/13:11:12/0</t>
  </si>
  <si>
    <t>BIL/000202919629/Airtel bill Jan2011/AIRTEL_MICI10</t>
  </si>
  <si>
    <t>BIL/000202920294/LIC premium 2 polici/LICPGI_MICI1</t>
  </si>
  <si>
    <t>REL-BF-IC404912624758096780</t>
  </si>
  <si>
    <t>TWDS EXP REIMB-NOVARTIS</t>
  </si>
  <si>
    <t>BIL/000203344068/VinayHydcell Jan2011/1.53584126</t>
  </si>
  <si>
    <t>TRFR TO:SATNAV</t>
  </si>
  <si>
    <t>BIL/000204713806/Hyd403 Rent Feb2011/5530101001720</t>
  </si>
  <si>
    <t>BIL/000205059720/ICICI credit card Ja/486409310322</t>
  </si>
  <si>
    <t>BIL/000205156843/Varsha Vodafone bill/VODAFONE_MIC</t>
  </si>
  <si>
    <t>REL-TS-IC404912373768259487</t>
  </si>
  <si>
    <t>ATM/CASH WDL/18-02-11/10:38:51/0</t>
  </si>
  <si>
    <t>BIL/000207585034/Hyd403 Electricity b/A9009837</t>
  </si>
  <si>
    <t>BIL/000208910552/Home vodafone/1.17525091</t>
  </si>
  <si>
    <t>BIL/000208910683/Vinay vodafone/1.53584126</t>
  </si>
  <si>
    <t>TWDS REIMBURSEMENT</t>
  </si>
  <si>
    <t>REL-BF-IC404912624758469485</t>
  </si>
  <si>
    <t>BIL/000210687908/HYD403 Rent March 11/553010100172</t>
  </si>
  <si>
    <t>000401043279:Int.Pd:01-09-2010 to 28-02-2011</t>
  </si>
  <si>
    <t>TWDS EXP REIMB</t>
  </si>
  <si>
    <t>REL-TS-IC404912373768586201</t>
  </si>
  <si>
    <t>BIL/000213324976/Hyd Electricity bill/A9009837</t>
  </si>
  <si>
    <t>BIL/000214571350/VODAFONE HYDERABAD/1.17525091</t>
  </si>
  <si>
    <t>BIL/000215135949/HDFC account/06521000008889</t>
  </si>
  <si>
    <t>REL-BF-IC404912624758961981</t>
  </si>
  <si>
    <t>BIL/000215570356/VODAFONE HYDERABAD/1.53584126</t>
  </si>
  <si>
    <t>BIL/000216532426/Vinay ICICI Credit c/486409310322</t>
  </si>
  <si>
    <t>SATNAV PRE SCHOOLS P LTD</t>
  </si>
  <si>
    <t>ATM/CASH WDL/03-04-11/19:30:08/0</t>
  </si>
  <si>
    <t>BIL/000216878317/Hyd Rent April2011/55301010017205</t>
  </si>
  <si>
    <t>BIL/000217163203/HDFC a/c/06521000008889</t>
  </si>
  <si>
    <t>NEFT-CITIN11113715871-BSL TAX</t>
  </si>
  <si>
    <t>BIL/000218473118/Electric bill March2/A9009837</t>
  </si>
  <si>
    <t>REL-TS-IC404912373769100924</t>
  </si>
  <si>
    <t>BIL/000220398015/Vodafone bill March2/1.17525091</t>
  </si>
  <si>
    <t>BIL/000220953715/Hyd Home cell March2/1.17525091</t>
  </si>
  <si>
    <t>BIL/000221445398/Bill March 2011/1.53584126</t>
  </si>
  <si>
    <t>REL-BF-IC404912624759377449</t>
  </si>
  <si>
    <t>BIL/000222885925/ICICI Credi card Mar/486409310322</t>
  </si>
  <si>
    <t>BIL/000223225290/May 2011 Rent/553010100172059</t>
  </si>
  <si>
    <t>NEFT-KKBKH11124277616-BIRLA SU</t>
  </si>
  <si>
    <t>LOK HOUSING AND CONSTRUCTION L</t>
  </si>
  <si>
    <t>REL-TS-IC404912373769575608</t>
  </si>
  <si>
    <t>BIL/000225512918/Electiricty bill Apr/A9009837</t>
  </si>
  <si>
    <t>ATM/CASH WDL/17-05-11/19:41:55/0</t>
  </si>
  <si>
    <t>ATM/CASH WDL/22-05-11/09:36:37/0</t>
  </si>
  <si>
    <t>ATM/CASH WDL/22-05-11/09:37:50/0</t>
  </si>
  <si>
    <t>TWDS EXPENSE REIMBURSEMENT</t>
  </si>
  <si>
    <t>BIL/000227419728/VODAFONE HYDERABAD/1.53584126</t>
  </si>
  <si>
    <t>REL-BF-IC404912624759856021</t>
  </si>
  <si>
    <t>NFS/CASH WDL/30-05-11/17:47:39/0</t>
  </si>
  <si>
    <t>BIL/000229196820/april2011 bill/4864093103226017</t>
  </si>
  <si>
    <t>BIL/000229529391/Transfer to HDFC/06521000008889</t>
  </si>
  <si>
    <t>BIL/000229805200/June2011/553010100172059</t>
  </si>
  <si>
    <t>TRFR TO:SATNAV PRESCHOOLS PVT LTM</t>
  </si>
  <si>
    <t>TRFR TO:SATNAV PRESCHOOLS PVT LTD</t>
  </si>
  <si>
    <t>REL-TS-IC404912373769994319</t>
  </si>
  <si>
    <t>BIL/000231771876/LIC premium/LICPGI_MICI1063</t>
  </si>
  <si>
    <t>ATM/CASH WDL/20-06-11/13:01:07/0</t>
  </si>
  <si>
    <t>BIL/000233297387/Electricity bill May/A9009837</t>
  </si>
  <si>
    <t>MAHNAGAR GAS LTD</t>
  </si>
  <si>
    <t>BIL/000234080073/Hyd Vinay May2011/1.53584126</t>
  </si>
  <si>
    <t>REL-BF-IC4049126247510235610</t>
  </si>
  <si>
    <t>BIL/000235847024/ICICI May2011/4864093103226017</t>
  </si>
  <si>
    <t>NFS/CASH WDL/03-07-11/10:06:07/0</t>
  </si>
  <si>
    <t>BIL/000235984275/July2011 Rent/553010100172059</t>
  </si>
  <si>
    <t>ATM/CASH WDL/09-07-11/14:09:40/0</t>
  </si>
  <si>
    <t>REL-TS-IC4049123737610353757</t>
  </si>
  <si>
    <t>ATM/CASH WDL/13-07-11/13:22:54/0</t>
  </si>
  <si>
    <t>NFS/CASH WDL/18-07-11/04:59:31/0</t>
  </si>
  <si>
    <t>BIL/000239688266/DTAX/639034019071150</t>
  </si>
  <si>
    <t>BIL/000239800034/Electricity bill Jun/A9009837</t>
  </si>
  <si>
    <t>BIL/000240252164/Hyd Home cell June20/1.17525091</t>
  </si>
  <si>
    <t>BIL/000240847678//06521000008889</t>
  </si>
  <si>
    <t>BIL/000241018950/Vinay Hyd Cell June2/1.53584126</t>
  </si>
  <si>
    <t>BIL/000241052660/Vinay SMR Property t/1119919446</t>
  </si>
  <si>
    <t>REL-BF-IC4049126247510615799</t>
  </si>
  <si>
    <t>BIL/000243311113/Vinay ICICI Credit C/486409310322</t>
  </si>
  <si>
    <t>BIL/000243641729/Rent Aug 2011/553010100172059</t>
  </si>
  <si>
    <t>BIL/000243951232/Transfer to HDFC/06521000008889</t>
  </si>
  <si>
    <t>000414608496: Rev Sweep From</t>
  </si>
  <si>
    <t>ATM/CASH WDL/06-08-11/22:01:37/0</t>
  </si>
  <si>
    <t>029912 CIT   NOVARTIS</t>
  </si>
  <si>
    <t>REL-TS-IC4049123737610758854</t>
  </si>
  <si>
    <t>BIL/000247633823/Electricity Bill Aug/A9009837</t>
  </si>
  <si>
    <t>BIL/000247664087/Hyd Home cell July 2/1.17525091</t>
  </si>
  <si>
    <t>BIL/000248532502/Vinay Jul 2011/1.53584126</t>
  </si>
  <si>
    <t>CMS/000035785568/REL-BF-IC_40491262475</t>
  </si>
  <si>
    <t>000401043279:Int.Pd:01-03-2011 to 31-08-2011</t>
  </si>
  <si>
    <t>BIL/000250299889/Vinay credit card Ju/486409310322</t>
  </si>
  <si>
    <t>BIL/000250685380//553010100172059</t>
  </si>
  <si>
    <t>227234 SBI</t>
  </si>
  <si>
    <t>ATM/CASH WDL/10-09-11/09:28:04/0</t>
  </si>
  <si>
    <t>CMS/000036527127/REL-TS-IC_40491237376</t>
  </si>
  <si>
    <t>ATM/CASH WDL/10-09-11/21:49:28/0</t>
  </si>
  <si>
    <t>ATM/CASH WDL/21-09-11/14:23:17/0</t>
  </si>
  <si>
    <t>BIL/000254804117/Hyd home cell/1.17525091</t>
  </si>
  <si>
    <t>BIL/000254973186/Hyd electricity bill/A9009837</t>
  </si>
  <si>
    <t>ATM/CASH WDL/27-09-11/17:55:38/0</t>
  </si>
  <si>
    <t>ATM/CASH WDL/27-09-11/17:56:20/0</t>
  </si>
  <si>
    <t>CMS/000037276455/REL-BF-IC_40491262475</t>
  </si>
  <si>
    <t>BIL/000256248159/Vinay Hyd Cell/1.53584126</t>
  </si>
  <si>
    <t>BIL/000257842592/ICICI Credit card Se/486409310322</t>
  </si>
  <si>
    <t>NFS/CASH WDL/08-10-11/10:47:24/0</t>
  </si>
  <si>
    <t>CMS/000037997549/REL-TS-IC_40491237376</t>
  </si>
  <si>
    <t>BIL/000262548408/Hyd Home cell/1.17525091</t>
  </si>
  <si>
    <t>BIL/000262549528/Electricity bill/A9009837</t>
  </si>
  <si>
    <t>ATM/CASH WDL/25-10-11/18:21:48/0</t>
  </si>
  <si>
    <t>CMS/000039090566/REL-BF-IC_40491262475</t>
  </si>
  <si>
    <t>BIL/000263561069/Hyd Vinay Cell/1.53584126</t>
  </si>
  <si>
    <t>042644 UTI   MANORAMA</t>
  </si>
  <si>
    <t>BIL/000265070147/ICICI Sept2011/4864093103226017</t>
  </si>
  <si>
    <t>CMS/000039825296/REL-TS-IC_40491237376</t>
  </si>
  <si>
    <t>BIL/000267051546/HDFC transfer/06521000008889</t>
  </si>
  <si>
    <t>ATM/CASH WDL/18-11-11/16:45:21/1</t>
  </si>
  <si>
    <t>BIL/000269859911/Hyd Home cell/1.17525091</t>
  </si>
  <si>
    <t>CMS/000040617227/REL-BF-IC_40491262475</t>
  </si>
  <si>
    <t>ATM/CASH WDL/28-11-11/16:27:10/0</t>
  </si>
  <si>
    <t>BIL/000271149868/Vinay Hyd cell/1.53584126</t>
  </si>
  <si>
    <t>BY SALARY NOV 2011</t>
  </si>
  <si>
    <t>BIL/000272680751/HDFC bank/06521000008889</t>
  </si>
  <si>
    <t>CMS/000041457610/REL-TS-IC_40491237376</t>
  </si>
  <si>
    <t>BIL/000274857795/Beam cable wifi/262140</t>
  </si>
  <si>
    <t>BIL/000277591584/Hyd Home cell/1.17525091</t>
  </si>
  <si>
    <t>REIMBURSEMENT</t>
  </si>
  <si>
    <t>CMS/000042212875/REL-BF-IC_40491262475</t>
  </si>
  <si>
    <t>BIL/000279012553/Vinay Hyd cell/1.53584126</t>
  </si>
  <si>
    <t>BY SALARY FOR DEC 2011</t>
  </si>
  <si>
    <t>BIL/000280803326/ICICI Credit card/486409310322601</t>
  </si>
  <si>
    <t>BIL/000281656857/LIC 3 policies/LICPGI_MICI2667</t>
  </si>
  <si>
    <t>BIL/000281711527/Beam cable/262140</t>
  </si>
  <si>
    <t>SRS/EUR388.97@66.16STAX/INREM/20120106173510/0</t>
  </si>
  <si>
    <t>CMS/000043020716/RELIANCE_MF_TS-IC_40491237376</t>
  </si>
  <si>
    <t>NFS/CASH WDL/12-01-12</t>
  </si>
  <si>
    <t>BIL/000286506488/Hyd Home cell/1.17525091</t>
  </si>
  <si>
    <t>CMS/000043770055/RELIANCE_MF_BF-IC_40491262475</t>
  </si>
  <si>
    <t>BY SALARY FOR JAN 2012</t>
  </si>
  <si>
    <t>BIL/000288239916/Vinay Hyd Cell/1.53584126</t>
  </si>
  <si>
    <t>BIL/000289162324/Jan2012 bill/4864093103226017</t>
  </si>
  <si>
    <t>ATM/CASH WDL/06-02-12/12:29:20/0</t>
  </si>
  <si>
    <t>BIL/000290577832/1000/262140</t>
  </si>
  <si>
    <t>BIL/000290579655/Amex/376917935571001</t>
  </si>
  <si>
    <t>CMS/000044641275/RELIANCE_MF_TS-IC_40491237376</t>
  </si>
  <si>
    <t>BIL/000294358149/Hyd home cell/1.17525091</t>
  </si>
  <si>
    <t>BIL/000294360455/HDFC transfer/06521000008889</t>
  </si>
  <si>
    <t>CMS/000045474594/RELIANCE_MF_BF-IC_40491262475</t>
  </si>
  <si>
    <t>BY SALARY FOR FEB 2012</t>
  </si>
  <si>
    <t>BIL/000296277039/Hyd Vinay cell/1.53584126</t>
  </si>
  <si>
    <t>000401043279:Int.Pd:01-09-2011 to 29-02-2012</t>
  </si>
  <si>
    <t>BIL/000297686763/ICICI  credit card b/486409310322</t>
  </si>
  <si>
    <t>ATM/CASH WDL/07-03-12/18:41:18/0</t>
  </si>
  <si>
    <t>BIL/000298828953/Beam cable/262140</t>
  </si>
  <si>
    <t>CMS/000046472815/RELIANCE_MF_TS-IC_40491237376</t>
  </si>
  <si>
    <t>ATM/CASH WDL/12-03-12/12:30:01/0</t>
  </si>
  <si>
    <t>SRS/EUR71.09@65.14STAX26/INREM/20120320163608/0</t>
  </si>
  <si>
    <t>BIL/000303397333/Hyd Home cell/1.17525091</t>
  </si>
  <si>
    <t>CMS/000047376459/RELIANCE_MF_BF-IC_40491262475</t>
  </si>
  <si>
    <t>NEFT-HSBCN12088877121-BSL MU FD BSL TX RE 96 DV IN</t>
  </si>
  <si>
    <t>BIL/000304564607/Vinay HydCell/1.53584126</t>
  </si>
  <si>
    <t>BIL/000305873818/ICICI credit card/486409310322601</t>
  </si>
  <si>
    <t>BIL/000306148137/HDFC transfer/06521000008889</t>
  </si>
  <si>
    <t>BIL/000306396160/Amex card bill/376917935571001</t>
  </si>
  <si>
    <t>CMS/000048573825/RELIANCE_MF_TS-IC_40491237376</t>
  </si>
  <si>
    <t>BIL/000310259839/Beam internet/262140</t>
  </si>
  <si>
    <t>NFS/CASH WDL/22-04-12</t>
  </si>
  <si>
    <t>BIL/000312134829/Hyd Home cell/1.17525091</t>
  </si>
  <si>
    <t>BIL/000312540875/Vinay Hyd cell/1.53584126</t>
  </si>
  <si>
    <t>CMS/000049480610/RELIANCE_MF_BF-IC_40491262475</t>
  </si>
  <si>
    <t>BIL/000312842455/HDFC transfer/06521000008889</t>
  </si>
  <si>
    <t>BIL/000314564637/ICICI card/4864093103226017</t>
  </si>
  <si>
    <t>BIL/000314986670/HDFC transfer/06521000008889</t>
  </si>
  <si>
    <t>COURTESY HOTELS</t>
  </si>
  <si>
    <t>CMS/000050488718/RELIANCE_MF_TS-IC_40491237376</t>
  </si>
  <si>
    <t>ATM/CASH WDL/16-05-12/19:31:08/0</t>
  </si>
  <si>
    <t>NFS/CASH WDL/19-05-12</t>
  </si>
  <si>
    <t>BIL/000320449283/homevodafone/1.17525091</t>
  </si>
  <si>
    <t>BIL/000320449408/cell fone/1.53584126</t>
  </si>
  <si>
    <t>BIL/000320451251/icici credit card/486409310322601</t>
  </si>
  <si>
    <t>CMS/000051320331/RELIANCE_MF_BF-IC_40491262475</t>
  </si>
  <si>
    <t>BIL/000323841544/LIC premium/LICPGI_MICI2748</t>
  </si>
  <si>
    <t>ATM/CASH WDL/08-06-12/17:16:09/0</t>
  </si>
  <si>
    <t>CMS/000052403102/RELIANCE_MF_TS-IC_40491237376</t>
  </si>
  <si>
    <t>BIL/000329678036/Hyd home cell/1.17525091</t>
  </si>
  <si>
    <t>CMS/000053526388/RELIANCE_MF_BF-IC_40491262475</t>
  </si>
  <si>
    <t>BIL/000330252420/Hyd Vinay cell/1.53584126</t>
  </si>
  <si>
    <t>ATM/CASH WDL/02-07-12/15:18:37/0</t>
  </si>
  <si>
    <t>BIL/000333140487/HDFC transfer/06521000008889</t>
  </si>
  <si>
    <t>NFS/CASH WDL/08-07-12</t>
  </si>
  <si>
    <t>CMS/000054660245/RELIANCE_MF_TS-IC_40491237376</t>
  </si>
  <si>
    <t>BIL/000336720330/Hyd Home cell/1.17525091</t>
  </si>
  <si>
    <t>BIL/000338295179/HDFC office card/HDFCCARD_MICI27</t>
  </si>
  <si>
    <t>BIL/000339090360/Hyd home cell/1.17525091</t>
  </si>
  <si>
    <t>BIL/000339431577/Vinay Hyd cell/1.53584126</t>
  </si>
  <si>
    <t>CMS/000055563888/RELIANCE_MF_BF-IC_40491262475</t>
  </si>
  <si>
    <t>BIL/000341650248/icici credit card/486409310322601</t>
  </si>
  <si>
    <t>ATM/CASH WDL/03-08-12/09:30:24/0</t>
  </si>
  <si>
    <t>CMS/000056722730/RELIANCE_MF_TS-IC_40491237376</t>
  </si>
  <si>
    <t>BIL/000344917291/HDFC transfer/06521000008889</t>
  </si>
  <si>
    <t>ATM/CASH WDL/17-08-12/18:35:39/0</t>
  </si>
  <si>
    <t>TWDS EXPENSES REMBURSEMENT</t>
  </si>
  <si>
    <t>BIL/000347327582/HDFC office card/HDFCCARD_MICI27</t>
  </si>
  <si>
    <t>SRS/EUR3847.91@68.26STA/INREM/20120827164635/0</t>
  </si>
  <si>
    <t>CMS/000057567823/RELIANCE_MF_BF-IC_40491262475</t>
  </si>
  <si>
    <t>BIL/000348996895/Vinay Hyd Cell/1.53584126</t>
  </si>
  <si>
    <t>ATM/CASH WDL/30-08-12/12:10:40/0</t>
  </si>
  <si>
    <t>BIL/000349772452/ICICI credit card/486409310322601</t>
  </si>
  <si>
    <t>BIL/000349773393/HDFC transfer/06521000008889</t>
  </si>
  <si>
    <t>000401043279:Int.Pd:01-03-2012 to 31-08-2012</t>
  </si>
  <si>
    <t>FALCON BUSINESS RESOURCES</t>
  </si>
  <si>
    <t>CMS/000058767838/RELIANCE_MF_TS-IC_40491237376</t>
  </si>
  <si>
    <t>NFS/CASH WDL/23-09-12</t>
  </si>
  <si>
    <t>BIL/000357317530/American express/376917935571001</t>
  </si>
  <si>
    <t>BIL/000357912176/Vinay HydCell/1.53584126</t>
  </si>
  <si>
    <t>BIL/000357912448/Hyd Home cell/1.17525091</t>
  </si>
  <si>
    <t>NEFT-CITIN12208705160-BSL BUY INDIA FUND DIVIDEND AC</t>
  </si>
  <si>
    <t>CMS/000059733911/RELIANCE_MF_BF-IC_40491262475</t>
  </si>
  <si>
    <t>BIL/000358615779/ICICI credit card/486409310322601</t>
  </si>
  <si>
    <t>BIL/000358617117/HDFC bank/06521000008889</t>
  </si>
  <si>
    <t>CMS/000060008351/ REDEMPTION - RELIANCE MF</t>
  </si>
  <si>
    <t>CMS/000060009085/ REDEMPTION - RELIANCE MF</t>
  </si>
  <si>
    <t>CMS/000060848996/RELIANCE_MF_TS-IC_40491237376</t>
  </si>
  <si>
    <t>CMS/000060898101/ REDEMPTION - RELIANCE MF</t>
  </si>
  <si>
    <t>CMS/000061019612/ REDEMPTION - RELIANCE MF</t>
  </si>
  <si>
    <t>ATM/CASH WDL/15-10-12/18:48:16/0</t>
  </si>
  <si>
    <t>BIL/000366654356/Hyd Home cell/1.17525091</t>
  </si>
  <si>
    <t>BIL/000368167729/Vinay Hyd cell/1.53584126</t>
  </si>
  <si>
    <t>CMS/000061979078/RELIANCE_MF_BF-IC_40491262475</t>
  </si>
  <si>
    <t>K RADHAKRISHNAN</t>
  </si>
  <si>
    <t>BY SALARY OCTOBER-2012</t>
  </si>
  <si>
    <t>BIL/000370733077/ICICI credit card/486409310322601</t>
  </si>
  <si>
    <t>ATM/CASH WDL/05-11-12/16:33:20/0</t>
  </si>
  <si>
    <t>CMS/000063227824/RELIANCE_MF_TS-IC_40491237376</t>
  </si>
  <si>
    <t>ATM/CASH WDL/14-11-12/18:49:21/0</t>
  </si>
  <si>
    <t>RADHAKRISHAN K</t>
  </si>
  <si>
    <t>HDFC LTD</t>
  </si>
  <si>
    <t>BIL/000376682256/Hyd Home cell/1.17525091</t>
  </si>
  <si>
    <t>CMS/000063961439/ REDEMPTION - RELIANCE MF</t>
  </si>
  <si>
    <t>CMS/000064088212/RELIANCE_MF_BF-IC_40491262475</t>
  </si>
  <si>
    <t>BIL/000378178676/Vinay Hyd Cell/1.53584126</t>
  </si>
  <si>
    <t>NIPER DDNPTM</t>
  </si>
  <si>
    <t>BY SALARY NOVEMBER-2012</t>
  </si>
  <si>
    <t>BIL/000379970236/ICICI bank credit ca/486409310322</t>
  </si>
  <si>
    <t>ATM/CASH WDL/04-12-12/19:13:24/0</t>
  </si>
  <si>
    <t>LOK HOUSING AND CONSTRUCTION LTD</t>
  </si>
  <si>
    <t>CMS/000065213256/RELIANCE_MF_TS-IC_40491237376</t>
  </si>
  <si>
    <t>ATM/CASH WDL/13-12-12/15:13:15/0</t>
  </si>
  <si>
    <t>000425030772 : Closure Proceeds</t>
  </si>
  <si>
    <t>NFS/CASH WDL/26-12-12</t>
  </si>
  <si>
    <t>BIL/000388196174/Hyd Home cell/1.17525091</t>
  </si>
  <si>
    <t>BIL/000388196426/Vinay Hyd Cell/1.53584126</t>
  </si>
  <si>
    <t>CMS/000066190430/RELIANCE_MF_BF-IC_40491262475</t>
  </si>
  <si>
    <t>BY SALARY DECEMBER-2012</t>
  </si>
  <si>
    <t>BIL/000390174811/HDFC transfer/06521000008889</t>
  </si>
  <si>
    <t>BIL/000390280915/Beam cable/262140</t>
  </si>
  <si>
    <t>TRFR TO:SATNAV PRESCHOOLS PRIVATE LIMITED</t>
  </si>
  <si>
    <t>CMS/000067427280/RELIANCE_MF_TS-IC_40491237376</t>
  </si>
  <si>
    <t>BIL/000395292000/LIC premium/LICPGI_MICI2896</t>
  </si>
  <si>
    <t>BIL/000397005859/Hyd Home cell/1.17525091</t>
  </si>
  <si>
    <t>BIL/000397006129/Hyd Vinay cell/1.53584126</t>
  </si>
  <si>
    <t>BIL/000397008160/Corporate HDFC payme/HDFCCARD_MIC</t>
  </si>
  <si>
    <t>ATM/CASH WDL/25-01-13/12:20:23/0</t>
  </si>
  <si>
    <t>CMS/000068322031/RELIANCE_MF_BF-IC_40491262475</t>
  </si>
  <si>
    <t>BY SALARY JAN-2013</t>
  </si>
  <si>
    <t>BIL/000402261338/Beam cable/262140</t>
  </si>
  <si>
    <t>NEFT-P13020587068762-FRLHT C R PROJECT</t>
  </si>
  <si>
    <t>BIL/000403117207/Vinay ICICI bank cre/486409310322</t>
  </si>
  <si>
    <t>CMS/000069676640/RELIANCE_MF_TS-IC_40491237376</t>
  </si>
  <si>
    <t>Emp Expense Reimbursement</t>
  </si>
  <si>
    <t>TRFR TO:SATNAV PRESCHOOLS</t>
  </si>
  <si>
    <t>BIL/000408404579/Hyd Vinay Cell/1.53584126</t>
  </si>
  <si>
    <t>BIL/000408404701/Hyd Home cell/1.17525091</t>
  </si>
  <si>
    <t>BIL/000408405472/HDFC corporate card/HDFCCARD_MICI</t>
  </si>
  <si>
    <t>by salary FEB 13</t>
  </si>
  <si>
    <t>CMS/000070685951/RELIANCE_MF_BF-IC_40491262475</t>
  </si>
  <si>
    <t>000401043279:Int.Pd:01-09-2012 to 28-02-2013</t>
  </si>
  <si>
    <t>NFS/CASH WDL/01-03-13</t>
  </si>
  <si>
    <t>NFS/CASH WDL/02-03-13</t>
  </si>
  <si>
    <t>SRS/EUR71.85@69.93STAX3/INREM/20130304105821/0</t>
  </si>
  <si>
    <t>BIL/000414705842/Beam cable/262140</t>
  </si>
  <si>
    <t>CMS/000071860377/RELIANCE_MF_TS-IC_40491237376</t>
  </si>
  <si>
    <t>SATNAV PRESCHOOLS PVT LTD</t>
  </si>
  <si>
    <t>NEFT-CITIN13318113019-BSL TAX RELIEF 96 DIVIDEND A C</t>
  </si>
  <si>
    <t>NFS/CASH WDL/15-03-13</t>
  </si>
  <si>
    <t>RAMKI TOWERS LTD</t>
  </si>
  <si>
    <t>BIL/000419105514/Hyd home cell/1.17525091</t>
  </si>
  <si>
    <t>ATM/CASH WDL/22-03-13/14:46:43/0</t>
  </si>
  <si>
    <t>BY SALARY MAR-13</t>
  </si>
  <si>
    <t>BIL/000420947779/vinay Hyd cell/1.53584126</t>
  </si>
  <si>
    <t>CMS/000072991348/RELIANCE_MF_BF-IC_40491262475</t>
  </si>
  <si>
    <t>ECS DR/071384/HDFC LTD EMI DEB</t>
  </si>
  <si>
    <t>Balance Brought Forward</t>
  </si>
  <si>
    <t>BIL/000422977089/ICICI bank credit ca/486409310322</t>
  </si>
  <si>
    <t>BIL/000422979901/hdfc credit card/HDFCCARD_MICI29</t>
  </si>
  <si>
    <t>CHEQUE</t>
  </si>
  <si>
    <t>NFS/CASH WDL/08-04-13</t>
  </si>
  <si>
    <t>CMS/000074440575/RELIANCE_MF_TS-IC_40491237376</t>
  </si>
  <si>
    <t>ON TIME APPARELS</t>
  </si>
  <si>
    <t>M K  R  EDUCATIONAL SOCIETY</t>
  </si>
  <si>
    <t>FALCON BUSINESS RESOUR</t>
  </si>
  <si>
    <t>BIL/000430806614/Hyd home cell/1.17525091</t>
  </si>
  <si>
    <t>BIL/000431826380/ICICI credit card/486409310322601</t>
  </si>
  <si>
    <t>ATM/CASH WDL/26-04-13/19:12:21/0</t>
  </si>
  <si>
    <t>BIL/000432134389/Vinay Hyd cell/1.53584126</t>
  </si>
  <si>
    <t>ECS DR/207003/HDFC LTD EMI DEB</t>
  </si>
  <si>
    <t>CMS/000075472852/RELIANCE_MF_BF-IC_40491262475</t>
  </si>
  <si>
    <t>SALARY FOR APR 2013</t>
  </si>
  <si>
    <t>CMS/000076656421/RELIANCE_MF_TS-IC_40491237376</t>
  </si>
  <si>
    <t>ATM/CASH WDL/13-05-13/14:05:57/0</t>
  </si>
  <si>
    <t>NFS/CASH WDL/14-05-13</t>
  </si>
  <si>
    <t>BIL/000441192653/LIC pension policy/LICPGI_MICI299</t>
  </si>
  <si>
    <t>BIL/000441193337/HDFC transfer/06521000008889</t>
  </si>
  <si>
    <t>BIL/000441940752/Hyd Home cell/1.17525091</t>
  </si>
  <si>
    <t>BIL/000442980331/Vinay Hyd Cell/1.53584126</t>
  </si>
  <si>
    <t>INF/000067783405/ICICI BANK Vinay N Ma</t>
  </si>
  <si>
    <t>ECS DR/096722/HDFC LTD EMI DEB</t>
  </si>
  <si>
    <t>CMS/000077623875/RELIANCE_MF_BF-IC_40491262475</t>
  </si>
  <si>
    <t>NFS/CASH WDL/03-06-13</t>
  </si>
  <si>
    <t>BIL/000447226408/Beam cable/262140</t>
  </si>
  <si>
    <t>CMS/000078946316/RELIANCE_MF_TS-IC_40491237376</t>
  </si>
  <si>
    <t>BIL/000451316836/Ramky C305 Gachibowl/31473851475</t>
  </si>
  <si>
    <t>NFS/CASH WDL/20-06-13</t>
  </si>
  <si>
    <t>BIL/000453824830/Hyd home cell/1.17525091</t>
  </si>
  <si>
    <t>INF/000068311814/NOVARTIS SALARY JUN-2</t>
  </si>
  <si>
    <t>BIL/000455224700/Vinay Hyd cell/1.53584126</t>
  </si>
  <si>
    <t>ECS DR/604575/HDFC LTD EMI DEB</t>
  </si>
  <si>
    <t>CMS/000080322539/RELIANCE_MF_BF-IC_40491262475</t>
  </si>
  <si>
    <t>BIL/000456878514/ICICI bank credit ca/486409310322</t>
  </si>
  <si>
    <t>ATM/CASH WDL/02-07-13/15:47:02/0</t>
  </si>
  <si>
    <t>NFS/CASH WDL/07-07-13</t>
  </si>
  <si>
    <t>CMS/000081728754/RELIANCE_MF_TS-IC_40491237376</t>
  </si>
  <si>
    <t>NFS/CASH WDL/24-07-13</t>
  </si>
  <si>
    <t>INF/000068890779/NOVARTIS SALARY FOR</t>
  </si>
  <si>
    <t>ECS DR/857857/HDFC LTD EMI DEB</t>
  </si>
  <si>
    <t>BIL/000467145703/Vinay hyd cell/1.53584126</t>
  </si>
  <si>
    <t>BIL/000467146080/Hyd home cell/1.17525091</t>
  </si>
  <si>
    <t>CMS/000082874421/RELIANCE_MF_BF-IC_40491262475</t>
  </si>
  <si>
    <t>BIL/000468822916/ICICI credit card/486409310322601</t>
  </si>
  <si>
    <t>NFS/CASH WDL/02-08-13</t>
  </si>
  <si>
    <t>BIL/000470635116/Beam cable/262140</t>
  </si>
  <si>
    <t>NET BANKING</t>
  </si>
  <si>
    <t>BIL/000471158579/August2013/09687630000512</t>
  </si>
  <si>
    <t>NON ICICI ATM</t>
  </si>
  <si>
    <t>NFS/CASH WDL/08-08-13</t>
  </si>
  <si>
    <t>CMS/000084277395/RELIANCE_MF_TS-IC_40491237376</t>
  </si>
  <si>
    <t>BIL/000478432861/varvin36/1.53584126</t>
  </si>
  <si>
    <t>BIL/000478433117/Hyd home call/1.17525091</t>
  </si>
  <si>
    <t>ECS DR/088555/HDFC LTD EMI DEB</t>
  </si>
  <si>
    <t>INF/000069401034/NOVARTIS SALARY FOR</t>
  </si>
  <si>
    <t>CMS/000085358683/RELIANCE_MF_BF-IC_40491262475</t>
  </si>
  <si>
    <t>NFS/CASH WDL/28-08-13</t>
  </si>
  <si>
    <t>NFS/CASH WDL/30-08-13</t>
  </si>
  <si>
    <t>000401043279:Int.Pd:01-03-2013 to 31-08-2013</t>
  </si>
  <si>
    <t>BIL/000481799804/ICICI bank credit ca/486409310322</t>
  </si>
  <si>
    <t>BIL/000481801369/HDFC a/c transfer/06521000008889</t>
  </si>
  <si>
    <t>BIL/000482225284/Ramky maintenance/09687630000512</t>
  </si>
  <si>
    <t>BIL/000483300359/Beam/BEAMTELECO01413</t>
  </si>
  <si>
    <t>CMS/000086801193/RELIANCE_MF_TS-IC_40491237376</t>
  </si>
  <si>
    <t>BIL/000489948158/Flight for US/11715665-137982</t>
  </si>
  <si>
    <t>BIL/000490174716/Hyd home cell/1.17525091</t>
  </si>
  <si>
    <t>BIL/000490174879/Vinay Hyd Cell/1.53584126</t>
  </si>
  <si>
    <t>BIL/000490176065/Photon Hyd/9246820376VINAY</t>
  </si>
  <si>
    <t>Novartis Salary Sept 2013</t>
  </si>
  <si>
    <t>ECS DR/348100/HDFC LTD EMI DEB</t>
  </si>
  <si>
    <t>CMS TRANSACTION</t>
  </si>
  <si>
    <t>CMS/000088151701/RELIANCE_MF_BF-IC_40491262475</t>
  </si>
  <si>
    <t>BIL/000493870728/ICICI bank credit ca/486409310322</t>
  </si>
  <si>
    <t>BIL/000493873311/HDFC credit card/HDFCCARD_MICI31</t>
  </si>
  <si>
    <t>NFS/CASH WDL/02-10-13</t>
  </si>
  <si>
    <t>NEFT-CITIN13367615081-BSL BUY INDIA FUND DIVIDEND</t>
  </si>
  <si>
    <t>BIL/000496349541/C305 maint oct2013/09687630000512</t>
  </si>
  <si>
    <t>CMS/000089650767/RELIANCE_MF_TS-IC_40491237376</t>
  </si>
  <si>
    <t>NFS/CASH WDL/14-10-13</t>
  </si>
  <si>
    <t>BIL/000501730157/Hyd Home cell/1.17525091</t>
  </si>
  <si>
    <t>BIL/000501735032/Vinay Home cell/1.53584126</t>
  </si>
  <si>
    <t>BIL/000502506276/Varsha corp card/HDFCCARD_MICI31</t>
  </si>
  <si>
    <t>BIL/000502507083/Tata docomo/TATADOCOMO_MICI</t>
  </si>
  <si>
    <t>BIL/000502507661/Tata photon/TATADOCOMO_MICI</t>
  </si>
  <si>
    <t>EXPENSES REIMBRSEMENT FOR SEPT</t>
  </si>
  <si>
    <t>CMS/000091030404/RELIANCE_MF_BF-IC_40491262475</t>
  </si>
  <si>
    <t>ECS DR/658530/HDFC LTD EMI DEB</t>
  </si>
  <si>
    <t>INF/000070587067/NOVARTIS SALARY FOR</t>
  </si>
  <si>
    <t>BIL/000506725278/Icici bank card/486409310322601</t>
  </si>
  <si>
    <t>NFS/CASH WDL/02-11-13</t>
  </si>
  <si>
    <t>SOS CHILDRENS VILLAGES OF INDIA</t>
  </si>
  <si>
    <t>BIL/000507622246/Ramky oct2013/09687630000512</t>
  </si>
  <si>
    <t>CMS/000092811316/RELIANCE_MF_TS-IC_40491237376</t>
  </si>
  <si>
    <t>BIL/000511837460/Airtel tv/BHARTIAIRT01205</t>
  </si>
  <si>
    <t>TRFR TO:SATNAV  PERSCHOOLS PCT</t>
  </si>
  <si>
    <t>OTHER ATMS</t>
  </si>
  <si>
    <t>NFS/CASH WDL/23-11-13</t>
  </si>
  <si>
    <t>BIL/000515816902/TATA Docomo/TATADOCOMO_MICI</t>
  </si>
  <si>
    <t>BIL/000515818643/Hyd Vinay cell/1.53584126</t>
  </si>
  <si>
    <t>BIL/000515819064/Hyd Home cell/1.17525091</t>
  </si>
  <si>
    <t>INF/000071168618/NOVARTIS SALARY FOR</t>
  </si>
  <si>
    <t>ECS DR/996761/HDFC LTD EMI DEB</t>
  </si>
  <si>
    <t>CMS/000094182663/RELIANCE_MF_BF-IC_40491262475</t>
  </si>
  <si>
    <t>BIL/000519116183/ICICI Bank card/4864093103226017</t>
  </si>
  <si>
    <t>BIL/000519793159/Ramky Dec 2013/09687630000512</t>
  </si>
  <si>
    <t>BIL/000519795050/Beam cable/262140</t>
  </si>
  <si>
    <t>TRFR TO:SATNAV PRE SCHOOLS PVT LTD</t>
  </si>
  <si>
    <t>CMS/000095815109/RELIANCE_MF_TS-IC_40491237376</t>
  </si>
  <si>
    <t>reimbursement</t>
  </si>
  <si>
    <t>BIL/000526952018/Hyd home cell/1.17525091</t>
  </si>
  <si>
    <t>BIL/000526954563/TATA Docomo/TATADOCOMO_MICI</t>
  </si>
  <si>
    <t>BIL/000526955016/TATA Docomo Varsha/TATADOCOMO_MIC</t>
  </si>
  <si>
    <t>NFS/CASH WDL/21-12-13</t>
  </si>
  <si>
    <t>ECS DR/451733/HDFC LTD EMI DEB</t>
  </si>
  <si>
    <t>INF/000071719683/NOVARTIS SALARY FOR</t>
  </si>
  <si>
    <t>BIL/000529173379/Vinay Hyd Cell/1.53584126</t>
  </si>
  <si>
    <t>CMS/000097167561/RELIANCE_MF_BF-IC_40491262475</t>
  </si>
  <si>
    <t>000401043279:Int.Pd:01-09-2013 to 29-12-2013</t>
  </si>
  <si>
    <t>BIL/000529892035/Varsha&amp;#39;s ICICI/NSP</t>
  </si>
  <si>
    <t>BIL/000531047040/Varsha&amp;#39;s ICICI/NSP</t>
  </si>
  <si>
    <t>BIL/000531048531/Ramky Jan2014/09687630000512</t>
  </si>
  <si>
    <t>BIL/000533121914/Beam cable/262140</t>
  </si>
  <si>
    <t>BIL/000533122893/LIC premium/LICPGI_MICI3216</t>
  </si>
  <si>
    <t>NFS/CASH WDL/05-01-14</t>
  </si>
  <si>
    <t>ISS HICARE PVT LTD</t>
  </si>
  <si>
    <t>CMS/000098905304/RELIANCE_MF_TS-IC_40491237376</t>
  </si>
  <si>
    <t>BIL/000540442353/tata docomo/TATADOCOMO_MICI</t>
  </si>
  <si>
    <t>BIL/000540443118/Tata docomo/TATADOCOMO_MICI</t>
  </si>
  <si>
    <t>BIL/000541428425/Hyd Home cell/1.17525091</t>
  </si>
  <si>
    <t>MOBILE BANKING</t>
  </si>
  <si>
    <t>MMT/Ref402513517139/*****99523</t>
  </si>
  <si>
    <t>ECS DR/907058/HDFC LTD EMI DEB</t>
  </si>
  <si>
    <t>INF/000072267532/NOVARTIS SALARY FOR</t>
  </si>
  <si>
    <t>CMS/000100148147/RELIANCE_MF_BF-IC_40491262475</t>
  </si>
  <si>
    <t>BIL/000542687143/Vinay Hyfd Cell/1.53584126</t>
  </si>
  <si>
    <t>NFS/CASH WDL/02-02-14</t>
  </si>
  <si>
    <t>BIL/000546405786/Ramky sinking fund 2/096876300005</t>
  </si>
  <si>
    <t>BIL/000546406873/Ramky feb2014/09687630000512</t>
  </si>
  <si>
    <t>BIL/000546525573/Beam Jan2014/262140</t>
  </si>
  <si>
    <t>CMS/000101891199/RELIANCE_MF_TS-IC_40491237376</t>
  </si>
  <si>
    <t>NEFT-4441U14044057942-BIRLA SUN LIFE TAX R-</t>
  </si>
  <si>
    <t>NFS/CASH WDL/15-02-14</t>
  </si>
  <si>
    <t>Reimbursement</t>
  </si>
  <si>
    <t>NFS/CASH WDL/19-02-14</t>
  </si>
  <si>
    <t>BIL/000554523663/tata docomo/TATADOCOMO_MICI</t>
  </si>
  <si>
    <t>INF/000072855265/NOVARTIS SALARY FOR</t>
  </si>
  <si>
    <t>BIL/000555796219/home vodafone/1.17525091</t>
  </si>
  <si>
    <t>BIL/000555796222/vodafone/1.53584126</t>
  </si>
  <si>
    <t>CMS/000104615575/RELIANCE_MF_BF-IC_40491262475</t>
  </si>
  <si>
    <t>ECS DR/846147/HDFC LTD EMI DEB</t>
  </si>
  <si>
    <t>NFS/CASH WDL/01-03-14</t>
  </si>
  <si>
    <t>BIL/000558205964/Ramky Mar2014/09687630000512</t>
  </si>
  <si>
    <t>REMITTANCE ï¾– IN</t>
  </si>
  <si>
    <t>SRS/EUR76.73@82.73STAX3/INREM/20140305183904/0</t>
  </si>
  <si>
    <t>NFS/CASH WDL/06-03-14</t>
  </si>
  <si>
    <t>BIL/000559983236/Beam/BEAMTELE.COM-BC</t>
  </si>
  <si>
    <t>CMS/000107500096/RELIANCE_MF_TS-IC_40491237376</t>
  </si>
  <si>
    <t>VIN/MOPSOTHDRCA/20140320140746/0</t>
  </si>
  <si>
    <t>BIL/000567016304/HDFC transfer/06521000008889</t>
  </si>
  <si>
    <t>BIL/000567017365/Home hyd cell/1.17525091</t>
  </si>
  <si>
    <t>NFS/CASH WDL/26-03-14</t>
  </si>
  <si>
    <t>INF/000073451932/NOVARTIS SALARY FOR</t>
  </si>
  <si>
    <t>ECS DR/331471/HDFC LTD EMI DEB</t>
  </si>
  <si>
    <t>BIL/000568842907/Vinay Hyd Cell/1.53584126</t>
  </si>
  <si>
    <t>CMS/000110673290/RELIANCE_MF_BF-IC_40491262475</t>
  </si>
  <si>
    <t>BIL/000572793765/Ramky April 2014/09687630000512</t>
  </si>
  <si>
    <t>BIL/000573290971/Beam cable/262140</t>
  </si>
  <si>
    <t>CMS/000112653808/RELIANCE_MF_TS-IC_40491237376</t>
  </si>
  <si>
    <t>NFS/CASH WDL/10-04-14</t>
  </si>
  <si>
    <t>BIL/000580233150/Earrings/AMAZON_MICI3326</t>
  </si>
  <si>
    <t>BIL/000581138947/Home Hyd cell/1.17525091</t>
  </si>
  <si>
    <t>CMS/000113842523/RELIANCE_MF_BF-IC_40491262475</t>
  </si>
  <si>
    <t>ECS DR/772283/HDFC LTD EMI DEB</t>
  </si>
  <si>
    <t>INF/000074077871/NOVARTIS SALARY FOR</t>
  </si>
  <si>
    <t>BIL/000582643188/Vinay Hyd Cell/1.53584126</t>
  </si>
  <si>
    <t>BY REIMBURSEMENT</t>
  </si>
  <si>
    <t>BIL/000586480871/Ramky C305 may2014/09687630000512</t>
  </si>
  <si>
    <t>BIL/000586482652/Ramky C305 may2014/09687630000512</t>
  </si>
  <si>
    <t>BIL/000588302983/May2014/BEAMTELE.COM-BE</t>
  </si>
  <si>
    <t>CMS/000115649090/RELIANCE_MF_TS-IC_40491237376</t>
  </si>
  <si>
    <t>NFS/CASH WDL/16-05-14</t>
  </si>
  <si>
    <t>BIL/000592376890/LIC pension premium/LICPGI_MICI33</t>
  </si>
  <si>
    <t>BIL/000594070156/Varsha docomo/TATADOCOMO_MICI</t>
  </si>
  <si>
    <t>BIL/000594071228/Vinay docomo/TATADOCOMO_MICI</t>
  </si>
  <si>
    <t>BIL/000594072960/Hyd vinay cell/1.53584126</t>
  </si>
  <si>
    <t>BIL/000594073692/Hyd home cell/1.17525091</t>
  </si>
  <si>
    <t>BIL/000594074576/Hdfc transfer/06521000008889</t>
  </si>
  <si>
    <t>INF/000074674155/NOVARTIS SAL MAY-14</t>
  </si>
  <si>
    <t>NFS/CASH WDL/26-05-14</t>
  </si>
  <si>
    <t>ECS DR/235086/HDFC LTD EMI DEB</t>
  </si>
  <si>
    <t>CMS/000117948235/RELIANCE_MF_BF-IC_40491262475</t>
  </si>
  <si>
    <t>NFS/CASH WDL/01-06-14</t>
  </si>
  <si>
    <t>BIL/000600580023/Ramky C305 June2014/0968763000051</t>
  </si>
  <si>
    <t>CMS/000120065937/RELIANCE_MF_TS-IC_40491237376</t>
  </si>
  <si>
    <t>BIL/000604814121/Advance payment/1.53584126</t>
  </si>
  <si>
    <t>ICICI ATM</t>
  </si>
  <si>
    <t>ATM/CASH WDL/16-06-14/16:23:27/0</t>
  </si>
  <si>
    <t>NFS/CASH WDL/24-06-14</t>
  </si>
  <si>
    <t>BIL/000608055313/Hydhome cell/1.17525091</t>
  </si>
  <si>
    <t>INF/000075311254/NOVARTIS SAL JUN-14</t>
  </si>
  <si>
    <t>ECS DR/278187/HDFC LTD EMI DEB</t>
  </si>
  <si>
    <t>CMS/000121751755/RELIANCE_MF_BF-IC_40491262475</t>
  </si>
  <si>
    <t>CHEQUE 612764</t>
  </si>
  <si>
    <t>000401043279:Int.Pd:30-12-2013 to 29-06-2014</t>
  </si>
  <si>
    <t>BIL/000612765870/Ramky C305 July2014/0968763000051</t>
  </si>
  <si>
    <t>NFS/CASH WDL/04-07-14</t>
  </si>
  <si>
    <t>CMS/000123883688/RELIANCE_MF_TS-IC_40491237376</t>
  </si>
  <si>
    <t>BIL/000616878725/DTAX/639034010071472</t>
  </si>
  <si>
    <t>NFS/CASH WDL/15-07-14</t>
  </si>
  <si>
    <t>BIL/000621489225/Hyd Home cell Jul201/1.17525091</t>
  </si>
  <si>
    <t>BIL/000621490795/Hyd Vinay cell Jul20/1.53584126</t>
  </si>
  <si>
    <t>CMS/000125679244/RELIANCE_MF_BF-IC_40491262475</t>
  </si>
  <si>
    <t>ECS DR/774811/HDFC LTD EMI DEB</t>
  </si>
  <si>
    <t>INF/000075944789/NOVARTIS SAL JUL-14</t>
  </si>
  <si>
    <t>BIL/000626599689/Vinay Hyd cell/AIRTELPOST01401</t>
  </si>
  <si>
    <t>BIL/000628478140/Ramky C305 August201/096876300005</t>
  </si>
  <si>
    <t>ATM/CASH WDL/06-08-14/16:37:08/0</t>
  </si>
  <si>
    <t>CMS/000129822253/RELIANCE_MF_TS-IC_40491237376</t>
  </si>
  <si>
    <t>BIL/000635332894/Vinay Hyd cell Jul20/AIRTELPOST01</t>
  </si>
  <si>
    <t>NFS/CASH WDL/26-08-14</t>
  </si>
  <si>
    <t>NEFT-CITIN14463342428-NOVARTIS HEALTHCARE PVT LTD-</t>
  </si>
  <si>
    <t>CMS/000132568720/RELIANCE_MF_BF-IC_40491262475</t>
  </si>
  <si>
    <t>ECS DR/443728/HDFC LTD EMI DEB</t>
  </si>
  <si>
    <t>BIL/000641817694/Hyd home cell/1.17525091</t>
  </si>
  <si>
    <t>ATM/CASH WDL/03-09-14/16:26:23/0</t>
  </si>
  <si>
    <t>CHEQUE 520505</t>
  </si>
  <si>
    <t>STEMADE BIOTECH PVTLTD</t>
  </si>
  <si>
    <t>BIL/000643210419/Ramky c305 sept2014/0968763000051</t>
  </si>
  <si>
    <t>584354/INDUAIND/DEUTSCHE BANK</t>
  </si>
  <si>
    <t>CHEQUE 520503</t>
  </si>
  <si>
    <t>BRICKS THE SCHOOL</t>
  </si>
  <si>
    <t>NFS/CASH WDL/09-09-14</t>
  </si>
  <si>
    <t>CMS/000134769043/RELIANCE_MF_TS-IC_40491237376</t>
  </si>
  <si>
    <t>BIL/000647762271/Varsha icici/NSP</t>
  </si>
  <si>
    <t>CHEQUE 612765</t>
  </si>
  <si>
    <t>TRFR TO:KESARI FOREX PVT LTD</t>
  </si>
  <si>
    <t>ATM/CASH WDL/19-09-14/19:12:31/0</t>
  </si>
  <si>
    <t>NEFT-CITIN14471214770-BSL BUY INDIA FUND DIVIDEND</t>
  </si>
  <si>
    <t>NEFT-CITIN14472251631-NOVARTIS HEALTHCARE PVT LTD-</t>
  </si>
  <si>
    <t>ECS DR/023499/HDFC LTD EMI DEB</t>
  </si>
  <si>
    <t>CMS/000136962110/RELIANCE_MF_BF-IC_40491262475</t>
  </si>
  <si>
    <t>NFS/CASH WDL/04-10-14</t>
  </si>
  <si>
    <t>BIL/000657515599/C305 ramky oct2014/09687630000512</t>
  </si>
  <si>
    <t>BIL/000658129354/Hyd home cell/1.17525091</t>
  </si>
  <si>
    <t>CMS/000139143867/RELIANCE_MF_TS-IC_40491237376</t>
  </si>
  <si>
    <t>BIL/000665161529/Hyd home cell Oct201/1.17525091</t>
  </si>
  <si>
    <t>NEFT-CITIN14480174828-NOVARTIS HEALTHCARE PVT LTD-</t>
  </si>
  <si>
    <t>NFS/CASH WDL/25-10-14</t>
  </si>
  <si>
    <t>ECS DR/442441/HDFC LTD EMI DEB</t>
  </si>
  <si>
    <t>CMS/000141202225/RELIANCE_MF_BF-IC_40491262475</t>
  </si>
  <si>
    <t>BIL/000668454184/driving test/TS307/909295/20</t>
  </si>
  <si>
    <t>BIL/000672361835/Ramey c305 nov2014/09687630000512</t>
  </si>
  <si>
    <t>BIL/000673050837/Ramky c305 oct2014/09687630000512</t>
  </si>
  <si>
    <t>BIL/000674469498/Hyundai xcent/NSP</t>
  </si>
  <si>
    <t>CHEQUE 520506</t>
  </si>
  <si>
    <t>KUN UNITED CAR TRAX</t>
  </si>
  <si>
    <t>CMS/000145591611/TS-IC__40491237376</t>
  </si>
  <si>
    <t>NFS/CASH WDL/16-11-14</t>
  </si>
  <si>
    <t>BIL/000680028574/Hyd Vinay cell Oct 2/AIRTELPOST01</t>
  </si>
  <si>
    <t>BIL/000680037894/Hyd Home cell/1.17525091</t>
  </si>
  <si>
    <t>NEFT-CITIN14490208930-NOVARTIS HEALTHCARE PVT LTD-</t>
  </si>
  <si>
    <t>ECS DR/001265/HDFC LTD EMI DEB</t>
  </si>
  <si>
    <t>NFS/CASH WDL/28-11-14</t>
  </si>
  <si>
    <t>NEFT-CITIN14491261177-NOVARTIS HEALTHCARE PVT LTD-</t>
  </si>
  <si>
    <t>CMS/000147937804/BF-IC__40491262475</t>
  </si>
  <si>
    <t>BIL/000685769172/Dec2014 vacation Ham/618010200005</t>
  </si>
  <si>
    <t>BIL/000686122667/Ramky c305 dec2014/09687630000512</t>
  </si>
  <si>
    <t>CMS/000149907954/TS-IC__40491237376</t>
  </si>
  <si>
    <t>NFS/CASH WDL/22-12-14</t>
  </si>
  <si>
    <t>BIL/000695685339/Hyd Home cell Nov201/1.17525091</t>
  </si>
  <si>
    <t>NEFT-CITIN14499720277-NOVARTIS HEALTHCARE PVT LTD-</t>
  </si>
  <si>
    <t>ECS DR/540399/HDFC LTD EMI DEB</t>
  </si>
  <si>
    <t>CMS/000151936404/BF-IC__40491262475</t>
  </si>
  <si>
    <t>000401043279:Int.Pd:30-06-2014 to 30-12-2014</t>
  </si>
  <si>
    <t>BIL/000702206430/LIC policies/LICPGI_BICI3618</t>
  </si>
  <si>
    <t>BIL/000702511522/Ramky C305 Jan2015/09687630000512</t>
  </si>
  <si>
    <t>ATM/CASH WDL/07-01-15/0</t>
  </si>
  <si>
    <t>ATM/CASH WDL/09-01-15/0</t>
  </si>
  <si>
    <t>CMS/000156279448/TS-IC__40491237376</t>
  </si>
  <si>
    <t>BIL/000711341827/Vinay Hydcell Dec201/1.53584126</t>
  </si>
  <si>
    <t>BIL/000711345677/HydHomecell Dec2014/1.17525091</t>
  </si>
  <si>
    <t>Dr Tran For Funding A/c 000425050854</t>
  </si>
  <si>
    <t>ECS DR/780330/HDFC LTD EMI DEB</t>
  </si>
  <si>
    <t>NEFT-CITIN15507711268-NOVARTIS HEALTHCARE PVT LTD-</t>
  </si>
  <si>
    <t>CMS/000158065996/BF-IC__40491262475</t>
  </si>
  <si>
    <t>ATM/CASH WDL/30-01-15/0</t>
  </si>
  <si>
    <t>To RD Ac no 000425050854</t>
  </si>
  <si>
    <t>Dr Tran For Funding A/c 000425051056</t>
  </si>
  <si>
    <t>CHEQUE 520508</t>
  </si>
  <si>
    <t>RTABOWA MAINTANNCE AC</t>
  </si>
  <si>
    <t>CMS/000160623949/TS-IC__40491237376</t>
  </si>
  <si>
    <t>REMITTANCE ? IN</t>
  </si>
  <si>
    <t>SRS/EUR34.84@69.3STAX30/INREM/20150216130341/0</t>
  </si>
  <si>
    <t>ATM/CASH WDL/16-02-15/0</t>
  </si>
  <si>
    <t>ATM/CASH WDL/19-02-15/0</t>
  </si>
  <si>
    <t>BIL/000725862654/Hyd Homecell Feb2015/1.17525091</t>
  </si>
  <si>
    <t>NFS/CASH WDL/24-02-15</t>
  </si>
  <si>
    <t>NEFT-CITIN15518131708-NOVARTIS HEALTHCARE PVT LTD-</t>
  </si>
  <si>
    <t>ECS DR/508191/HDFC LTD EMI DEB</t>
  </si>
  <si>
    <t>CMS/000163013535/BF-IC__40491262475</t>
  </si>
  <si>
    <t>NEFT-CITIN15520788453-NOVARTIS HEALTHCARE PVT LTD-</t>
  </si>
  <si>
    <t>SRS/EUR61.39@66.33STAX3/INREM/20150309122018/0</t>
  </si>
  <si>
    <t>CMS/000164672759/TS-IC__40491237376</t>
  </si>
  <si>
    <t>To RD Ac no 000425051056</t>
  </si>
  <si>
    <t>NFS/CASH WDL/18-03-15</t>
  </si>
  <si>
    <t>NEFT-CITIN15524662716-BSL TAX RELIEF 96 DIVIDEND A</t>
  </si>
  <si>
    <t>NFS/CASH WDL/22-03-15</t>
  </si>
  <si>
    <t>NEFT-CITIN15525832391-NOVARTIS HEALTHCARE PVT LTD-</t>
  </si>
  <si>
    <t>BIL/000741596819/Hyd home cell mar201/1.17525091</t>
  </si>
  <si>
    <t>ECS DR/414764/HDFC LTD EMI DEB</t>
  </si>
  <si>
    <t>CMS/000167020630/BF-IC__40491262475</t>
  </si>
  <si>
    <t>NEFT-CITIN15527779756-NOVARTIS HEALTHCARE PVT LTD-</t>
  </si>
  <si>
    <t>BIL/000745831893/Transfer to HDFC/06521000008889</t>
  </si>
  <si>
    <t>SCB            \SCB  \168519</t>
  </si>
  <si>
    <t>NEFT-CITIN15532125780-NOVARTIS HEALTHCARE PVT LTD-</t>
  </si>
  <si>
    <t>CMS/000169440316/TS-IC__40491237376</t>
  </si>
  <si>
    <t>BIL/000757074121/Hyd Home cell April2/1.17525091</t>
  </si>
  <si>
    <t>BIL/000757448516/Property tax Ramky 2/153197248</t>
  </si>
  <si>
    <t>ECS DR/030300/HDFC LTD EMI DEB</t>
  </si>
  <si>
    <t>NEFT-CITIN15536554757-NOVARTIS HEALTHCARE PVT LTD-</t>
  </si>
  <si>
    <t>CMS/000171428627/BF-IC__40491262475</t>
  </si>
  <si>
    <t>NFS/CASH WDL/30-04-15</t>
  </si>
  <si>
    <t>BIL/000764347188/LIC payment/LICPGI_DICI3787</t>
  </si>
  <si>
    <t>NFS/CASH WDL/08-05-15</t>
  </si>
  <si>
    <t>CMS/000173864801/TS-IC__40491237376</t>
  </si>
  <si>
    <t>NFS/CASH WDL/18-05-15</t>
  </si>
  <si>
    <t>ATM/CASH WDL/22-05-15/0</t>
  </si>
  <si>
    <t>NFS/CASH WDL/22-05-15</t>
  </si>
  <si>
    <t>NFS/CASH WDL/23-05-15</t>
  </si>
  <si>
    <t>BIL/000772816029/Icici credit card/48640931032260</t>
  </si>
  <si>
    <t>NEFT-CITIN15545775661-NOVARTIS HEALTHCARE PVT LTD</t>
  </si>
  <si>
    <t>ECS DR/756766/HDFC LTD EMI DEB</t>
  </si>
  <si>
    <t>CMS/000176157298/BF-IC__40491262475</t>
  </si>
  <si>
    <t>NEFT-CITIN15549419068-NOVARTIS HEALTHCARE PVT LTD</t>
  </si>
  <si>
    <t>ATM/CASH WDL/05-06-15/0</t>
  </si>
  <si>
    <t>CMS/000179148937/TS-IC__40491237376</t>
  </si>
  <si>
    <t>NFS/CASH WDL/10-06-15</t>
  </si>
  <si>
    <t>NEFT-CITIN15555976991-NOVARTIS HEALTHCARE PVT LTD</t>
  </si>
  <si>
    <t>ECS DR/430027/HDFC LTD EMI DEB</t>
  </si>
  <si>
    <t>CMS/000181640877/BF-IC__40491262475</t>
  </si>
  <si>
    <t>000401043279:Int.Pd:31-12-2014 to 29-06-2015</t>
  </si>
  <si>
    <t>BIL/000793267255/Jul2015 C305 ramky m/09687630000</t>
  </si>
  <si>
    <t>Dr Tran For Funding iWish A/c 000424004089</t>
  </si>
  <si>
    <t>NFS/CASH WDL/07-07-15</t>
  </si>
  <si>
    <t>CMS/000184003421/TS-IC__40491237376</t>
  </si>
  <si>
    <t>REMITTANCE  IN</t>
  </si>
  <si>
    <t>SRS/EUR3676.72@68.51STA/INREM/20150724165419/0</t>
  </si>
  <si>
    <t>NEFT-CITIN15565170537-NOVARTIS HEALTHCARE PVT LTD</t>
  </si>
  <si>
    <t>BIL/000805604820/HDFC transfer/06521000008889</t>
  </si>
  <si>
    <t>TRF TO FD no. 000413050877</t>
  </si>
  <si>
    <t>ECS DR/060373/HDFC LTD EMI DEB</t>
  </si>
  <si>
    <t>CMS/000185993112/BF-IC__40491262475</t>
  </si>
  <si>
    <t>NFS/CASH WDL/31-07-15</t>
  </si>
  <si>
    <t>INF/210005644116/IWISHSETTLE CONTRIBUTION/0</t>
  </si>
  <si>
    <t>NEFT-CITIN15569418157-NOVARTIS HEALTHCARE PVT LTD</t>
  </si>
  <si>
    <t>BIL/000811172677/Ramky c305 August 20/09687630000</t>
  </si>
  <si>
    <t>BIL/000812573878/DTAX/639034006081550</t>
  </si>
  <si>
    <t>MMT/Ref522123997800/*****99523</t>
  </si>
  <si>
    <t>CHEQUE 520509</t>
  </si>
  <si>
    <t>INSTITUTE OF TRANSDISCIPLINARY</t>
  </si>
  <si>
    <t>CMS/000188547493/TS-IC__40491237376</t>
  </si>
  <si>
    <t>CHEQUE 520510</t>
  </si>
  <si>
    <t>VINAY NARAYAN MAHAJA</t>
  </si>
  <si>
    <t>NFS/CASH WDL/16-08-15</t>
  </si>
  <si>
    <t>MMT/Ref523620978568/*****99523</t>
  </si>
  <si>
    <t>MMT/Ref523722147051/*****99523</t>
  </si>
  <si>
    <t>NEFT-CITIN15575817669-NOVARTIS HEALTHCARE PVT LTD</t>
  </si>
  <si>
    <t>MMT/Ref523820271595/*****99523</t>
  </si>
  <si>
    <t>ECS DR/477002/HDFC LTD EMI DEB</t>
  </si>
  <si>
    <t>CMS/000190874175/BF-IC__40491262475</t>
  </si>
  <si>
    <t>BIL/000826427806/Ramky sept 2015/09687630000512</t>
  </si>
  <si>
    <t>INF/210005925228/IWISHSETTLE CONTRIBUTION/0</t>
  </si>
  <si>
    <t>CMS/000193515176/TS-IC__40491237376</t>
  </si>
  <si>
    <t>NEFT-159EI1945I8C0H00-KAUSTUBH AGASHE-/RFB/75EP3V</t>
  </si>
  <si>
    <t>ATM/CASH WDL/23-09-15/0</t>
  </si>
  <si>
    <t>NEFT-CITIN15585689314-NOVARTIS HEALTHCARE PVT LTD</t>
  </si>
  <si>
    <t>NEFT-CITIN15585874934-BSL BUY INDIA FUND DIVIDEND</t>
  </si>
  <si>
    <t>CMS/000195589249/BF-IC__40491262475</t>
  </si>
  <si>
    <t>ECS DR/974258/HDFC LTD EMI DEB</t>
  </si>
  <si>
    <t>MMT/Ref527513417299/*****99523</t>
  </si>
  <si>
    <t>INF/210006214708/IWISHSETTLE CONTRIBUTION/0</t>
  </si>
  <si>
    <t>NFS/CASH WDL/07-10-15</t>
  </si>
  <si>
    <t>CMS/000198583986/TS-IC__40491237376</t>
  </si>
  <si>
    <t>NFS/CASH WDL/20-10-15</t>
  </si>
  <si>
    <t>BIL/000852656843/Hyd home cell Oct201/50203772</t>
  </si>
  <si>
    <t>NEFT-CITIN15595471731-NOVARTIS HEALTHCARE PVT LTD</t>
  </si>
  <si>
    <t>ECS DR/825021/HDFC LTD EMI DEB</t>
  </si>
  <si>
    <t>CMS/000200760025/BF-IC__40491262475</t>
  </si>
  <si>
    <t>BIL/000859878487/Ramky C305 Nov2015/0968763000051</t>
  </si>
  <si>
    <t>BIL/000859882844/Ramky C305 Nov2015 (/09687630000</t>
  </si>
  <si>
    <t>INF/210006485008/IWISHSETTLE CONTRIBUTION/0</t>
  </si>
  <si>
    <t>NFS/CASH WDL/08-11-15</t>
  </si>
  <si>
    <t>CMS/000203991472/TS-IC__40491237376</t>
  </si>
  <si>
    <t>NFS/CASH WDL/13-11-15</t>
  </si>
  <si>
    <t>BIL/000866469861/Varsha icici/NSP</t>
  </si>
  <si>
    <t>MMT/Ref531913440147/*****99523</t>
  </si>
  <si>
    <t>NFS/CASH WDL/20-11-15</t>
  </si>
  <si>
    <t>BIL/000869811746/T Chg Rs10 ST Rs1.45/10000036330</t>
  </si>
  <si>
    <t>BIL/000869813036/T Chg Rs10 ST Rs1.45/10000036330</t>
  </si>
  <si>
    <t>NEFT-CITIN15606018802-NOVARTIS HEALTHCARE PVT LTD</t>
  </si>
  <si>
    <t>CMS/000206320226/BF-IC__40491262475</t>
  </si>
  <si>
    <t>BIL/000875202451/ramky maintenance/09687630000512</t>
  </si>
  <si>
    <t>INF/210006795808/IWISHSETTLE CONTRIBUTION/0</t>
  </si>
  <si>
    <t>NFS/CASH WDL/05-12-15</t>
  </si>
  <si>
    <t>CMS/ BIRLA SUNLIFE MUTUAL FUND</t>
  </si>
  <si>
    <t>CMS/ REDEMPTION - RELIANCE MF</t>
  </si>
  <si>
    <t>CMS/000208546438/TS-IC__40491237376</t>
  </si>
  <si>
    <t>NEFT-CITIN15611910472-NOVARTIS HEALTHCARE PVT LTD</t>
  </si>
  <si>
    <t>ATM/CASH WDL/22-12-15/0</t>
  </si>
  <si>
    <t>NEFT-CITIN15615684370-NOVARTIS HEALTHCARE PVT LTD</t>
  </si>
  <si>
    <t>CMS/000210537519/BF-IC__40491262475</t>
  </si>
  <si>
    <t>NEFT-CITIN15616853712-NOVARTIS HEALTHCARE PVT LTD</t>
  </si>
  <si>
    <t>000401043279:Int.Pd:30-06-2015 to 30-12-2015</t>
  </si>
  <si>
    <t>INF/210007083383/IWISHSETTLE CONTRIBUTION/0</t>
  </si>
  <si>
    <t>NFS/CASH WDL/03-01-16</t>
  </si>
  <si>
    <t>BIL/000893496816/HDFC transfer/06521000008889</t>
  </si>
  <si>
    <t>BIL/000894102744/LIC premium/LICPGI_EICI4213</t>
  </si>
  <si>
    <t>NFS/CASH WDL/07-01-16</t>
  </si>
  <si>
    <t>CMS/000213472919/TS-IC__40491237376</t>
  </si>
  <si>
    <t>ATM/CASH WDL/12-01-16/0</t>
  </si>
  <si>
    <t>NEFT-CITIN16607057845-NOVARTIS HEALTHCARE PVT LTD</t>
  </si>
  <si>
    <t>CMS/000215814020/BF-IC__40491262475</t>
  </si>
  <si>
    <t>INF/210007407431/IWISHSETTLE CONTRIBUTION/0</t>
  </si>
  <si>
    <t>BIL/000910736592/Ramky C305 Feb2016/0968763000051</t>
  </si>
  <si>
    <t>CMS/000218854168/TS-IC__40491237376</t>
  </si>
  <si>
    <t>NFS/CASH WDL/13-02-16</t>
  </si>
  <si>
    <t>CHEQUE 520512</t>
  </si>
  <si>
    <t>ASIAN PAINTS LTD</t>
  </si>
  <si>
    <t>NFS/CASH WDL/25-02-16</t>
  </si>
  <si>
    <t>NEFT-CITIN16618273207-NOVARTIS HEALTHCARE PVT LTD</t>
  </si>
  <si>
    <t>NFS/CASH WDL/26-02-16</t>
  </si>
  <si>
    <t>CMS/000221621092/BF-IC__40491262475</t>
  </si>
  <si>
    <t>INF/210007715647/IWISHSETTLE CONTRIBUTION/0</t>
  </si>
  <si>
    <t>CMS/000223950427/TS-IC__40491237376</t>
  </si>
  <si>
    <t>NEFT-CITIN16624190648-NOVARTIS HEALTHCARE PVT LTD</t>
  </si>
  <si>
    <t>ATM/CASH WDL/14-03-16/0</t>
  </si>
  <si>
    <t>NFS/CASH WDL/26-03-16</t>
  </si>
  <si>
    <t>CMS/000226373508/BF-IC__40491262475</t>
  </si>
  <si>
    <t>NEFT-CITIN16628526147-NOVARTIS HEALTHCARE PVT LTD</t>
  </si>
  <si>
    <t>000401043279:Int.Pd:31-12-2015 to 29-03-2016</t>
  </si>
  <si>
    <t>BIL/000943815155/Ramky maintenance/09687630000512</t>
  </si>
  <si>
    <t>INF/210008031901/IWISHSETTLE CONTRIBUTION/0</t>
  </si>
  <si>
    <t>Dr Tran For Funding iWish A/c 000424005360</t>
  </si>
  <si>
    <t>Dr Tran For Funding iWish A/c 000424005361</t>
  </si>
  <si>
    <t>NFS/CASH WDL/06-04-16</t>
  </si>
  <si>
    <t>Dr Tran For Funding A/c 000425056211</t>
  </si>
  <si>
    <t>Dr Tran For Funding A/c 000425056212</t>
  </si>
  <si>
    <t>Dr Tran For Funding A/c 000425056213</t>
  </si>
  <si>
    <t>Dr Tran For Funding A/c 000425056221</t>
  </si>
  <si>
    <t>ATM/CASH WDL/11-04-16/0</t>
  </si>
  <si>
    <t>CMS/000229510111/TS-IC__40491237376</t>
  </si>
  <si>
    <t>ATM/CASH WDL/15-04-16/0</t>
  </si>
  <si>
    <t>BIL/000955882032/Hyd home cell april2/50203772</t>
  </si>
  <si>
    <t>000425050854: Closure Proceeds</t>
  </si>
  <si>
    <t>BIL/000957300040/LIC premium/LICPGI_FICI4443</t>
  </si>
  <si>
    <t>NEFT-CITIN16638446337-NOVARTIS HEALTHCARE PVT LTD</t>
  </si>
  <si>
    <t>ATM/CASH WDL/27-04-16/0</t>
  </si>
  <si>
    <t>CMS/000232372405/BF-IC__40491262475</t>
  </si>
  <si>
    <t>ATM/CASH WDL/29-04-16/0</t>
  </si>
  <si>
    <t>ATM/CASH WDL/30-04-16/0</t>
  </si>
  <si>
    <t>ATM/WDL RVSL/30-04-16/R/000401043279</t>
  </si>
  <si>
    <t>NFS/CASH WDL/30-04-16</t>
  </si>
  <si>
    <t>MMT/Ref612321219544/*****99523</t>
  </si>
  <si>
    <t>INF/210008351513/IWISHSETTLE CONTRIBUTION/0</t>
  </si>
  <si>
    <t>ATM/CASH WDL/03-05-16/0</t>
  </si>
  <si>
    <t>INF/210008391685/IWISHSETTLE CONTRIBUTION/0</t>
  </si>
  <si>
    <t>NFS/CASH WDL/07-05-16</t>
  </si>
  <si>
    <t>CMS/000235326414/TS-IC__40491237376</t>
  </si>
  <si>
    <t>000425051056: Closure Proceeds</t>
  </si>
  <si>
    <t>To RD Ac no 000425056211</t>
  </si>
  <si>
    <t>NEFT-CITIN16646532051-NOVARTIS HEALTHCARE PVT LTD</t>
  </si>
  <si>
    <t>To RD Ac no 000425056221</t>
  </si>
  <si>
    <t>ATM/CASH WDL/24-05-16/0</t>
  </si>
  <si>
    <t>To RD Ac no 000425056212</t>
  </si>
  <si>
    <t>NEFT-CITIN16648811317-NOVARTIS HEALTHCARE PVT LTD</t>
  </si>
  <si>
    <t>To RD Ac no 000425056213</t>
  </si>
  <si>
    <t>CMS/000237625752/BF-IC__40491262475</t>
  </si>
  <si>
    <t>BIL/000976941176/PGMIB-Online swiggy/5802910249_W</t>
  </si>
  <si>
    <t>BIL/000979082059/Ramky C305 June 2016/09687630000</t>
  </si>
  <si>
    <t>INF/210008706177/IWISHSETTLE CONTRIBUTION/0</t>
  </si>
  <si>
    <t>NFS/CASH WDL/04-06-16</t>
  </si>
  <si>
    <t>INF/210008746267/IWISHSETTLE CONTRIBUTION/0</t>
  </si>
  <si>
    <t>CMS/000240387633/TS-IC__40491237376</t>
  </si>
  <si>
    <t>NEFT-CITIN16658829998-NOVARTIS HEALTHCARE PVT LTD</t>
  </si>
  <si>
    <t>CMS/000242806650/BF-IC__40491262475</t>
  </si>
  <si>
    <t>000401043279:Int.Pd:30-03-2016 to 28-06-2016</t>
  </si>
  <si>
    <t>NEFT-CITIN16662404482-NOVARTIS HEALTHCARE PVT LTD</t>
  </si>
  <si>
    <t>INF/210009043087/IWISHSETTLE CONTRIBUTION</t>
  </si>
  <si>
    <t>INF/210009085891/IWISHSETTLE CONTRIBUTION</t>
  </si>
  <si>
    <t>BIL/000998896403/C305 Ramky July2016/096876300005</t>
  </si>
  <si>
    <t>NFS/CASH WDL/07-07-16</t>
  </si>
  <si>
    <t>BIL/001002428999/DTAX/639034011071650</t>
  </si>
  <si>
    <t>CMS/000245710615/TS-IC__40491237376</t>
  </si>
  <si>
    <t>NEFT-CITIN16665902094-NOVARTIS HEALTHCARE PVT LTD</t>
  </si>
  <si>
    <t>NFS/CASH WDL/18-07-16</t>
  </si>
  <si>
    <t>NEFT-CITIN16669526483-NOVARTIS HEALTHCARE PVT LTD</t>
  </si>
  <si>
    <t>CMS/000248193403/BF-IC__40491262475</t>
  </si>
  <si>
    <t>NFS/CASH WDL/02-08-16</t>
  </si>
  <si>
    <t>NEFT-CITIN16674302500-NOVARTIS HEALTHCARE PVT LTD</t>
  </si>
  <si>
    <t>INF/210009438805/IWISHSETTLE CONTRIBUTION</t>
  </si>
  <si>
    <t>BIL/001017684386/MIB-C305 ramky augus/09687630000</t>
  </si>
  <si>
    <t>NFS/CASH WDL/05-08-16</t>
  </si>
  <si>
    <t>CMS/000251258608/TS-IC__40491237376</t>
  </si>
  <si>
    <t>ATM/CASH WDL/18-08-16/0</t>
  </si>
  <si>
    <t>Dr Tran For Funding A/c 000425057885</t>
  </si>
  <si>
    <t>NEFT-CITIN16680331202-NOVARTIS HEALTHCARE PVT LTD</t>
  </si>
  <si>
    <t>CMS/000253357610/BF-IC__40491262475</t>
  </si>
  <si>
    <t>To RD Ac no 000425057885</t>
  </si>
  <si>
    <t>BIL/001033889169/MIB-Ramky c305 sept2/09687630000</t>
  </si>
  <si>
    <t>ATM/CASH WDL/02-09-16/0</t>
  </si>
  <si>
    <t>INF/210009809029/IWISHSETTLE CONTRIBUTION</t>
  </si>
  <si>
    <t>NEFT-CITIN16685176350-NOVARTIS HEALTHCARE PVT LTD</t>
  </si>
  <si>
    <t>CMS/000256563177/TS-IC__40491237376</t>
  </si>
  <si>
    <t>BIL/001041305693/Hyd to Mumbai 11Oct2/INDIGO_GICI</t>
  </si>
  <si>
    <t>NFS/CASH WDL/21-09-16</t>
  </si>
  <si>
    <t>NEFT-CITIN16690559254-NOVARTIS HEALTHCARE PVT LTD</t>
  </si>
  <si>
    <t>NEFT-CITIN16691021249-NOVARTIS HEALTHCARE PVT LTD</t>
  </si>
  <si>
    <t>CMS/000258634113/BF-IC__40491262475</t>
  </si>
  <si>
    <t>BIL/001049341684/PhD fee/069410400013470</t>
  </si>
  <si>
    <t>000401043279:Int.Pd:29-06-2016 to 28-09-2016</t>
  </si>
  <si>
    <t>MMT/Ref627619455096/0968763000051</t>
  </si>
  <si>
    <t>ACCT CLOSURE TRANSACTION 4089</t>
  </si>
  <si>
    <t>BIL/001054438243/02 PhD fee 2016/069410400013470</t>
  </si>
  <si>
    <t>INF/210010159161/IWISHSETTLE CONTRIBUTION</t>
  </si>
  <si>
    <t>CMS/000261867881/TS-IC__40491237376</t>
  </si>
  <si>
    <t>NFS/CASH WDL/10-10-16</t>
  </si>
  <si>
    <t>DEBIT CARD</t>
  </si>
  <si>
    <t>MPS/CLUB ONE CL/20161017202206/0</t>
  </si>
  <si>
    <t>MPS/PAYMNT RVSL/20161017202206/1/000401043279</t>
  </si>
  <si>
    <t>NFS/CASH WDL/18-10-16</t>
  </si>
  <si>
    <t>NEFT-CITIN16701742737-NOVARTIS HEALTHCARE PVT LTD</t>
  </si>
  <si>
    <t>CMS/000264853955/BF-IC__40491262475</t>
  </si>
  <si>
    <t>NEFT-CITIN16703976664-NOVARTIS HEALTHCARE PVT LTD</t>
  </si>
  <si>
    <t>NFS/CASH WDL/02-11-16</t>
  </si>
  <si>
    <t>BIL/001074458734/Ramky C305 Nov2016/0968763000051</t>
  </si>
  <si>
    <t>INF/210010519151/IWISHSETTLE CONTRIBUTION</t>
  </si>
  <si>
    <t>CMS/000267497689/TS-IC__40491237376</t>
  </si>
  <si>
    <t>ATM/CASH WDL/16-11-16/0</t>
  </si>
  <si>
    <t>BY CASH  - MINDSPACEHYDERABAD</t>
  </si>
  <si>
    <t>BIL/001085316491/Hyd home cell Nov201/50203772</t>
  </si>
  <si>
    <t>ATM/CASH WDL/24-11-16/0</t>
  </si>
  <si>
    <t>NEFT-CITIN16712627502-NOVARTIS HEALTHCARE PVT LTD</t>
  </si>
  <si>
    <t>MMT/Ref633119182312/30899250986</t>
  </si>
  <si>
    <t>CMS/000269842555/BF-IC__40491262475</t>
  </si>
  <si>
    <t>NEFT-CITIN16714104924-NOVARTIS HEALTHCARE PVT LTD</t>
  </si>
  <si>
    <t>NEFT-CITIN16714104727-NOVARTIS HEALTHCARE PVT LTD</t>
  </si>
  <si>
    <t>NEFT-CITIN16714104726-NOVARTIS HEALTHCARE PVT LTD</t>
  </si>
  <si>
    <t>DD/CC ISSUED</t>
  </si>
  <si>
    <t>BIL/001093258822/Vyom Day care Dec201/30507195343</t>
  </si>
  <si>
    <t>INF/210010867861/IWISHSETTLE CONTRIBUTION</t>
  </si>
  <si>
    <t>ATM/CASH WDL/06-12-16/0</t>
  </si>
  <si>
    <t>CMS/000273205653/TS-IC__40491237376</t>
  </si>
  <si>
    <t>NFS/CASH WDL/13-12-16</t>
  </si>
  <si>
    <t>NFS/CASH WDL/14-12-16</t>
  </si>
  <si>
    <t>NFS/CASH WDL/17-12-16</t>
  </si>
  <si>
    <t>NEFT-CITIN16722614055-NOVARTIS HEALTHCARE PVT LTD</t>
  </si>
  <si>
    <t>BIL/001108959270/Varanasi expenses/NSP</t>
  </si>
  <si>
    <t>NEFT-CITIN16724179861-NOVARTIS HEALTHCARE PVT LTD</t>
  </si>
  <si>
    <t>CHEQUE 520514</t>
  </si>
  <si>
    <t>THE FUTURE KIDS SCHOOL</t>
  </si>
  <si>
    <t>NEFT-CITIN16724719501-NOVARTIS HEALTHCARE PVT LTD</t>
  </si>
  <si>
    <t>CMS/000275440834/BF-IC__40491262475</t>
  </si>
  <si>
    <t>NFS/CASH WDL/28-12-16</t>
  </si>
  <si>
    <t>000401043279:Int.Pd:29-09-2016 to 29-12-2016</t>
  </si>
  <si>
    <t>NFS/CASH WDL/31-12-16</t>
  </si>
  <si>
    <t>BIL/001116544689/LIC premium/LICPGI_HICI5017</t>
  </si>
  <si>
    <t>BIL/001116553957/Ramky C305 Jan2017/0968763000051</t>
  </si>
  <si>
    <t>INF/210011248223/IWISHSETTLE CONTRIBUTION</t>
  </si>
  <si>
    <t>BIL/001122066592/MIB-Water purifier c/30424745789</t>
  </si>
  <si>
    <t>CMS/000278613576/TS-IC__40491237376</t>
  </si>
  <si>
    <t>ATM/CASH WDL/16-01-17/0</t>
  </si>
  <si>
    <t>ATM/CASH WDL/23-01-17/0</t>
  </si>
  <si>
    <t>NEFT-CITIN17736109689-NOVARTIS HEALTHCARE PVT LTD</t>
  </si>
  <si>
    <t>CMS/000281156124/BF-IC__40491262475</t>
  </si>
  <si>
    <t>BIL/001138942423/Ramky C305 Feb2017 m/09687630000</t>
  </si>
  <si>
    <t>BIL/001138943555/HDFC transfer/06521000008889</t>
  </si>
  <si>
    <t>INF/210011630526/IWISHSETTLE CONTRIBUTION</t>
  </si>
  <si>
    <t>NFS/CASH WDL/05-02-17</t>
  </si>
  <si>
    <t>IPL/P-UTI -DSGP-11718546/20170206174824</t>
  </si>
  <si>
    <t>CMS/000284450915/TS-IC__40491237376</t>
  </si>
  <si>
    <t>IPL/P-Reli-RMFCBGP-11723852/20170210113158</t>
  </si>
  <si>
    <t>BIL/001148909017/PhD mandatory course/06941040001</t>
  </si>
  <si>
    <t>NEFT-CITIN17748015347-NOVARTIS HEALTHCARE PVT LTD</t>
  </si>
  <si>
    <t>CMS/000287239422/BF-IC__40491262475</t>
  </si>
  <si>
    <t>ATM/CASH WDL/03-03-17/0</t>
  </si>
  <si>
    <t>BIL/001159936431/Ramky C305 March201/09687630000</t>
  </si>
  <si>
    <t>INF/210012047596/IWISHSETTLE CONTRIBUTION</t>
  </si>
  <si>
    <t>NFS/CASH WDL/06-03-17</t>
  </si>
  <si>
    <t>CHEQUE 520515</t>
  </si>
  <si>
    <t>VINAY MAHAJAN</t>
  </si>
  <si>
    <t>IRM/EUR142.81@68.73ST+S/INREM/20170309133554</t>
  </si>
  <si>
    <t>CMS/000290764266/TS-IC__40491237376</t>
  </si>
  <si>
    <t>ATM/CASH WDL/14-03-17/0</t>
  </si>
  <si>
    <t>NEFT-IBKL170315911690-ITD HST GENERAL FUND-NEFT-0</t>
  </si>
  <si>
    <t>ATM/CASH WDL/16-03-17/0</t>
  </si>
  <si>
    <t>MPS/KOTTAKKAL A/20170318183210/0</t>
  </si>
  <si>
    <t>ATM/CASH WDL/24-03-17/0</t>
  </si>
  <si>
    <t>BIL/001175808390/ICICI Sapphiro Mar20/52419309120</t>
  </si>
  <si>
    <t>NEFT-CITIN17760134405-NOVARTIS HEALTHCARE PVT LTD</t>
  </si>
  <si>
    <t>CMS/000295168166/BF-IC__40491262475</t>
  </si>
  <si>
    <t>NEFT-CITIN17760887142-NOVARTIS HEALTHCARE PVT LTD</t>
  </si>
  <si>
    <t>BIL/001178132715/airport taxi/03711450000055</t>
  </si>
  <si>
    <t>000401043279:Int.Pd:30-12-2016 to 30-03-2017</t>
  </si>
  <si>
    <t>MMT/Ref709318146706/0968763000051</t>
  </si>
  <si>
    <t>INF/210012442790/IWISHSETTLE CONTRIBUTION</t>
  </si>
  <si>
    <t>IPL/P-ICIC-P2933-11787813/20170407141237</t>
  </si>
  <si>
    <t>ATM/CASH WDL/10-04-17/0</t>
  </si>
  <si>
    <t>CMS/000299940932/TS-IC__40491237376</t>
  </si>
  <si>
    <t>BIL/001189217004/Maruti Ignis/NSP</t>
  </si>
  <si>
    <t>ATM/CASH WDL/13-04-17/0</t>
  </si>
  <si>
    <t>BIL/001190938881/Maketrip part02 1702/NSP</t>
  </si>
  <si>
    <t>ATM/CASH WDL/17-04-17/0</t>
  </si>
  <si>
    <t>NEFT-BNPNN17111666928-BNP PARIBAS MUTUAL FUND-/BN</t>
  </si>
  <si>
    <t>IPL/P-Reli-L5GP-11809843/20170424133013</t>
  </si>
  <si>
    <t>ATM/CASH WDL/25-04-17/0</t>
  </si>
  <si>
    <t>NEFT-CITIN17771363224-NOVARTIS HEALTHCARE PVT LTD</t>
  </si>
  <si>
    <t>CMS/000304654164/BF-IC__40491262475</t>
  </si>
  <si>
    <t>NFS/CASH WDL/01-05-17</t>
  </si>
  <si>
    <t>MPS/GOOD TIMES /20170501164325/0</t>
  </si>
  <si>
    <t>MPS/PAYMNT RVSL/20170501164325/1/000401043279</t>
  </si>
  <si>
    <t>BIL/001203531326/Makemytrip-Part03/NSP</t>
  </si>
  <si>
    <t>BIL/001203552216/Ramky C305 May2017/096876300005</t>
  </si>
  <si>
    <t>BIL/001203560497/LIC premium/LICPGI_IICI5340</t>
  </si>
  <si>
    <t>BIL/001203564696/Credit card bill Apr/52419309120</t>
  </si>
  <si>
    <t>INF/210012857890/IWISHSETTLE CONTRIBUTION</t>
  </si>
  <si>
    <t>CMS/000309445240/TS-IC__40491237376</t>
  </si>
  <si>
    <t>ATM/CASH WDL/15-05-17/0</t>
  </si>
  <si>
    <t>ATM/CASH WDL/18-05-17/0</t>
  </si>
  <si>
    <t>BIL/001215744800/Hyd home cell/50203772</t>
  </si>
  <si>
    <t>NEFT-CITIN17782920910-NOVARTIS HEALTHCARE PVT LTD</t>
  </si>
  <si>
    <t>CMS/000314553299/BF-IC__40491262475</t>
  </si>
  <si>
    <t>BIL/001222999631/Credit card May2017/524193091209</t>
  </si>
  <si>
    <t>BIL/001223007604/C305 Ramky June2017/096876300005</t>
  </si>
  <si>
    <t>NFS/CASH WDL/03-06-17</t>
  </si>
  <si>
    <t>INF/210013264056/IWISHSETTLE CONTRIBUTION</t>
  </si>
  <si>
    <t>CMS/000320256560/TS-IC__40491237376</t>
  </si>
  <si>
    <t>ATM/CASH WDL/16-06-17/0</t>
  </si>
  <si>
    <t>IPL/P-ICIC-P62-11950200/20170627132112</t>
  </si>
  <si>
    <t>NEFT-CITIN17794900088-NOVARTIS HEALTHCARE PVT LTD</t>
  </si>
  <si>
    <t>CMS/000325379876/BF-IC__40491262475</t>
  </si>
  <si>
    <t>000401043279:Int.Pd:31-03-2017 to 28-06-2017</t>
  </si>
  <si>
    <t>MMT/Ref718308807283/0968763000051</t>
  </si>
  <si>
    <t>ACCT CLOSURE TRANSACTION 5360</t>
  </si>
  <si>
    <t>ACCT CLOSURE TRANSACTION 5361</t>
  </si>
  <si>
    <t>NEFT-CITIN17800750533-NOVARTIS HEALTHCARE PVT LTD</t>
  </si>
  <si>
    <t>BIL/001246449404/ICICI Sapphire Credi/52419309120</t>
  </si>
  <si>
    <t>MMT/Ref718914077031/30424745789</t>
  </si>
  <si>
    <t>BIL/001247917725/MIB-Olive Bistro/NSP</t>
  </si>
  <si>
    <t>CMS/000331272831/TS-IC__40491237376</t>
  </si>
  <si>
    <t>NEFT-CITIN17803214970-NOVARTIS HEALTHCARE PVT LTD</t>
  </si>
  <si>
    <t>000425056211: Closure Proceeds</t>
  </si>
  <si>
    <t>BIL/001252114846/DTAX/639034015071751</t>
  </si>
  <si>
    <t>MMT/Ref719614275651/0080102000776</t>
  </si>
  <si>
    <t>CMS/ ICICI PRUDENTIAL MUTUAL FUND</t>
  </si>
  <si>
    <t>000425056221: Closure Proceeds</t>
  </si>
  <si>
    <t>BIL/001257621039/Vinay Mahajan ITretu/00801020007</t>
  </si>
  <si>
    <t>NEFT-CITIN17806867609-NOVARTIS HEALTHCARE PVT LTD</t>
  </si>
  <si>
    <t>000425056212: Closure Proceeds</t>
  </si>
  <si>
    <t>000425056213: Closure Proceeds</t>
  </si>
  <si>
    <t>CMS/000337494800/BF-IC__40491262475</t>
  </si>
  <si>
    <t>BIL/001264189654/ICICI credit card/52419309120920</t>
  </si>
  <si>
    <t>MMT/Ref721418469180/0968763000051</t>
  </si>
  <si>
    <t>NFS/CASH WDL/05-08-17</t>
  </si>
  <si>
    <t>IPL/P-ICIC-P2991-12019953/20170807104557</t>
  </si>
  <si>
    <t>BIL/001269824215/DTAX/639034009081751</t>
  </si>
  <si>
    <t>CMS/000343698270/TS-IC__40491237376</t>
  </si>
  <si>
    <t>IPL/P-Reli-RMFSHMP-12028230/20170810131850</t>
  </si>
  <si>
    <t>ATM/CASH WDL/21-08-17/0</t>
  </si>
  <si>
    <t>CMS/ DIVIDEND - RELIANCE MF</t>
  </si>
  <si>
    <t>NEFT-CITIN17818460101-NOVARTIS HEALTHCARE PVT LTD</t>
  </si>
  <si>
    <t>CMS/000349309597/BF-IC__40491262475</t>
  </si>
  <si>
    <t>IPL/P-ICIC-P62-12056078/20170831132837</t>
  </si>
  <si>
    <t>MMT/Ref724610192564/0968763000051</t>
  </si>
  <si>
    <t>BIL/001286285872/ICICI bank credit ca/52419309120</t>
  </si>
  <si>
    <t>ATM/CASH WDL/07-09-17/0</t>
  </si>
  <si>
    <t>CMS/000355319571/TS-IC__40491237376</t>
  </si>
  <si>
    <t>NEFT-CITIN17831086571-NOVARTIS HEALTHCARE PVT LTD</t>
  </si>
  <si>
    <t>CMS/000361525157/BF-IC__40491262475</t>
  </si>
  <si>
    <t>ATM/CASH WDL/29-09-17/0</t>
  </si>
  <si>
    <t>000401043279:Int.Pd:29-06-2017 to 29-09-2017</t>
  </si>
  <si>
    <t>NFS/CASH WDL/04-10-17</t>
  </si>
  <si>
    <t>IIN/I-Debit/PayTM    /20171004130524</t>
  </si>
  <si>
    <t>MMT/Ref727713746902/0968763000051</t>
  </si>
  <si>
    <t>BIL/001305258347/HDFC transfer/06521000008889</t>
  </si>
  <si>
    <t>MIN/PTM*PAYTM  /20171006191714/0</t>
  </si>
  <si>
    <t>BIL/001308849608/ICICI credit ca/524193091209201</t>
  </si>
  <si>
    <t>CMS/000367084440/TS-IC__40491237376</t>
  </si>
  <si>
    <t>IIN/I-Debit/PayTM    /20171011182224</t>
  </si>
  <si>
    <t>NEFT-CITIN17839190380-NOVARTIS HEALTHCARE PVT LTD</t>
  </si>
  <si>
    <t>MMT/Ref728708682269/0694104000134</t>
  </si>
  <si>
    <t>IIN/PAYTM      /20171014114635</t>
  </si>
  <si>
    <t>IIN/PAYTM      /20171014115027</t>
  </si>
  <si>
    <t>IIN/I-Debit/PayTM    /20171014141758</t>
  </si>
  <si>
    <t>ATM/CASH WDL/18-10-17/0</t>
  </si>
  <si>
    <t>IIN/PAYTM      /20171019213631</t>
  </si>
  <si>
    <t>IIN/I-Debit/PayTM    /20171020182557</t>
  </si>
  <si>
    <t>IIN/PAYTM      /20171021080831</t>
  </si>
  <si>
    <t>IIN/I-Debit/PayTM    /20171022151704</t>
  </si>
  <si>
    <t>NEFT-CITIN17843528698-NOVARTIS HEALTHCARE PVT LTD</t>
  </si>
  <si>
    <t>IPL/P-ICIC-P61-12146532/20171027123914</t>
  </si>
  <si>
    <t>NFS/CASH WDL/29-10-17</t>
  </si>
  <si>
    <t>CMS/000373012913/BF-IC__40491262475</t>
  </si>
  <si>
    <t>MMT/Ref730709145845/0968763000051</t>
  </si>
  <si>
    <t>BIL/001328220683/Credit Oct2017/524193091209201</t>
  </si>
  <si>
    <t>NEFT-CITIN17850836033-NOVARTIS HEALTHCARE PVT LTD</t>
  </si>
  <si>
    <t>CMS/000379636305/TS-IC__40491237376</t>
  </si>
  <si>
    <t>NEFT-CITIN17855733263-NOVARTIS HEALTHCARE PVT LTD</t>
  </si>
  <si>
    <t>NFS/CASH WDL/25-11-17</t>
  </si>
  <si>
    <t>000425057885: Closure Proceeds</t>
  </si>
  <si>
    <t>CMS/000385679206/BF-IC__40491262475</t>
  </si>
  <si>
    <t>IPL/P-HDFC-HHO1DR-12206390/20171130115858</t>
  </si>
  <si>
    <t>CMS/000386990519/ICICIPRULIFEINS__20477630</t>
  </si>
  <si>
    <t>MMT/Ref733721784342/0968763000051</t>
  </si>
  <si>
    <t>BIL/001345449151/ICICI Nov2017/524193091209201</t>
  </si>
  <si>
    <t>BIL/001349869002/DTAX/639034009121750</t>
  </si>
  <si>
    <t>CMS/000389467025/TS-IC__40491237376</t>
  </si>
  <si>
    <t>NEFT-CITIN17868504093-NOVARTIS HEALTHCARE PVT LTD</t>
  </si>
  <si>
    <t>NEFT-CITIN17868902768-NOVARTIS HEALTHCARE PVT LTD</t>
  </si>
  <si>
    <t>CMS/000392490647/BF-IC__40491262475</t>
  </si>
  <si>
    <t>000401043279:Int.Pd:30-09-2017 to 29-12-2017</t>
  </si>
  <si>
    <t>BIL/001364495848/Dec2017Sappire/524193091209201</t>
  </si>
  <si>
    <t>MMT/Ref800313349658/0968763000051</t>
  </si>
  <si>
    <t>BIL/001366092990/LIC policies/LIC_LICI5937185</t>
  </si>
  <si>
    <t>NFS/CASH WDL/08-01-18</t>
  </si>
  <si>
    <t>CMS/000396380959/TS-IC__40491237376</t>
  </si>
  <si>
    <t>IPL/P-LT -F17-12295589/20180116125202</t>
  </si>
  <si>
    <t>IPL/P-ICIC-P11-12295570/20180116124212</t>
  </si>
  <si>
    <t>NARAYAN LAXMANH\BOI  \191794</t>
  </si>
  <si>
    <t>REJECT:191794:DRAWERS SIGNATURE DIFFERS</t>
  </si>
  <si>
    <t>ATM/CASH WDL/24-01-18/0</t>
  </si>
  <si>
    <t>NEFT-CITIN18809867856-NOVARTIS HEALTHCARE PVT LTD</t>
  </si>
  <si>
    <t>CMS/000399296568/BF-IC__40491262475</t>
  </si>
  <si>
    <t>NEFT-CITIN18814191810-NOVARTIS HEALTHCARE PVT LTD</t>
  </si>
  <si>
    <t>MMT/Ref803411268872/0968763000051</t>
  </si>
  <si>
    <t>BIL/001385804866/ICICIcreditcard/524193091209201</t>
  </si>
  <si>
    <t>CMS/000403330384/TS-IC__40491237376</t>
  </si>
  <si>
    <t>CMS/ CMS759518551/ICICI PRUDENTIAL MUTUAL FUND</t>
  </si>
  <si>
    <t>NEFT-CITIN18820100941-NOVARTIS HEALTHCARE PVT LTD</t>
  </si>
  <si>
    <t>BIL/001396729964/team lunch exp/NSP</t>
  </si>
  <si>
    <t>IPL/P-ICIC-P11-13360341/20180221133124</t>
  </si>
  <si>
    <t>RTGS-HDFCR52018022366739631-RELIANCE CORPORATE B-</t>
  </si>
  <si>
    <t>NEFT-CITIN18824058928-NOVARTIS HEALTHCARE PVT LTD</t>
  </si>
  <si>
    <t>CMS/000406356174/BF-IC__40491262475</t>
  </si>
  <si>
    <t>MMT/Ref806117710800/0968763000051</t>
  </si>
  <si>
    <t>NFS/CASH WDL/04-03-18</t>
  </si>
  <si>
    <t>BIL/001406993658/ICICI Feb2018/524193091209201</t>
  </si>
  <si>
    <t>IRM/EUR132.8@78.23GST45/INREM/20180309125900</t>
  </si>
  <si>
    <t>CMS/000410059149/TS-IC__40491237376</t>
  </si>
  <si>
    <t>CMS/ CMS779183154/ICICI PRUDENTIAL MUTUAL FUND</t>
  </si>
  <si>
    <t>RTGS-BKIDR52018031300403501-NARAYAN LAXMAN MAHAJA</t>
  </si>
  <si>
    <t>CMS/ CMS786627706/ICICI PRUDENTIAL MUTUAL FUND</t>
  </si>
  <si>
    <t>NEFT-CITIN18838469843-NOVARTIS HEALTHCARE PVT LTD</t>
  </si>
  <si>
    <t>CMS/000414022273/BF-IC__40491262475</t>
  </si>
  <si>
    <t>MMT/Ref808910295908/0652100000888</t>
  </si>
  <si>
    <t>000401043279:Int.Pd:30-12-2017 to 29-03-2018</t>
  </si>
  <si>
    <t>MMT/Ref809210809108/0652100000888</t>
  </si>
  <si>
    <t>NEFT-CITIN18843814102-NOVARTIS HEALTHCARE P LCIBA</t>
  </si>
  <si>
    <t>BIL/001426710238/ICICI March2018/524193091209201</t>
  </si>
  <si>
    <t>MMT/Ref809621869321/30424745789</t>
  </si>
  <si>
    <t>NFS/CASH WDL/07-04-18</t>
  </si>
  <si>
    <t>CMS/ CMS801183230/ICICI PRUDENTIAL MUTUAL FUND</t>
  </si>
  <si>
    <t>CMS/000418176602/TS-IC__40491237376</t>
  </si>
  <si>
    <t>MMT/Ref810113318460/0968763000051</t>
  </si>
  <si>
    <t>ATM/CASH WDL/19-04-18/0</t>
  </si>
  <si>
    <t>NEFT-CITIN18851650935-NOVARTIS HEALTHCARE PVT LTD</t>
  </si>
  <si>
    <t>CMS/000421502125/BF-IC__40491262475</t>
  </si>
  <si>
    <t>BIL/001443777469/April2018credit/524193091209201</t>
  </si>
  <si>
    <t>MMT/Ref812220757109/0968763000051</t>
  </si>
  <si>
    <t>ATM/CASH WDL/03-05-18/0</t>
  </si>
  <si>
    <t>CMS/ CMS820196580/ICICI PRUDENTIAL MUTUAL FUND</t>
  </si>
  <si>
    <t>CMS/000424549773/TS-IC__40491237376</t>
  </si>
  <si>
    <t>ATM/CASH WDL/18-05-18/0</t>
  </si>
  <si>
    <t>BIL/001454620461/LIC premium/LIC_NICI6315987</t>
  </si>
  <si>
    <t>MMT/Ref813817217887/30424745789</t>
  </si>
  <si>
    <t>IPL/P-Tata-TEPEG-13523051/20180524134529</t>
  </si>
  <si>
    <t>IPL/P-ICIC-P11-13523055/20180524134637</t>
  </si>
  <si>
    <t>NEFT-CITIN18864692864-NOVARTIS HEALTHCARE PVT LTD</t>
  </si>
  <si>
    <t>CMS/000427266534/BF-IC__40491262475</t>
  </si>
  <si>
    <t>MMT/Ref815315007223/0968763000051</t>
  </si>
  <si>
    <t>BIL/001463914705/ICICI card/524193091209201</t>
  </si>
  <si>
    <t>ATM/CASH WDL/04-06-18/0</t>
  </si>
  <si>
    <t>ATM/CASH WDL/05-06-18/0</t>
  </si>
  <si>
    <t>CMS/000431066792/TS-IC__40491237376</t>
  </si>
  <si>
    <t>CMS/ CMS840174618/ICICI PRUDENTIAL MUTUAL FUND</t>
  </si>
  <si>
    <t>BIL/001476605390/Passport/MOPSPPSEVA_NICI</t>
  </si>
  <si>
    <t>NEFT-CITIN18878968383-NOVARTIS HEALTHCARE PVT LTD-</t>
  </si>
  <si>
    <t>CMS/000434584523/BF-IC__40491262475</t>
  </si>
  <si>
    <t>CMS/000434682704/ICICIPRULIFEINS__21131016</t>
  </si>
  <si>
    <t>BIL/001480824141/CitiOfficeUStrip/CITICARD_NICI64</t>
  </si>
  <si>
    <t>000401043279:Int.Pd:30-03-2018 to 29-06-2018</t>
  </si>
  <si>
    <t>MMT/IMPS/818519144466/C305 Jul 2018/HDFC0000968</t>
  </si>
  <si>
    <t>BIL/001486002648/Credit Card/524193091209201</t>
  </si>
  <si>
    <t>NEFT-CITIN18885104734-NOVARTIS HEALTHCARE P LCIBA</t>
  </si>
  <si>
    <t>ATM/CASH WDL/06-07-18/0</t>
  </si>
  <si>
    <t>MMT/IMPS/818816889920/eTaxMentor/UTIB0000008</t>
  </si>
  <si>
    <t>IPL/P-ICIC-P3131-13605200/20180709142549</t>
  </si>
  <si>
    <t>CMS/ CMS859403990/ICICI PRUDENTIAL MUTUAL FUND</t>
  </si>
  <si>
    <t>CMS/000438537282/TS-IC__40491237376</t>
  </si>
  <si>
    <t>NEFT-CITIN18887375077-NOVARTIS HEALTHCARE P LCIBA</t>
  </si>
  <si>
    <t>BIL/001491230507/DTAX/639034012071850</t>
  </si>
  <si>
    <t>ATM/CASH WDL/18-07-18/0</t>
  </si>
  <si>
    <t>BIL/NEFT/001495525018/USAVISAFEE/BANA MUMBA/BOFA0M</t>
  </si>
  <si>
    <t>DD/CC ISSUED-ICICI PRUDENTIAL LIC LTD-HYDERABAD</t>
  </si>
  <si>
    <t>NEFT-CITIN18893318412-NOVARTIS HEALTHCARE PVT LTD-</t>
  </si>
  <si>
    <t>ATM/CASH WDL/27-07-18/0</t>
  </si>
  <si>
    <t>MMT/IMPS/821008812965/WindowMeshPhife/APNA PRODU/H</t>
  </si>
  <si>
    <t>CMS/000442139322/BF-IC__40491262475</t>
  </si>
  <si>
    <t>MMT/IMPS/821408432251/C305 August2018/RTABOWA - /H</t>
  </si>
  <si>
    <t>BIL/INFT/001504677542/ICICI credit ca/Self</t>
  </si>
  <si>
    <t>ATM/CASH WDL/03-08-18/0</t>
  </si>
  <si>
    <t>MMT/IMPS/821807462179/RamkyC305/K BHASKAR /SBIN000</t>
  </si>
  <si>
    <t>ATM/CASH WDL/07-08-18/0</t>
  </si>
  <si>
    <t>BIL/NEFT/001510250900/VyomUSVisaFee/BANA MUMBA/BOF</t>
  </si>
  <si>
    <t>CMS/000446132448/TS-IC__40491237376</t>
  </si>
  <si>
    <t>CMS/ CMS888242820/ICICI PRUDENTIAL MUTUAL FUND</t>
  </si>
  <si>
    <t>MMT/IMPS/822616794457/MosquitPhifer/APNA PRODU/HDF</t>
  </si>
  <si>
    <t>NEFT-CITIN18905983487-NOVARTIS HEALTHCARE P LCIBA</t>
  </si>
  <si>
    <t>ATM/CASH WDL/22-08-18/0</t>
  </si>
  <si>
    <t>NEFT-CITIN18907180179-NOVARTIS HEALTHCARE PVT LTD-</t>
  </si>
  <si>
    <t>CMS/000449175435/BF-IC__40491262475</t>
  </si>
  <si>
    <t>MMT/IMPS/824621812442/C305 Sept2018/RTABOWA - /HDF</t>
  </si>
  <si>
    <t>BIL/INFT/001527196891/ICICI Card/Self</t>
  </si>
  <si>
    <t>MMT/IMPS/825108902100/Tabla Sept2018/G SRIKANT /PU</t>
  </si>
  <si>
    <t>BIL/ONL/001530757912/eazypayICI/18090835239952/US</t>
  </si>
  <si>
    <t>CMS/000453395376/TS-IC__40491237376</t>
  </si>
  <si>
    <t>CMS/ CMS908126615/ICICI PRUDENTIAL MUTUAL FUND</t>
  </si>
  <si>
    <t>ATM/CASH WDL/11-09-18/0</t>
  </si>
  <si>
    <t>BIL/INFT/001538659139/US travel/TRIPLOGIST/ICICI B</t>
  </si>
  <si>
    <t>NEFT-CITIN18922474488-NOVARTIS HEALTHCARE PVT LTD-</t>
  </si>
  <si>
    <t>CMS/000456873467/BF-IC__40491262475</t>
  </si>
  <si>
    <t>000401043279:Int.Pd:30-06-2018 to 28-09-2018</t>
  </si>
  <si>
    <t>MMT/IMPS/827521253644/C305 Oct2018/RTABOWA - /HDFC</t>
  </si>
  <si>
    <t>BIL/INFT/001547242531/ICICIcreditcard/Self</t>
  </si>
  <si>
    <t>ATM/CASH WDL/03-10-18/0</t>
  </si>
  <si>
    <t>IPL/P-ICIC-P3191-13751720/20181004145527</t>
  </si>
  <si>
    <t>CMS/ CMS929805953/ICICI PRUDENTIAL MUTUAL FUND</t>
  </si>
  <si>
    <t>CMS/000461134197/TS-IC__40491237376</t>
  </si>
  <si>
    <t>ATM/CASH WDL/12-10-18/0</t>
  </si>
  <si>
    <t>IRM/USD2250.0@75.36GST2/OWREM/20181024045245</t>
  </si>
  <si>
    <t>IRM/REV OF M2WR1540968/INREM/20181025121914</t>
  </si>
  <si>
    <t>IRM/USD2420.0@74.9GST25/OWREM/20181026060454</t>
  </si>
  <si>
    <t>NEFT-CITIN18937577561-NOVARTIS HEALTHCARE PVT LTD-</t>
  </si>
  <si>
    <t>IRM/REV OF M2WR1543172/INREM/20181027144104</t>
  </si>
  <si>
    <t>CMS/000464207442/BF-IC__40491262475</t>
  </si>
  <si>
    <t>MMT/IMPS/830307359978/Fees2019/ITD-HST-GE/IBKL0000</t>
  </si>
  <si>
    <t>IRM/USD2422.15@75.14GST/OWREM/20181031072338</t>
  </si>
  <si>
    <t>ATM/CASH WDL/01-11-18/0</t>
  </si>
  <si>
    <t>MMT/IMPS/830712633194/C305 Nov2018/RTABOWA - /HDFC</t>
  </si>
  <si>
    <t>BIL/INFT/001569618356/ICICICreditBill/Self</t>
  </si>
  <si>
    <t>CMS/000468732298/TS-IC__40491237376</t>
  </si>
  <si>
    <t>CMS/ CMS956021576/ICICI PRUDENTIAL MUTUAL FUND</t>
  </si>
  <si>
    <t>IPL/P-ICIC-P3234-13824952/20181116144927</t>
  </si>
  <si>
    <t>BIL/INFT/001583846964/Varsha Gift/VINAY     /ICICI</t>
  </si>
  <si>
    <t>NEFT-CITIN18952808319-NOVARTIS HEALTHCARE PVT LTD-</t>
  </si>
  <si>
    <t>CMS/000471814323/BF-IC__40491262475</t>
  </si>
  <si>
    <t>CMS/000473068098/ICICIPRULIFEINS__20477630</t>
  </si>
  <si>
    <t>BIL/INFT/001589551262/CreditCardBill/Self</t>
  </si>
  <si>
    <t>MMT/IMPS/833707388953/C305 Dec2018/RTABOWA - /HDFC</t>
  </si>
  <si>
    <t>CMS/000477131329/TS-IC__40491237376</t>
  </si>
  <si>
    <t>CMS/ CMS979537398/ICICI PRUDENTIAL MUTUAL FUND</t>
  </si>
  <si>
    <t>ATM/CASH WDL/14-12-18/0</t>
  </si>
  <si>
    <t>BIL/BPAY/001605394138/VodafonLastBill/VODAFONE H/5</t>
  </si>
  <si>
    <t>BIL/NEFT/001605395215/HDFC transfer/Vinay Nara/HDF</t>
  </si>
  <si>
    <t>NEFT-CITIN18969099539-NOVARTIS HEALTHCARE PVT LTD-</t>
  </si>
  <si>
    <t>CMS/000481314508/BF-IC__40491262475</t>
  </si>
  <si>
    <t>000401043279:Int.Pd:29-09-2018 to 30-12-2018</t>
  </si>
  <si>
    <t>MMT/IMPS/900309642121/C305 Jan2019/RTABOWA - /HDFC</t>
  </si>
  <si>
    <t>ATM/SACWG608/CASH WDL/07-01-19</t>
  </si>
  <si>
    <t>CMS/000486411104/TS-IC__40491237376</t>
  </si>
  <si>
    <t>CREDIT CARD</t>
  </si>
  <si>
    <t>ATD/Auto Debit CC0xx3718</t>
  </si>
  <si>
    <t>CMS/ CMS1008405646/ICICI PRUDENTIAL MUTUAL FUND</t>
  </si>
  <si>
    <t>BIL/ONL/001621534167/Life Insur/LIC_PICI7113441/LI</t>
  </si>
  <si>
    <t>NEFT-CITIN19911862690-NOVARTIS HEALTHCARE PVT LTD-</t>
  </si>
  <si>
    <t>CMS/000490147302/BF-IC__40491262475</t>
  </si>
  <si>
    <t>INF/INFT/000044846044/ShareAccount/Self</t>
  </si>
  <si>
    <t>MMT/IMPS/903520465921/C305 Feb2019/RTABOWA - /HDFC</t>
  </si>
  <si>
    <t>ATM/SACWG608/CASH WDL/05-02-19</t>
  </si>
  <si>
    <t>CMS/000495673017/TS-IC__40491237376</t>
  </si>
  <si>
    <t>CMS/ CMS1033946078/ICICI PRUDENTIAL MUTUAL FUND</t>
  </si>
  <si>
    <t>CMS/ CMS1039105517/L AND T FUND</t>
  </si>
  <si>
    <t>IPL/P-ICIC-PEDWRG-14001004/20190221135841</t>
  </si>
  <si>
    <t>NEFT-CITIN19929313859-NOVARTIS HEALTHCARE PVT LTD-</t>
  </si>
  <si>
    <t>CMS/000500038266/BF-IC__40491262475</t>
  </si>
  <si>
    <t>ATM/SACWG608/CASH WDL/04-03-19</t>
  </si>
  <si>
    <t>MMT/IMPS/906317315493/C305 March2019/RTABOWA - /HD</t>
  </si>
  <si>
    <t>IRM/EUR352.7@77.35GST49/INREM/20190307113340</t>
  </si>
  <si>
    <t>CMS/000504866715/TS-IC__40491237376</t>
  </si>
  <si>
    <t>CMS/ CMS1065342162/ICICI PRUDENTIAL MUTUAL FUND</t>
  </si>
  <si>
    <t>INF/INFT/000045249399/other account/Self</t>
  </si>
  <si>
    <t>IPL/P-Kota-K35-14041901/20190318142505</t>
  </si>
  <si>
    <t>ATM/SACWG608/CASH WDL/22-03-19</t>
  </si>
  <si>
    <t>CMS/000509320710/BF-IC__40491262475</t>
  </si>
  <si>
    <t>NEFT-CITIN19945579642-NOVARTIS HEALTHCARE PVT LTD-</t>
  </si>
  <si>
    <t>000401043279:Int.Pd:31-12-2018 to 30-03-2019</t>
  </si>
  <si>
    <t>MMT/IMPS/909307817786/C305 April2019/RTABOWA - /HDFC0000968</t>
  </si>
  <si>
    <t>CMS/ DIVIDEND - RELIANCE MF/RELIANCE CAPITAL ASSE</t>
  </si>
  <si>
    <t>CMS/ CMS1096513164/ICICI PRUDENTIAL MUTUAL FUND</t>
  </si>
  <si>
    <t>CMS/000514568188/TS-IC__40491237376</t>
  </si>
  <si>
    <t>BIL/ONL/001683411175/GHMC/769807176/Hyd property ta</t>
  </si>
  <si>
    <t>NEFT-CITIN19961344181-NOVARTIS HEALTHCARE PVT LTD-SALARY FOR THE MONTH OF 2019APR-0009877045-CITI01</t>
  </si>
  <si>
    <t>MMT/IMPS/911615007225/LIC try/LIC OF IND/CORP0000221</t>
  </si>
  <si>
    <t>CMS/000517742180/BF-IC__40491262475</t>
  </si>
  <si>
    <t>TRF TO FD no. 000413239370</t>
  </si>
  <si>
    <t>INF/INFT/000045776001/Back to main/Self</t>
  </si>
  <si>
    <t>Trf to PPF 000418155193</t>
  </si>
  <si>
    <t>MMT/IMPS/912308569065/C305 May2019/RTABOWA - /HDFC0000968</t>
  </si>
  <si>
    <t>CMS/ CMS1118935111/ICICI PRUDENTIAL MUTUAL FUND</t>
  </si>
  <si>
    <t>CMS/000522227015/TS-IC__40491237376</t>
  </si>
  <si>
    <t>CMS/ MF - RED  - 11- 11236867/ICICI PRUDENTIAL MU</t>
  </si>
  <si>
    <t>BIL/NEFT/001708914294/LICnewPolicy/LIC OF IND/CORP0000221</t>
  </si>
  <si>
    <t>BIL/ONL/001708916499/Life Insur/LIC_QICI7543807/LICOldJvanAnand</t>
  </si>
  <si>
    <t>NEFT-CITIN19975803550-NOVARTIS HEALTHCARE PVT LTD-SALARY FOR THE MONTH OF 2019MAY-0009877045-CITI01</t>
  </si>
  <si>
    <t>CMS/000525703570/BF-IC__40491262475</t>
  </si>
  <si>
    <t>INF/INFT/000046043466/Back to main/Self</t>
  </si>
  <si>
    <t>MMT/IMPS/915321348438/C305 June2019/RTABOWA - /HDFC0000968</t>
  </si>
  <si>
    <t>CMS/ CMS1143552611/ICICI PRUDENTIAL MUTUAL FUND</t>
  </si>
  <si>
    <t>CMS/000530297524/TS-IC__40491237376</t>
  </si>
  <si>
    <t>CLG/TATA TELESERVICES/581377/HDF/20.05.2019</t>
  </si>
  <si>
    <t>ATM/SACWH988/CASH WDL/18-06-19</t>
  </si>
  <si>
    <t>MMT/IMPS/917110212590/Account validat/Computer A/HONGKONG AND SH</t>
  </si>
  <si>
    <t>NEFT-IBKL190621291459-UTD HST GENERAL FUND-NEFT-0694104000134705-IBKL0NEFT01</t>
  </si>
  <si>
    <t>RTGS-HDFCR52019062483786175-TMF REDEMPTION POOL-00600350019201-HDFC0000240</t>
  </si>
  <si>
    <t>NEFT-CITIN19991725106-NOVARTIS HEALTHCARE PVT LTD-SALARY FOR THE MONTH OF 2019JUN-0009877045-CITI01</t>
  </si>
  <si>
    <t>CMS/000534846433/BF-IC__40491262475</t>
  </si>
  <si>
    <t>CMS/000534879046/ICICIPRULIFEINS__21131016</t>
  </si>
  <si>
    <t>000401043279:Int.Pd:31-03-2019 to 28-06-2019</t>
  </si>
  <si>
    <t>MMT/IMPS/918308350511/C305 July2019/RTABOWA - /HDFC0000968</t>
  </si>
  <si>
    <t>CMS/ CMS1167095781/ICICI PRUDENTIAL MUTUAL FUND</t>
  </si>
  <si>
    <t>CMS/000539276099/TS-IC__40491237376</t>
  </si>
  <si>
    <t>ATM/SACWH988/CASH WDL/11-07-19</t>
  </si>
  <si>
    <t>MMT/IMPS/919510087680/2018-19eTaxMent/SUNRAYS BI/UTIB0000008</t>
  </si>
  <si>
    <t>CMS/000542066467/ICICIPRULIFEINS__24511656</t>
  </si>
  <si>
    <t>MMT/IMPS/920320268748/VinayTax18-19/SUNRAYS BI/UTIB0000008</t>
  </si>
  <si>
    <t>NEFT-CITIN19006991585-NOVARTIS HEALTHCARE PVT LTD-SALARY FOR THE MONTH OF 2019JUL-0009877045-CITI01</t>
  </si>
  <si>
    <t>CMS/000543227016/BF-IC__40491262475</t>
  </si>
  <si>
    <t>BIL/DTAX/001763662847/DTAX/CH No639034030071955889</t>
  </si>
  <si>
    <t>MMT/IMPS/921717389176/C305 August2019/RTABOWA - /HDFC0000968</t>
  </si>
  <si>
    <t>MMT/IMPS/921717393950/VinayMahajanPhD/ITD-HST-GE/IBKL0000694</t>
  </si>
  <si>
    <t>CMS/ CMS1199579767/ICICI PRUDENTIAL MUTUAL FUND</t>
  </si>
  <si>
    <t>CMS/000548734557/TS-IC__40491237376</t>
  </si>
  <si>
    <t>NEFT-CITIN19021245138-NOVARTIS HEALTHCARE PVT LTD-SALARY FOR THE MONTH OF 2019AUG-0009877045-CITI01</t>
  </si>
  <si>
    <t>CMS/000552601985/BF-IC__40491262475</t>
  </si>
  <si>
    <t>RwdFee/204198425201/130719+GST</t>
  </si>
  <si>
    <t>MMT/IMPS/924709850944/C305 Sept2019/RTABOWA - /HDFC0000968</t>
  </si>
  <si>
    <t>CMS/ CMS1230458904/ICICI PRUDENTIAL MUTUAL FUND</t>
  </si>
  <si>
    <t>CMS/000558024857/TS-IC__40491237376</t>
  </si>
  <si>
    <t>NEFT-CITIN19036688376-NOVARTIS HEALTHCARE PVT LTD-SALARY FOR THE MONTH OF 2019SEP-0009877045-CITI01</t>
  </si>
  <si>
    <t>000401043279:Int.Pd:29-06-2019 to 29-09-2019</t>
  </si>
  <si>
    <t>NEFT-N273190938989017-TMF REDEMPTION POOL-TATA MF - 4251718-00600350019201-HDFC0000240</t>
  </si>
  <si>
    <t>CMS/000563323841/BF-IC__40491262475</t>
  </si>
  <si>
    <t>RTGS-HDFCR52019100197846420-RELIANCE EQUITY HYBR-00600350020165-HDFC0000240</t>
  </si>
  <si>
    <t>BIL/NEFT/001813753629/C305 Oct2019/RTABOWA - /HDFC0000968</t>
  </si>
  <si>
    <t>CMS/ CMS1260369757/ICICI PRUDENTIAL MUTUAL FUND</t>
  </si>
  <si>
    <t>ATM/SACWG608/CASH WDL/09-10-19</t>
  </si>
  <si>
    <t>CMS/000567482557/TS-IC__40491237376</t>
  </si>
  <si>
    <t>ATM/SACWH988/CASH WDL/18-10-19</t>
  </si>
  <si>
    <t>NEFT-CITIN19051935896-NOVARTIS HEALTHCARE PVT LTD-SALARY FOR THE MONTH OF 2019OCT-0009877045-CITI01</t>
  </si>
  <si>
    <t>CMS/000572288386/BF-IC__40491262475</t>
  </si>
  <si>
    <t>MMT/IMPS/930713945874/C305 Nov2019/RTABOWA - /HDFC0000968</t>
  </si>
  <si>
    <t>CMS/ CMS1292395563/ICICI PRUDENTIAL MUTUAL FUND</t>
  </si>
  <si>
    <t>CMS/000577738550/TS-IC__40491237376</t>
  </si>
  <si>
    <t>NEFT-CITIN19066575874-NOVARTIS HEALTHCARE PRIVATELIMITED-SALARY FOR THE MONTH OF 2019NOV-000987704</t>
  </si>
  <si>
    <t>CMS/000582762330/BF-IC__40491262475</t>
  </si>
  <si>
    <t>CMS/000584242769/ICICIPRULIFEINS__20477630</t>
  </si>
  <si>
    <t>MMT/IMPS/933607414116/C305 Dec2019/RTABOWA - /HDFC0000968</t>
  </si>
  <si>
    <t>CMS/ CMS1322275741/ICICI PRUDENTIAL MUTUAL FUND</t>
  </si>
  <si>
    <t>CMS/000588586655/TS-IC__40491237376</t>
  </si>
  <si>
    <t>BIL/BPAY/001874498531/BuyFasTag/11997905</t>
  </si>
  <si>
    <t>NEFT-CITIN19082537410-NOVARTIS HEALTHCARE PRIVATELIMITED-SALARY FOR THE MONTH OF 2019DEC-000987704</t>
  </si>
  <si>
    <t>MMT/IMPS/936113542497/UXuzKsLwgXk7k1M/CAMS      /HONGKONG AND SH</t>
  </si>
  <si>
    <t>CMS/000594619728/BF-IC__40491262475</t>
  </si>
  <si>
    <t>000401043279:Int.Pd:30-09-2019 to 30-12-2019</t>
  </si>
  <si>
    <t>BIL/NEFT/001886040339/C305 Jan2020/RTABOWA - /HDFC0000968</t>
  </si>
  <si>
    <t>CMS/ CMS1353678105/ICICI PRUDENTIAL MUTUAL FUND</t>
  </si>
  <si>
    <t>CMS/000600801708/TS-IC__40491237376</t>
  </si>
  <si>
    <t>CMS/000602940273/ICICIPRULIFEINS__32141601</t>
  </si>
  <si>
    <t>IRM/EUR62.24@77.07GST45/INREM/20200123140546</t>
  </si>
  <si>
    <t>BIL/NEFT/001902702139/1st VyomEndow/LIFE INSUR/CORP0000221</t>
  </si>
  <si>
    <t>NEFT-CITIN20012227520-NOVARTIS HEALTHCARE PRIVATELIMITED-SALARY FOR THE MONTH OF 2020JAN-000987704</t>
  </si>
  <si>
    <t>CMS/000606277506/BF-IC__40491262475</t>
  </si>
  <si>
    <t>ATM/S1CWN099/CASH WDL/29-01-20</t>
  </si>
  <si>
    <t>MMT/IMPS/003408669798/C305 Feb2020/RTABOWA - /HDFC0000968</t>
  </si>
  <si>
    <t>CMS/ CMS1388543543/ICICI PRUDENTIAL MUTUAL FUND</t>
  </si>
  <si>
    <t>CMS/000612083840/TS-IC__40491237376</t>
  </si>
  <si>
    <t>ATM/SACWH988/CASH WDL/18-02-20</t>
  </si>
  <si>
    <t>ATM/SACWH988/CASH WDL/20-02-20</t>
  </si>
  <si>
    <t>NFS/S1ANWB27/CASH WDL/21-02-20</t>
  </si>
  <si>
    <t>NFS/08022001/CASH WDL/21-02-20</t>
  </si>
  <si>
    <t>NEFT-CITIN20030666602-NOVARTIS HEALTHCARE PRIVATELIMITED-SALARY FOR THE MONTH OF 2020FEB-000987704</t>
  </si>
  <si>
    <t>CMS/000618794417/BF-IC__40491262475</t>
  </si>
  <si>
    <t>MMT/IMPS/005907535048/TransferToHDFC/Vinay Nara/HDFC0000652</t>
  </si>
  <si>
    <t>MMT/IMPS/006209322076/C305 March2020/RTABOWA - /HDFC0000968</t>
  </si>
  <si>
    <t>ATM/SACWH988/CASH WDL/04-03-20</t>
  </si>
  <si>
    <t>CMS/ CMS1424165257/ICICI PRUDENTIAL MUTUAL FUND</t>
  </si>
  <si>
    <t>IRM/EUR484.72@82.32GST7/INREM/20200309115510</t>
  </si>
  <si>
    <t>CMS/000624932332/TS-IC__40491237376</t>
  </si>
  <si>
    <t>BIL/ONL/001946804371/FASTAG/VO0000000177686/TollRch Mar2020</t>
  </si>
  <si>
    <t>BIL/ONL/001946805282/FASTAG/VO0000000177687/TollRchgMar2020</t>
  </si>
  <si>
    <t>BIL/NEFT/001947154009/Vyom grade 7-8/MKR EDUCAT/UTIB0000030</t>
  </si>
  <si>
    <t>NEFT-CITIN20042929260-NOVARTIS HEALTHCARE PRIVATELIMITED-3100014425-0009877096-CITI0100000</t>
  </si>
  <si>
    <t>IPL/S-ICIC-PAMP-14846599/20200318050454</t>
  </si>
  <si>
    <t>MMT/IMPS/007913034274/22003200092019D/TATA UNIST/HONGKONG AND SH</t>
  </si>
  <si>
    <t>NEFT-CITIN20047924659-NOVARTIS HEALTHCARE PRIVATELIMITED-SALARY FOR THE MONTH OF 2020MAR-000987704</t>
  </si>
  <si>
    <t>UPI/008913119926/Test transfer/varshanbhag@oki/ICICI Bank/</t>
  </si>
  <si>
    <t>000401043279:Int.Pd:31-12-2019 to 29-03-2020</t>
  </si>
  <si>
    <t>CMS/000630753948/BF-IC__40491262475</t>
  </si>
  <si>
    <t>MMT/IMPS/009311813970/C305 April2020/RTABOWA - /HDFC0000968</t>
  </si>
  <si>
    <t>To PPF 000418155193_SR659038962</t>
  </si>
  <si>
    <t>UPI/009608120897/Fruits/balaswamybandag/Andhra Bank/</t>
  </si>
  <si>
    <t>UPI/009816147575/UPI/shivashanker056/Oriental Bank o/</t>
  </si>
  <si>
    <t>UPI/009816988757/Rewarded for pa/goog-payment@ok/Axis Bank Ltd.</t>
  </si>
  <si>
    <t>UPI/009814992660/Rewarded for pa/goog-payment@ok/Axis Bank Ltd.</t>
  </si>
  <si>
    <t>CMS/000635014407/TS-IC__40491237376</t>
  </si>
  <si>
    <t>UPI/010110121070/Vegetables/8106657658@upi/ICICI Bank/</t>
  </si>
  <si>
    <t>UPI/010308301330/Fruits/balaswamybandag/Andhra Bank/</t>
  </si>
  <si>
    <t>UPI/010308112968/Rewarded for pa/goog-payment@ok/Axis Bank Ltd.</t>
  </si>
  <si>
    <t>UPI/010814407887/Mangoes/pavankolavennu8/Paytm Payments/</t>
  </si>
  <si>
    <t>UPI/010814493470/Rewarded for pa/goog-payment@ok/Axis Bank Ltd.</t>
  </si>
  <si>
    <t>IPL/S-ICIC-PAMP-14921588/20200418050432</t>
  </si>
  <si>
    <t>UPI/011309177421/Vegetables/8106657658@upi/ICICI Bank/</t>
  </si>
  <si>
    <t>UPI/011518285063/UPI/euronetgpay@ici/ICICI Bank</t>
  </si>
  <si>
    <t>UPI/011617076290/Test/varshanbhag@oki/ICICI Bank</t>
  </si>
  <si>
    <t>UPI/011617297013/Rewarded for pa/goog-payment@ok/Axis Bank Ltd.</t>
  </si>
  <si>
    <t>NEFT-CITIN20060128297-NOVARTIS HEALTHCARE PRIVATELIMITED-SALARY FOR THE MONTH OF 2020APR-000987704</t>
  </si>
  <si>
    <t>UPI/011815306405/Varsha transfer/varshanbhag@oki/ICICI Bank/</t>
  </si>
  <si>
    <t>CMS/000637917664/BF-IC__40491262475</t>
  </si>
  <si>
    <t>UPI/011908356297/Varsha HDFC/varshanbhag@okh/HDFCBANK LTD/</t>
  </si>
  <si>
    <t>UPI/011908388116/Varsha HDFC 2/varshanbhag@okh/HDFC BANK LTD/</t>
  </si>
  <si>
    <t>UPI/011908389876/Varsha HDFC 3/varshanbhag@okh/HDFC BANK LTD/</t>
  </si>
  <si>
    <t>BIL/ONL/001975703830/Life Insur/LIC_SICI8749951/LIC pay Apr2020</t>
  </si>
  <si>
    <t>UPI/012109395990/Ayyappa/ayyappaundru@ok/Axis Bank Ltd./</t>
  </si>
  <si>
    <t>UPI/012109443371/Vegetables/8106657658@upi/ICICI Bank/</t>
  </si>
  <si>
    <t>UPI/012211473016/Smart/mohdmansoor1366/Axis Bank Ltd./</t>
  </si>
  <si>
    <t>UPI/012407121423/Mangoes/balaswamybandag/Andhra Bank/</t>
  </si>
  <si>
    <t>UPI/012407197739/Ramky c305 milk/shivashanker056/Oriental Bank o/</t>
  </si>
  <si>
    <t>MMT/IMPS/012510394298/C305 May2020/RTABOWA - /HDFC0000968</t>
  </si>
  <si>
    <t>UPI/012620472422/UPI/billdesk.airtel/ICICI Bank</t>
  </si>
  <si>
    <t>UPI/012620474961/UPI/billdesk.airtel/ICICI Bank</t>
  </si>
  <si>
    <t>UPI/012620479992/UPI/billdesk.airtel/ICICI Bank</t>
  </si>
  <si>
    <t>UPI/012620067160/Rewarded for do/goog-payment@ok/Axis Bank Ltd.</t>
  </si>
  <si>
    <t>UPI/012702777033/Rewarded for do/goog-payment@ok/Axis Bank Ltd.</t>
  </si>
  <si>
    <t>UPI/012809404900/UPI/mallayssh@okhdf/HDFC BANK LTD</t>
  </si>
  <si>
    <t>UPI/012809745769/Rewarded for pa/goog-payment@ok/Axis Bank Ltd.</t>
  </si>
  <si>
    <t>UPI/012814030465/Mangoes/babuveera123@ok/State Bank Of I/</t>
  </si>
  <si>
    <t>UPI/013009295463/Vegetables/8106657658@upi/ICICI Bank/</t>
  </si>
  <si>
    <t>UPI/013010311237/Breads/ayyappaundru@ok/Axis BankLtd./</t>
  </si>
  <si>
    <t>UPI/013107003730/Mangoes/balaswamybandag/Andhra Bank/</t>
  </si>
  <si>
    <t>CMS/000642577556/TS-IC__40491237376</t>
  </si>
  <si>
    <t>UPI/013807145015/Mangoes/balaswamybandag/Andhra Bank/</t>
  </si>
  <si>
    <t>UPI/013807022266/Rewarded for pa/goog-payment@ok/Axis Bank Ltd.</t>
  </si>
  <si>
    <t>IPL/S-ICIC-PAMP-15001697/20200518050301</t>
  </si>
  <si>
    <t>UPI/013915410840/Pay To SWEET SH/bharatpe0989318/Yes Bank Ltd/</t>
  </si>
  <si>
    <t>UPI/014213189771/C305 car wash/rahulfilms28-1@/State Bank Of I/</t>
  </si>
  <si>
    <t>UPI/014213631491/Rewarded for pa/goog-payment@ok/Axis Bank Ltd.</t>
  </si>
  <si>
    <t>UPI/014309236642/Vegetables/8106657658@upi/ICICI Bank/</t>
  </si>
  <si>
    <t>UPI/014507138563/Fruits mangoes/balaswamybandag/Andhra Bank/</t>
  </si>
  <si>
    <t>UPI/014508228330/Fruits/jeetendra@okici/HDFC BANKLTD</t>
  </si>
  <si>
    <t>UPI/014508239438/UPI/billdesk.airtel/ICICI Bank</t>
  </si>
  <si>
    <t>UPI/014709008108/Vegetables/8106657658@upi/ICICI Bank/</t>
  </si>
  <si>
    <t>NEFT-CITIN20072131418-NOVARTIS HEALTHCARE PRIVATELIMITED-SALARY FOR THE MONTH OF 2020MAY-000987704</t>
  </si>
  <si>
    <t>UPI/014715264935/June part01/varshanbhag@okh/HDFCBANK LTD/</t>
  </si>
  <si>
    <t>UPI/014715267148/June part02/varshanbhag@okh/HDFCBANK LTD/</t>
  </si>
  <si>
    <t>UPI/014715268603/June part03/varshanbhag@okh/HDFCBANK LTD/</t>
  </si>
  <si>
    <t>UPI/014814095175/Varsha June par/varshanbhag@okh/HDFC BANK LTD/</t>
  </si>
  <si>
    <t>CMS/000647298252/BF-IC__40491262475</t>
  </si>
  <si>
    <t>UPI/014909466482/Manikanta store/ayyappaundru@ok/Axis Bank Ltd./</t>
  </si>
  <si>
    <t>BIL/ONL/001995497897/Life Insur/LIC_SICI8840943/LIC policies</t>
  </si>
  <si>
    <t>UPI/015207242203/Fruits/balaswamybandag/Andhra Bank/</t>
  </si>
  <si>
    <t>UPI/015207964128/Rewarded for pa/goog-payment@ok/Axis Bank Ltd.</t>
  </si>
  <si>
    <t>UPI/015209240032/Bread and chees/ayyappaundru@ok/Axis Bank Ltd./</t>
  </si>
  <si>
    <t>UPI/015309131312/Vegetables/8106657658@upi/ICICI Bank/</t>
  </si>
  <si>
    <t>MMT/IMPS/015422863947/C305 June2020/RTABOWA - /HDFC0000968</t>
  </si>
  <si>
    <t>UPI/015611475974/UPI/rahulfilms28-1@/State Bank Of I/</t>
  </si>
  <si>
    <t>UPI/015611004665/Vegetables/8106657658@upi/ICICI Bank/</t>
  </si>
  <si>
    <t>UPI/015617365112/Rewarded for pa/goog-payment@ok/Axis Bank Ltd.</t>
  </si>
  <si>
    <t>UPI/015907202599/Fruits/balaswamybandag/Andhra Bank/</t>
  </si>
  <si>
    <t>UPI/015908477497/Rewarded for pa/goog-payment@ok/Axis Bank Ltd.</t>
  </si>
  <si>
    <t>IPL/S-Mira-117IORG-15052550/20200608050428</t>
  </si>
  <si>
    <t>UPI/016021474599/UPI/shivashanker056/Oriental Bank o/</t>
  </si>
  <si>
    <t>CMS/000652744026/TS-IC__40491237376</t>
  </si>
  <si>
    <t>RTGS-HDFCR52020061183320030-KMMF REDEMPTIONS-00600350001142-HDFC0000240</t>
  </si>
  <si>
    <t>CMS/ MF   RED    3131  12078800/ICICI PRUDENTIAL</t>
  </si>
  <si>
    <t>UPI/016516181848/Medicines/muralikrishanna/Kotak Mahindra/</t>
  </si>
  <si>
    <t>UPI/016607474109/Sunday fruits/balaswamybandag/Andhra Bank/</t>
  </si>
  <si>
    <t>IPL/S-ICIC-PAMP-15079871/20200618040334</t>
  </si>
  <si>
    <t>UPI/017008077392/Vegetables/8106657658@upi/ICICI Bank/</t>
  </si>
  <si>
    <t>UPI/017108122658/Vegetables/8106657658@upi/ICICI Bank/</t>
  </si>
  <si>
    <t>UPI/017307338102/Fruits/balaswamybandag/Andhra Bank/</t>
  </si>
  <si>
    <t>UPI/017314177705/Washing machine/jammulmallesh@o/State Bank Of I/</t>
  </si>
  <si>
    <t>UPI/017414373665/Bread/ayyappaundru@ok/Axis Bank Ltd./</t>
  </si>
  <si>
    <t>BIL/ONL/002014384259/Airtel Pay/wwwairtelinbank/Airte bill</t>
  </si>
  <si>
    <t>NEFT-CITIN20087195033-NOVARTIS HEALTHCARE PRIVATELIMITED-SALARY FOR THE MONTH OF 2020JUN-000987704</t>
  </si>
  <si>
    <t>UPI/017816270213/Varsha part01/varshanbhag@okh/HDFC BANK LTD/</t>
  </si>
  <si>
    <t>UPI/017816272891/Varsha part02/varshanbhag@okh/HDFC BANK LTD/</t>
  </si>
  <si>
    <t>UPI/017816275556/Varsha part03/varshanbhag@okh/HDFC BANK LTD/</t>
  </si>
  <si>
    <t>UPI/017816278036/Varsha part04/varshanbhag@okh/HDFC BANK LTD/</t>
  </si>
  <si>
    <t>000401043279:Int.Pd:30-03-2020 to 28-06-2020</t>
  </si>
  <si>
    <t>CMS/000658099656/BF-IC__40491262475</t>
  </si>
  <si>
    <t>UPI/018108264893/Vegetables/8106657658@upi/ICICI Bank/</t>
  </si>
  <si>
    <t>CMS/000658504985/ICICIPRULIFEINS__21131016</t>
  </si>
  <si>
    <t>UPI/018417305623/UPI/rahulfilms28-1@/State Bank Of I/</t>
  </si>
  <si>
    <t>INF/INFT/000049683089/Zerodha/Self</t>
  </si>
  <si>
    <t>MMT/IMPS/018513396031/July2020 C305/RTABOWA - /HDFC0000968</t>
  </si>
  <si>
    <t>UPI/018712016572/Vegetables/paytmqr28100505/PaytmPayments/</t>
  </si>
  <si>
    <t>UPI/018712089225/Vegetables/ashokreddy.6964/StateBank Of I/</t>
  </si>
  <si>
    <t>IPL/S-Mira-117IORG-15133542/20200708040231</t>
  </si>
  <si>
    <t>UPI/019017440406/Maruti IGNis se/kvsnkumar057@ok/State Bank Of I/</t>
  </si>
  <si>
    <t>UPI/019017737092/Rewarded for pa/goog-payment@ok/Axis Bank Ltd.</t>
  </si>
  <si>
    <t>RTGS-HDFCR52020070987420976-NIPPON INDIA DUAL AD-00600350084396-HDFC0000240</t>
  </si>
  <si>
    <t>CMS/000664151171/TS-IC__40491237376</t>
  </si>
  <si>
    <t>UPI/019313156234/Tradex payment/chandu.bhupathi/ICICI Bank/</t>
  </si>
  <si>
    <t>UPI/019314218137/Whirlpool wire/jammulmallesh@o/State Bank Of I/</t>
  </si>
  <si>
    <t>UPI/019407084982/Fruits/balaswamybandag/Andhra Bank/</t>
  </si>
  <si>
    <t>IPL/S-ICIC-PAMP-15161075/20200718040337</t>
  </si>
  <si>
    <t>UPI/020009238932/Vegetables/8106657658@upi/ICICI Bank/</t>
  </si>
  <si>
    <t>UPI/020108223099/Fruits/balaswamybandag/Andhra Bank/</t>
  </si>
  <si>
    <t>UPI/020111475668/Vegetables/ashokreddy.6964/StateBank Of I/</t>
  </si>
  <si>
    <t>CMS/000667800762/ICICIPRULIFEINS__24511656</t>
  </si>
  <si>
    <t>NEFT-CITIN20102750463-NOVARTIS HEALTHCARE PRIVATELIMITED-SALARY FOR THE MONTH OF 2020JUL-000987704</t>
  </si>
  <si>
    <t>UPI/020616478576/Part 1/varshanbhag@okh/HDFC BANKLTD/</t>
  </si>
  <si>
    <t>UPI/020616481663/Part 2/varshanbhag@okh/HDFC BANKLTD/</t>
  </si>
  <si>
    <t>UPI/020616483983/Part 3/varshanbhag@okh/HDFC BANKLTD/</t>
  </si>
  <si>
    <t>UPI/020616486605/Part 4/varshanbhag@okh/HDFC BANKLTD/</t>
  </si>
  <si>
    <t>UPI/020808099561/Fruits/balaswamybandag/Andhra Bank/</t>
  </si>
  <si>
    <t>CMS/000669387406/BF-IC__40491262475</t>
  </si>
  <si>
    <t>UPI/021009443403/Vegetables/8106657658@upi/ICICI Bank/</t>
  </si>
  <si>
    <t>UPI/021508211333/Fruits/balaswamybandag/Andhra Bank/</t>
  </si>
  <si>
    <t>UPI/021512182183/Vegetables/ashokreddy.6964/StateBank Of I/</t>
  </si>
  <si>
    <t>MMT/IMPS/021711014512/C305 Aug2020/RTABOWA - /HDFC0000968</t>
  </si>
  <si>
    <t>IPL/S-Mira-117IORG-15230685/20200808070351</t>
  </si>
  <si>
    <t>UPI/022208390983/Fruits/balaswamybandag/Andhra Bank/</t>
  </si>
  <si>
    <t>UPI/022212361697/Vegetables/ashokreddy.6964/StateBank Of I/</t>
  </si>
  <si>
    <t>UPI/022212376134/Vegetables/gaddamlaxmanred/StateBank Of I/</t>
  </si>
  <si>
    <t>UPI/RVSL022212376134/Vegetables/gaddamlaxmanred/State Bank Of I</t>
  </si>
  <si>
    <t>UPI/022310261533/Vegetables/8106657658@upi/ICICI Bank/</t>
  </si>
  <si>
    <t>CMS/000675234654/TS-IC__40491237376</t>
  </si>
  <si>
    <t>UPI/022406020903/Milk c305 July2/shivashanker056/Oriental Bank o/</t>
  </si>
  <si>
    <t>UPI/022407321310/Rewarded for pa/goog-payment@ok/Axis Bank Ltd.</t>
  </si>
  <si>
    <t>UPI/022408022757/Coconuts/8106657658@upi/ICICI Bank/</t>
  </si>
  <si>
    <t>UPI/022420351719/UPI/rahulfilms28@ok/Kotak Mahindra/</t>
  </si>
  <si>
    <t>RTGS-HDFCR52020081292204827-UTIMUTUALFUND-00600350037895-HDFC0000240</t>
  </si>
  <si>
    <t>UPI/022811129281/Maida/ayyappaundru@ok/Axis Bank Ltd./</t>
  </si>
  <si>
    <t>UPI/022910343275/Fruits/balaswamybandag/Andhra Bank/</t>
  </si>
  <si>
    <t>UPI/023010410410/Banana/8106657658@upi/ICICI Bank</t>
  </si>
  <si>
    <t>UPI/023010444894/Milk/ayyappaundru@ok/Axis Bank Ltd./</t>
  </si>
  <si>
    <t>UPI/023010456760/Milk/ayyappaundru@ok/Axis Bank Ltd./</t>
  </si>
  <si>
    <t>UPI/023016375337/Vegetables/ashokreddy.6964/StateBank Of I/</t>
  </si>
  <si>
    <t>UPI/023022325472/Rewarded for pa/goog-payment@ok/Axis Bank Ltd.</t>
  </si>
  <si>
    <t>CMS/ CMS1584544933/ICICI PRUDENTIAL MUTUAL FUND</t>
  </si>
  <si>
    <t>UPI/023409159627/Vegetables/8106657658@upi/ICICI Bank/</t>
  </si>
  <si>
    <t>UPI/023608150746/Fruits/balaswamybandag/Andhra Bank/</t>
  </si>
  <si>
    <t>MMT/IMPS/023716608007/IncomeTax19-20/SUNRAYS BI/UTIB0000008</t>
  </si>
  <si>
    <t>INF/INFT/20200826082212/Zerodha transfe/Self</t>
  </si>
  <si>
    <t>NEFT-CITIN20119190284-NOVARTIS HEALTHCARE PRIVATELIMITED-SALARY FOR THE MONTH OF 2020AUG-000987704</t>
  </si>
  <si>
    <t>UPI/023918182608/Part 1/varshanbhag@okh/HDFC BANKLTD/</t>
  </si>
  <si>
    <t>UPI/023918186830/Part 2/varshanbhag@okh/HDFC BANKLTD/</t>
  </si>
  <si>
    <t>UPI/023918190854/Part 3/varshanbhag@okh/HDFC BANKLTD/</t>
  </si>
  <si>
    <t>UPI/023918196685/Part 4/varshanbhag@okh/HDFC BANKLTD/</t>
  </si>
  <si>
    <t>CMS/000680660879/BF-IC__40491262475</t>
  </si>
  <si>
    <t>IPL/P-Axis-XS50-15290751/20200828124053</t>
  </si>
  <si>
    <t>UPI/024117389191/Bread/ayyappaundru@ok/Axis Bank Ltd./</t>
  </si>
  <si>
    <t>UPI/024308001189/Fruits/balaswamybandag/Andhra Bank/</t>
  </si>
  <si>
    <t>UPI/024308516592/Rewarded for pa/goog-payment@ok/Axis Bank Ltd.</t>
  </si>
  <si>
    <t>UPI/024520027600/UPI/rahulfilms28@ok/Kotak Mahindra/</t>
  </si>
  <si>
    <t>UPI/024520646643/Rewarded for pa/goog-payment@ok/Axis Bank Ltd.</t>
  </si>
  <si>
    <t>UPI/024617179983/Bread and eggs/ayyappaundru@ok/Axis Bank Ltd./</t>
  </si>
  <si>
    <t>MMT/IMPS/024719856888/C305 Sept2020/RTABOWA - /HDFC0000968</t>
  </si>
  <si>
    <t>GIB/000051655828/DTAX      /639034004092000643</t>
  </si>
  <si>
    <t>CMS/ CMS1602587738/ICICI PRUDENTIAL MUTUAL FUND</t>
  </si>
  <si>
    <t>IPL/S-Mira-117IORG-15320876/20200908040329</t>
  </si>
  <si>
    <t>UPI/025912413123/Vegetables/8106657658@upi/ICICI Bank/</t>
  </si>
  <si>
    <t>UPI/026016041494/Bread/ayyappaundru@ok/Axis Bank Ltd./</t>
  </si>
  <si>
    <t>IPL/S-ICIC-PAMP-15351966/20200918040153</t>
  </si>
  <si>
    <t>UPI/026207486863/UPI/shivashanker056/Oriental Bank o/</t>
  </si>
  <si>
    <t>UPI/026418153893/Pani puri/q84550623@ybl/Axis Bank Ltd./</t>
  </si>
  <si>
    <t>NEFT-CITIN20135882707-NOVARTIS HEALTHCARE PRIVATELIMITED-SALARY FOR THE MONTH OF 2020SEP-000987704</t>
  </si>
  <si>
    <t>UPI/026917304322/Part 1/varshanbhag@okh/HDFC BANKLTD/</t>
  </si>
  <si>
    <t>UPI/026917308795/Part 2/varshanbhag@okh/HDFC BANKLTD/</t>
  </si>
  <si>
    <t>UPI/026917312811/Part 3/varshanbhag@okh/HDFC BANKLTD/</t>
  </si>
  <si>
    <t>UPI/026917316314/Part 4/varshanbhag@okh/HDFC BANKLTD/</t>
  </si>
  <si>
    <t>UPI/026923560993/Rewarded for pa/goog-payment@ok/Axis Bank Ltd.</t>
  </si>
  <si>
    <t>CMS/000692139760/BF-IC__40491262475</t>
  </si>
  <si>
    <t>000401043279:Int.Pd:29-06-2020 to 28-09-2020</t>
  </si>
  <si>
    <t>UPI/027616069767/UPI/rahulfilms28-1@/State Bank Of I/</t>
  </si>
  <si>
    <t>MMT/IMPS/027811719922/C305 Oct2020/RTABOWA - /HDFC0000968</t>
  </si>
  <si>
    <t>UPI/027812014279/Vegetables/ashokreddy.6964/StateBank Of I/</t>
  </si>
  <si>
    <t>UPI/027812076661/Vegetables/gaddamlaxmanred/StateBank Of I/</t>
  </si>
  <si>
    <t>MMT/IMPS/027815694358/Vinay Oct2020/ITD-HST-GE/IBKL0000694</t>
  </si>
  <si>
    <t>UPI/028010420529/Rewarded for pa/goog-payment@ok/Axis Bank Ltd.</t>
  </si>
  <si>
    <t>IPL/S-Mira-117IORG-15420153/20201008040249</t>
  </si>
  <si>
    <t>UPI/028516173245/Bread Maggie/ayyappaundru@ok/Axis Bank Ltd./</t>
  </si>
  <si>
    <t>UPI/028609126824/Vegetables/8106657658@upi/ICICI Bank/</t>
  </si>
  <si>
    <t>UPI/028810336878/Vegetables/8106657658@upi/ICICI Bank/</t>
  </si>
  <si>
    <t>IPL/S-ICIC-PAMP-15450666/20201018070339</t>
  </si>
  <si>
    <t>UPI/029212495070/Vegetables/ashokreddy.6964/StateBank Of I/</t>
  </si>
  <si>
    <t>UPI/029212019138/Vegetables/gaddamlaxmanred/StateBank Of I/</t>
  </si>
  <si>
    <t>UPI/029214143589/Rewarded for pa/goog-payment@ok/Axis Bank Ltd.</t>
  </si>
  <si>
    <t>UPI/029507314408/Milk ramky c305/shivashanker056/Oriental Bank o/</t>
  </si>
  <si>
    <t>UPI/029610343029/Rice flour/ayyappaundru@ok/Axis Bank Ltd./</t>
  </si>
  <si>
    <t>UPI/029610370831/Fruits/8106657658@upi/ICICI Bank</t>
  </si>
  <si>
    <t>UPI/029610937561/Rewarded for pa/goog-payment@ok/Axis Bank Ltd.</t>
  </si>
  <si>
    <t>UPI/029709480436/Milk/ayyappaundru@ok/Axis Bank Ltd./</t>
  </si>
  <si>
    <t>UPI/029811401986/Flowers/8106657658@upi/ICICI Bank</t>
  </si>
  <si>
    <t>UPI/029812453074/Ice cream/ayyappaundru@ok/Axis Bank Ltd./</t>
  </si>
  <si>
    <t>UPI/030110113564/Vegetables/8106657658@upi/ICICI Bank/</t>
  </si>
  <si>
    <t>NEFT-CITIN20153327948-NOVARTIS HEALTHCARE PRIVATELIMITED-SALARY FOR THE MONTH OF 2020OCT-000987704</t>
  </si>
  <si>
    <t>UPI/030117138367/Part 1/varshanbhag-1@o/HDFC BANKLTD/</t>
  </si>
  <si>
    <t>UPI/030117141868/Part 2/varshanbhag-1@o/HDFC BANKLTD/</t>
  </si>
  <si>
    <t>UPI/030117145298/Part 3/varshanbhag-1@o/HDFC BANKLTD/</t>
  </si>
  <si>
    <t>UPI/030119023020/For kidney dise/manojdas137@oks/State Bank Of I/</t>
  </si>
  <si>
    <t>BIL/NEFT/002107352435/Part04/VARSHA MAH/HDFC0009095</t>
  </si>
  <si>
    <t>CMS/000704153309/BF-IC__40491262475</t>
  </si>
  <si>
    <t>UPI/030510434223/Vegetables/8106657658@upi/ICICI Bank/</t>
  </si>
  <si>
    <t>UPI/030615242936/Soft drinks/ayyappaundru@ok/AxisBank Ltd./</t>
  </si>
  <si>
    <t>MMT/IMPS/030809206564/C305 Nov2020/RTABOWA - /HDFC0000968</t>
  </si>
  <si>
    <t>UPI/030810193192/Vegetables/8106657658@upi/ICICI Bank/</t>
  </si>
  <si>
    <t>INF/INFT/000050483397/Zerodha related/Self</t>
  </si>
  <si>
    <t>UPI/030818479254/Sabudana/ayyappaundru@ok/Axis Bank Ltd./</t>
  </si>
  <si>
    <t>UPI/031009093827/Vegetables/8106657658@upi/ICICI Bank/</t>
  </si>
  <si>
    <t>IPL/S-Mira-117IORG-15514505/20201108040341</t>
  </si>
  <si>
    <t>UPI/031311432960/Ramky C305 oct2/rahulfilms28-1@/State Bank Of I/</t>
  </si>
  <si>
    <t>UPI/031609097492/Vegetables/8106657658@upi/ICICI Bank/</t>
  </si>
  <si>
    <t>UPI/031909240373/Vegetables/8106657658@upi/ICICI Bank/</t>
  </si>
  <si>
    <t>UPI/031913289939/Vinay Mahajan f/subhagghosh@kot/Kotak Mahindra/</t>
  </si>
  <si>
    <t>UPI/031916120995/Pani puri/q37736924@ybl/Yes BankLtd/</t>
  </si>
  <si>
    <t>UPI/032209095579/Vegetables/8106657658@upi/ICICI Bank/</t>
  </si>
  <si>
    <t>CMS/ MF   RED    62  9873731/ICICI PRUDENTIAL MUT</t>
  </si>
  <si>
    <t>CMS/ MF   RED    3191  12522681/ICICI PRUDENTIAL</t>
  </si>
  <si>
    <t>IPL/S-ICIC-PAMP-15550388/20201118040313</t>
  </si>
  <si>
    <t>UPI/032514289325/UPI/shivashanker056/Oriental Bank o/</t>
  </si>
  <si>
    <t>NEFT-CITIN20169598284-NOVARTIS HEALTHCARE PRIVATELIMITED-SALARY FOR THE MONTH OF 202NOV-0009877045</t>
  </si>
  <si>
    <t>UPI/033117141284/Part 1/varshanbhag@okh/HDFC BANKLTD/</t>
  </si>
  <si>
    <t>UPI/033117145519/Part 2/varshanbhag@okh/HDFC BANKLTD/</t>
  </si>
  <si>
    <t>UPI/033117149579/Part 3/varshanbhag@okh/HDFC BANKLTD/</t>
  </si>
  <si>
    <t>UPI/033117153318/Part 4/varshanbhag@okh/HDFC BANKLTD/</t>
  </si>
  <si>
    <t>NEFT-AXISCN0062235554-NIPPON INDIA TAX SAVER  ELSS  FUND-CUST NIPPON INDIA TAX SAVER  ELSS-00401020</t>
  </si>
  <si>
    <t>NEFT-AXISCN0062235555-NIPPON INDIA TAX SAVER  ELSS  FUND-CUST NIPPON INDIA TAX SAVER  ELSS-00401020</t>
  </si>
  <si>
    <t>UPI/033218002135/coconut/8106657658@upi/ICICI Bank</t>
  </si>
  <si>
    <t>UPI/033319248580/watch repair/9866875299@okbi/Axis Bank Ltd./</t>
  </si>
  <si>
    <t>UPI/033409051339/fruits/balaswamybandag/Andhra Bank/</t>
  </si>
  <si>
    <t>UPI/033411152726/bread/ayyappaundru@ok/Axis Bank Ltd./</t>
  </si>
  <si>
    <t>UPI/033411326862/vegetables/ashokreddy.6964/StateBank Of I/</t>
  </si>
  <si>
    <t>CMS/000718264123/BF-IC__40491262475</t>
  </si>
  <si>
    <t>CMS/000718963211/ICICIPRULIFEINS__20477630</t>
  </si>
  <si>
    <t>MMT/IMPS/033722988431/C305 Dec2020/RTABOWA - /HDFC0000968</t>
  </si>
  <si>
    <t>UPI/033920335232/from Vinay Maha/karanveersinghp/Canara Bank/</t>
  </si>
  <si>
    <t>UPI/034107452028/fruits/balaswamybandag/Andhra Bank/</t>
  </si>
  <si>
    <t>IPL/S-Mira-117IORG-15624620/20201208040419</t>
  </si>
  <si>
    <t>UPI/034513314391/UPI/rahulfilms28-1@/State Bank Of I/</t>
  </si>
  <si>
    <t>UPI/034908495628/vegetables/8106657658@upi/ICICI Bank/</t>
  </si>
  <si>
    <t>UPI/034910180769/candles/ayyappaundru@ok/Axis Bank Ltd./</t>
  </si>
  <si>
    <t>UPI/035115484295/chips/ayyappaundru@ok/Axis Bank Ltd./</t>
  </si>
  <si>
    <t>IPL/S-ICIC-PAMP-15665480/20201218040307</t>
  </si>
  <si>
    <t>UPI/035319335804/bhel/ayyappaundru@ok/Axis Bank Ltd./</t>
  </si>
  <si>
    <t>UPI/035416273718/UPI/shivashanker056/Punjab National/</t>
  </si>
  <si>
    <t>UPI/035512291886/vegetables/ashokreddy.6964/StateBank Of I/</t>
  </si>
  <si>
    <t>UPI/035710225892/fruits/8106657658@upi/ICICI Bank</t>
  </si>
  <si>
    <t>NEFT-CITIN20186049092-NOVARTIS HEALTHCARE PRIVATELIMITED-SALARY FOR THE MONTH OF 2020DEC-000987704</t>
  </si>
  <si>
    <t>UPI/035915452772/part 1/varshanbhag@okh/HDFC BANKLTD/</t>
  </si>
  <si>
    <t>UPI/035915457463/part 2/varshanbhag@okh/HDFC BANKLTD/</t>
  </si>
  <si>
    <t>UPI/035915460397/part 3/varshanbhag@okh/HDFC BANKLTD/</t>
  </si>
  <si>
    <t>UPI/035915463405/part 4/varshanbhag@okh/HDFC BANKLTD/</t>
  </si>
  <si>
    <t>BIL/BPAY/000004438975/FastagRecharge/FSTGRCH</t>
  </si>
  <si>
    <t>CMS/000730812572/BF-IC__40491262475</t>
  </si>
  <si>
    <t>UPI/036409113547/vegetables/8106657658@upi/ICICI Bank/</t>
  </si>
  <si>
    <t>000401043279:Int.Pd:29-09-2020 to 29-12-2020</t>
  </si>
  <si>
    <t>CMS/ MF   RED    61  9873731/ICICI PRUDENTIAL MUT</t>
  </si>
  <si>
    <t>NEFT-AXISCN0065154062-NIPPON INDIA TAX SAVER  ELSS  FUND-CUST NIPPON INDIA TAX SAVER  ELSS-00401020</t>
  </si>
  <si>
    <t>UPI/100114205655/i/apollohospitals/HDFC BANK LTD</t>
  </si>
  <si>
    <t>UPI/100118187832/sabudana/ayyappaundru@ok/Axis Bank Ltd./</t>
  </si>
  <si>
    <t>UPI/100118235859/vegetables/8106657658@upi/ICICI Bank/</t>
  </si>
  <si>
    <t>MMT/IMPS/100411503498/C305 Jan2021/RTABOWA - /HDFC0000968</t>
  </si>
  <si>
    <t>UPI/100509355045/vegetables/8106657658@upi/ICICI Bank/</t>
  </si>
  <si>
    <t>BIL/ONL/000013777198/Life Insur/LIC_VICI9629231/LIC premium</t>
  </si>
  <si>
    <t>UPI/100708252298/UPI/rahulfilms28-1@/State Bank Of I/</t>
  </si>
  <si>
    <t>UPI/100709058444/plastic bags/ayyappaundru@ok/Axis Bank Ltd./</t>
  </si>
  <si>
    <t>UPI/100710105995/coconuts/8106657658@upi/ICICI Bank/</t>
  </si>
  <si>
    <t>IPL/S-Mira-117IORG-15751218/20210108040141</t>
  </si>
  <si>
    <t>CMS/ MF   RED    2933  9390900/ICICI PRUDENTIAL M</t>
  </si>
  <si>
    <t>UPI/100818329828/breads/ayyappaundru@ok/Axis BankLtd./</t>
  </si>
  <si>
    <t>IPL/P-ICIC-P3439-15753278/20210108194250</t>
  </si>
  <si>
    <t>CMS/000741899445/ICICIPRULIFEINS__32141601</t>
  </si>
  <si>
    <t>IPL/S-ICIC-PAMP-15794986/20210118040134</t>
  </si>
  <si>
    <t>UPI/101813062328/curd/ayyappaundru@ok/Axis Bank Ltd./</t>
  </si>
  <si>
    <t>UPI/102009076866/vegetables/8106657658@upi/ICICI Bank/</t>
  </si>
  <si>
    <t>UPI/102412148542/water/paytmqr28100505/Paytm Payments/</t>
  </si>
  <si>
    <t>UPI/102507194682/UPI/shivashanker056/Punjab National/</t>
  </si>
  <si>
    <t>NEFT-CITIN21111663330-NOVARTIS HEALTHCARE PRIVATELIMITED-SALARY FOR THE MONTH OF 2021JAN-000987704</t>
  </si>
  <si>
    <t>UPI/102515297868/part 1/varshanbhag@okh/HDFC BANKLTD/</t>
  </si>
  <si>
    <t>UPI/102515301766/part 2/varshanbhag@okh/HDFC BANKLTD/</t>
  </si>
  <si>
    <t>UPI/102515305062/part 3/varshanbhag@okh/HDFC BANKLTD/</t>
  </si>
  <si>
    <t>UPI/102710140890/fruits/8106657658@upi/ICICI Bank</t>
  </si>
  <si>
    <t>UPI/102710145041/part 4/varshanbhag@okh/HDFC BANKLTD/</t>
  </si>
  <si>
    <t>CMS/000746373674/BF-IC__40491262475</t>
  </si>
  <si>
    <t>UPI/102909093701/vegetables/8106657658@upi/ICICI Bank/</t>
  </si>
  <si>
    <t>UPI/103019334370/Hyundai service/q56758687@ybl/Yes Bank Ltd/</t>
  </si>
  <si>
    <t>UPI/103019460264/from Vinay/venkyvenkatesh2/Federal Bank/</t>
  </si>
  <si>
    <t>UPI/103313166454/UPI/rahulfilms28@ok/Kotak Mahindra/</t>
  </si>
  <si>
    <t>UPI/103409159900/vegetables/8106657658@upi/ICICI Bank/</t>
  </si>
  <si>
    <t>MMT/IMPS/103411258116/C305 Feb2021/RTABOWA - /HDFC0000968</t>
  </si>
  <si>
    <t>UPI/103511096692/hinges/narendercharyka/Bank of India/</t>
  </si>
  <si>
    <t>NEFT-AXISCN0068290550-NIPPON INDIA BANKING FUND REDEMPTI-CUST NIPPON INDIA BANKING FUND RE-00401020</t>
  </si>
  <si>
    <t>UPI/103610171064/vegetables/8106657658@upi/ICICI Bank/</t>
  </si>
  <si>
    <t>IPL/S-Mira-117IORG-15877764/20210208040219</t>
  </si>
  <si>
    <t>CMS/ HDFC MUTUAL FUND/HDFC MUTUAL FUND</t>
  </si>
  <si>
    <t>CMS/ MF   RED    EDWRG  13199991/ICICI PRUDENTIAL</t>
  </si>
  <si>
    <t>UPI/104209336219/vegetables/8106657658@upi/ICICI Bank/</t>
  </si>
  <si>
    <t>UPI/104309064987/vegetables/8106657658@upi/ICICI Bank/</t>
  </si>
  <si>
    <t>UPI/104310159651/vegetables/8106657658@upi/ICICI Bank/</t>
  </si>
  <si>
    <t>UPI/104410463068/cheese/ayyappaundru@ok/Axis BankLtd./</t>
  </si>
  <si>
    <t>UPI/104410464230/Rewarded for pa/goog-payment@ok/Axis Bank Ltd.</t>
  </si>
  <si>
    <t>UPI/104410467388/Rewarded for pa/goog-payment@ok/Axis Bank Ltd.</t>
  </si>
  <si>
    <t>UPI/104615345694/cell ignis/q81666255@ybl/IDBI Bank Limit/</t>
  </si>
  <si>
    <t>IPL/S-ICIC-PAMP-15933234/20210218040338</t>
  </si>
  <si>
    <t>UPI/104917194442/UPI/shivashanker056/Punjab National/</t>
  </si>
  <si>
    <t>UPI/104917208644/UPI/goog-payment@ok/Axis Bank Ltd.</t>
  </si>
  <si>
    <t>UPI/105309283246/vegetables/8106657658@upi/ICICI Bank/</t>
  </si>
  <si>
    <t>BIL/NEFT/000051312300/VyomHDFC/VYOM VINAY/HDFC0000652</t>
  </si>
  <si>
    <t>UPI/105709193657/vegetables/8106657658@upi/ICICI Bank/</t>
  </si>
  <si>
    <t>NEFT-CITIN21132050803-NOVARTIS HEALTHCARE PRIVATELIMITED-SALARY FOR THE MONTH OF 2021FEB-000987704</t>
  </si>
  <si>
    <t>UPI/105717377679/part 1/varshanbhag@okh/HDFC BANKLTD/</t>
  </si>
  <si>
    <t>UPI/105717381429/part 2/varshanbhag@okh/HDFC BANKLTD/</t>
  </si>
  <si>
    <t>UPI/105717385258/part 3/varshanbhag@okh/HDFC BANKLTD/</t>
  </si>
  <si>
    <t>UPI/105921277732/part 4/varshanbhag@okh/HDFC BANKLTD/</t>
  </si>
  <si>
    <t>CMS/000762530454/BF-IC__40491262475</t>
  </si>
  <si>
    <t>BIL/NEFT/000055707478/VyomHDFC/VYOM VINAY/HDFC0000652</t>
  </si>
  <si>
    <t>UPI/106111267192/UPI/rahulfilms28-1@/State Bank Of I/</t>
  </si>
  <si>
    <t>UPI/106310125053/whitening/ayyappaundru@ok/Axis Bank Ltd./</t>
  </si>
  <si>
    <t>BIL/NEFT/000059906494/C305 March2021/RTABOWA - /HDFC0000968</t>
  </si>
  <si>
    <t>CMS/ MF   RED    2991  10100097/ICICI PRUDENTIAL</t>
  </si>
  <si>
    <t>IPL/S-Mira-117IORG-16019753/20210308040151</t>
  </si>
  <si>
    <t>UPI/106810086358/vegetables/8106657658@upi/ICICI Bank/</t>
  </si>
  <si>
    <t>IRM/EUR644.64@84.72GST9/INREM/20210309153840</t>
  </si>
  <si>
    <t>TRF TO FD no. 000413346536</t>
  </si>
  <si>
    <t>UPI/107109157524/vegetables/8106657658@upi/ICICI Bank/</t>
  </si>
  <si>
    <t>UPI/107409492724/vegetables/8106657658@upi/ICICI Bank/</t>
  </si>
  <si>
    <t>UPI/107409043514/milk/shivashanker056/Punjab National/</t>
  </si>
  <si>
    <t>UPI/107511336792/taxi/durgamahto9113@/Central Bank Of/</t>
  </si>
  <si>
    <t>UPI/107511361842/taxi/durgamahto9113@/Central Bank Of/</t>
  </si>
  <si>
    <t>UPI/107517202148/apple/gpay-1118352771/Axis Bank Ltd./</t>
  </si>
  <si>
    <t>UPI/108209180617/Coin deposit 67/zerodhabroking@/HDFC BANK LTD/</t>
  </si>
  <si>
    <t>UPI/RVSL108209180617/Coin deposit 67/zerodhabroking@/HDFC BANK L</t>
  </si>
  <si>
    <t>UPI/108209194910/309201483770527/zerodha.razorpa/ICICI Bank/</t>
  </si>
  <si>
    <t>UPI/RVSL108209194910/309201483770527/zerodha.razorpa/ICICI Bank</t>
  </si>
  <si>
    <t>UPI/108210457052/UPI/shivashanker056/Punjab National/</t>
  </si>
  <si>
    <t>NEFT-CITIN21146351649-NOVARTIS HEALTHCARE PRIVATELIMITED-SALARY FOR THE MONTH OF 2021MAR-000987704</t>
  </si>
  <si>
    <t>BIL/NEFT/000076738163/HDFC transfer/VARSHA MAH/HDFC0009095</t>
  </si>
  <si>
    <t>TDS operative a/c dr for [000413050877]</t>
  </si>
  <si>
    <t>TDS operative a/c dr for [000414608496]</t>
  </si>
  <si>
    <t>000401043279:Int.Pd:30-12-2020 to 29-03-2021</t>
  </si>
  <si>
    <t>.</t>
  </si>
  <si>
    <t>3,70,186.22Cr</t>
  </si>
  <si>
    <t>GRUH FINANCE LTD</t>
  </si>
  <si>
    <t>3,56,156.22Cr</t>
  </si>
  <si>
    <t>LOK HOUSING &amp; CONST LTD</t>
  </si>
  <si>
    <t>3,44,568.22Cr</t>
  </si>
  <si>
    <t>GODREJ</t>
  </si>
  <si>
    <t>3,42,668.22Cr</t>
  </si>
  <si>
    <t>000401043279:Int.Pd:01-09-2005 to 28-02-2006</t>
  </si>
  <si>
    <t>3,43,919.22Cr</t>
  </si>
  <si>
    <t>TTML</t>
  </si>
  <si>
    <t>3,43,360.22Cr</t>
  </si>
  <si>
    <t>048032/IDBI BANK LTD.</t>
  </si>
  <si>
    <t>3,54,085.22Cr</t>
  </si>
  <si>
    <t>063223/IDBI BANK LTD.</t>
  </si>
  <si>
    <t>3,55,735.22Cr</t>
  </si>
  <si>
    <t>063275/IDBI BANK LTD.</t>
  </si>
  <si>
    <t>3,56,285.22Cr</t>
  </si>
  <si>
    <t>REIMBURSEMENT OF EXPENSES 06 0</t>
  </si>
  <si>
    <t>3,68,532.22Cr</t>
  </si>
  <si>
    <t>ATM/CASH WDL/20060310182219/0</t>
  </si>
  <si>
    <t>3,64,532.22Cr</t>
  </si>
  <si>
    <t>INT. ON ICICI BONDS 5016291914</t>
  </si>
  <si>
    <t>3,66,655.22Cr</t>
  </si>
  <si>
    <t>ATM/CASH WDL/20060318195416/0</t>
  </si>
  <si>
    <t>3,63,655.22Cr</t>
  </si>
  <si>
    <t>ATM/CASH WDL/20060324081123/0</t>
  </si>
  <si>
    <t>3,61,655.22Cr</t>
  </si>
  <si>
    <t>NET SALARY MARCH 2006</t>
  </si>
  <si>
    <t>3,97,662.22Cr</t>
  </si>
  <si>
    <t>BIRLA SUNLIFE B INDIA FUND</t>
  </si>
  <si>
    <t>3,79,662.22Cr</t>
  </si>
  <si>
    <t>SR POST MASTER DADAR HPO</t>
  </si>
  <si>
    <t>3,54,662.22Cr</t>
  </si>
  <si>
    <t>ABN AMRO FUTURE LEADER FUND</t>
  </si>
  <si>
    <t>3,29,662.22C</t>
  </si>
  <si>
    <t>3,29,662.22Cr</t>
  </si>
  <si>
    <t>3,29,043.22Cr</t>
  </si>
  <si>
    <t>GRUH FIN LTD</t>
  </si>
  <si>
    <t>3,14,498.22Cr</t>
  </si>
  <si>
    <t>ATM/CASH WDL/20060409110348/0</t>
  </si>
  <si>
    <t>3,10,498.22Cr</t>
  </si>
  <si>
    <t>BSBuyIF - Dividend</t>
  </si>
  <si>
    <t>3,15,804.82Cr</t>
  </si>
  <si>
    <t>ATM/CASH WDL/20060410210231/0</t>
  </si>
  <si>
    <t>3,05,804.82Cr</t>
  </si>
  <si>
    <t>ARAIYA ENTERPRIES</t>
  </si>
  <si>
    <t>3,03,804.82Cr</t>
  </si>
  <si>
    <t>ATM/CASH WDL/20060419080158/0</t>
  </si>
  <si>
    <t>3,00,804.82Cr</t>
  </si>
  <si>
    <t>ATM/CASH WDL/20060420080219/0</t>
  </si>
  <si>
    <t>2,97,804.82Cr</t>
  </si>
  <si>
    <t>CARLSON TRAVEL</t>
  </si>
  <si>
    <t>2,00,352.82Cr</t>
  </si>
  <si>
    <t>NET SALARY APRIL 2006</t>
  </si>
  <si>
    <t>3,01,266.82C</t>
  </si>
  <si>
    <t>3,01,266.82Cr</t>
  </si>
  <si>
    <t>2,94,935.82Cr</t>
  </si>
  <si>
    <t>ATM/CASH WDL/20060503181519/0</t>
  </si>
  <si>
    <t>2,93,935.82Cr</t>
  </si>
  <si>
    <t>2,79,390.82Cr</t>
  </si>
  <si>
    <t>MSEDC LTD</t>
  </si>
  <si>
    <t>2,72,130.82Cr</t>
  </si>
  <si>
    <t>ATM/CASH WDL/20060509120820/0</t>
  </si>
  <si>
    <t>2,70,630.82Cr</t>
  </si>
  <si>
    <t>ATM/CASH WDL/20060511075632/0</t>
  </si>
  <si>
    <t>2,68,630.82Cr</t>
  </si>
  <si>
    <t>ATM/CASH WDL/20060512080920/0</t>
  </si>
  <si>
    <t>2,67,830.82Cr</t>
  </si>
  <si>
    <t>ATM/CASH WDL/20060525200749/0</t>
  </si>
  <si>
    <t>2,66,830.82Cr</t>
  </si>
  <si>
    <t>NET SALARY MAY 2006</t>
  </si>
  <si>
    <t>3,02,346.82Cr</t>
  </si>
  <si>
    <t>ATM/CASH WDL/20060530172344/0</t>
  </si>
  <si>
    <t>3,01,746.82Cr</t>
  </si>
  <si>
    <t>2,87,201.82Cr</t>
  </si>
  <si>
    <t>CGRF VIDYUT BHAVAN MSEDC LTD</t>
  </si>
  <si>
    <t>2,86,011.82Cr</t>
  </si>
  <si>
    <t>RELIANCE EQUITY FUND</t>
  </si>
  <si>
    <t>2,66,011.82Cr</t>
  </si>
  <si>
    <t>ATM/CASH WDL/20060625143310/0</t>
  </si>
  <si>
    <t>2,61,011.82Cr</t>
  </si>
  <si>
    <t>NET SALARY JUNE 2006</t>
  </si>
  <si>
    <t>3,01,313.82Cr</t>
  </si>
  <si>
    <t>CGRF VIDYUT BHAVAN MSEDCL</t>
  </si>
  <si>
    <t>3,00,093.82Cr</t>
  </si>
  <si>
    <t>2,93,762.82Cr</t>
  </si>
  <si>
    <t>2,78,872.82Cr</t>
  </si>
  <si>
    <t>ATM/CASH WDL/20060715131040/0</t>
  </si>
  <si>
    <t>2,75,872.82Cr</t>
  </si>
  <si>
    <t>WELINGKAR INST OF MGMT</t>
  </si>
  <si>
    <t>2,35,872.82Cr</t>
  </si>
  <si>
    <t>ATM/CASH WDL/20060720191144/0</t>
  </si>
  <si>
    <t>2,35,572.82Cr</t>
  </si>
  <si>
    <t>NET SALARY JULY 2006</t>
  </si>
  <si>
    <t>2,71,088.82Cr</t>
  </si>
  <si>
    <t>2,56,180.82Cr</t>
  </si>
  <si>
    <t>SHARP &amp; TANNAN</t>
  </si>
  <si>
    <t>2,53,766.82Cr</t>
  </si>
  <si>
    <t>CGRF VIDYUT BHAVAN MSEDC</t>
  </si>
  <si>
    <t>2,52,986.82Cr</t>
  </si>
  <si>
    <t>ATM/CASH WDL/20060823201425/0</t>
  </si>
  <si>
    <t>2,52,386.82Cr</t>
  </si>
  <si>
    <t>LOK HOUSING &amp; CONSTRUCTIONS LT</t>
  </si>
  <si>
    <t>2,48,524.82Cr</t>
  </si>
  <si>
    <t>ATM/CASH WDL/20060825162244/0</t>
  </si>
  <si>
    <t>2,46,524.82Cr</t>
  </si>
  <si>
    <t>NET SALARY AUGUST 2006</t>
  </si>
  <si>
    <t>2,82,039.82Cr</t>
  </si>
  <si>
    <t>2,67,149.82Cr</t>
  </si>
  <si>
    <t>000401043279:Int.Pd:01-03-2006 to 31-08-2006</t>
  </si>
  <si>
    <t>2,71,925.82Cr</t>
  </si>
  <si>
    <t>2,71,385.82Cr</t>
  </si>
  <si>
    <t>ATM/CASH WDL/20060910091023/0</t>
  </si>
  <si>
    <t>2,68,385.82Cr</t>
  </si>
  <si>
    <t>000439/STATE BANK O/N.A.</t>
  </si>
  <si>
    <t>2,95,344.82Cr</t>
  </si>
  <si>
    <t>ATM/CASH WDL/20060912210719/0</t>
  </si>
  <si>
    <t>2,95,144.82Cr</t>
  </si>
  <si>
    <t>NET SALARY SEPTEMBER 2006</t>
  </si>
  <si>
    <t>3,30,660.82Cr</t>
  </si>
  <si>
    <t>3,24,329.82Cr</t>
  </si>
  <si>
    <t>3,09,097.82Cr</t>
  </si>
  <si>
    <t>3,08,407.82Cr</t>
  </si>
  <si>
    <t>ATM/CASH WDL/20061015171405/0</t>
  </si>
  <si>
    <t>3,03,407.82Cr</t>
  </si>
  <si>
    <t>NET SALARY OCTOBER 2006</t>
  </si>
  <si>
    <t>3,38,922.82Cr</t>
  </si>
  <si>
    <t>ATM/CASH WDL/20061021105143/0</t>
  </si>
  <si>
    <t>3,33,922.82Cr</t>
  </si>
  <si>
    <t>ATM/CASH WDL/20061021105238/0</t>
  </si>
  <si>
    <t>3,30,922.82Cr</t>
  </si>
  <si>
    <t>ATM/CASH WDL/20061031112830/0</t>
  </si>
  <si>
    <t>3,27,922.82Cr</t>
  </si>
  <si>
    <t>HATHWAY INTERNET</t>
  </si>
  <si>
    <t>3,25,677.82Cr</t>
  </si>
  <si>
    <t>3,10,445.82Cr</t>
  </si>
  <si>
    <t>SPECIAL PAYMENT OCT 2006</t>
  </si>
  <si>
    <t>3,66,887.82Cr</t>
  </si>
  <si>
    <t>3,66,267.82Cr</t>
  </si>
  <si>
    <t>ATM/CASH WDL/20061116200945/0</t>
  </si>
  <si>
    <t>3,63,267.82Cr</t>
  </si>
  <si>
    <t>NET SALARY NOVEMBER 2006</t>
  </si>
  <si>
    <t>3,98,782.82Cr</t>
  </si>
  <si>
    <t>ATM/CASH WDL/20061129203248/0</t>
  </si>
  <si>
    <t>3,93,782.82Cr</t>
  </si>
  <si>
    <t>INWARD CLEARING ZONE-7</t>
  </si>
  <si>
    <t>3,92,612.82Cr</t>
  </si>
  <si>
    <t>3,77,380.82Cr</t>
  </si>
  <si>
    <t>ATM/CASH WDL/20061203172626/0</t>
  </si>
  <si>
    <t>3,74,380.82Cr</t>
  </si>
  <si>
    <t>ATM/CASH WDL/20061204201733/0</t>
  </si>
  <si>
    <t>3,69,380.82Cr</t>
  </si>
  <si>
    <t>ATM/CASH WDL/20061209085753/0</t>
  </si>
  <si>
    <t>3,59,380.82Cr</t>
  </si>
  <si>
    <t>TTML 600782972</t>
  </si>
  <si>
    <t>3,58,580.82Cr</t>
  </si>
  <si>
    <t>ATM/CASH WDL/20061217181417/0</t>
  </si>
  <si>
    <t>3,55,580.82Cr</t>
  </si>
  <si>
    <t>ATM/CASH WDL/20061223104930/0</t>
  </si>
  <si>
    <t>3,50,580.82Cr</t>
  </si>
  <si>
    <t>NET SALARY DECEMBER 2006</t>
  </si>
  <si>
    <t>3,86,095.82Cr</t>
  </si>
  <si>
    <t>3,70,863.82Cr</t>
  </si>
  <si>
    <t>TTML A/C 600782972</t>
  </si>
  <si>
    <t>3,70,095.82Cr</t>
  </si>
  <si>
    <t>MSED CO LTD</t>
  </si>
  <si>
    <t>3,69,295.82Cr</t>
  </si>
  <si>
    <t>ATM/CASH WDL/20070107184224/0</t>
  </si>
  <si>
    <t>3,66,295.82Cr</t>
  </si>
  <si>
    <t>RAGINI AGASHE</t>
  </si>
  <si>
    <t>3,31,295.82Cr</t>
  </si>
  <si>
    <t>BIRLA SUNLIFE TAX RELIEF 96</t>
  </si>
  <si>
    <t>3,01,295.82Cr</t>
  </si>
  <si>
    <t>2,66,709.82Cr</t>
  </si>
  <si>
    <t>ATM/CASH WDL/20070114091937/0</t>
  </si>
  <si>
    <t>2,66,209.82Cr</t>
  </si>
  <si>
    <t>2,60,587.82Cr</t>
  </si>
  <si>
    <t>2,54,256.82Cr</t>
  </si>
  <si>
    <t>NET SALARY JANUARY 2007</t>
  </si>
  <si>
    <t>2,89,772.82Cr</t>
  </si>
  <si>
    <t>ATM/CASH WDL/20070126101623/0</t>
  </si>
  <si>
    <t>2,84,772.82Cr</t>
  </si>
  <si>
    <t>BSL Tax Relief 96 - Div</t>
  </si>
  <si>
    <t>2,89,293.78Cr</t>
  </si>
  <si>
    <t>2,74,061.78Cr</t>
  </si>
  <si>
    <t>MAHARASHTRA STATE ELECTRICITY DISTRIBUTE</t>
  </si>
  <si>
    <t>2,72,741.78Cr</t>
  </si>
  <si>
    <t>2,71,963.78Cr</t>
  </si>
  <si>
    <t>ATM/CASH WDL/20070211202105/0</t>
  </si>
  <si>
    <t>2,68,963.78Cr</t>
  </si>
  <si>
    <t>LOK HOUSING &amp; CONSTRUCTION LT</t>
  </si>
  <si>
    <t>2,61,239.78Cr</t>
  </si>
  <si>
    <t>STAR VISION CABLE NETWORK</t>
  </si>
  <si>
    <t>2,58,239.78Cr</t>
  </si>
  <si>
    <t>ATM/CASH WDL/20070222222135/0</t>
  </si>
  <si>
    <t>2,53,239.78Cr</t>
  </si>
  <si>
    <t>NET SALARY FEBRUARY 2007</t>
  </si>
  <si>
    <t>2,89,995.78Cr</t>
  </si>
  <si>
    <t>2,74,763.78Cr</t>
  </si>
  <si>
    <t>TATA TELESERVICES MAHARASHTRA</t>
  </si>
  <si>
    <t>2,74,020.78Cr</t>
  </si>
  <si>
    <t>000401043279:Int.Pd:01-09-2006 to 28-02-2007</t>
  </si>
  <si>
    <t>2,79,250.78Cr</t>
  </si>
  <si>
    <t>2,48,576.78Cr</t>
  </si>
  <si>
    <t>M S E D CO LTD</t>
  </si>
  <si>
    <t>2,47,366.78Cr</t>
  </si>
  <si>
    <t>096285 IDBI BANK LTD.</t>
  </si>
  <si>
    <t>2,79,016.78Cr</t>
  </si>
  <si>
    <t>096337 IDBI BANK LTD.</t>
  </si>
  <si>
    <t>2,89,566.78Cr</t>
  </si>
  <si>
    <t>2,91,666.78Cr</t>
  </si>
  <si>
    <t>ATM/CASH WDL/20070316094645/0</t>
  </si>
  <si>
    <t>2,83,666.78Cr</t>
  </si>
  <si>
    <t>BULK TRANSFERS - INW CLG</t>
  </si>
  <si>
    <t>2,81,641.78Cr</t>
  </si>
  <si>
    <t>50459203 DP CHGS TILL FEB_2007</t>
  </si>
  <si>
    <t>2,81,136.70Cr</t>
  </si>
  <si>
    <t>NET SALARY MARCH 2007</t>
  </si>
  <si>
    <t>3,73,080.70Cr</t>
  </si>
  <si>
    <t>BSL Tax Relief '96 Fund - Div</t>
  </si>
  <si>
    <t>3,81,774.85Cr</t>
  </si>
  <si>
    <t>3,66,605.85Cr</t>
  </si>
  <si>
    <t>ATM/CASH WDL/20070401132231/0</t>
  </si>
  <si>
    <t>3,65,605.85Cr</t>
  </si>
  <si>
    <t>3,64,872.85Cr</t>
  </si>
  <si>
    <t>2,62,627.85Cr</t>
  </si>
  <si>
    <t>ATM/CASH WDL/20070408175438/0</t>
  </si>
  <si>
    <t>2,57,627.85Cr</t>
  </si>
  <si>
    <t>2,56,577.85Cr</t>
  </si>
  <si>
    <t>ATM/CASH WDL/20070428122155/0</t>
  </si>
  <si>
    <t>2,56,177.85Cr</t>
  </si>
  <si>
    <t>NET SALARY APRIL 2007</t>
  </si>
  <si>
    <t>4,57,940.85Cr</t>
  </si>
  <si>
    <t>ICICI CC 4864093103226009</t>
  </si>
  <si>
    <t>4,53,265.82Cr</t>
  </si>
  <si>
    <t>3,51,020.82Cr</t>
  </si>
  <si>
    <t>3,50,288.82Cr</t>
  </si>
  <si>
    <t>3,43,957.82Cr</t>
  </si>
  <si>
    <t>3,29,514.82Cr</t>
  </si>
  <si>
    <t>3,28,634.82Cr</t>
  </si>
  <si>
    <t>ARAIYA ENT</t>
  </si>
  <si>
    <t>3,26,634.82Cr</t>
  </si>
  <si>
    <t>NET SALARY MAY 2007</t>
  </si>
  <si>
    <t>3,92,524.82Cr</t>
  </si>
  <si>
    <t>3,91,486.82Cr</t>
  </si>
  <si>
    <t>3,78,160.82Cr</t>
  </si>
  <si>
    <t>3,77,435.82Cr</t>
  </si>
  <si>
    <t>3,77,075.82Cr</t>
  </si>
  <si>
    <t>ATM/CASH WDL/20070624174621/0</t>
  </si>
  <si>
    <t>3,72,075.82Cr</t>
  </si>
  <si>
    <t>NET SALARY JUNE 2007</t>
  </si>
  <si>
    <t>4,30,567.82Cr</t>
  </si>
  <si>
    <t>4,17,241.82Cr</t>
  </si>
  <si>
    <t>4,16,011.82Cr</t>
  </si>
  <si>
    <t>4,15,283.84Cr</t>
  </si>
  <si>
    <t>4,14,649.84Cr</t>
  </si>
  <si>
    <t>ATM/CASH WDL/20070722175423/0</t>
  </si>
  <si>
    <t>4,09,649.84Cr</t>
  </si>
  <si>
    <t>4,07,833.64Cr</t>
  </si>
  <si>
    <t>SHARP &amp; T</t>
  </si>
  <si>
    <t>4,02,541.64Cr</t>
  </si>
  <si>
    <t>NET SALARY JULY 2007</t>
  </si>
  <si>
    <t>7,09,040.64Cr</t>
  </si>
  <si>
    <t>GRUH FINANACE LTD</t>
  </si>
  <si>
    <t>5,09,040.64Cr</t>
  </si>
  <si>
    <t>TTML A/C</t>
  </si>
  <si>
    <t>5,08,252.64Cr</t>
  </si>
  <si>
    <t>5,01,921.64Cr</t>
  </si>
  <si>
    <t>4,88,595.64Cr</t>
  </si>
  <si>
    <t>MSEDCL</t>
  </si>
  <si>
    <t>4,87,635.64Cr</t>
  </si>
  <si>
    <t>ATM/CASH WDL/20070808190853/0</t>
  </si>
  <si>
    <t>4,86,135.64Cr</t>
  </si>
  <si>
    <t>RELIANCE TAX SAVER ELSS FUND</t>
  </si>
  <si>
    <t>4,56,135.64Cr</t>
  </si>
  <si>
    <t>LOK HOUSING AND CONST LTD</t>
  </si>
  <si>
    <t>4,48,411.64Cr</t>
  </si>
  <si>
    <t>NET SALARY AUGUST 2007</t>
  </si>
  <si>
    <t>5,04,369.64Cr</t>
  </si>
  <si>
    <t>REIMBURSEMENT OF EXPENSES AUG-</t>
  </si>
  <si>
    <t>5,13,529.64Cr</t>
  </si>
  <si>
    <t>ATM/CASH WDL/20070831173912/0</t>
  </si>
  <si>
    <t>5,08,529.64Cr</t>
  </si>
  <si>
    <t>000401043279:Int.Pd:01-03-2007 to 31-08-2007</t>
  </si>
  <si>
    <t>5,14,533.64Cr</t>
  </si>
  <si>
    <t>5,13,653.64Cr</t>
  </si>
  <si>
    <t>5,00,411.64Cr</t>
  </si>
  <si>
    <t>4,85,531.12Cr</t>
  </si>
  <si>
    <t>TATA TELESERVICES LTD</t>
  </si>
  <si>
    <t>4,84,745.12Cr</t>
  </si>
  <si>
    <t>1,84,745.12Cr</t>
  </si>
  <si>
    <t>ATM/CASH WDL/20070908103237/0</t>
  </si>
  <si>
    <t>1,76,745.12Cr</t>
  </si>
  <si>
    <t>ATM/CASH WDL/20070909143909/0</t>
  </si>
  <si>
    <t>1,71,745.12Cr</t>
  </si>
  <si>
    <t>ATM/CASH WDL/20070910174218/0</t>
  </si>
  <si>
    <t>1,68,745.12Cr</t>
  </si>
  <si>
    <t>NET SALARY SEPTEMBER 2007</t>
  </si>
  <si>
    <t>3,29,589.12Cr</t>
  </si>
  <si>
    <t>ATM/CASH WDL/20070928202845/0</t>
  </si>
  <si>
    <t>3,19,589.12Cr</t>
  </si>
  <si>
    <t>3,06,397.12Cr</t>
  </si>
  <si>
    <t>ATM/CASH WDL/20071002193422/0</t>
  </si>
  <si>
    <t>2,91,397.12Cr</t>
  </si>
  <si>
    <t>IFB INDUSTRIES LTD</t>
  </si>
  <si>
    <t>2,88,255.12Cr</t>
  </si>
  <si>
    <t>2,78,437.12Cr</t>
  </si>
  <si>
    <t>TATA TELESERVICES M LTD</t>
  </si>
  <si>
    <t>2,77,666.12Cr</t>
  </si>
  <si>
    <t>ATM/CASH WDL/20071009185340/0</t>
  </si>
  <si>
    <t>2,75,666.12Cr</t>
  </si>
  <si>
    <t>2,74,776.12Cr</t>
  </si>
  <si>
    <t>ATM/CASH WDL/20071019093203/0</t>
  </si>
  <si>
    <t>2,71,776.12Cr</t>
  </si>
  <si>
    <t>265621 STATE BANK O N.A.</t>
  </si>
  <si>
    <t>2,76,816.12Cr</t>
  </si>
  <si>
    <t>5,83,315.12Cr</t>
  </si>
  <si>
    <t>ATM/CASH WDL/20071028175118/0</t>
  </si>
  <si>
    <t>5,81,315.12Cr</t>
  </si>
  <si>
    <t>ATM/CASH WDL/20071101160430/0</t>
  </si>
  <si>
    <t>5,71,315.12Cr</t>
  </si>
  <si>
    <t>5,64,984.12Cr</t>
  </si>
  <si>
    <t>TATA TELESERVICE MAH LTD</t>
  </si>
  <si>
    <t>5,64,152.12Cr</t>
  </si>
  <si>
    <t>5,50,960.12Cr</t>
  </si>
  <si>
    <t>ATM/CASH WDL/20071110113930/0</t>
  </si>
  <si>
    <t>5,40,960.12Cr</t>
  </si>
  <si>
    <t>ATM/CASH WDL/20071119210024/0</t>
  </si>
  <si>
    <t>5,39,460.12Cr</t>
  </si>
  <si>
    <t>ATM/CASH WDL/20071122132730/0</t>
  </si>
  <si>
    <t>5,29,460.12Cr</t>
  </si>
  <si>
    <t>5,89,179.12Cr</t>
  </si>
  <si>
    <t>5,87,789.12Cr</t>
  </si>
  <si>
    <t>5,87,157.12Cr</t>
  </si>
  <si>
    <t>5,72,377.12Cr</t>
  </si>
  <si>
    <t>ATM/CASH WDL/20071204214653/0</t>
  </si>
  <si>
    <t>5,70,377.12Cr</t>
  </si>
  <si>
    <t>5,30,377.12Cr</t>
  </si>
  <si>
    <t>S</t>
  </si>
  <si>
    <t>5,41,335.12Cr</t>
  </si>
  <si>
    <t>TATA TELESERVICES MAHA LTD</t>
  </si>
  <si>
    <t>5,40,334.12Cr</t>
  </si>
  <si>
    <t>BHAVAN MSEDC LTD</t>
  </si>
  <si>
    <t>5,39,634.12Cr</t>
  </si>
  <si>
    <t>ATM/CASH WDL/20080103091348/0</t>
  </si>
  <si>
    <t>5,36,634.12Cr</t>
  </si>
  <si>
    <t>5,34,510.17Cr</t>
  </si>
  <si>
    <t>ATM/CASH WDL/20080113183121/0</t>
  </si>
  <si>
    <t>5,31,510.17Cr</t>
  </si>
  <si>
    <t>5,25,179.17Cr</t>
  </si>
  <si>
    <t>5,19,557.17Cr</t>
  </si>
  <si>
    <t>ATM/CASH WDL/20080116085427/0</t>
  </si>
  <si>
    <t>5,14,557.17Cr</t>
  </si>
  <si>
    <t>ATM/CASH WDL/20080119103814/0</t>
  </si>
  <si>
    <t>4,99,557.17Cr</t>
  </si>
  <si>
    <t>ATM/CASH WDL/20080119103918/0</t>
  </si>
  <si>
    <t>4,91,557.17Cr</t>
  </si>
  <si>
    <t>5,44,383.17Cr</t>
  </si>
  <si>
    <t>ATM/CASH WDL/20080130180746/0</t>
  </si>
  <si>
    <t>5,40,383.17C</t>
  </si>
  <si>
    <t>5,40,383.17Cr</t>
  </si>
  <si>
    <t>ATM/CASH WDL/20080201193422/0</t>
  </si>
  <si>
    <t>5,28,383.17Cr</t>
  </si>
  <si>
    <t>5,27,535.17Cr</t>
  </si>
  <si>
    <t>MSED CO</t>
  </si>
  <si>
    <t>5,21,715.17Cr</t>
  </si>
  <si>
    <t>4,81,715.17Cr</t>
  </si>
  <si>
    <t>ATM/CASH WDL/20080208165521/0</t>
  </si>
  <si>
    <t>4,77,715.17Cr</t>
  </si>
  <si>
    <t>ATM/CASH WDL/20080221124248/0</t>
  </si>
  <si>
    <t>4,77,315.17Cr</t>
  </si>
  <si>
    <t>5,23,290.17Cr</t>
  </si>
  <si>
    <t>000401043279:Int.Pd:01-09-2007 to 29-02-2008</t>
  </si>
  <si>
    <t>5,30,492.17Cr</t>
  </si>
  <si>
    <t>ATM/CASH WDL/20080303101123/0</t>
  </si>
  <si>
    <t>5,30,092.17Cr</t>
  </si>
  <si>
    <t>5,14,227.57Cr</t>
  </si>
  <si>
    <t>ATM/CASH WDL/20080307092858/0</t>
  </si>
  <si>
    <t>4,99,227.57Cr</t>
  </si>
  <si>
    <t>4,98,533.57Cr</t>
  </si>
  <si>
    <t>M K BATTERIES</t>
  </si>
  <si>
    <t>4,87,733.57Cr</t>
  </si>
  <si>
    <t>ATM/CASH WDL/20080311163746/0</t>
  </si>
  <si>
    <t>4,85,733.57Cr</t>
  </si>
  <si>
    <t>4,87,833.57Cr</t>
  </si>
  <si>
    <t>ATM/CASH WDL/20080321194627/0</t>
  </si>
  <si>
    <t>4,77,833.57Cr</t>
  </si>
  <si>
    <t>MICR INW-CLG(R)FROM RBI</t>
  </si>
  <si>
    <t>4,52,161.32Cr</t>
  </si>
  <si>
    <t>THE SARASWAT COOP BK LTD</t>
  </si>
  <si>
    <t>4,12,161.32Cr</t>
  </si>
  <si>
    <t>4,00,575.32Cr</t>
  </si>
  <si>
    <t>4,63,769.32Cr</t>
  </si>
  <si>
    <t>ATM/CASH WDL/20080331145859/0</t>
  </si>
  <si>
    <t>4,43,769.32Cr</t>
  </si>
  <si>
    <t>ATM/CASH WDL/20080406141209/0</t>
  </si>
  <si>
    <t>4,25,769.32Cr</t>
  </si>
  <si>
    <t>ChequeBookChgs,Jan-Mar08+ST12</t>
  </si>
  <si>
    <t>4,25,657.32Cr</t>
  </si>
  <si>
    <t>3,85,657.32Cr</t>
  </si>
  <si>
    <t>3,79,326.32Cr</t>
  </si>
  <si>
    <t>BSL Tax Relief'96 Fund-ELSS</t>
  </si>
  <si>
    <t>3,82,803.98Cr</t>
  </si>
  <si>
    <t>ATM/CASH WDL/20080420105142/0</t>
  </si>
  <si>
    <t>3,79,803.98Cr</t>
  </si>
  <si>
    <t>ATM/CASH WDL/20080425194051/0</t>
  </si>
  <si>
    <t>3,74,803.98Cr</t>
  </si>
  <si>
    <t>ATM/CASH WDL/20080428193608/0</t>
  </si>
  <si>
    <t>3,70,803.98Cr</t>
  </si>
  <si>
    <t>5,81,457.98Cr</t>
  </si>
  <si>
    <t>5,61,971.88Cr</t>
  </si>
  <si>
    <t>6,32,162.88Cr</t>
  </si>
  <si>
    <t>ATM/CASH WDL/20080601092330/0</t>
  </si>
  <si>
    <t>6,28,162.88Cr</t>
  </si>
  <si>
    <t>ATM/CASH WDL/20080601092534/0</t>
  </si>
  <si>
    <t>6,24,162.88Cr</t>
  </si>
  <si>
    <t>ATM/CASH WDL/20080601092648/0</t>
  </si>
  <si>
    <t>6,20,162.88Cr</t>
  </si>
  <si>
    <t>ATM/CASH WDL/20080607102532/0</t>
  </si>
  <si>
    <t>6,16,162.88Cr</t>
  </si>
  <si>
    <t>SARASWAT COOP BK</t>
  </si>
  <si>
    <t>5,76,162.88Cr</t>
  </si>
  <si>
    <t>ATM/CASH WDL/20080611081547/0</t>
  </si>
  <si>
    <t>5,71,162.88Cr</t>
  </si>
  <si>
    <t>ATM/CASH WDL/20080616075348/0</t>
  </si>
  <si>
    <t>5,61,162.88Cr</t>
  </si>
  <si>
    <t>TRFR TO:VISHWANATH IYER`</t>
  </si>
  <si>
    <t>4,62,245.88Cr</t>
  </si>
  <si>
    <t>5,27,609.88Cr</t>
  </si>
  <si>
    <t>ATM/CASH WDL/20080703091104/0</t>
  </si>
  <si>
    <t>5,09,609.88Cr</t>
  </si>
  <si>
    <t>5,06,275.13Cr</t>
  </si>
  <si>
    <t>BSL Tax Relief 96 - DIV</t>
  </si>
  <si>
    <t>5,07,144.55Cr</t>
  </si>
  <si>
    <t>ATM/CASH WDL/06-08-08/21:04:35/0</t>
  </si>
  <si>
    <t>5,04,144.55Cr</t>
  </si>
  <si>
    <t>ATM/CASH WDL/06-08-08/21:05:17/0</t>
  </si>
  <si>
    <t>4,89,144.55Cr</t>
  </si>
  <si>
    <t>4,49,144.55Cr</t>
  </si>
  <si>
    <t>4,39,441.55Cr</t>
  </si>
  <si>
    <t>820450 SBI CDM00718080028 CDM0</t>
  </si>
  <si>
    <t>4,68,168.55Cr</t>
  </si>
  <si>
    <t>ATM/CASH WDL/23-08-08/10:22:02/0</t>
  </si>
  <si>
    <t>4,61,168.55Cr</t>
  </si>
  <si>
    <t>5,42,420.55Cr</t>
  </si>
  <si>
    <t>ATM/CASH WDL/29-08-08/17:38:33/0</t>
  </si>
  <si>
    <t>5,39,420.55Cr</t>
  </si>
  <si>
    <t>000401043279:Int.Pd:01-03-2008 to 31-08-2008</t>
  </si>
  <si>
    <t>5,47,435.55Cr</t>
  </si>
  <si>
    <t>RELANCE GENERAL INSURANCE</t>
  </si>
  <si>
    <t>5,40,100.55Cr</t>
  </si>
  <si>
    <t>RELIANCE TAX SAVER FUND</t>
  </si>
  <si>
    <t>5,38,100.55Cr</t>
  </si>
  <si>
    <t>RELIANCE BANKING FUND</t>
  </si>
  <si>
    <t>5,36,100.55Cr</t>
  </si>
  <si>
    <t>ATM/CASH WDL/05-09-08/14:50:48/0</t>
  </si>
  <si>
    <t>5,31,100.55Cr</t>
  </si>
  <si>
    <t>ICICI CC</t>
  </si>
  <si>
    <t>5,27,071.67Cr</t>
  </si>
  <si>
    <t>ATM/CASH WDL/07-09-08/19:16:24/0</t>
  </si>
  <si>
    <t>5,07,071.67Cr</t>
  </si>
  <si>
    <t>HDFC BANK</t>
  </si>
  <si>
    <t>5,01,871.67Cr</t>
  </si>
  <si>
    <t>4,91,871.67Cr</t>
  </si>
  <si>
    <t>ATM/CASH WDL/10-09-08/11:00:59/0</t>
  </si>
  <si>
    <t>4,81,871.67Cr</t>
  </si>
  <si>
    <t>DHARAMENDRA PADMAVATI CHS L</t>
  </si>
  <si>
    <t>4,69,347.67Cr</t>
  </si>
  <si>
    <t>4,68,678.67Cr</t>
  </si>
  <si>
    <t>4,62,347.67Cr</t>
  </si>
  <si>
    <t>SHARP AND TANNAN</t>
  </si>
  <si>
    <t>4,51,621.67Cr</t>
  </si>
  <si>
    <t>5,21,636.67Cr</t>
  </si>
  <si>
    <t>LOK HOUSING CONSTRUCTION LTD</t>
  </si>
  <si>
    <t>5,17,774.67Cr</t>
  </si>
  <si>
    <t>ATM/CASH WDL/30-09-08/06:03:44/1</t>
  </si>
  <si>
    <t>4,97,774.67Cr</t>
  </si>
  <si>
    <t>4,94,774.67Cr</t>
  </si>
  <si>
    <t>4,54,774.67Cr</t>
  </si>
  <si>
    <t>REL-TS-IC,40491237376</t>
  </si>
  <si>
    <t>4,52,774.67Cr</t>
  </si>
  <si>
    <t>VARSTA MAHARAJ</t>
  </si>
  <si>
    <t>4,02,774.67Cr</t>
  </si>
  <si>
    <t>VPS/MANGATRAI J/20081022200856/0</t>
  </si>
  <si>
    <t>3,86,774.67Cr</t>
  </si>
  <si>
    <t>ATM/CASH WDL/23-10-08/19:34:06/0</t>
  </si>
  <si>
    <t>3,83,774.67Cr</t>
  </si>
  <si>
    <t>ATM/CASH WDL/25-10-08/18:58:35/0</t>
  </si>
  <si>
    <t>3,80,774.67Cr</t>
  </si>
  <si>
    <t>6,17,604.67Cr</t>
  </si>
  <si>
    <t>5,17,604.67Cr</t>
  </si>
  <si>
    <t>5,15,604.67Cr</t>
  </si>
  <si>
    <t>ATM/CASH WDL/22-11-08/10:17:11/0</t>
  </si>
  <si>
    <t>5,10,604.67Cr</t>
  </si>
  <si>
    <t>5,80,619.67Cr</t>
  </si>
  <si>
    <t>ATM/CASH WDL/29-11-08/13:24:26/0</t>
  </si>
  <si>
    <t>5,75,619.67Cr</t>
  </si>
  <si>
    <t>ATM/CASH WDL/03-12-08/22:02:17/0</t>
  </si>
  <si>
    <t>5,55,619.67Cr</t>
  </si>
  <si>
    <t>ATM/CASH WDL/05-12-08/18:20:17/0</t>
  </si>
  <si>
    <t>5,35,619.67Cr</t>
  </si>
  <si>
    <t>ATM/CASH WDL/06-12-08/10:05:49/0</t>
  </si>
  <si>
    <t>5,30,619.67Cr</t>
  </si>
  <si>
    <t>5,28,619.67Cr</t>
  </si>
  <si>
    <t>ATM/CASH WDL/18-12-08/20:47:08/0</t>
  </si>
  <si>
    <t>5,25,619.67Cr</t>
  </si>
  <si>
    <t>ATM/CASH WDL/22-12-08/07:46:59/0</t>
  </si>
  <si>
    <t>5,10,619.67Cr</t>
  </si>
  <si>
    <t>ATM/CASH WDL/23-12-08/22:07:18/0</t>
  </si>
  <si>
    <t>4,95,619.67Cr</t>
  </si>
  <si>
    <t>ATM/WDL RVSL/23-12-08/22:07:18/R/000401043279</t>
  </si>
  <si>
    <t>ATM/CASH WDL/23-12-08/22:08:14/0</t>
  </si>
  <si>
    <t>5,07,619.67Cr</t>
  </si>
  <si>
    <t>ATM/CASH WDL/24-12-08/08:54:20/0</t>
  </si>
  <si>
    <t>5,03,619.67Cr</t>
  </si>
  <si>
    <t>ATM/CASH WDL/24-12-08/08:55:17/0</t>
  </si>
  <si>
    <t>4,99,619.67Cr</t>
  </si>
  <si>
    <t>LOK HSG CONSTRUCTION LTD</t>
  </si>
  <si>
    <t>4,95,757.67Cr</t>
  </si>
  <si>
    <t>5,73,852.67Cr</t>
  </si>
  <si>
    <t>TWDS REIMB. OF EXPENSES</t>
  </si>
  <si>
    <t>6,88,752.67Cr</t>
  </si>
  <si>
    <t>ATM/CASH WDL/01-01-09/16:21:09/0</t>
  </si>
  <si>
    <t>6,82,752.67Cr</t>
  </si>
  <si>
    <t>ATM/CASH WDL/04-01-09/07:02:49/0</t>
  </si>
  <si>
    <t>6,57,752.67Cr</t>
  </si>
  <si>
    <t>ATM/CASH WDL/06-01-09/06:46:12/0</t>
  </si>
  <si>
    <t>6,53,752.67Cr</t>
  </si>
  <si>
    <t>ATM/CASH WDL/06-01-09/06:50:16/0</t>
  </si>
  <si>
    <t>6,49,752.67Cr</t>
  </si>
  <si>
    <t>5,03,243.37Cr</t>
  </si>
  <si>
    <t>ATM/CASH WDL/09-01-09/20:41:10/0</t>
  </si>
  <si>
    <t>4,83,243.37Cr</t>
  </si>
  <si>
    <t>ATM/CASH WDL/10-01-09/18:45:25/0</t>
  </si>
  <si>
    <t>4,80,243.37Cr</t>
  </si>
  <si>
    <t>4,78,243.37Cr</t>
  </si>
  <si>
    <t>ATM/CASH WDL/13-01-09/11:24:55/0</t>
  </si>
  <si>
    <t>4,73,243.37Cr</t>
  </si>
  <si>
    <t>4,36,978.17Cr</t>
  </si>
  <si>
    <t>4,06,836.17Cr</t>
  </si>
  <si>
    <t>ATM/CASH WDL/17-01-09/09:16:15/0</t>
  </si>
  <si>
    <t>4,03,836.17Cr</t>
  </si>
  <si>
    <t>ATM/CASH WDL/24-01-09/10:22:06/0</t>
  </si>
  <si>
    <t>3,98,836.17Cr</t>
  </si>
  <si>
    <t>4,71,511.17Cr</t>
  </si>
  <si>
    <t>ATM/CASH WDL/03-02-09/21:20:26/0</t>
  </si>
  <si>
    <t>4,56,511.17Cr</t>
  </si>
  <si>
    <t>4,58,672.17Cr</t>
  </si>
  <si>
    <t>4,56,672.17Cr</t>
  </si>
  <si>
    <t>ATM/CASH WDL/15-02-09/18:17:09/0</t>
  </si>
  <si>
    <t>4,46,672.17Cr</t>
  </si>
  <si>
    <t>4,48,706.17Cr</t>
  </si>
  <si>
    <t>5,17,856.17Cr</t>
  </si>
  <si>
    <t>000401043279:Int.Pd:01-09-2008 to 28-02-2009</t>
  </si>
  <si>
    <t>5,25,694.17Cr</t>
  </si>
  <si>
    <t>ATM/CASH WDL/07-03-09/08:40:40/0</t>
  </si>
  <si>
    <t>5,05,694.17Cr</t>
  </si>
  <si>
    <t>VPS/PEDALLERS P/20090308203257/0</t>
  </si>
  <si>
    <t>4,93,454.17Cr</t>
  </si>
  <si>
    <t>4,91,454.17Cr</t>
  </si>
  <si>
    <t>4,93,554.17Cr</t>
  </si>
  <si>
    <t>EXPENSES REIMBURSEMENT</t>
  </si>
  <si>
    <t>5,39,702.17Cr</t>
  </si>
  <si>
    <t>ATM/CASH WDL/18-03-09/21:26:09/0</t>
  </si>
  <si>
    <t>5,34,702.17Cr</t>
  </si>
  <si>
    <t>AMEX CORPORATE CARD</t>
  </si>
  <si>
    <t>4,88,554.33Cr</t>
  </si>
  <si>
    <t>ATM/CASH WDL/20-03-09/14:43:06/0</t>
  </si>
  <si>
    <t>4,83,554.33Cr</t>
  </si>
  <si>
    <t>4,81,554.33Cr</t>
  </si>
  <si>
    <t>5,90,479.33Cr</t>
  </si>
  <si>
    <t>5,87,479.33Cr</t>
  </si>
  <si>
    <t>Salary For The Month Of Jul 01</t>
  </si>
  <si>
    <t>9,940.00Cr</t>
  </si>
  <si>
    <t>Salary For The Month Of Aug 01</t>
  </si>
  <si>
    <t>20,565.00Cr</t>
  </si>
  <si>
    <t>000415267725 - Trfd to : Autosweep</t>
  </si>
  <si>
    <t>10,565.00Cr</t>
  </si>
  <si>
    <t>[000401043279] :IAR Interest</t>
  </si>
  <si>
    <t>10,598.00Cr</t>
  </si>
  <si>
    <t>ATM/CASH WDL/20010922143223</t>
  </si>
  <si>
    <t>7,598.00Cr</t>
  </si>
  <si>
    <t>Salary For The Month Of Sep 01</t>
  </si>
  <si>
    <t>18,053.00Cr</t>
  </si>
  <si>
    <t>000415279294 - Trfd to : Autosweep</t>
  </si>
  <si>
    <t>13,053.00Cr</t>
  </si>
  <si>
    <t>Salary For The Month Of Oct 01</t>
  </si>
  <si>
    <t>23,508.00Cr</t>
  </si>
  <si>
    <t>000415291084 - Trfd to : Autosweep</t>
  </si>
  <si>
    <t>13,508.00Cr</t>
  </si>
  <si>
    <t>REM OF EXP. FOR NOV 01</t>
  </si>
  <si>
    <t>13,608.00Cr</t>
  </si>
  <si>
    <t>Salary For The Month Of Nov 01</t>
  </si>
  <si>
    <t>24,063.00Cr</t>
  </si>
  <si>
    <t>000415302839 - Trfd to : Autosweep</t>
  </si>
  <si>
    <t>14,063.00Cr</t>
  </si>
  <si>
    <t>000401043279:Int.Pd: 01-09-2001 to 30-11-2001</t>
  </si>
  <si>
    <t>14,177.00Cr</t>
  </si>
  <si>
    <t>Salary For The Month Of Dec 01</t>
  </si>
  <si>
    <t>24,552.00Cr</t>
  </si>
  <si>
    <t>000415316825 : Autosweep to</t>
  </si>
  <si>
    <t>14,552.00Cr</t>
  </si>
  <si>
    <t>To CC                                           563126</t>
  </si>
  <si>
    <t>6,552.00Cr</t>
  </si>
  <si>
    <t>To CC                                           563127</t>
  </si>
  <si>
    <t>1,552.00Cr</t>
  </si>
  <si>
    <t>To CC                                           563128</t>
  </si>
  <si>
    <t>3,448.00Dr</t>
  </si>
  <si>
    <t>000415316825 Reverse Sweep from</t>
  </si>
  <si>
    <t>5,584.00Cr</t>
  </si>
  <si>
    <t>To CC                                           563129</t>
  </si>
  <si>
    <t>747.00Dr</t>
  </si>
  <si>
    <t>Salary For The January 2002</t>
  </si>
  <si>
    <t>10,933.00Cr</t>
  </si>
  <si>
    <t>Expense Reimbursement 05Feb</t>
  </si>
  <si>
    <t>10,983.00Cr</t>
  </si>
  <si>
    <t>Salary For     Februry 2002</t>
  </si>
  <si>
    <t>22,663.00Cr</t>
  </si>
  <si>
    <t>000415341916 : Autosweep to</t>
  </si>
  <si>
    <t>12,663.00Cr</t>
  </si>
  <si>
    <t>000401043279:Int.Pd: 01-12-2001 to 28-02-2002</t>
  </si>
  <si>
    <t>12,752.00Cr</t>
  </si>
  <si>
    <t>Salary For     March   2002</t>
  </si>
  <si>
    <t>24,337.00Cr</t>
  </si>
  <si>
    <t>000415354993 : Autosweep to</t>
  </si>
  <si>
    <t>14,337.00Cr</t>
  </si>
  <si>
    <t>Expense reimbursement 20Mar</t>
  </si>
  <si>
    <t>14,487.00Cr</t>
  </si>
  <si>
    <t>000401043279 - Trfd from : Autosweep</t>
  </si>
  <si>
    <t>10,000.00Cr</t>
  </si>
  <si>
    <t>Interest: 491.00 Tax : 0.00</t>
  </si>
  <si>
    <t>10,491.00Cr</t>
  </si>
  <si>
    <t>Salary For April 2002</t>
  </si>
  <si>
    <t>26,172.00Cr</t>
  </si>
  <si>
    <t>000415369483 : Autosweep to</t>
  </si>
  <si>
    <t>11,172.00Cr</t>
  </si>
  <si>
    <t>LTA Paid during the year 20</t>
  </si>
  <si>
    <t>25,902.00Cr</t>
  </si>
  <si>
    <t>Reimburesemnt of Exps HO 29Apr</t>
  </si>
  <si>
    <t>26,002.00Cr</t>
  </si>
  <si>
    <t>000415375576 : Autosweep to</t>
  </si>
  <si>
    <t>11,002.00Cr</t>
  </si>
  <si>
    <t>To CC                                           563130</t>
  </si>
  <si>
    <t>4,671.00Cr</t>
  </si>
  <si>
    <t>Salary For May 2002</t>
  </si>
  <si>
    <t>16,356.00Cr</t>
  </si>
  <si>
    <t>000415386416 : Autosweep to</t>
  </si>
  <si>
    <t>11,356.00Cr</t>
  </si>
  <si>
    <t>Salary For June 2002</t>
  </si>
  <si>
    <t>22,701.00Cr</t>
  </si>
  <si>
    <t>000415403630 : Autosweep to</t>
  </si>
  <si>
    <t>12,701.00Cr</t>
  </si>
  <si>
    <t>HO Cash Reimb for 05 July20</t>
  </si>
  <si>
    <t>12,821.00Cr</t>
  </si>
  <si>
    <t>Salary For July 2002</t>
  </si>
  <si>
    <t>36,146.00Cr</t>
  </si>
  <si>
    <t>000415417985 : Autosweep to</t>
  </si>
  <si>
    <t>11,146.00Cr</t>
  </si>
  <si>
    <t>ATM/CASH WDL/20020802174913/0</t>
  </si>
  <si>
    <t>1,146.00Cr</t>
  </si>
  <si>
    <t>LIC                                             563131</t>
  </si>
  <si>
    <t>5,185.00Dr</t>
  </si>
  <si>
    <t>000415417985 : Rev sweep from</t>
  </si>
  <si>
    <t>5,815.00Cr</t>
  </si>
  <si>
    <t>Expense reimbursement 10Aug</t>
  </si>
  <si>
    <t>6,055.00Cr</t>
  </si>
  <si>
    <t>Salary For August 2002</t>
  </si>
  <si>
    <t>19,625.00Cr</t>
  </si>
  <si>
    <t>000415434429 : Autosweep to</t>
  </si>
  <si>
    <t>14,625.00Cr</t>
  </si>
  <si>
    <t>000401043279:Int.Pd: 01-03-2002 to 31-08-2002</t>
  </si>
  <si>
    <t>14,814.00Cr</t>
  </si>
  <si>
    <t>Salary For September 2002</t>
  </si>
  <si>
    <t>27,899.00Cr</t>
  </si>
  <si>
    <t>000415450766 : Autosweep to</t>
  </si>
  <si>
    <t>12,899.00Cr</t>
  </si>
  <si>
    <t>Expense reimbursement 10OCt</t>
  </si>
  <si>
    <t>13,139.00Cr</t>
  </si>
  <si>
    <t>ATM/CASH WDL/20021017201118/0</t>
  </si>
  <si>
    <t>10,139.00Cr</t>
  </si>
  <si>
    <t>Salary For OCtober 2002</t>
  </si>
  <si>
    <t>23,894.00Cr</t>
  </si>
  <si>
    <t>SWEEP TRANSFER TO [000415467616]</t>
  </si>
  <si>
    <t>13,894.00Cr</t>
  </si>
  <si>
    <t>LIC                                             563132</t>
  </si>
  <si>
    <t>7,563.00Cr</t>
  </si>
  <si>
    <t>Salary For November 2002</t>
  </si>
  <si>
    <t>20,043.00Cr</t>
  </si>
  <si>
    <t>000415485461 :  Autosweep to</t>
  </si>
  <si>
    <t>10,043.00Cr</t>
  </si>
  <si>
    <t>ATM/CASH WDL/20021128200820/0</t>
  </si>
  <si>
    <t>7,043.00Cr</t>
  </si>
  <si>
    <t>ATM/CASH WDL/20021128200926/0</t>
  </si>
  <si>
    <t>43.00Cr</t>
  </si>
  <si>
    <t>ATM/CASH WDL/20021209183144/0</t>
  </si>
  <si>
    <t>2,957.00Dr</t>
  </si>
  <si>
    <t>000415485652 FD Closure Cr.</t>
  </si>
  <si>
    <t>5,054.00Cr</t>
  </si>
  <si>
    <t>Salary For DeCember 2002</t>
  </si>
  <si>
    <t>16,894.00Cr</t>
  </si>
  <si>
    <t>000415504452 :  Autosweep to</t>
  </si>
  <si>
    <t>11,894.00Cr</t>
  </si>
  <si>
    <t>Salary For January 2003</t>
  </si>
  <si>
    <t>23,734.00Cr</t>
  </si>
  <si>
    <t>000415522150 :  Autosweep to</t>
  </si>
  <si>
    <t>13,734.00Cr</t>
  </si>
  <si>
    <t>ICICI BANK LTD BONDS                            563134</t>
  </si>
  <si>
    <t>11,266.00Dr</t>
  </si>
  <si>
    <t>000415522150 : Rev sweep from</t>
  </si>
  <si>
    <t>1,266.00Dr</t>
  </si>
  <si>
    <t>000415504829 Reverse Sweep from</t>
  </si>
  <si>
    <t>175.00Dr</t>
  </si>
  <si>
    <t>000415504452 Reverse Sweep from</t>
  </si>
  <si>
    <t>4,841.00Cr</t>
  </si>
  <si>
    <t>5,849.00Cr</t>
  </si>
  <si>
    <t>LIC                                             563135</t>
  </si>
  <si>
    <t>226.00Cr</t>
  </si>
  <si>
    <t>LIC OF IND                                      563133</t>
  </si>
  <si>
    <t>6,105.00Dr</t>
  </si>
  <si>
    <t>000415485652 Reverse Sweep from</t>
  </si>
  <si>
    <t>4,212.00Dr</t>
  </si>
  <si>
    <t>000415485461 Reverse Sweep from</t>
  </si>
  <si>
    <t>5,874.00Cr</t>
  </si>
  <si>
    <t>IDBI                                            563136</t>
  </si>
  <si>
    <t>4,126.00Dr</t>
  </si>
  <si>
    <t>000415467896 Reverse Sweep from</t>
  </si>
  <si>
    <t>6,048.00Cr</t>
  </si>
  <si>
    <t>SAL FEB 2003</t>
  </si>
  <si>
    <t>17,488.00Cr</t>
  </si>
  <si>
    <t>000415541801 :  Autosweep to</t>
  </si>
  <si>
    <t>12,488.00Cr</t>
  </si>
  <si>
    <t>INF/INT. ON ICICI BONDS 2012678924/0</t>
  </si>
  <si>
    <t>12,965.00Cr</t>
  </si>
  <si>
    <t>INF/INT. ON ICICI BONDS 2012678837/0</t>
  </si>
  <si>
    <t>13,445.00Cr</t>
  </si>
  <si>
    <t>000401043279:Int.Pd:01-09-2002 to 28-02-2003</t>
  </si>
  <si>
    <t>13,578.00Cr</t>
  </si>
  <si>
    <t>Salary For MarCh 2003</t>
  </si>
  <si>
    <t>25,113.00Cr</t>
  </si>
  <si>
    <t>000415563913 :  Autosweep to</t>
  </si>
  <si>
    <t>10,113.00Cr</t>
  </si>
  <si>
    <t>4,719.00Dr</t>
  </si>
  <si>
    <t>000415563913 : Rev sweep from</t>
  </si>
  <si>
    <t>5,280.00Cr</t>
  </si>
  <si>
    <t>Salary For April 2003</t>
  </si>
  <si>
    <t>56,715.00Cr</t>
  </si>
  <si>
    <t>000415583393 :  Autosweep to</t>
  </si>
  <si>
    <t>11,715.00Cr</t>
  </si>
  <si>
    <t>3,117.00Dr</t>
  </si>
  <si>
    <t>000415587632 : Rev sweep from</t>
  </si>
  <si>
    <t>5,883.00Cr</t>
  </si>
  <si>
    <t>448.00Dr</t>
  </si>
  <si>
    <t>5,552.00Cr</t>
  </si>
  <si>
    <t>Salary For May 2003</t>
  </si>
  <si>
    <t>19,267.00Cr</t>
  </si>
  <si>
    <t>000415606539 :  Autosweep to</t>
  </si>
  <si>
    <t>14,267.00Cr</t>
  </si>
  <si>
    <t>GRUH FIN  L</t>
  </si>
  <si>
    <t>565.00Dr</t>
  </si>
  <si>
    <t>000415606539 : Rev sweep from</t>
  </si>
  <si>
    <t>4,435.00Cr</t>
  </si>
  <si>
    <t>000415605324 FD Closure Cr.</t>
  </si>
  <si>
    <t>5,436.00Cr</t>
  </si>
  <si>
    <t>SALARY FOR THE MON JUN 03</t>
  </si>
  <si>
    <t>18,791.00Cr</t>
  </si>
  <si>
    <t>000415631056 :  Autosweep to</t>
  </si>
  <si>
    <t>13,791.00Cr</t>
  </si>
  <si>
    <t>15,656.00Cr</t>
  </si>
  <si>
    <t>Interest: 73.00 Tax : 0.00</t>
  </si>
  <si>
    <t>15,729.00Cr</t>
  </si>
  <si>
    <t>RENEWAL TO  [000415581357]</t>
  </si>
  <si>
    <t>14,157.00Cr</t>
  </si>
  <si>
    <t>GRUH FIN</t>
  </si>
  <si>
    <t>675.00Dr</t>
  </si>
  <si>
    <t>000415706827 : Rev sweep from</t>
  </si>
  <si>
    <t>4,325.00Cr</t>
  </si>
  <si>
    <t>000415704283 : Rev sweep from</t>
  </si>
  <si>
    <t>10,104.00Cr</t>
  </si>
  <si>
    <t>Salary For OCtober 2003</t>
  </si>
  <si>
    <t>23,464.00Cr</t>
  </si>
  <si>
    <t>000415731730 :  Autosweep to</t>
  </si>
  <si>
    <t>13,464.00Cr</t>
  </si>
  <si>
    <t>7,133.00Cr</t>
  </si>
  <si>
    <t>000415731730 : Rev sweep from</t>
  </si>
  <si>
    <t>12,133.00Cr</t>
  </si>
  <si>
    <t>2,699.00Dr</t>
  </si>
  <si>
    <t>2,301.00Cr</t>
  </si>
  <si>
    <t>000415729181 : Rev sweep from</t>
  </si>
  <si>
    <t>3,239.00Cr</t>
  </si>
  <si>
    <t>000415729054 : Rev sweep from</t>
  </si>
  <si>
    <t>13,239.00Cr</t>
  </si>
  <si>
    <t>Salary For November 2003</t>
  </si>
  <si>
    <t>26,594.00Cr</t>
  </si>
  <si>
    <t>USD 5000 RT 45.50</t>
  </si>
  <si>
    <t>2,54,094.00Cr</t>
  </si>
  <si>
    <t>000415762805 :  Autosweep to</t>
  </si>
  <si>
    <t>14,094.00Cr</t>
  </si>
  <si>
    <t>738.00Dr</t>
  </si>
  <si>
    <t>000415762805 : Rev sweep from</t>
  </si>
  <si>
    <t>14,262.00Cr</t>
  </si>
  <si>
    <t>USD6000@45.3X10198791</t>
  </si>
  <si>
    <t>2,86,062.00Cr</t>
  </si>
  <si>
    <t>000415772375 :  Autosweep to</t>
  </si>
  <si>
    <t>11,062.00Cr</t>
  </si>
  <si>
    <t>Salary For December 2003</t>
  </si>
  <si>
    <t>24,422.00Cr</t>
  </si>
  <si>
    <t>000415786617 :  Autosweep to</t>
  </si>
  <si>
    <t>14,422.00Cr</t>
  </si>
  <si>
    <t>KESARI TOUR P LT</t>
  </si>
  <si>
    <t>422.00Cr</t>
  </si>
  <si>
    <t>000415786617 : Rev sweep from</t>
  </si>
  <si>
    <t>10,422.00Cr</t>
  </si>
  <si>
    <t>10,278.00Cr</t>
  </si>
  <si>
    <t>Interest: 406.00 Tax : 0.00</t>
  </si>
  <si>
    <t>10,684.00Cr</t>
  </si>
  <si>
    <t>RENEWAL TO  [000415729054]</t>
  </si>
  <si>
    <t>4,410.00Dr</t>
  </si>
  <si>
    <t>000415772375 : Rev sweep from</t>
  </si>
  <si>
    <t>10,622.00Cr</t>
  </si>
  <si>
    <t>SANTOSH MURKUTE</t>
  </si>
  <si>
    <t>18,378.00Dr</t>
  </si>
  <si>
    <t>11,689.00Cr</t>
  </si>
  <si>
    <t>ATM/CASH WDL/20040103183405/1</t>
  </si>
  <si>
    <t>311.00Dr</t>
  </si>
  <si>
    <t>14,724.00Cr</t>
  </si>
  <si>
    <t>8,393.00Cr</t>
  </si>
  <si>
    <t>000415772375 FD Closure Cr.</t>
  </si>
  <si>
    <t>13,405.00Cr</t>
  </si>
  <si>
    <t>ATM/CASH WDL/20040113181100/0</t>
  </si>
  <si>
    <t>6,405.00Cr</t>
  </si>
  <si>
    <t>11,421.00Cr</t>
  </si>
  <si>
    <t>KESARI TOURS</t>
  </si>
  <si>
    <t>3,491.00Dr</t>
  </si>
  <si>
    <t>11,566.00Cr</t>
  </si>
  <si>
    <t>ATM/CASH WDL/20040121191751/0</t>
  </si>
  <si>
    <t>1,566.00Cr</t>
  </si>
  <si>
    <t>11,604.00Cr</t>
  </si>
  <si>
    <t>IDBI</t>
  </si>
  <si>
    <t>18,396.00Dr</t>
  </si>
  <si>
    <t>11,725.00Cr</t>
  </si>
  <si>
    <t>Salary For January 2004</t>
  </si>
  <si>
    <t>25,080.00Cr</t>
  </si>
  <si>
    <t>000415818496 :  Autosweep to</t>
  </si>
  <si>
    <t>10,080.00Cr</t>
  </si>
  <si>
    <t>IDBI FLEXIBONDS</t>
  </si>
  <si>
    <t>80.00Cr</t>
  </si>
  <si>
    <t>3,651.00Dr</t>
  </si>
  <si>
    <t>5,542.00Dr</t>
  </si>
  <si>
    <t>20,374.00Dr</t>
  </si>
  <si>
    <t>000415818496: Rev Sweep From</t>
  </si>
  <si>
    <t>5,374.00Dr</t>
  </si>
  <si>
    <t>000415772375: Rev Sweep From</t>
  </si>
  <si>
    <t>14,626.00Cr</t>
  </si>
  <si>
    <t>14,725.00Cr</t>
  </si>
  <si>
    <t>ATM/CASH WDL/20040209160541/2</t>
  </si>
  <si>
    <t>4,725.00Cr</t>
  </si>
  <si>
    <t>KARTIK ELECTRONICS</t>
  </si>
  <si>
    <t>40,275.00Dr</t>
  </si>
  <si>
    <t>STAR VISION CABLE NET WORK</t>
  </si>
  <si>
    <t>12,575.00Cr</t>
  </si>
  <si>
    <t>12,637.00Cr</t>
  </si>
  <si>
    <t>12,995.00Cr</t>
  </si>
  <si>
    <t>Salary of Officer&amp;Field for Fe</t>
  </si>
  <si>
    <t>27,020.00Cr</t>
  </si>
  <si>
    <t>INT. ON ICICI BONDS 2012678837</t>
  </si>
  <si>
    <t>27,470.00Cr</t>
  </si>
  <si>
    <t>INT. ON ICICI BONDS 2012678924</t>
  </si>
  <si>
    <t>27,920.00Cr</t>
  </si>
  <si>
    <t>INT. ON ICICI BONDS 3014067111</t>
  </si>
  <si>
    <t>29,684.00Cr</t>
  </si>
  <si>
    <t>000401043279:Int.Pd:01-09-2003 to 29-02-2004</t>
  </si>
  <si>
    <t>29,865.00Cr</t>
  </si>
  <si>
    <t>000415841904 :  Autosweep to</t>
  </si>
  <si>
    <t>14,865.00Cr</t>
  </si>
  <si>
    <t>12,315.00Cr</t>
  </si>
  <si>
    <t>2,517.00Dr</t>
  </si>
  <si>
    <t>000415841904: Rev Sweep From</t>
  </si>
  <si>
    <t>12,483.00Cr</t>
  </si>
  <si>
    <t>042018/(HDF)</t>
  </si>
  <si>
    <t>13,235.00Cr</t>
  </si>
  <si>
    <t>ATM/CASH WDL/20040312190455/1</t>
  </si>
  <si>
    <t>3,235.00Cr</t>
  </si>
  <si>
    <t>000415541801: Rev Sweep From</t>
  </si>
  <si>
    <t>8,526.00Cr</t>
  </si>
  <si>
    <t>000415541394: Rev Sweep From</t>
  </si>
  <si>
    <t>13,526.00Cr</t>
  </si>
  <si>
    <t>000415541394 : Rev sweep from</t>
  </si>
  <si>
    <t>13,532.00Cr</t>
  </si>
  <si>
    <t>000415541801 : Rev sweep from</t>
  </si>
  <si>
    <t>13,539.00Cr</t>
  </si>
  <si>
    <t>BHARAT SEWING</t>
  </si>
  <si>
    <t>289.00Cr</t>
  </si>
  <si>
    <t>6,798.00Cr</t>
  </si>
  <si>
    <t>11,798.00Cr</t>
  </si>
  <si>
    <t>11,812.00Cr</t>
  </si>
  <si>
    <t>11,879.00Cr</t>
  </si>
  <si>
    <t>NAAG ENGG WORKS</t>
  </si>
  <si>
    <t>7,879.00Cr</t>
  </si>
  <si>
    <t>12,879.00Cr</t>
  </si>
  <si>
    <t>12,947.00Cr</t>
  </si>
  <si>
    <t>Salary For March 2004</t>
  </si>
  <si>
    <t>27,067.00Cr</t>
  </si>
  <si>
    <t>ATM/CASH WDL/20040401163034/0</t>
  </si>
  <si>
    <t>22,067.00Cr</t>
  </si>
  <si>
    <t>-</t>
  </si>
  <si>
    <t>BIL/NEFT/000080801175/VyomHDFC/VYOM VINAY/HDFC0000</t>
  </si>
  <si>
    <t xml:space="preserve">CMS/000779509766/BF-IC__40491262475               </t>
  </si>
  <si>
    <t xml:space="preserve">To PPF 000418155193_SR659038962                   </t>
  </si>
  <si>
    <t>MMT/IMPS/109409520616/C305 Apr2021/RTABOWA - /HDFC</t>
  </si>
  <si>
    <t>UPI/109412193708/UPI/rahulfilms28-1@/State Bank Of</t>
  </si>
  <si>
    <t xml:space="preserve">BIL/INFT/000084682034/SIP-weekly/                 </t>
  </si>
  <si>
    <t xml:space="preserve">BIL/INFT/000090720123/SIP-weekly/                 </t>
  </si>
  <si>
    <t xml:space="preserve">ATD/Auto Debit CC0xx3718                          </t>
  </si>
  <si>
    <t>UPI/110215197820/UPI/shivashanker056/Punjab Nation</t>
  </si>
  <si>
    <t>BIL/ONL/000095419708/Life Insur/LIC_VICI9913426/LI</t>
  </si>
  <si>
    <t xml:space="preserve">000413346536: Rev Sweep From                      </t>
  </si>
  <si>
    <t xml:space="preserve">000413346536: Closure Proceeds                    </t>
  </si>
  <si>
    <t xml:space="preserve">BIL/INFT/000095489039/SIP-weekly/                 </t>
  </si>
  <si>
    <t>UPI/111417143691/vegetables/8106657658@upi/ICICI B</t>
  </si>
  <si>
    <t>UPI/111417152076/paneer/shivashanker056/Punjab Nat</t>
  </si>
  <si>
    <t xml:space="preserve">BIL/INFT/000099874729/SIP-weekly/                 </t>
  </si>
  <si>
    <t xml:space="preserve">NEFT-CITIN21162679726-NOVARTIS HEALTHCARE PRIVATE LIMITED-SALARY FOR THE MONTH </t>
  </si>
  <si>
    <t xml:space="preserve">CMS/000789848946/BF-IC__40491262475               </t>
  </si>
  <si>
    <t>BIL/NEFT/000102595694/Varsha transfer/VARSHA MAH/H</t>
  </si>
  <si>
    <t>BIL/NEFT/000103685805/VyomHDFC/VYOM VINAY/HDFC0000</t>
  </si>
  <si>
    <t xml:space="preserve">BIL/INFT/000105522969/SIP-weekly/                 </t>
  </si>
  <si>
    <t>UPI/112309084288/vegetables/8106657658@upi/ICICI B</t>
  </si>
  <si>
    <t>UPI/112809397793/vegetables/8106657658@upi/ICICI B</t>
  </si>
  <si>
    <t>BIL/NEFT/000110426399/C305 May2021/RTABOWA - /HDFC</t>
  </si>
  <si>
    <t xml:space="preserve">BIL/INFT/000111578489/SIP-weekly/                 </t>
  </si>
  <si>
    <t>UPI/113109259225/UPI/rahulfilms28-1@/State Bank Of</t>
  </si>
  <si>
    <t>UPI/113111136661/bread cheese/ayyappaundru@ok/Axis</t>
  </si>
  <si>
    <t xml:space="preserve">IRM/EUR2.55@87.12GST45/INREM/20210511124443       </t>
  </si>
  <si>
    <t xml:space="preserve">BIL/INFT/000116305066/SIP-weekly/                 </t>
  </si>
  <si>
    <t>UPI/113808169758/vegetables/8106657658@upi/ICICI B</t>
  </si>
  <si>
    <t>UPI/113821274448/UPI/shivashanker056/Punjab Nation</t>
  </si>
  <si>
    <t>BIL/ONL/000117713354/Life Insur/LIC_VICI9980714/LI</t>
  </si>
  <si>
    <t xml:space="preserve">000413239370: Rev Sweep From                      </t>
  </si>
  <si>
    <t xml:space="preserve">000413239370: Closure Proceeds                    </t>
  </si>
  <si>
    <t xml:space="preserve">BIL/INFT/000120433833/SIP-weekly/                 </t>
  </si>
  <si>
    <t xml:space="preserve">NEFT-CITIN21176742028-NOVARTIS HEALTHCARE PRIVATE LIMITED-SALARY FOR THE MONTH </t>
  </si>
  <si>
    <t>BIL/NEFT/000121478005/Varsha transfer/VARSHA MAH/H</t>
  </si>
  <si>
    <t xml:space="preserve">CMS/000800489035/BF-IC__40491262475               </t>
  </si>
  <si>
    <t xml:space="preserve">BIL/INFT/000124827394/SIP-weekly/                 </t>
  </si>
  <si>
    <t>BIL/NEFT/000125901667/VyomHDFC/VYOM VINAY/HDFC0000</t>
  </si>
  <si>
    <t>MMT/IMPS/115417126825/C305 June2021/RTABOWA - /HDF</t>
  </si>
  <si>
    <t>UPI/115500002365/c305 may2021/rahulfilms28-1@/Stat</t>
  </si>
  <si>
    <t xml:space="preserve">BIL/INFT/000131323954/SIP-weekly/                 </t>
  </si>
  <si>
    <t>UPI/116370821270/medicines/muralikrishanna/Kotak M</t>
  </si>
  <si>
    <t>UPI/116370854119/medicines/muralikrishanna/Kotak M</t>
  </si>
  <si>
    <t xml:space="preserve">BIL/INFT/000136550869/SIP-weekly/                 </t>
  </si>
  <si>
    <t>UPI/116926241482/vegetables/8106657658@upi/ICICI B</t>
  </si>
  <si>
    <t>UPI/117036975858/vegetables/8106657658@upi/ICICI B</t>
  </si>
  <si>
    <t xml:space="preserve">BIL/INFT/000141205673/SIP-weekly/                 </t>
  </si>
  <si>
    <t>UPI/117263477456/milk c305 may20/shivashanker056/P</t>
  </si>
  <si>
    <t>UPI/117366821023/vegetables/8106657658@upi/ICICI B</t>
  </si>
  <si>
    <t>UPI/117478332493/flowers/8106657658@upi/ICICI Bank</t>
  </si>
  <si>
    <t xml:space="preserve">NEFT-CITIN21192536940-NOVARTIS HEALTHCARE PRIVATE LIMITED-SALARY FOR THE MONTH </t>
  </si>
  <si>
    <t>MMT/IMPS/117615810819/Varsha transfer/VARSHA MAH/H</t>
  </si>
  <si>
    <t xml:space="preserve">CMS/000812761008/BF-IC__40491262475               </t>
  </si>
  <si>
    <t xml:space="preserve">BIL/INFT/000145693507/SIP-weekly/                 </t>
  </si>
  <si>
    <t xml:space="preserve">CMS/000813052622/ICICIPRULIFEINS__21131016        </t>
  </si>
  <si>
    <t xml:space="preserve">000401043279:Int.Pd:30-03-2021 to 29-06-2021      </t>
  </si>
  <si>
    <t>UPI/118151574305/vegetables/8106657658@upi/ICICI B</t>
  </si>
  <si>
    <t>BIL/NEFT/000148296012/VyomHDFC/VYOM VINAY/HDFC0000</t>
  </si>
  <si>
    <t>MMT/IMPS/118419571867/C305 July2021/RTABOWA - /HDF</t>
  </si>
  <si>
    <t>UPI/118499905604/c305 car wash j/rahulfilms28@ok/K</t>
  </si>
  <si>
    <t xml:space="preserve">BIL/INFT/000152168719/SIP-weekly/                 </t>
  </si>
  <si>
    <t>UPI/118724658158/vegetables/8106657658@upi/ICICI B</t>
  </si>
  <si>
    <t>UPI/119069699961/small contribut/sudhakar0143-3@/P</t>
  </si>
  <si>
    <t xml:space="preserve">BIL/INFT/000158054927/SIP-weekly/                 </t>
  </si>
  <si>
    <t>UPI/119641382985/UPI/shivashanker056/Punjab Nation</t>
  </si>
  <si>
    <t xml:space="preserve">BIL/INFT/000163019877/SIP-weekly/                 </t>
  </si>
  <si>
    <t>UPI/120189384817/vegetables/8106657658@upi/ICICI B</t>
  </si>
  <si>
    <t xml:space="preserve">CMS/000824377214/ICICIPRULIFEINS__24511656        </t>
  </si>
  <si>
    <t xml:space="preserve">BIL/INFT/000167576711/SIP-weekly/                 </t>
  </si>
  <si>
    <t>UPI/120755721058/vegetables/8106657658@upi/ICICI Bank/ICIf64833baffcd4da6bce8c1</t>
  </si>
  <si>
    <t xml:space="preserve">NEFT-CITIN21207999722-NOVARTIS HEALTHCARE PRIVATE LIMITED-SALARY FOR THE MONTH </t>
  </si>
  <si>
    <t>MMT/IMPS/120715766907/Varsha transfer/VARSHA MAH/H</t>
  </si>
  <si>
    <t>UPI/120867501514/vegetables/8106657658@upi/ICICI Bank/ICI566e33a2ab9f4dccb8d00d</t>
  </si>
  <si>
    <t xml:space="preserve">CMS/000826626105/BF-IC__40491262475               </t>
  </si>
  <si>
    <t>UPI/120978267848/vegetables/8106657658@upi/ICICI Bank/ICI0e5f27c953b3491691f4db</t>
  </si>
  <si>
    <t xml:space="preserve">CMS/000826925114/ICICIPRULIFEINS__21131016        </t>
  </si>
  <si>
    <t>BIL/NEFT/000172387234/VyomHDFC/VYOM VINAY/HDFC0000</t>
  </si>
  <si>
    <t xml:space="preserve">BIL/INFT/000173318967/SIP-weekly/                 </t>
  </si>
  <si>
    <t>UPI/121440468052/vegetables/8106657658@upi/ICICI Bank/ICI8890ccbed46d487885114b</t>
  </si>
  <si>
    <t>MMT/IMPS/121409995960/C305 August2021/RTABOWA - /H</t>
  </si>
  <si>
    <t>UPI/121553606694/vegetables/8106657658@upi/ICICI Bank/ICI872d8810e3554368acbfa6</t>
  </si>
  <si>
    <t>UPI/121674696796/c305 july2021 c/rahulfilms28-1@/State Bank Of I/ICIbb33a4cb1b4</t>
  </si>
  <si>
    <t>UPI/121784419171/c305 milk July/shivashanker056/Punjab National/ICId7cc77598640</t>
  </si>
  <si>
    <t xml:space="preserve">BIL/INFT/000179818158/SIP-weekly/                 </t>
  </si>
  <si>
    <t>UPI/122474451187/vegetables/8106657658@upi/ICICI Bank/ICI4a9e66140c304e44b411fd</t>
  </si>
  <si>
    <t xml:space="preserve">BIL/INFT/000185169197/SIP-weekly/                 </t>
  </si>
  <si>
    <t>UPI/122824515420/vegetables/8106657658@upi/ICICI Bank/ICI2e24c5cc91a74e40a358a5</t>
  </si>
  <si>
    <t>UPI/122824533896/flowers/8106657658@upi/ICICI Bank/ICI97be4536fad2409abf98616a2</t>
  </si>
  <si>
    <t xml:space="preserve">CMS/000839319555/ICICIPRULIFEINS__24511656        </t>
  </si>
  <si>
    <t xml:space="preserve">BIL/INFT/000189709846/SIP-weekly/                 </t>
  </si>
  <si>
    <t>UPI/123731075363/vegetables/8106657658@upi/ICICI Bank/ICIc66795a0f5e24a8f9cb65f</t>
  </si>
  <si>
    <t xml:space="preserve">NEFT-CITIN21225139324-NOVARTIS HEALTHCARE PRIVATE LIMITED-SALARY FOR THE MONTH </t>
  </si>
  <si>
    <t>BIL/NEFT/000192254705/Varsha transfer/VARSHA MAH/H</t>
  </si>
  <si>
    <t xml:space="preserve">CMS/000842108379/ICICIPRULIFEINS__21131016        </t>
  </si>
  <si>
    <t xml:space="preserve">CMS/000841992755/BF-IC__40491262475               </t>
  </si>
  <si>
    <t xml:space="preserve">BIL/INFT/000194454402/SIP-weekly/                 </t>
  </si>
  <si>
    <t>MMT/IMPS/124216985353/Varsha Mahajan/SUNRAYS BI/UT</t>
  </si>
  <si>
    <t>MMT/IMPS/124216997818/Vinay Mahajan/SUNRAYS BI/UTI</t>
  </si>
  <si>
    <t>BIL/NEFT/000196318004/VyomHDFC/VYOM VINAY/HDFC0000</t>
  </si>
  <si>
    <t>BIL/NEFT/000199349927/HDFC transfer/Vinay Nara/HDF</t>
  </si>
  <si>
    <t>UPI/124757326023/UPI/rahulfilms28@ok/Kotak Mahindra /ICI43fe9cb9a3e2411ab43e50f</t>
  </si>
  <si>
    <t>UPI/124873926152/vegetables/paytmqr28100505/Paytm Payments /ICI63c2879e738040fa</t>
  </si>
  <si>
    <t>UPI/124887053589/UPI/goog-payment@ok/Axis Bank Ltd./AXIabca98438db24d7ca9a56975</t>
  </si>
  <si>
    <t xml:space="preserve">BIL/INFT/000201264699/SIP-weekly/                 </t>
  </si>
  <si>
    <t>UPI/124985319757/vegetables/8106657658@upi/ICICI Bank/ICI57bdbb1f422249758e6804</t>
  </si>
  <si>
    <t>MMT/IMPS/124918887437/C305 Sept2021/RTABOWA - /HDF</t>
  </si>
  <si>
    <t>UPI/125011705393/c305 milk augus/shivashanker056/Punjab National/ICI9abe3ca0d27</t>
  </si>
  <si>
    <t>UPI/125117596763/Godrej Venktesh/karadavenkatesh/Bank of India/ICIff5056de02a94</t>
  </si>
  <si>
    <t>UPI/125122874638/photos/chandu.babu4525/State Bank Of I/ICI68f11e747202440f8eaf</t>
  </si>
  <si>
    <t xml:space="preserve">CMS/ CMS2119268674/BIRLA SUNLIFE MUTUAL FUND      </t>
  </si>
  <si>
    <t>BIL/NEFT/000204147155/Varsha transfer/VARSHA MAH/H</t>
  </si>
  <si>
    <t>UPI/125456288177/vegetables/8106657658@upi/ICICI Bank/ICI0ba5ad7cb2a3479daa469d</t>
  </si>
  <si>
    <t xml:space="preserve">BIL/INFT/000206744506/SIP-weekly/                 </t>
  </si>
  <si>
    <t>UPI/126035513182/vegetables/8106657658@upi/ICICI Bank/ICI4d88123d15c141198a7c72</t>
  </si>
  <si>
    <t>UPI/126148356860/paneer/7989495557@axl/Punjab National/ICI54629b3af49641acb6724</t>
  </si>
  <si>
    <t xml:space="preserve">BIL/INFT/000211577352/SIP-weekly/                 </t>
  </si>
  <si>
    <t xml:space="preserve">CMS/000855212144/ICICIPRULIFEINS__24511656        </t>
  </si>
  <si>
    <t>UPI/126726467722/vegetables/8106657658@upi/ICICI Bank/ICI6227df6818174501ae9693</t>
  </si>
  <si>
    <t xml:space="preserve">NEFT-CITIN21241808321-NOVARTIS HEALTHCARE PRIVATE LIMITED-SALARY FOR THE MONTH </t>
  </si>
  <si>
    <t>BIL/NEFT/000214842413/Varsha HDFC/VARSHA MAH/HDFC0</t>
  </si>
  <si>
    <t xml:space="preserve">BIL/INFT/000216305641/SIP-weekly/                 </t>
  </si>
  <si>
    <t xml:space="preserve">CMS/000857940459/BF-IC__40491262475               </t>
  </si>
  <si>
    <t>UPI/127179470044/vegetables/8106657658@upi/ICICI Bank/ICI1c7c900a557e4ecab6ee3b</t>
  </si>
  <si>
    <t xml:space="preserve">CMS/000858428773/ICICIPRULIFEINS__21131016        </t>
  </si>
  <si>
    <t xml:space="preserve">000401043279:Int.Pd:30-06-2021 to 29-09-2021      </t>
  </si>
  <si>
    <t>50400077385202- RD INSTALLMENT-SEP 2016</t>
  </si>
  <si>
    <t>50400053242578- RD INSTALLMENT-SEP 2016</t>
  </si>
  <si>
    <t>IB BILLPAY DR-HDFCSI-485498XXXXXX1570</t>
  </si>
  <si>
    <t>50400078278770- RD INSTALLMENT-SEP 2016</t>
  </si>
  <si>
    <t>CREDIT INTEREST CAPITALISED</t>
  </si>
  <si>
    <t>TAX RECOVERY FOR RD A/C 50400077385202</t>
  </si>
  <si>
    <t>50400077385202- RD INSTALLMENT-OCT 2016</t>
  </si>
  <si>
    <t>PROGRAMMANAGEMENT FEE JUL-SEP16 121016</t>
  </si>
  <si>
    <t>TAX RECOVERY FOR RD A/C 50400053242578</t>
  </si>
  <si>
    <t>MATURED RD. TRANSFER CR 50400053242578</t>
  </si>
  <si>
    <t>TAX RECOVERY FOR RD A/C 50400078278770</t>
  </si>
  <si>
    <t>50400078278770- RD INSTALLMENT-OCT 2016</t>
  </si>
  <si>
    <t>EXC PYMT TRS - 4854 XXXX XXXX 1570</t>
  </si>
  <si>
    <t>50400077385202- RD INSTALLMENT-NOV 2016</t>
  </si>
  <si>
    <t>50400078278770- RD INSTALLMENT-NOV 2016</t>
  </si>
  <si>
    <t>50400077385202- RD INSTALLMENT-DEC 2016</t>
  </si>
  <si>
    <t>50400078278770- RD INSTALLMENT-DEC 2016</t>
  </si>
  <si>
    <t>50400077385202- RD INSTALLMENT-JAN 2017</t>
  </si>
  <si>
    <t>PROGRAMMANAGEMENT FEE OCT-DEC16 160117</t>
  </si>
  <si>
    <t>50400078278770- RD INSTALLMENT-JAN 2017</t>
  </si>
  <si>
    <t>NEFT CR-ICIC0SF0002-VINAY N MAHAJAN - NARAYAN L MAHAJAN-VINAY NARAYAN MAHAJAN-1138943555</t>
  </si>
  <si>
    <t>50400077385202- RD INSTALLMENT-FEB 2017</t>
  </si>
  <si>
    <t>50400078278770- RD INSTALLMENT-FEB 2017</t>
  </si>
  <si>
    <t>50400077385202- RD INSTALLMENT-MAR 2017</t>
  </si>
  <si>
    <t>50400078278770- RD INSTALLMENT-MAR 2017</t>
  </si>
  <si>
    <t>50400077385202- RD INSTALLMENT-APR 2017</t>
  </si>
  <si>
    <t>CHQ DEP - MICR 8 CLEARING - MUMBAI CLEAR</t>
  </si>
  <si>
    <t>50400078278770- RD INSTALLMENT-APR 2017</t>
  </si>
  <si>
    <t>50400077385202- RD INSTALLMENT-MAY 2017</t>
  </si>
  <si>
    <t>PROGRAMMANAGEMENT FEE JAN-MAR17 070517</t>
  </si>
  <si>
    <t>50400078278770- RD INSTALLMENT-MAY 2017</t>
  </si>
  <si>
    <t>50400077385202- RD INSTALLMENT-JUN 2017</t>
  </si>
  <si>
    <t>50400078278770- RD INSTALLMENT-JUN 2017</t>
  </si>
  <si>
    <t>50400077385202- RD INSTALLMENT-JUL 2017</t>
  </si>
  <si>
    <t>50400078278770- RD INSTALLMENT-JUL 2017</t>
  </si>
  <si>
    <t>50400077385202- RD INSTALLMENT-AUG 2017</t>
  </si>
  <si>
    <t>50400078278770- RD INSTALLMENT-AUG 2017</t>
  </si>
  <si>
    <t>50400077385202- RD INSTALLMENT-SEP 2017</t>
  </si>
  <si>
    <t>50400078278770- RD INSTALLMENT-SEP 2017</t>
  </si>
  <si>
    <t>NEFT CR-ICIC0SF0002-VINAY N MAHAJAN - NARAYAN L MAHAJAN-VINAY NARAYAN MAHAJAN-1305258347</t>
  </si>
  <si>
    <t>MATURED RD. TRANSFER CR 50400077385202</t>
  </si>
  <si>
    <t>IB RD OPENING DR-50400102032772</t>
  </si>
  <si>
    <t>02231000013677  -TPT-AR RAHMAN SHOW</t>
  </si>
  <si>
    <t>MATURED RD. TRANSFER CR 50400078278770</t>
  </si>
  <si>
    <t>50400102032772- RD INSTALLMENT-NOV 2017</t>
  </si>
  <si>
    <t>09301140023610  -TPT-DELL LAPTOP RECOVERY</t>
  </si>
  <si>
    <t>50400102032772- RD INSTALLMENT-DEC 2017</t>
  </si>
  <si>
    <t>00011140014747  -TPT-VISHAKAPATNAM TRIP</t>
  </si>
  <si>
    <t>NEFT CR-BOFA0MM6205-KAUSTUBH AGASHE-VINAY MAHAJAN-1813G0920K6X3222</t>
  </si>
  <si>
    <t>TAX RECOVERY FOR RD A/C 50400102032772</t>
  </si>
  <si>
    <t>50400102032772- RD INSTALLMENT-JAN 2018</t>
  </si>
  <si>
    <t>50400102032772- RD INSTALLMENT-FEB 2018</t>
  </si>
  <si>
    <t>50400102032772- RD INSTALLMENT-MAR 2018</t>
  </si>
  <si>
    <t>CHQ PAID-MICR CTS-CH-THE   FUTURE  KIDS</t>
  </si>
  <si>
    <t>IMPS-808910295908-VINAY N MAHAJAN &amp; NA-HDFC-XXXXXXXX3279-HDFC TRANSFER</t>
  </si>
  <si>
    <t>IMPS-809210809108-VINAY N MAHAJAN &amp; NA-HDFC-XXXXXXXX3279-HDFC TRANSFER</t>
  </si>
  <si>
    <t>50400102032772- RD INSTALLMENT-APR 2018</t>
  </si>
  <si>
    <t>50400102032772- RD INSTALLMENT-MAY 2018</t>
  </si>
  <si>
    <t>50400102032772- RD INSTALLMENT-JUN 2018</t>
  </si>
  <si>
    <t>50400102032772- RD INSTALLMENT-JUL 2018</t>
  </si>
  <si>
    <t>50400102032772- RD INSTALLMENT-AUG 2018</t>
  </si>
  <si>
    <t>50400102032772- RD INSTALLMENT-SEP 2018</t>
  </si>
  <si>
    <t>50400102032772- RD INSTALLMENT-OCT 2018</t>
  </si>
  <si>
    <t>50400102032772- RD INSTALLMENT-NOV 2018</t>
  </si>
  <si>
    <t>50400102032772- RD INSTALLMENT-DEC 2018</t>
  </si>
  <si>
    <t>NEFT CR-ICIC0SF0002-VINAY N MAHAJAN - NARAYAN L MAHAJAN-VINAY NARAYAN MAHAJAN-1605395215</t>
  </si>
  <si>
    <t>MATURED RD. TRANSFER CR 50400102032772</t>
  </si>
  <si>
    <t>CC 000485498XXXXXX1570 AUTOPAY SI-TAD</t>
  </si>
  <si>
    <t>RD THROUGH NET-50400136867220  :VINAY NARAYAN MAHAJAN</t>
  </si>
  <si>
    <t>50400136867220- RD INSTALLMENT-MAR 2019</t>
  </si>
  <si>
    <t>50400136867220- RD INSTALLMENT-APR 2019</t>
  </si>
  <si>
    <t>50400136867220- RD INSTALLMENT-MAY 2019</t>
  </si>
  <si>
    <t>50400136867220- RD INSTALLMENT-JUN 2019</t>
  </si>
  <si>
    <t>50400136867220- RD INSTALLMENT-JUL 2019</t>
  </si>
  <si>
    <t>50400136867220- RD INSTALLMENT-AUG 2019</t>
  </si>
  <si>
    <t>50400136867220- RD INSTALLMENT-SEP 2019</t>
  </si>
  <si>
    <t>50400136867220- RD INSTALLMENT-OCT 2019</t>
  </si>
  <si>
    <t>50400136867220- RD INSTALLMENT-NOV 2019</t>
  </si>
  <si>
    <t>50400136867220- RD INSTALLMENT-DEC 2019</t>
  </si>
  <si>
    <t>50400136867220- RD INSTALLMENT-JAN 2020</t>
  </si>
  <si>
    <t>50400136867220- RD INSTALLMENT-FEB 2020</t>
  </si>
  <si>
    <t>IMPS-005907535048-VINAY N MAHAJAN-HDFC-XXXXXXXX3279-TRANSFERTOHDFC</t>
  </si>
  <si>
    <t>50400136867220- RD INSTALLMENT-MAR 2020</t>
  </si>
  <si>
    <t>50400136867220- RD INSTALLMENT-APR 2020</t>
  </si>
  <si>
    <t>MATURED RD. TRANSFER CR 50400136867220</t>
  </si>
  <si>
    <t>RD THROUGH NET-50400187040164  :VINAY NARAYAN MAHAJAN</t>
  </si>
  <si>
    <t>50400187040164- RD INSTALLMENT-JUN 2020</t>
  </si>
  <si>
    <t>CHQ DEP MICR 08-MUM CLG - MICR CLG - MUM</t>
  </si>
  <si>
    <t>50400187040164- RD INSTALLMENT-JUL 2020</t>
  </si>
  <si>
    <t>50400187040164- RD INSTALLMENT-AUG 2020</t>
  </si>
  <si>
    <t>50400187040164- RD INSTALLMENT-SEP 2020</t>
  </si>
  <si>
    <t>50400187040164- RD INSTALLMENT-OCT 2020</t>
  </si>
  <si>
    <t>50400187040164- RD INSTALLMENT-NOV 2020</t>
  </si>
  <si>
    <t>00151000168947-TPT-HYD FLIGHT-SACHIN DESAI</t>
  </si>
  <si>
    <t>NEFT CR-BOFA0MM6205-SUNETRA MAHAJAN-VINAY MAHAJAN-20C7M3145QCH2H21</t>
  </si>
  <si>
    <t>50400187040164- RD INSTALLMENT-DEC 2020</t>
  </si>
  <si>
    <t>50400187040164- RD INSTALLMENT-JAN 2021</t>
  </si>
  <si>
    <t>50400187040164- RD INSTALLMENT-FEB 2021</t>
  </si>
  <si>
    <t>50400187040164- RD INSTALLMENT-MAR 2021</t>
  </si>
  <si>
    <t>50400187040164- RD INSTALLMENT-APR 2021</t>
  </si>
  <si>
    <t>50400187040164- RD INSTALLMENT-MAY 2021</t>
  </si>
  <si>
    <t>50400187040164- RD INSTALLMENT-JUN 2021</t>
  </si>
  <si>
    <t>50400187040164- RD INSTALLMENT-JUL 2021</t>
  </si>
  <si>
    <t>RD THROUGH NET-50400245192222  :VINAY NARAYAN MAHAJAN</t>
  </si>
  <si>
    <t>50400245192222- RD INSTALLMENT-SEP 2021</t>
  </si>
  <si>
    <t>NEFT CR-ICIC0SF0002-VINAY N MAHAJAN-VINAY NARAYAN MAHAJAN-199349927</t>
  </si>
  <si>
    <t>BIL/NEFT/000219725865/VyomHDFC/VYOM VINAY/HDFC0000</t>
  </si>
  <si>
    <t>UPI/127536224920/vegetables/8106657658@upi/ICICI Bank/ICI9c479e32d2a64ceeaa39dd</t>
  </si>
  <si>
    <t>MMT/IMPS/127510280028/C305 Oct2021/RTABOWA - /HDFC</t>
  </si>
  <si>
    <t>UPI/127652951460/UPI/rahulfilms28-1@/HDFC BANK LTD/ICIc8da67fe552b4d1a950b0b196</t>
  </si>
  <si>
    <t>UPI/127654171194/puc/boresnaveenborr/Paytm Payments /ICI02bfae37c7c741f5be20090</t>
  </si>
  <si>
    <t xml:space="preserve">BIL/INFT/000222902122/SIP-weekly/                 </t>
  </si>
  <si>
    <t>UPI/127880942485/vegetables/8106657658@upi/ICICI Bank/ICI150b108542d0489f9103ca</t>
  </si>
  <si>
    <t>UPI/128131439053/hair cur/princerihan1246/Kotak Mahindra /ICI69d02bb9053f48fe99</t>
  </si>
  <si>
    <t xml:space="preserve">BIL/INFT/000229502827/SIP-weekly/                 </t>
  </si>
  <si>
    <t>UPI/128475530423/UPI/tirumalashivash/Punjab National/ICIdc9388acbede4096aea8b8b</t>
  </si>
  <si>
    <t xml:space="preserve">BIL/INFT/000234398030/SIP-weekly/                 </t>
  </si>
  <si>
    <t>UPI/129405962128/rtpcr COVID/mswipe.14002111/Kotak Mahindra /ICI41d59bd5eb5341e</t>
  </si>
  <si>
    <t xml:space="preserve">CMS/000870436108/ICICIPRULIFEINS__24511656        </t>
  </si>
  <si>
    <t>UPI/129646333147/papers/gpay-1118215007/Axis Bank Ltd./ICI03cafa47c40440ec8728d</t>
  </si>
  <si>
    <t xml:space="preserve">BIL/INFT/000239271063/SIP-weekly/                 </t>
  </si>
  <si>
    <t xml:space="preserve">NEFT-CITIN21259136451-NOVARTIS HEALTHCARE PRIVATE LIMITED-SALARY FOR THE MONTH </t>
  </si>
  <si>
    <t>BIL/NEFT/000240566245/Varsha HDFC/VARSHA MAH/HDFC0</t>
  </si>
  <si>
    <t>UPI/130001959058/tape/gpay-1117477188/Axis Bank Ltd./ICI221e73d9e2f64ee48e9561d</t>
  </si>
  <si>
    <t xml:space="preserve">CMS/000873049349/BF-IC__40491262475               </t>
  </si>
  <si>
    <t xml:space="preserve">CMS/000873524003/ICICIPRULIFEINS__21131016        </t>
  </si>
  <si>
    <t>BIL/NEFT/000245206954/VyomHDFC/VYOM VINAY/HDFC0000652</t>
  </si>
  <si>
    <t>BIL/INFT/000245210157/SIP-weekly/ VINAY NARAYAN M</t>
  </si>
  <si>
    <t>MMT/IMPS/130617697188/C305 Nov2021/RTABOWA - /HDFC0000968</t>
  </si>
  <si>
    <t>UPI/130700643871/UPI/rahulfilms28-1@/HDFC BANK LTD/ICI7b2633a44bdf4ff7b2e9575e0abd16fc/</t>
  </si>
  <si>
    <t>BIL/INFT/000251484313/SIP-weekly/ VINAY NARAYAN M</t>
  </si>
  <si>
    <t>UPI/131744336663/medicines/muralikrishanna/Kotak Mahindra /ICI1ac531e1309440e19dade524f221c005/</t>
  </si>
  <si>
    <t>UPI/131754386636/c305 milk oct20/tirumalashivash/Punjab National/ICIfee4d0e54d094755bd4a5852f3f1a329</t>
  </si>
  <si>
    <t>BIL/INFT/000256802354/SIP-weekly/ VINAY NARAYAN M</t>
  </si>
  <si>
    <t>UPI/131969215040/vegetables/8106657658@upi/ICICI Bank/ICI84289654abb142ea9c9e801f3f5e87f0/</t>
  </si>
  <si>
    <t>UPI/132085026530/washing machine/jammulamallesh1/Indian Bank/ICI7b49318180fb475597a6a91af2da5ef5/</t>
  </si>
  <si>
    <t>UPI/132324584359/vegetables/8106657658@upi/ICICI Bank/ICI3a666569005a47fc99c9772a54e8a937/</t>
  </si>
  <si>
    <t>BIL/INFT/000261457221/SIP-weekly/ VINAY NARAYAN M</t>
  </si>
  <si>
    <t>CMS/000886442337/ICICIPRULIFEINS__24511656</t>
  </si>
  <si>
    <t>UPI/132777667106/vegetables/8106657658@upi/ICICI Bank/ICI0030bdf17dee45d9965d40e4e8f9a469/</t>
  </si>
  <si>
    <t>NEFT-CITIN21276746629-NOVARTIS HEALTHCARE PRIVATELIMITED-SALARY FOR THE MONTH OF 2021NOV-000987704</t>
  </si>
  <si>
    <t>BIL/NEFT/000264854112/Varsha transfer/VARSHA MAH/HDFC0009095</t>
  </si>
  <si>
    <t>CMS/000889055945/BF-IC__40491262475</t>
  </si>
  <si>
    <t>BIL/INFT/000266427962/SIP-weekly/ VINAY NARAYAN M</t>
  </si>
  <si>
    <t>CMS/000889477123/ICICIPRULIFEINS__21131016</t>
  </si>
  <si>
    <t>UPI/133474604769/vegetables/8106657658@upi/ICICI Bank/ICIc77503622c7d4e6c897165cd1dbf965c/</t>
  </si>
  <si>
    <t>BIL/NEFT/000268452449/VyomHDFC/VYOM VINAY/HDFC0000652</t>
  </si>
  <si>
    <t>UPI/133619791539/UPI/rahulfilms28-1@/HDFC BANK LTD/ICI23c30e6d02a04c5c87dc618948d7fb9d/</t>
  </si>
  <si>
    <t>UPI/133721939626/vegetables/8106657658@upi/ICICI Bank/ICI8e9993010ff848d3bb1c29a29b5d7235/</t>
  </si>
  <si>
    <t>BIL/NEFT/000270984865/C305 Dec2021/RTABOWA   /HDFC0000968</t>
  </si>
  <si>
    <t>UPI/133729759116/pav/ayyappaundru1@y/Union Bank of I/ICI41e9a51aff7a4c9b801f1d74a721493b/</t>
  </si>
  <si>
    <t>UPI/133737984247/Earned for usin/goog-payment@ok/Axis Bank Ltd./AXI1bdd9d24aeaf4d548500529265e18d83</t>
  </si>
  <si>
    <t>UPI/133837006025/rtpcr/q561061190@ybl/Yes Bank Ltd/ICI502b86bb889f49189b47a3f7649629f5/</t>
  </si>
  <si>
    <t>UPI/133959978418/Ola cab/manikantray.srs/Paytm Payments /ICIf073b4e522b6496d94b969ba6acb6000/</t>
  </si>
  <si>
    <t>BIL/INFT/000273333934/SIP-weekly/ VINAY NARAYAN M</t>
  </si>
  <si>
    <t>MPS/DR VIDYADHA/202112111752/037158/THANE</t>
  </si>
  <si>
    <t>BIL/INFT/000278906084/SIP-weekly/ VINAY NARAYAN M</t>
  </si>
  <si>
    <t>UPI/135265406010/UPI/tirumalashivash/Punjab National/ICI7a5f5af0e5934c9a81778114a925051e/</t>
  </si>
  <si>
    <t>BIL/INFT/000283734466/SIP-weekly/ VINAY NARAYAN M</t>
  </si>
  <si>
    <t>NEFT-CITIN21290546338-SODEXO INDIA SERVICES P L-DISB A/C--0017711016-CITI0100000</t>
  </si>
  <si>
    <t>CMS/000902195898/ICICIPRULIFEINS__24511656</t>
  </si>
  <si>
    <t>NEFT-CITIN21292596868-NOVARTIS HEALTHCARE PRIVATELIMITED-SALARY FOR THE MONTH OF DEC21-0009877045-</t>
  </si>
  <si>
    <t>BIL/NEFT/000287145933/Varsha transfer/VARSHA MAH/HDFC0009095</t>
  </si>
  <si>
    <t>BIL/INFT/000288556421/SIP-weekly/ VINAY NARAYAN M</t>
  </si>
  <si>
    <t>CMS/000905108132/BF-IC__40491262475</t>
  </si>
  <si>
    <t>CMS/000905324319/ICICIPRULIFEINS__21131016</t>
  </si>
  <si>
    <t>000401043279:Int.Pd:30-09-2021 to 30-12-2021</t>
  </si>
  <si>
    <t>BIL/NEFT/000292724209/VyomHDFC/VYOM VINAY/HDFC0000652</t>
  </si>
  <si>
    <t>BIL/INFT/000294575911/SIP-weekly/ VINAY NARAYAN M</t>
  </si>
  <si>
    <t>UPI/200396972261/c305 car wash d/rahulfilms28-1@/State Bank Of I/ICIe5c0b8ba683340faba46bd8ed6696a5d</t>
  </si>
  <si>
    <t>UPI/200390579051/Earned for usin/goog-payment@ok/Axis Bank Ltd./AXI6fee3d34485046f1bf76ec8865ef5333</t>
  </si>
  <si>
    <t>MMT/IMPS/200318057661/C305 Jan2022/RTABOWA - /HDFC0000968</t>
  </si>
  <si>
    <t>MMT/IMPS/200510915263/HDFC transfer/Vinay Nara/HDFC0000652</t>
  </si>
  <si>
    <t>000413050877: Rev Sweep From</t>
  </si>
  <si>
    <t>000413050877: Closure Proceeds</t>
  </si>
  <si>
    <t>BIL/INFT/000300862174/SIP-weekly/ VINAY NARAYAN M</t>
  </si>
  <si>
    <t>UPI/201006213706/vegetables/8106657658@upi/ICICI Bank/ICI794fb3b30e6546e5ab237c1b9b218729/</t>
  </si>
  <si>
    <t>UPI/201122298142/vegetables/8106657658@upi/ICICI Bank/ICI8183b062f2334d3a8b71c7c0bbe68186/</t>
  </si>
  <si>
    <t>UPI/201239092528/vegetables/8106657658@upi/ICICI Bank/ICI328f962d77ca43e7ae9c1b058bf41e52/</t>
  </si>
  <si>
    <t>UPI/201239107729/flowers/8106657658@upi/ICICI Bank/ICI46401c712005480590d9fafe5363bc80/</t>
  </si>
  <si>
    <t>BIL/ONL/000303153680/LIFEINSURA/202201122706892/LIC premium</t>
  </si>
  <si>
    <t>UPI/201247215865/UPI/tirumalashivash/Punjab National/ICI9fdacfa6449848e3b20f7d0d96c91f90/</t>
  </si>
  <si>
    <t>000413239370: Rev Sweep From</t>
  </si>
  <si>
    <t>000413239370: Closure Proceeds</t>
  </si>
  <si>
    <t>BIL/INFT/000305816828/SIP-weekly/ VINAY NARAYAN M</t>
  </si>
  <si>
    <t>UPI/201707260115/vegetables/8106657658@upi/ICICI Bank/ICI08442b903c9142e4ba4f74c7a82af6d4/</t>
  </si>
  <si>
    <t>CMS/000916589571/ICICIPRULIFEINS__32141601</t>
  </si>
  <si>
    <t>UPI/202052273466/UPI/yyashaswi123@ok/Punjab National/ICI6d23ab5e3073469b9ed779aa635a235b/</t>
  </si>
  <si>
    <t>UPI/202164439100/vegetables/8106657658@upi/ICICI Bank/ICIdd1ad4fc491e4ef69cfc490b6f211503/</t>
  </si>
  <si>
    <t>CMS/000918816402/ICICIPRULIFEINS__24511656</t>
  </si>
  <si>
    <t>UPI/202285077049/milk/7989495557@upi/Punjab National/ICI7f449fb8536948d7842e3b1442ac8c74/</t>
  </si>
  <si>
    <t>UPI/202394485875/tube lights/damalagopi140-1/Union Bank of I/ICIa561372504d54899b5705646e8c85747/</t>
  </si>
  <si>
    <t>BIL/INFT/000310398557/SIP-weekly/ VINAY NARAYAN M</t>
  </si>
  <si>
    <t>UPI/202405003459/vegetables/8106657658@upi/ICICI Bank/ICI402434fbdd814d25b1897097a2590c07/</t>
  </si>
  <si>
    <t>UPI/202519055723/vegetables/8106657658@upi/ICICI Bank/ICI82040bd58c7b4202a24585b1e3e3e8ad/</t>
  </si>
  <si>
    <t>NEFT-CITIN22211761197-NOVARTIS HEALTHCARE PRIVATELIMITED-SALARY FOR THE MONTH OF JAN 22-0009877045</t>
  </si>
  <si>
    <t>BIL/NEFT/000311955651/Varsha transfer/VARSHA MAH/HDFC0009095</t>
  </si>
  <si>
    <t>CMS/000921471004/BF-IC__40491262475</t>
  </si>
  <si>
    <t>CMS/000921722895/ICICIPRULIFEINS__21131016</t>
  </si>
  <si>
    <t>UPI/203090303275/curd c305/7989495557@upi/Punjab National/ICI1ce9554e84ad41118e3a00e3557c2d85/</t>
  </si>
  <si>
    <t>BIL/INFT/000315234101/SIP-weekly/ VINAY NARAYAN M</t>
  </si>
  <si>
    <t>BIL/NEFT/000316398028/VyomHDFC/VYOM VINAY/HDFC0000652</t>
  </si>
  <si>
    <t>UPI/203221214611/curd c305/7989495557@upi/Punjab National/ICIaf7d289ace8d4f84af9fafdd9741044d/</t>
  </si>
  <si>
    <t>UPI/203333906733/car wash c305 j/rahulfilms28-1@/State Bank Of I/ICI83d15b8dcbbd4e6185ffc3a0360bfe59</t>
  </si>
  <si>
    <t>IRM/EUR63.87@82.32GST45/INREM/20220202115232</t>
  </si>
  <si>
    <t>MMT/IMPS/203510687845/C305 Feb2022/RTABOWA - /HDFC0000968</t>
  </si>
  <si>
    <t>BIL/INFT/000322102965/SIP-weekly/ VINAY NARAYAN M</t>
  </si>
  <si>
    <t>UPI/203810366011/vegetables/8106657658@upi/ICICI Bank/ICI293420e1774f4dfd993ec2b736ade0ae/</t>
  </si>
  <si>
    <t>UPI/203925918019/curd/7989495557@upi/Punjab National/ICId52ed3126ab64573b41cdf18029a5b88/</t>
  </si>
  <si>
    <t>UPI/204268980394/vegetables/8106657658@upi/ICICI Bank/ICIedf0ab2b1f6241128e92547d7faf807b/</t>
  </si>
  <si>
    <t>UPI/204269133273/paneer/7989495557@upi/Punjab National/ICIc201670c6a2e46e78dac1b0c5d5efe82/</t>
  </si>
  <si>
    <t>UPI/204389619416/vegetables/8106657658@upi/ICICI Bank/ICI9a5e37925b054147908a115f74b08e8d/</t>
  </si>
  <si>
    <t>UPI/204496964066/paneer/7989495557@upi/Punjab National/ICIfd6676e727f640bb93c8650ea650b2e2/</t>
  </si>
  <si>
    <t>UPI/204497059712/c305 milk Jan20/7989495557@upi/Punjab National/ICIad673e7aa4624d6e844ccd292067ecc2/</t>
  </si>
  <si>
    <t>BIL/INFT/000327430047/SIP-weekly/ VINAY NARAYAN M</t>
  </si>
  <si>
    <t>UPI/204508137283/vegetables/8106657658@upi/ICICI Bank/ICI3da1c41844034786a14c925ba9b4a1b4/</t>
  </si>
  <si>
    <t>CMS/000933713830/ICICIPRULIFEINS__32141601</t>
  </si>
  <si>
    <t>UPI/204903682130/vegetables/chilverar@okaxi/KotakMahindra /ICI425746eb4d944b0083aa3241b5521939/</t>
  </si>
  <si>
    <t>UPI/205103822578/fruits/balaswamybandag/Union Bank of I/ICId868337acc454768a8fee2e27bd49b38/</t>
  </si>
  <si>
    <t>BIL/INFT/000332163131/SIP-weekly/ VINAY NARAYAN M</t>
  </si>
  <si>
    <t>CMS/000936202382/ICICIPRULIFEINS__24511656</t>
  </si>
  <si>
    <t>NEFT-CITIN22229785932-NOVARTIS HEALTHCARE PRIVATELIMITED-SALARY FOR THE MONTH OF FEB22-0009877045-</t>
  </si>
  <si>
    <t>MMT/IMPS/205711473511/Varsha transfer/VARSHA MAH/HDFC0009095</t>
  </si>
  <si>
    <t>UPI/205802337758/fruits/balaswamybandag/Union Bank of I/ICI9c18aeae8c38456c846d6f9bb24bb942/</t>
  </si>
  <si>
    <t>UPI/205842661318/UPI/goog-payment@ok/Axis Bank Ltd./AXIfaa01685981545c691ce356b0b1119ca</t>
  </si>
  <si>
    <t>CMS/000939314195/BF-IC__40491262475</t>
  </si>
  <si>
    <t>BIL/INFT/000337073118/SIP-weekly/ VINAY NARAYAN M</t>
  </si>
  <si>
    <t>CMS/000940162020/ICICIPRULIFEINS__21131016</t>
  </si>
  <si>
    <t>BIL/NEFT/000338367473/VyomHDFC/VYOM VINAY/HDFC0000652</t>
  </si>
  <si>
    <t>UPI/206103649183/vegetables/shanthammafruit/ICICIBank/ICI2edb28ee80af4291bd47c32fe4aea61b/</t>
  </si>
  <si>
    <t>UPI/206203822675/c305 car wash f/rahulfilms28-1@/HDFC BANK LTD/ICI6734e833ebe0423a8b668d6bc45d5b3a/</t>
  </si>
  <si>
    <t>MMT/IMPS/206420062315/C305 March 2022/RTABOWA - /HDFC0000968</t>
  </si>
  <si>
    <t>UPI/206503990086/fruits/balaswamybandag/Union Bank of I/ICI852a5f31449644bd8e4bfda0bb049c03/</t>
  </si>
  <si>
    <t>BIL/INFT/000344337073/SIP-weekly/ VINAY NARAYAN M</t>
  </si>
  <si>
    <t>IRM/EUR844.73@81.96GST1/INREM/20220311125209</t>
  </si>
  <si>
    <t>BIL/INFT/000350074078/SIP-weekly/ VINAY NARAYAN M</t>
  </si>
  <si>
    <t>CMS/000951197029/ICICIPRULIFEINS__32141601</t>
  </si>
  <si>
    <t>BIL/BPAY/000353894788/FastagRecharge/FSTGRCH</t>
  </si>
  <si>
    <t>UPI/207975633472/c305 milk feb 2/7989495557@upi/Punjab National/ICI2526002b49d541809a4535a60c486f59/</t>
  </si>
  <si>
    <t>BIL/INFT/000354780056/SIP-weekly/ VINAY NARAYAN M</t>
  </si>
  <si>
    <t>CMS/000953097613/ICICIPRULIFEINS__24511656</t>
  </si>
  <si>
    <t>UPI/208119013299/vegetables/paytmqr28100505/PaytmPayments /ICIb17a618a3c8f435cb018b9b5fb4e4a4b/</t>
  </si>
  <si>
    <t>NEFT-CITIN22245829871-NOVARTIS HEALTHCARE PRIVATELIMITED-SALARY FOR THE MONTH OF MAR22-0009877045-</t>
  </si>
  <si>
    <t>MMT/IMPS/208509457407/Varsha transfer/VARSHA MAH/HDFC0009095</t>
  </si>
  <si>
    <t>CMS/000956641921/BF-IC__40491262475</t>
  </si>
  <si>
    <t>BIL/INFT/000359496954/SIP-weekly/ VINAY NARAYAN M</t>
  </si>
  <si>
    <t>CMS/000957143517/ICICIPRULIFEINS__21131016</t>
  </si>
  <si>
    <t>000401043279:Int.Pd:31-12-2021 to 29-03-2022</t>
  </si>
  <si>
    <t>UPI/209018197119/milk/7989495557@upi/Punjab National/ICI2ae0aaf972cc40cb8bb0fd3e8b62e770/</t>
  </si>
  <si>
    <t>50400245192222- RD INSTALLMENT-OCT 2021</t>
  </si>
  <si>
    <t>50400245192222- RD INSTALLMENT-NOV 2021</t>
  </si>
  <si>
    <t>50400245192222- RD INSTALLMENT-DEC 2021</t>
  </si>
  <si>
    <t>50400245192222- RD INSTALLMENT-JAN 2022</t>
  </si>
  <si>
    <t>IMPS-200510915263-VINAY N MAHAJAN-ICIC-XXXXXXXX3279-HDFC TRANSFER</t>
  </si>
  <si>
    <t>50400245192222- RD INSTALLMENT-FEB 2022</t>
  </si>
  <si>
    <t>50400245192222- RD INSTALLMENT-MAR 2022</t>
  </si>
  <si>
    <t>02400350000013-610774</t>
  </si>
  <si>
    <t>BIL/NEFT/000363030191/VyomHDFC/VYOM VINAY/HDFC0000</t>
  </si>
  <si>
    <t>BIL/ONL/000364032583/Life Insur/LIC_WICI1024438/LI</t>
  </si>
  <si>
    <t>UPI/209318534643/UPI/rahulfilms28-1@/HDFC BANK LTD/ICIe28c37de804f46118e7a2c7aa</t>
  </si>
  <si>
    <t>UPI/209458938033/UPI/goog-payment@ok/Axis Bank Ltd./AXIed5cc893f1b749659654959a</t>
  </si>
  <si>
    <t xml:space="preserve">BIL/INFT/000365959509/SIP-weekly/                 </t>
  </si>
  <si>
    <t>BIL/ONL/000366077266/Greater Hy/JF7ENKL4ZYWLNV/GHM</t>
  </si>
  <si>
    <t>MMT/IMPS/209508706798/C305 Apr2022/RTABOWA - /HDFC</t>
  </si>
  <si>
    <t>UPI/209887096518/vegetables/shanthammafruit/ICICI Bank/ICIa95fbbf71fbe4105b489d</t>
  </si>
  <si>
    <t xml:space="preserve">BIL/INFT/000372147263/SIP-weekly/                 </t>
  </si>
  <si>
    <t>MMT/IMPS/210109016815/HDFC transfer/Vinay Nara/HDF</t>
  </si>
  <si>
    <t>UPI/210113626930/money transfer/pankajmahajan15/Bank of India/ICI7229b9996b064a</t>
  </si>
  <si>
    <t>UPI/RVSL210113626930/money transfer/pankajmahajan15/Bank of India/ICI7229b9996b</t>
  </si>
  <si>
    <t>UPI/210249532615/fruits/bharatpe0990547/Yes Bank Ltd/ICI095ee8cfd2b0420ea0eeaaf</t>
  </si>
  <si>
    <t>UPI/210224984303/UPI/paytm-68432793@/Paytm Payments /ICI1b5e66c8bffe453fbcf5105</t>
  </si>
  <si>
    <t>UPI/210269096622/COVID/paytmqr28100505/Paytm Payments /ICI16657ec7045e49d297b5c</t>
  </si>
  <si>
    <t>UPI/210483579355/police case fee/pankajmahajan15/Bank of India/ICI579106e6d6794</t>
  </si>
  <si>
    <t>UPI/210417941812/UPI/goog-payment@ok/Axis Bank Ltd./AXI7b256a061e51421ab09cf1d2</t>
  </si>
  <si>
    <t>UPI/210429394464/vegetables/paytmqr28100505/Paytm Payments /ICI441ee20a66144a85</t>
  </si>
  <si>
    <t>UPI/210484635352/vegetables/paytmqr28100505/Paytm Payments /ICI2ff5098e7390493b</t>
  </si>
  <si>
    <t xml:space="preserve">CMS/000968030084/ICICIPRULIFEINS__32141601        </t>
  </si>
  <si>
    <t xml:space="preserve">BIL/INFT/000376927117/SIP-weekly/                 </t>
  </si>
  <si>
    <t>UPI/210877093113/c305 milk March/7989495557@upi/Punjab National/ICI406974f3af50</t>
  </si>
  <si>
    <t>UPI/211048009149/popcorn/bharatpe.904315/ICICI Bank/ICI5cac05e971f1484484597440</t>
  </si>
  <si>
    <t xml:space="preserve">CMS/000970419707/ICICIPRULIFEINS__24511656        </t>
  </si>
  <si>
    <t>UPI/211375764055/vegetables/shanthammafruit/ICICI Bank/ICIde6b8a2e3545479a98be0</t>
  </si>
  <si>
    <t>UPI/211326373601/coconut/paytmqr28100505/Paytm Payments /ICI8b9f44ecef2e4260b2b</t>
  </si>
  <si>
    <t>UPI/211343776241/jump start/pvramesh6266@ok/Federal Bank/ICI8fce5539d9d944fe999</t>
  </si>
  <si>
    <t xml:space="preserve">BIL/INFT/000381564304/SIP-weekly/                 </t>
  </si>
  <si>
    <t xml:space="preserve">NEFT-CITIN22263238585-NOVARTIS HEALTHCARE PRIVATE LIMITED-SALARY FOR THE MONTH </t>
  </si>
  <si>
    <t>UPI/211798045288/vegetables/shanthammafruit/ICICI Bank/ICI368654e1e0964c598aff3</t>
  </si>
  <si>
    <t>UPI/211790044358/UPI/goog-payment@ok/Axis Bank Ltd./AXI0bdde5553780415a8da3088c</t>
  </si>
  <si>
    <t>MMT/IMPS/211709150830/Varsha transfer/VARSHA MAH/H</t>
  </si>
  <si>
    <t xml:space="preserve">CMS/000973081412/BF-IC__40491262475               </t>
  </si>
  <si>
    <t xml:space="preserve">CMS/000973462929/ICICIPRULIFEINS__21131016        </t>
  </si>
  <si>
    <t>UPI/211988990505/hair cut/ippozitharazimp/Yes Bank Ltd/ICI88774b3a544a4c7794fca</t>
  </si>
  <si>
    <t xml:space="preserve">BIL/000385685174/FASTAG IMOBILE/TS07EF8186        </t>
  </si>
  <si>
    <t>BIL/NEFT/000386492877/VyomHDFC/VYOM VINAY/HDFC0000</t>
  </si>
  <si>
    <t>UPI/212123152170/dishes and spoo/veerabhadreshwa/ICICI Bank/ICIea5611f92ca64098</t>
  </si>
  <si>
    <t xml:space="preserve">BIL/INFT/000387515533/SIP-weekly/                 </t>
  </si>
  <si>
    <t>UPI/212304884512/c305 car wash a/rahulfilms28@ok/Kotak Mahindra /ICI91e1669441d</t>
  </si>
  <si>
    <t>MMT/IMPS/212409469918/C305 May2022/RTABOWA - /HDFC</t>
  </si>
  <si>
    <t>UPI/212602950284/vegetables/shanthammafruit/ICICI Bank/ICIfdfd5c9ae36b4ae995dc2</t>
  </si>
  <si>
    <t xml:space="preserve">BIL/INFT/000394026135/SIP-weekly/                 </t>
  </si>
  <si>
    <t xml:space="preserve">IRM/EUR5.44@79.17GST45/INREM/20220509105521       </t>
  </si>
  <si>
    <t>UPI/212944222723/saga lakud/pankajmahajan15/Bank of India/ICI0f62023e8e3d4126a3</t>
  </si>
  <si>
    <t>UPI/213054459906/UPI/pankajmahajan15/Bank of India/ICIc6bbc9f44bd5420f9823315d8</t>
  </si>
  <si>
    <t>UPI/213534258219/mangoes/balaswamybandag/Union Bank of I/ICI5c2ea65b6ca84ea194d</t>
  </si>
  <si>
    <t xml:space="preserve">BIL/INFT/000399283024/SIP-weekly/                 </t>
  </si>
  <si>
    <t>UPI/213696079165/vegetables/shanthammafruit/ICICI Bank/ICIab4cc58ee70a40d4ab964</t>
  </si>
  <si>
    <t xml:space="preserve">CMS/000983913809/ICICIPRULIFEINS__32141601        </t>
  </si>
  <si>
    <t>UPI/214091766956/vegetables/shanthammafruit/ICICI Bank/ICIbbf037cf5ab64e5cb23ea</t>
  </si>
  <si>
    <t>UPI/214084068680/curd/7989495557@upi/Punjab National/ICIaae07cd8a8b145ed8493854</t>
  </si>
  <si>
    <t>BIL/ONL/000402173629/Life Insur/LIC_WICI1158261/LI</t>
  </si>
  <si>
    <t>UPI/214097579520/UPI/7989495557@upi/Punjab National/ICI5345ffaa190442a683944ca7</t>
  </si>
  <si>
    <t xml:space="preserve">CMS/000986437839/ICICIPRULIFEINS__24511656        </t>
  </si>
  <si>
    <t>UPI/214259512713/paneer/7989495557@upi/Punjab National/ICIf42dfe3c7d654b4697f7c</t>
  </si>
  <si>
    <t xml:space="preserve">BIL/INFT/000403832222/SIP-weekly/                 </t>
  </si>
  <si>
    <t>UPI/214380631995/vegetables/shanthammafruit/ICICI Bank/ICIb19fdf15334d4ab5a3853</t>
  </si>
  <si>
    <t>UPI/214615999157/Airtel/dattatreyayalgo/State Bank Of I/ICIad06641042a64f97aa97</t>
  </si>
  <si>
    <t xml:space="preserve">NEFT-CITIN22279414417-NOVARTIS HEALTHCARE PRIVATE LIMITED-SALARY FOR THE MONTH </t>
  </si>
  <si>
    <t>BIL/NEFT/000406364223/Varsha transfer/VARSHA MAH/H</t>
  </si>
  <si>
    <t>UPI/214979671860/mangoes/siva6961@ybl/HDFC BANK LTD/ICId91c566d6ee542898dcd7740</t>
  </si>
  <si>
    <t xml:space="preserve">CMS/000989945254/ICICIPRULIFEINS__21131016        </t>
  </si>
  <si>
    <t xml:space="preserve">CMS/000989939045/BF-IC__40491262475               </t>
  </si>
  <si>
    <t xml:space="preserve">BIL/INFT/000408450219/SIP-weekly/                 </t>
  </si>
  <si>
    <t>BIL/NEFT/000410367243/VyomHDFC/VYOM VINAY/HDFC0000</t>
  </si>
  <si>
    <t xml:space="preserve">UPI/215278742167/haircut/ippozitharazimp/Yes Bank </t>
  </si>
  <si>
    <t>MMT/IMPS/215218761303/C305 June2022/RTABOWA - /HDF</t>
  </si>
  <si>
    <t>UPI/215204445083/c305 car wash/rahulfilms28-1@/HDFC BANK LTD/ICI1230e81021ba486</t>
  </si>
  <si>
    <t>UPI/215340198014/UPI/goog-payment@ok/Axis Bank Ltd./AXI756abaf2ae674a86bf96fcf1</t>
  </si>
  <si>
    <t>RTGS-HDFCR52022060372804488-ICICI PRUDENTIAL M F-0</t>
  </si>
  <si>
    <t>UPI/215487184056/Pay to BharatPe/bharatpe.900550/Federal Bank/ICIfa46de3637434e</t>
  </si>
  <si>
    <t>UPI/215405788049/taxi/sathishj132@oks/State Bank Of I/ICI2445c53c682e4a3cbb5aab</t>
  </si>
  <si>
    <t>UPI/215593525480/subway/9944128270-1@ok/Axis Bank Ltd./ICIeb92efbd36bf4b1fa4e42</t>
  </si>
  <si>
    <t>UPI/215667540805/taxi/kavin020920-1@o/Bank of Baroda/ICI3f9bafb4113945ae89525a4</t>
  </si>
  <si>
    <t xml:space="preserve">BIL/INFT/000415253875/SIP-weekly/                 </t>
  </si>
  <si>
    <t>UPI/215742654842/vegetables/shanthammafruit/ICICI Bank/ICI8649372dd5c041d9bde5b</t>
  </si>
  <si>
    <t>UPI/216000939547/Payment for 701/decathlon@ybl/Yes Bank Ltd/ICIfb482e7087324f60</t>
  </si>
  <si>
    <t>UPI/216192077515/anjann sai/panth.boorela@o/HDFC BANK LTD/HDFb9c56f3ac2d64d42af</t>
  </si>
  <si>
    <t>UPI/216251576035/vegetables/shanthammafruit/ICICI Bank/ICIb159e2bf4edb415fb8245</t>
  </si>
  <si>
    <t xml:space="preserve">BIL/INFT/000420670795/SIP-weekly/                 </t>
  </si>
  <si>
    <t>UPI/216630978809/test/varshanbhag@okh/HDFC BANK LTD/ICIdf19fc0c2be745089e4893c9</t>
  </si>
  <si>
    <t>UPI/216697177224/booster dose/mail2gnani@okic/ICICI Bank/ICI98670ebed2f94060bf1</t>
  </si>
  <si>
    <t>UPI/216662976971/UPI/goog-payment@ok/Axis Bank Ltd./AXIce2be680257c4a5d99bded22</t>
  </si>
  <si>
    <t xml:space="preserve">CMS/001001883787/ICICIPRULIFEINS__32141601        </t>
  </si>
  <si>
    <t>UPI/216870016534/vegetables/shanthammafruit/ICICI Bank/ICI8e3d7b59a02049b192216</t>
  </si>
  <si>
    <t>UPI/216812816978/paneer/7989495557@axl/Punjab National/ICI2c2affa316a74912afede</t>
  </si>
  <si>
    <t>UPI/216911141065/curd/7989495557@axl/Punjab National/ICI5c56064f655c49fe940e0e3</t>
  </si>
  <si>
    <t xml:space="preserve">BIL/INFT/000425381587/SIP-weekly/                 </t>
  </si>
  <si>
    <t>UPI/217119988156/Pay to BharatPe/bharatpe9072341/Yes Bank Ltd/ICI70e7885e26bc4d</t>
  </si>
  <si>
    <t xml:space="preserve">CMS/001004028503/ICICIPRULIFEINS__24511656        </t>
  </si>
  <si>
    <t>UPI/217589881727/UPI/snehal2204@okic/ICICI Bank/ICIbfcf5fec9158446a896f59d4ef58</t>
  </si>
  <si>
    <t xml:space="preserve">NEFT-CITIN22294390878-NOVARTIS HEALTHCARE PRIVATE LIMITED-SALARY FOR THE MONTH </t>
  </si>
  <si>
    <t>UPI/217579591338/UPI/vintagehospital/HDFC BANK LTD/ICI8a0dd18ed4c94e34b860bff65</t>
  </si>
  <si>
    <t xml:space="preserve">UPI/217658899499/hostel TDU/100021070200017/IDBI Bank </t>
  </si>
  <si>
    <t xml:space="preserve">BIL/INFT/000429841562/SIP-weekly/                 </t>
  </si>
  <si>
    <t xml:space="preserve">CMS/001007079513/BF-IC__40491262475               </t>
  </si>
  <si>
    <t xml:space="preserve">CMS/001007872618/ICICIPRULIFEINS__21131016        </t>
  </si>
  <si>
    <t>BIL/NEFT/000430930953/Varsha transfer/VARSHA MAH/H</t>
  </si>
  <si>
    <t xml:space="preserve">000401043279:Int.Pd:30-03-2022 to 29-06-2022      </t>
  </si>
  <si>
    <t>UPI/218118507586/dinner/jeetendra@okici/HDFC BANK LTD/ICI05f9d78fd41048779f7ff8</t>
  </si>
  <si>
    <t>UPI/218134304973/vegetables/shanthammafruit/ICICI Bank/ICIe61c09a8100549a39eeea</t>
  </si>
  <si>
    <t>BIL/NEFT/000433109615/VyomHDFC/VYOM VINAY/HDFC0000</t>
  </si>
  <si>
    <t>UPI/218375457327/vegetables/shanthammafruit/ICICI Bank/ICIb93f7ca115f6419fb6da1</t>
  </si>
  <si>
    <t>UPI/218451783915/car wash c305/rahulfilms28-1@/HDFC BANK LTD/ICId25ccb6e2f174ef</t>
  </si>
  <si>
    <t>UPI/218481290215/hair cut/ippozitharazimp/Yes Bank Ltd/ICI72d63a0832254895b0aa5</t>
  </si>
  <si>
    <t xml:space="preserve">BIL/INFT/000436186862/SIP-weekly/                 </t>
  </si>
  <si>
    <t>MMT/IMPS/218508000226/C305 July2022/RTABOWA - /HDF</t>
  </si>
  <si>
    <t>MMT/IMPS/218708825637/Fees 2021-22/ITD-HST-GE/IBKL</t>
  </si>
  <si>
    <t xml:space="preserve">BIL/INFT/000442153490/SIP-weekly/                 </t>
  </si>
  <si>
    <t>UPI/219463137331/c305 milk jun20/7989495557@axl/Punjab National/ICIa4307caf91f6</t>
  </si>
  <si>
    <t>UPI/219414169453/UPI/goog-payment@ok/Axis Bank Ltd./AXI1935a5dd392d4c6c9ed0f22b</t>
  </si>
  <si>
    <t xml:space="preserve">BIL/INFT/000444165178/eTaxmentor/                 </t>
  </si>
  <si>
    <t xml:space="preserve">GIB/000083273896/DTAX      /639034015072203348    </t>
  </si>
  <si>
    <t>UPI/219713199367/vegetables/shanthammafruit/ICICI Bank/ICIf8e443ac692a4b7ead589</t>
  </si>
  <si>
    <t xml:space="preserve">CMS/001019925817/ICICIPRULIFEINS__32141601        </t>
  </si>
  <si>
    <t xml:space="preserve">BIL/INFT/000446903836/SIP-weekly/                 </t>
  </si>
  <si>
    <t xml:space="preserve">CMS/001022373502/ICICIPRULIFEINS__24511656        </t>
  </si>
  <si>
    <t>UPI/220216920332/juice/paytmqr28100505/Paytm Payments /ICI7cd03545ec194730947bd</t>
  </si>
  <si>
    <t>UPI/220447963182/vegetables/shanthammafruit/ICICI Bank/ICI4159795272dd4985b204c</t>
  </si>
  <si>
    <t xml:space="preserve">BIL/INFT/000451280011/SIP-weekly/                 </t>
  </si>
  <si>
    <t>UPI/220786537176/lemon water/paytmqr28100505/Paytm Payments /ICIdfc9650ed3474ff</t>
  </si>
  <si>
    <t xml:space="preserve">NEFT-CITIN22309890165-NOVARTIS HEALTHCARE PRIVATE LIMITED-SALARY FOR THE MONTH </t>
  </si>
  <si>
    <t xml:space="preserve">CMS/001025513399/BF-IC__40491262475               </t>
  </si>
  <si>
    <t>UPI/220978481087/lassi/paytmqr28100505/Paytm Payments /ICI699490cd002e4d33ad3d9</t>
  </si>
  <si>
    <t xml:space="preserve">CMS/001025833948/ICICIPRULIFEINS__21131016        </t>
  </si>
  <si>
    <t>UPI/221124825823/vegetables/shanthammafruit/ICICI Bank/ICIb1781b3c0fc0419e97d64</t>
  </si>
  <si>
    <t>UPI/221269156600/fruits/balaswamybandag/Union Bank of I/ICI40852f48968a4a06b1b7</t>
  </si>
  <si>
    <t>UPI/221295245429/UPI/goog-payment@ok/Axis Bank Ltd./AXI5b3244b10a3643d29c53d3ff</t>
  </si>
  <si>
    <t>BIL/NEFT/000456625982/VyomHDFC/VYOM VINAY/HDFC0000</t>
  </si>
  <si>
    <t xml:space="preserve">BIL/INFT/000456626912/SIP-weekly/                 </t>
  </si>
  <si>
    <t>UPI/221312201723/car wash c305/rahulfilms28-1@/HDFC BANK LTD/ICI2fb1f6cedb2e478</t>
  </si>
  <si>
    <t>MMT/IMPS/221510854853/C305 Aug2022/RTABOWA - /HDFC</t>
  </si>
  <si>
    <t>UPI/221668269731/lemon juice/paytmqr28100505/Paytm Payments /ICIbe8f5842bd2947c</t>
  </si>
  <si>
    <t>BIL/NEFT/000461711945/HDFC transfer/Vinay Nara/HDF</t>
  </si>
  <si>
    <t>UPI/221810638253/hair cut/ippozitharazimp/Yes Bank Ltd/ICI6e4da9a5805542188840f</t>
  </si>
  <si>
    <t>UPI/221938857493/Pay To SUSHAN R/bharatpe9077200/Yes Bank Ltd/ICI4189d44fda0f44</t>
  </si>
  <si>
    <t xml:space="preserve">BIL/INFT/000463222172/SIP-weekly/                 </t>
  </si>
  <si>
    <t>UPI/222141152268/UPI/suvrostat@oksbi/State Bank Of I/SBI21c0425d86b9416a91b871e</t>
  </si>
  <si>
    <t>UPI/222118410594/project/reception.ccs-1/HDFC BANK LTD/ICI875a1f6cdf4943318ee0b</t>
  </si>
  <si>
    <t>UPI/222328762051/taak/paytmqr28100505/Paytm Payments /ICIe65463b2780e4671be58e6</t>
  </si>
  <si>
    <t>UPI/222458299075/millets/q03988835@ybl/Yes Bank Ltd/ICI0c09cd0ee8b546db882919ee</t>
  </si>
  <si>
    <t>UPI/222549810353/vegetables/shanthammafruit/ICICI Bank/ICIfe7d545a47384aad99496</t>
  </si>
  <si>
    <t>UPI/222621247572/soda/q953062648@ybl/Yes Bank Ltd/ICIb1cee6f6e3b646a1bbc262a69a</t>
  </si>
  <si>
    <t xml:space="preserve">BIL/INFT/000468166659/SIP-weekly/                 </t>
  </si>
  <si>
    <t>MMT/IMPS/222712761003/PennyDrop/INDIAN CLE/Yes Ban</t>
  </si>
  <si>
    <t>UPI/222735078366/milk c305 July2/7989495557@axl/Punjab National/ICIf8907c73fbb8</t>
  </si>
  <si>
    <t>UPI/222891681040/vegetables/shanthammafruit/ICICI Bank/ICIee0b5def00904cfda6a33</t>
  </si>
  <si>
    <t>UPI/222871881303/curd/q732155297@ybl/Punjab National/ICId41953e3e4524349baa6be4</t>
  </si>
  <si>
    <t>UPI/222813488887/lassi/paytmqr28100505/Paytm Payments /ICI9c237c52c72e4ff1bf85b</t>
  </si>
  <si>
    <t xml:space="preserve">CMS/001037065988/ICICIPRULIFEINS__32141601        </t>
  </si>
  <si>
    <t>UPI/222943708558/vegetables/shanthammafruit/ICICI Bank/ICIb9695487379b49bc91b86</t>
  </si>
  <si>
    <t>UPI/223019043677/lassi/paytmqr28100505/Paytm Payments /ICI58b447f5cac14143a0ac4</t>
  </si>
  <si>
    <t>UPI/223285989618/vegetables/shanthammafruit/ICICI Bank/ICId4ecc6e4d572451da84a4</t>
  </si>
  <si>
    <t>UPI/223230990952/bread/q732155297@ybl/Punjab National/ICI0cd14463775b40ae8ed0a2</t>
  </si>
  <si>
    <t>UPI/223230611385/flowers/gpay-1120043172/Axis Bank Ltd./ICIf1399b569fca45ab9110</t>
  </si>
  <si>
    <t xml:space="preserve">BIL/INFT/000472510449/SIP-weekly/                 </t>
  </si>
  <si>
    <t xml:space="preserve">CMS/001040179847/ICICIPRULIFEINS__24511656        </t>
  </si>
  <si>
    <t>UPI/223491358130/from Vinay/sarmistharoyste/ICICI Bank/ICI7600d4d9e6a64ce5870e9</t>
  </si>
  <si>
    <t xml:space="preserve">NEFT-CITIN22325374731-NOVARTIS HEALTHCARE PRIVATE LIMITED-SALARY FOR THE MONTH </t>
  </si>
  <si>
    <t>UPI/223987474153/ganesh festival/ramkytowersapar/HDFC BANK LTD/ICIa5950715de774</t>
  </si>
  <si>
    <t xml:space="preserve">CMS/001043364247/BF-IC__40491262475               </t>
  </si>
  <si>
    <t xml:space="preserve">BIL/INFT/000476991531/SIP-weekly/                 </t>
  </si>
  <si>
    <t xml:space="preserve">CMS/001043761408/ICICIPRULIFEINS__21131016        </t>
  </si>
  <si>
    <t>UPI/224212548958/UPI/paytm-68434242@/Paytm Payments /ICI654d706c28d04efda0cd13b</t>
  </si>
  <si>
    <t>UPI/224266348234/vegetables/shanthammafruit/ICICI Bank/ICI94be672aaf8149a093b3a</t>
  </si>
  <si>
    <t>UPI/224303878351/vegetables/shanthammafruit/ICICI Bank/ICIa64f8c15dbc2488d923d3</t>
  </si>
  <si>
    <t>BIL/NEFT/000479557816/VyomHDFC/VYOM VINAY/HDFC0000</t>
  </si>
  <si>
    <t>UPI/224444912389/chhole/paytmqr28100505/Paytm Payments /ICIe0d97ed299e148f18356</t>
  </si>
  <si>
    <t>UPI/224662486463/fun party/paytmqr28100505/Paytm Payments /ICI5e18d0f3008548d69</t>
  </si>
  <si>
    <t>UPI/224775802764/car wash c305/rahulfilms28-1@/State Bank Of I/ICIaaa449a365094</t>
  </si>
  <si>
    <t>UPI/224760186572/UPI/goog-payment@ok/Axis Bank Ltd./AXI061d16354787437381f2aedc</t>
  </si>
  <si>
    <t>UPI/224759807026/hair cut/9618302642@ybl/State Bank Of I/ICI9eaafc8502894ca299e</t>
  </si>
  <si>
    <t>UPI/224763603028/hair cut/ippozitharazimp/Yes Bank Ltd/ICI6e583c7808764b70b5873</t>
  </si>
  <si>
    <t>MMT/IMPS/224711914429/C305 Sept2022/RTABOWA - /HDF</t>
  </si>
  <si>
    <t xml:space="preserve">BIL/INFT/000483374426/SIP-weekly/                 </t>
  </si>
  <si>
    <t>UPI/224817328444/vegetables/shanthammafruit/ICICI Bank/ICI716ba4b9cbf94dd0bb825</t>
  </si>
  <si>
    <t>BIL/NEFT/000484443759/HDFC transfer/Vinay Nara/HDF</t>
  </si>
  <si>
    <t>UPI/225262154391/Vyom pay/ayyappaundru-1@/Union Bank of I/ICI39031fc84b8c425595</t>
  </si>
  <si>
    <t>UPI/225286884963/UPI/goog-payment@ok/Axis Bank Ltd./AXI729c7c83d2744cd8bea1d971</t>
  </si>
  <si>
    <t>UPI/225400312366/lunch/q62756945@ybl/Yes Bank Ltd/ICIcccabc895c1946cfa951ac5627</t>
  </si>
  <si>
    <t xml:space="preserve">BIL/INFT/000488906443/SIP-weekly/                 </t>
  </si>
  <si>
    <t xml:space="preserve">CMS/001056266690/ICICIPRULIFEINS__32141601        </t>
  </si>
  <si>
    <t>UPI/225989473932/c305 august2022/7989495557@axl/Punjab National/ICI0515ce4850e7</t>
  </si>
  <si>
    <t>UPI/226139307321/bread/q940722094@ybl/Punjab National/ICIe2bc138e3f3f418f9893eb</t>
  </si>
  <si>
    <t>UPI/226103605756/flowers/balaswamybandag/Union Bank of I/ICIc133831fa8bf402d9d6</t>
  </si>
  <si>
    <t xml:space="preserve">BIL/INFT/000493419317/SIP-weekly/                 </t>
  </si>
  <si>
    <t xml:space="preserve">CMS/001058621780/ICICIPRULIFEINS__24511656        </t>
  </si>
  <si>
    <t xml:space="preserve">BIL/INFT/000498073468/SIP-weekly/                 </t>
  </si>
  <si>
    <t xml:space="preserve">NEFT-CITIN22340294533-NOVARTIS HEALTHCARE PRIVATE LIMITED-SALARY FOR THE MONTH </t>
  </si>
  <si>
    <t>UPI/227003667883/UPI/razorpaybqr@ici/ICICI Bank/ICIeb9d49204507419090e5734f93f2</t>
  </si>
  <si>
    <t xml:space="preserve">CMS/001061926732/BF-IC__40491262475               </t>
  </si>
  <si>
    <t xml:space="preserve">CMS/001062200854/ICICIPRULIFEINS__21131016        </t>
  </si>
  <si>
    <t>UPI/227244716921/vegetables/q20082480@ybl/Yes Bank Ltd/ICI590c1f6494e240cab4187</t>
  </si>
  <si>
    <t xml:space="preserve">000401043279:Int.Pd:30-06-2022 to 29-09-2022      </t>
  </si>
  <si>
    <t>UPI/227385061505/Payment for NMB/ekart@ybl/Yes Bank Ltd/ICIb3517f1fe39849349e42</t>
  </si>
  <si>
    <t>BIL/NEFT/000502241773/VyomHDFC/VYOM VINAY/HDFC0000</t>
  </si>
  <si>
    <t>UPI/227527911608/fruits/balaswamybandag/Union Bank of I/ICIc56d7f6c5f754b7aa8dc</t>
  </si>
  <si>
    <t>UPI/227557813590/fruits/balaswamybandag/Union Bank of I/ICI657055ec6d11437690f5</t>
  </si>
  <si>
    <t>UPI/227558607859/car wash c305 o/nareshvemula749/State Bank Of I/ICIebc4dbf1aa9</t>
  </si>
  <si>
    <t xml:space="preserve">BIL/INFT/000504350384/SIP-weekly/                 </t>
  </si>
  <si>
    <t>UPI/227682946526/vegetables/q20082480@ybl/Yes Bank Ltd/ICI7cf30b18bb3e42caa04fd</t>
  </si>
  <si>
    <t>UPI/227659640297/pooja/ayyappaundru1@y/Union Bank of I/ICI0f43277209a84be3b55b7</t>
  </si>
  <si>
    <t>MMT/IMPS/227609492520/C305 Oct2022/RTABOWA - /HDFC</t>
  </si>
  <si>
    <t>BIL/NEFT/000507099324/HDFC transfer/Vinay Nara/HDF</t>
  </si>
  <si>
    <t xml:space="preserve">NFS/S1ANWB27/CASH WDL/08-10-22                    </t>
  </si>
  <si>
    <t xml:space="preserve">BIL/INFT/000510287666/SIP-weekly/                 </t>
  </si>
  <si>
    <t>UPI/228372760215/UPI Transaction/airtel.payu@axi/Axis Bank Ltd./698515854023635</t>
  </si>
  <si>
    <t>MMT/IMPS/228318669551/PhD fee 2022-23/ITD-HST-GE/I</t>
  </si>
  <si>
    <t>NEFT-IBKL221011124970-UTD HST GENERAL FUND-NEFT-06</t>
  </si>
  <si>
    <t>UPI/228613839674/vegetables/q20082480@ybl/Yes Bank Ltd/ICIbe7bdda20c854e819009d</t>
  </si>
  <si>
    <t xml:space="preserve">NFS/S1ANWB27/CASH WDL/15-10-22                    </t>
  </si>
  <si>
    <t>UPI/228871321637/Pay To GANGONI/bharatpe0990898/Yes Bank Ltd/ICIc587a5e116d74a1</t>
  </si>
  <si>
    <t>UPI/228879722814/c305 milk Sept2/7989495557@axl/Punjab National/ICI59f640250b5b</t>
  </si>
  <si>
    <t xml:space="preserve">BIL/INFT/000515412856/SIP-weekly/                 </t>
  </si>
  <si>
    <t>UPI/229081256667/vegetables/q20082480@ybl/Yes Bank Ltd/ICI45c5204a5f534a60a7a51</t>
  </si>
  <si>
    <t xml:space="preserve">CMS/001074346758/ICICIPRULIFEINS__32141601        </t>
  </si>
  <si>
    <t>UPI/229209417518/vegetables/q20082480@ybl/Yes Bank Ltd/ICI9c853a2c909c4de88f016</t>
  </si>
  <si>
    <t>UPI/229217627464/UPI/goog-payment@ok/Axis Bank Ltd./AXI534238f58bf84524ab19683a</t>
  </si>
  <si>
    <t>UPI/229368068207/haircut/vijaysagar2042@/HDFC BANK LTD/ICI36c228b9d8b3426c875d0</t>
  </si>
  <si>
    <t xml:space="preserve">CMS/001076957931/ICICIPRULIFEINS__24511656        </t>
  </si>
  <si>
    <t xml:space="preserve">BIL/INFT/000520121081/SIP-weekly/                 </t>
  </si>
  <si>
    <t>UPI/229897608981/Payment for 701/decathlon@ybl/Yes Bank Ltd/ICI874174fe25774242</t>
  </si>
  <si>
    <t xml:space="preserve">NEFT-CITIN22355048120-NOVARTIS HEALTHCARE PRIVATE LIMITED-SALARY FOR THE MONTH </t>
  </si>
  <si>
    <t>UPI/229808114504/Payment for 701/decathlon@ybl/Yes Bank Ltd/ICI649a660a71594a4c</t>
  </si>
  <si>
    <t>UPI/230046254918/lassi/pinelabspos.stq/ICICI Bank/ICI2a0095a9d1564f9886f3ca479e</t>
  </si>
  <si>
    <t xml:space="preserve">CMS/001079777587/BF-IC__40491262475               </t>
  </si>
  <si>
    <t xml:space="preserve">CMS/001079960244/ICICIPRULIFEINS__21131016        </t>
  </si>
  <si>
    <t xml:space="preserve">BIL/INFT/000524488748/SIP-weekly/                 </t>
  </si>
  <si>
    <t>UPI/230476950751/vegetables/q20082480@ybl/Yes Bank Ltd/ICIc889cb7c114a461aaefe2</t>
  </si>
  <si>
    <t>BIL/NEFT/000525628912/VyomHDFC/VYOM VINAY/HDFC0000</t>
  </si>
  <si>
    <t>UPI/230526478132/curd/q732155297@ybl/Punjab National/ICIf785da729ea440c2ad5c375</t>
  </si>
  <si>
    <t>UPI/230581285714/lassi/pinelabspos.stq/ICICI Bank/ICI3736f701b60e43c88db8df7d44</t>
  </si>
  <si>
    <t>UPI/230666109603/car wash c305 n/nareshvemula749/State Bank Of I/ICI4e5feadfeb7</t>
  </si>
  <si>
    <t>UPI/230629926019/lassi/pinelabspos.stq/ICICI Bank/ICI4add6592b5cd4d5e8277fd7c4d</t>
  </si>
  <si>
    <t>MMT/IMPS/230808324615/C305 Nov2022/RTABOWA - /HDFC</t>
  </si>
  <si>
    <t>UPI/230935224940/vegetables/q20082480@ybl/Yes Bank Ltd/ICI25e382f99dd749de924df</t>
  </si>
  <si>
    <t>BIL/NEFT/000530670790/HDFC transfer/Vinay Nara/HDF</t>
  </si>
  <si>
    <t xml:space="preserve">BIL/INFT/000531320872/SIP-weekly/                 </t>
  </si>
  <si>
    <t>UPI/231266999559/vegetables/q20082480@ybl/Yes Bank Ltd/ICI715860ec78874d7eb3ec2</t>
  </si>
  <si>
    <t>UPI/231269212488/lassi/pinelabspos.stq/ICICI Bank/ICI1423b92726cb4892b06c166f50</t>
  </si>
  <si>
    <t xml:space="preserve">CLG/ASSOCIATION OF ICSE AND/CAB                   </t>
  </si>
  <si>
    <t>UPI/231541224560/starters/paytmqr28100505/Paytm Payments /ICI155515a9023442caa6</t>
  </si>
  <si>
    <t>UPI/231627135442/vegetables/q20082480@ybl/Yes Bank Ltd/ICI0da204bf6b554df4b5ae0</t>
  </si>
  <si>
    <t>UPI/231760880097/UPI/razorpaybqr@ici/ICICI Bank/ICIc819250b885942cb94e41348abd5</t>
  </si>
  <si>
    <t xml:space="preserve">BIL/INFT/000536368086/SIP-weekly/                 </t>
  </si>
  <si>
    <t>UPI/231867995696/UPI/paytm-68434242@/Paytm Payments /ICIc317116904fc4d8fadb9f74</t>
  </si>
  <si>
    <t>UPI/231855498505/vegetables/q20082480@ybl/Yes Bank Ltd/ICIad8308d065044bab99b97</t>
  </si>
  <si>
    <t>UPI/231984837811/lassi/pinelabspos.stq/ICICI Bank/ICI3d4793de3e0644a2976f2daf2f</t>
  </si>
  <si>
    <t>UPI/231940936642/cakes/paytmqr28100505/Paytm Payments /ICI255cd5cec68b433e96c61</t>
  </si>
  <si>
    <t>UPI/231998147285/samosa/paytmqr28100505/Paytm Payments /ICIdbe265e5aded4faba145</t>
  </si>
  <si>
    <t xml:space="preserve">CMS/001092510439/ICICIPRULIFEINS__32141601        </t>
  </si>
  <si>
    <t>UPI/232111494312/vegetables/q20082480@ybl/Yes Bank Ltd/ICI90cb09eac0eb4411a5ec2</t>
  </si>
  <si>
    <t>UPI/232175804787/meals/paytmqr28100505/Paytm Payments /ICIad7dfa94ef404faa80cc8</t>
  </si>
  <si>
    <t>UPI/232139814008/dosa/paytmqr28100505/Paytm Payments /ICIe7d70da23e394021b4b0d0</t>
  </si>
  <si>
    <t>UPI/232289635829/lassi/pinelabspos.stq/ICICI Bank/ICI62f7d5f0c32d4203ba49b3579b</t>
  </si>
  <si>
    <t>UPI/232223134096/lassi/pinelabspos.stq/ICICI Bank/ICI5251b8c59b2745d0a885a8e4e8</t>
  </si>
  <si>
    <t xml:space="preserve">BIL/INFT/000540766171/SIP-weekly/                 </t>
  </si>
  <si>
    <t xml:space="preserve">CMS/001094947026/ICICIPRULIFEINS__24511656        </t>
  </si>
  <si>
    <t>UPI/232635565167/lassi/pinelabspos.stq/ICICI Bank/ICI6916f1408968460c82e158f766</t>
  </si>
  <si>
    <t>UPI/232800114837/c305 milk oct20/7989495557@axl/Punjab National/ICIaa47a10ef161</t>
  </si>
  <si>
    <t>UPI/232895415527/vegetables/q20082480@ybl/Yes Bank Ltd/ICI909e8d57cfd849ac953d2</t>
  </si>
  <si>
    <t xml:space="preserve">NEFT-CITIN22370218937-NOVARTIS HEALTHCARE PRIVATE LIMITED-SALARY FOR THE MONTH </t>
  </si>
  <si>
    <t xml:space="preserve">CMS/001098114760/BF-IC__40491262475               </t>
  </si>
  <si>
    <t xml:space="preserve">BIL/INFT/000545082665/SIP-weekly/                 </t>
  </si>
  <si>
    <t xml:space="preserve">CMS/001098474113/ICICIPRULIFEINS__21131016        </t>
  </si>
  <si>
    <t>UPI/233339756655/vegetables/q20082480@ybl/Yes Bank Ltd/ICI05c4ce25620e41908b66c</t>
  </si>
  <si>
    <t>UPI/233347885746/UPI/goog-payment@ok/Axis Bank Ltd./AXI761a226809c74502b9b0fb93</t>
  </si>
  <si>
    <t>50400245192222- RD INSTALLMENT-APR 2022</t>
  </si>
  <si>
    <t>IMPS-210109016815-VINAY N MAHAJAN-ICIC-XXXXXXXX3279-HDFC TRANSFER</t>
  </si>
  <si>
    <t>50400245192222- RD INSTALLMENT-MAY 2022</t>
  </si>
  <si>
    <t>50400245192222- RD INSTALLMENT-JUN 2022</t>
  </si>
  <si>
    <t>50400245192222- RD INSTALLMENT-JUL 2022</t>
  </si>
  <si>
    <t>50400245192222- RD INSTALLMENT-AUG 2022</t>
  </si>
  <si>
    <t>NEFT CR-ICIC0SF0002-VINAY N MAHAJAN-VINAY NARAYAN MAHAJAN-461711945</t>
  </si>
  <si>
    <t>50400245192222- RD INSTALLMENT-SEP 2022</t>
  </si>
  <si>
    <t>NEFT CR-ICIC0SF0002-VINAY N MAHAJAN-VINAY NARAYAN MAHAJAN-484443759</t>
  </si>
  <si>
    <t>50400245192222- RD INSTALLMENT-OCT 2022</t>
  </si>
  <si>
    <t>NEFT CR-ICIC0SF0002-VINAY N MAHAJAN-VINAY NARAYAN MAHAJAN-507099324</t>
  </si>
  <si>
    <t>MATURED RD. TRANSFER CR 50400245192222</t>
  </si>
  <si>
    <t>NEFT CR-ICIC0SF0002-VINAY N MAHAJAN-VINAY NARAYAN MAHAJAN-530670790</t>
  </si>
  <si>
    <t>BIL/NEFT/000547703287/VyomHDFC/VYOM VINAY/HDFC0000</t>
  </si>
  <si>
    <t>UPI/233531830451/vegetables/shanthammafruit/ICICI Bank/ICI8286ba2256d2472ca041c</t>
  </si>
  <si>
    <t>UPI/233625388066/UPI/gargi24@okicici/ICICI Bank/ICI57dc741d98e449e5b483c026a50e</t>
  </si>
  <si>
    <t>UPI/233798109987/c305 dec2022/nareshvemula749/State Bank Of I/ICIa200756a268c46</t>
  </si>
  <si>
    <t>MMT/IMPS/233710804888/C305 Dec2022/RTABOWA - /HDFC</t>
  </si>
  <si>
    <t>UPI/233815251510/Payment for 701/decathlon@ybl/Yes Bank Ltd/ICI5e82ab8c85594ca8</t>
  </si>
  <si>
    <t xml:space="preserve">BIL/INFT/000551634043/SIP-weekly/                 </t>
  </si>
  <si>
    <t>BIL/NEFT/000552686260/HDFC transfer/Vinay Nara/HDF</t>
  </si>
  <si>
    <t>UPI/234263490220/chai/paytmqr28100505/Paytm Payments /ICIbd4be6d8d4fc4dda81f930</t>
  </si>
  <si>
    <t>UPI/234365024206/biryani/paytmqr28100505/Paytm Payments /ICI82b97b8a06414eb3a80</t>
  </si>
  <si>
    <t>UPI/234317048357/from Vinay/jeetendra@okici/HDFC BANK LTD/ICI251c9e520b8a413ea7</t>
  </si>
  <si>
    <t xml:space="preserve">BIL/INFT/000557169694/SIP-weekly/                 </t>
  </si>
  <si>
    <t>UPI/234684426009/lassi/pinelabspos.stq/ICICI Bank/ICI0491120bac9341e58cc257e332</t>
  </si>
  <si>
    <t>UPI/234662539124/UPI/sunita.poojary@/HDFC BANK LTD/ICI78b46419d3014d4d88e1bb9b5</t>
  </si>
  <si>
    <t>UPI/234782657285/vegetables/q20082480@ybl/Yes Bank Ltd/ICIc9307d4d60d3409e89a9e</t>
  </si>
  <si>
    <t>UPI/234883598339/lunch/paytmqr28100505/Paytm Payments /ICI312d809f0d5245c19874d</t>
  </si>
  <si>
    <t>UPI/235010166029/vegetables/q20082480@ybl/Yes Bank Ltd/ICIe4ba008d973348d4a9838</t>
  </si>
  <si>
    <t xml:space="preserve">CMS/001110978588/ICICIPRULIFEINS__32141601        </t>
  </si>
  <si>
    <t>UPI/235280342347/Pay to BharatPe/bharatpe9072636/Yes Bank Ltd/ICIecdbedb904e941</t>
  </si>
  <si>
    <t xml:space="preserve">BIL/INFT/000561745755/SIP-weekly/                 </t>
  </si>
  <si>
    <t xml:space="preserve">CMS/001113465359/ICICIPRULIFEINS__24511656        </t>
  </si>
  <si>
    <t>UPI/235641874048/vegetables/q20082480@ybl/Yes Bank Ltd/ICIa0351f6556a14f4091fd4</t>
  </si>
  <si>
    <t>UPI/235961284482/watches/gpay-1119187055/Axis Bank Ltd./ICI764b5cc6ef02429dad1f</t>
  </si>
  <si>
    <t>UPI/235977890192/UPI/paytm-67443420@/Paytm Payments /ICI77d716b85dd84eedb3ef693</t>
  </si>
  <si>
    <t>UPI/235920557084/UPI/goog-payment@ok/Axis Bank Ltd./AXI83985f479e0e4da381d77ad2</t>
  </si>
  <si>
    <t xml:space="preserve">BIL/INFT/000566086928/SIP-weekly/                 </t>
  </si>
  <si>
    <t xml:space="preserve">NEFT-CITIN22385154198-NOVARTIS HEALTHCARE PRIVATE LIMITED-SALARY FOR THE MONTH </t>
  </si>
  <si>
    <t>UPI/236044342753/c305 nov2022/7989495557@axl/Punjab National/ICI05274bffec494c2</t>
  </si>
  <si>
    <t xml:space="preserve">CMS/001116965938/BF-IC__40491262475               </t>
  </si>
  <si>
    <t xml:space="preserve">NFS/S1ANWB27/CASH WDL/28-12-22                    </t>
  </si>
  <si>
    <t xml:space="preserve">CMS/001117249882/ICICIPRULIFEINS__21131016        </t>
  </si>
  <si>
    <t>UPI/236254590730/hair cut/zim-apl1000642./INDUSIND BANK/ICI6075e5a8436744f9b974</t>
  </si>
  <si>
    <t>UPI/236212886123/extra hair cur/vijaysagar2042@/HDFC BANK LTD/ICIad63934704d945</t>
  </si>
  <si>
    <t>UPI/236261692646/alteration/ik797906@oksbi/State Bank Of I/ICI32c664f7ba9a49d7a</t>
  </si>
  <si>
    <t>UPI/236311828773/water/paytmqr28100505/Paytm Payments /ICIe0f18aed48374e6a981a4</t>
  </si>
  <si>
    <t>UPI/236398332586/puja/q285958465@ybl/Bank of Maharas/ICI2f2603b8174948efbd6eb8f</t>
  </si>
  <si>
    <t xml:space="preserve">000401043279:Int.Pd:30-09-2022 to 30-12-2022      </t>
  </si>
  <si>
    <t>UPI/236522588973/vegetables/q20082480@ybl/Yes Bank Ltd/ICI98fc8b9185dd469285820</t>
  </si>
  <si>
    <t>NEFT CR-ICIC0SF0002-VINAY N MAHAJAN-VINAY NARAYAN MAHAJAN-552686260</t>
  </si>
  <si>
    <t>BIL/NEFT/000570650143/VyomHDFC/VYOM VINAY/HDFC0000652</t>
  </si>
  <si>
    <t>UPI/300145642636/UPI/goog-payment@ok/Axis Bank Ltd./AXI266bd1f76d8c4a8e9a36e48b001126d2</t>
  </si>
  <si>
    <t>UPI/300179148124/c305 car wash/nareshvemula749/State Bank Of I/ICId554c84f46ba47668d421fb71642e414/</t>
  </si>
  <si>
    <t>BIL/INFT/000571497545/SIP-weekly/ VINAY NARAYAN M</t>
  </si>
  <si>
    <t>MMT/IMPS/300320213523/C305 Jan2023/RTABOWA - /HDFC0000968</t>
  </si>
  <si>
    <t>UPI/300596696382/vegetables/q20082480@ybl/Yes Bank Ltd/ICIb79da040039c4d04986c439403087b15/</t>
  </si>
  <si>
    <t>BIL/NEFT/000575556868/HDFC transfer/Vinay Nara/HDFC0000652</t>
  </si>
  <si>
    <t>UPI/300637032518/paneer/q576363734@ybl/Punjab National/ICIed11a3590dc640fabc87b804bd3b8142/</t>
  </si>
  <si>
    <t>BIL/INFT/000577796452/SIP-weekly/ VINAY NARAYAN M</t>
  </si>
  <si>
    <t>UPI/300947734058/vegetables/shanthammafruit/ICICIBank/ICI1af7a61a33754caea3548b7c1d61d69b/</t>
  </si>
  <si>
    <t>UPI/300973454873/washing machine/uyyururamu-1@ok/Federal Bank/ICI202f7c17caca4c57994462e800f0820e/</t>
  </si>
  <si>
    <t>UPI/301262640700/vegetables/q576363734@ybl/PunjabNational/ICIe6351b2ec6db4fb9a8f3017b87a051e1/</t>
  </si>
  <si>
    <t>BIL/INFT/000582661383/SIP-weekly/ VINAY NARAYAN M</t>
  </si>
  <si>
    <t>UPI/301643369634/vegetables/q20082480@ybl/Yes Bank Ltd/ICIdb50b43c9a6548aa9526c12ae06279b2/</t>
  </si>
  <si>
    <t>CMS/001129624667/ICICIPRULIFEINS__32141601</t>
  </si>
  <si>
    <t>MMT/IMPS/301821669059/Thesis exam/ITD-HST-GE/IBKL0000694</t>
  </si>
  <si>
    <t>UPI/301961872788/vegetables/shanthammafruit/ICICIBank/ICIe348edb9bfa24e17a8d885ed134bbd61/</t>
  </si>
  <si>
    <t>UPI/301935072937/vegetables/q732155297@ybl/PunjabNational/ICIbdeca1259b13443796e3b853a632eeda/</t>
  </si>
  <si>
    <t>UPI/302080636318/dinner/paytmqr28100505/Paytm Payments /ICI6d96a2dff2c74748998aac1b5513e0fb/</t>
  </si>
  <si>
    <t>UPI/302161444127/vegetables/q20082480@ybl/Yes Bank Ltd/ICIee409d139c7448659bb4b858bdd0a79c/</t>
  </si>
  <si>
    <t>CMS/001132640803/ICICIPRULIFEINS__24511656</t>
  </si>
  <si>
    <t>UPI/302254306532/MOPSUPITxn/sbimops@sbi/State Bank Of I/ICI92f62dfef3784d8db30b3d6e7063cb3d/</t>
  </si>
  <si>
    <t>BIL/INFT/000586908851/SIP-weekly/ VINAY NARAYAN M</t>
  </si>
  <si>
    <t>NEFT-CITIN23309942874-NOVARTIS HEALTHCARE PRIVATELIMITED-SALARY FOR THE MONTH OF JAN2023-000987704</t>
  </si>
  <si>
    <t>SRS/EUR92.22@88.5408GST/INREM/20230127201715</t>
  </si>
  <si>
    <t>UPI/302853968790/vegetables/q20082480@ybl/Yes Bank Ltd/ICIf5e9c37f48c941948cbdb98beb43f5e5/</t>
  </si>
  <si>
    <t>CMS/001136011509/ICICIPRULIFEINS__21131016</t>
  </si>
  <si>
    <t>CMS/001135984893/BF-IC__40491262475</t>
  </si>
  <si>
    <t>BIL/INFT/000591196196/SIP-weekly/ VINAY NARAYAN M</t>
  </si>
  <si>
    <t>UPI/303072035968/vegetables/q20082480@ybl/Yes Bank Ltd/ICIdf17f3178eae4bc68d9f472b0a708f99/</t>
  </si>
  <si>
    <t>RD THROUGH NET-50400300750551  :VINAY NARAYAN MAHAJAN</t>
  </si>
  <si>
    <t>NEFT CR-ICIC0SF0002-VINAY N MAHAJAN-VINAY NARAYAN MAHAJAN-575556868</t>
  </si>
  <si>
    <t>ACH C- AJUPM3852H-AY2022-23-CE2320848642 - Income tax returned to HDFC account</t>
  </si>
  <si>
    <t>BIL/NEFT/000593118125/VyomHDFC/VYOM VINAY/HDFC0000652</t>
  </si>
  <si>
    <t>UPI/303372554944/c305 car wash f/nareshvemula749/State Bank Of I/ICI53d67973d60243b482b67e841cc2c7f3</t>
  </si>
  <si>
    <t>UPI/303374545677/UPI/goog-payment@ok/Axis Bank Ltd./AXI27aaac0146ed4f5aa98cf1ed820def04</t>
  </si>
  <si>
    <t>UPI/303468296092/vegetables/shanthammafruit/ICICIBank/ICIa885c383a0494306b66db1e9f4759320/</t>
  </si>
  <si>
    <t>UPI/303418220201/UPI/goog-payment@ok/Axis Bank Ltd./AXIc955243827804dc591a5f30806300f10</t>
  </si>
  <si>
    <t>MMT/IMPS/303414254659/C305 Feb2023/RTABOWA - /HDFC0000968</t>
  </si>
  <si>
    <t>BIL/NEFT/000597991237/HDFC transfer/Vinay Nara/HDFC0000652</t>
  </si>
  <si>
    <t>BIL/INFT/000597987989/SIP-weekly/ VINAY NARAYAN M</t>
  </si>
  <si>
    <t>UPI/304047632085/vegetables/q20082480@ybl/Yes Bank Ltd/ICI75264398e7324f5c8b761ff0b83eb777/</t>
  </si>
  <si>
    <t>UPI/304187670914/vegetables/q20082480@ybl/Yes Bank Ltd/ICI7f0d94b0aa7b4b7285de8fe3a990b1e1/</t>
  </si>
  <si>
    <t>UPI/304172381176/UPI/payphi.xpressbe/ICICI Bank/23QR098928589/</t>
  </si>
  <si>
    <t>BIL/INFT/000603199994/SIP-weekly/ VINAY NARAYAN M</t>
  </si>
  <si>
    <t>UPI/304639090178/c305 Dec2022 Ja/7989495557@axl/Punjab National/ICI89e2ce30ebd14fe3aa991bc78302afa6/</t>
  </si>
  <si>
    <t>CMS/001149115100/ICICIPRULIFEINS__32141601</t>
  </si>
  <si>
    <t>BIL/INFT/000607438943/SIP-weekly/ VINAY NARAYAN M</t>
  </si>
  <si>
    <t>CMS/001151546582/ICICIPRULIFEINS__24511656</t>
  </si>
  <si>
    <t>UPI/305373369558/curd/pinelabspos.stq/ICICI Bank/ICI5d6b8eecf2c64ae18e2dd9d89a391e79/</t>
  </si>
  <si>
    <t>UPI/342075208906/UPI/paytm-68434242@/Paytm Payments /ICI8a804c6c418d4460a34a025fb555afb6/</t>
  </si>
  <si>
    <t>BIL/INFT/000611628102/SIP-weekly/ VINAY NARAYAN M</t>
  </si>
  <si>
    <t>NEFT-CITIN23325562849-NOVARTIS HEALTHCARE PRIVATELIMITED-SALARY FOR THE MONTH OF FEB2023-000987704</t>
  </si>
  <si>
    <t>UPI/305876205237/UPI/paytm-68434242@/Paytm Payments /ICIf4b94491e85842c68980496f5666d81e/</t>
  </si>
  <si>
    <t>CMS/001155235086/BF-IC__40491262475</t>
  </si>
  <si>
    <t>CMS/001155728319/ICICIPRULIFEINS__21131016</t>
  </si>
  <si>
    <t>50400300750551- RD INSTALLMENT-FEB 2023</t>
  </si>
  <si>
    <t>NEFT CR-ICIC0SF0002-VINAY N MAHAJAN-VINAY NARAYAN MAHAJAN-597991237</t>
  </si>
  <si>
    <t>BIL/NEFT/000613601568/VyomHDFC/VYOM VINAY/HDFC0000</t>
  </si>
  <si>
    <t>MMT/IMPS/306210282799/C305 March2023/RTABOWA - /HD</t>
  </si>
  <si>
    <t>UPI/306211633678/food/paytmqr28100505/Paytm Payments /ICI81d1f5bc9c4d472e80c763</t>
  </si>
  <si>
    <t>UPI/342952256453/car wash c305/nareshvemula749/State Bank Of I/ICI2d859eb4907c4</t>
  </si>
  <si>
    <t>UPI/306441180447/Pay to BharatPe/bharatpe9072636/Yes Bank Ltd/ICIa1c1bb61aae543</t>
  </si>
  <si>
    <t>UPI/343066780325/Pay to BharatPe/bharatpe9072679/Yes Bank Ltd/ICIef81166b2fbf41</t>
  </si>
  <si>
    <t>UPI/343011479103/pooja oil/ayyappaundru1@y/Union Bank of I/ICI19a2922613904e8ca</t>
  </si>
  <si>
    <t xml:space="preserve">BIL/INFT/000618612286/SIP-weekly/                 </t>
  </si>
  <si>
    <t>BIL/NEFT/000618615301/HDFC transfer/Vinay Nara/HDF</t>
  </si>
  <si>
    <t>UPI/306698743175/vegetables/q20082480@ybl/Yes Bank Ltd/ICI84e6b91816b646cebafa6</t>
  </si>
  <si>
    <t>UPI/306620842314/medicine/paytm-68434242@/Paytm Payments /ICI73d7511d21d24a8e8a</t>
  </si>
  <si>
    <t>UPI/306760972733/paneer/q031609182@ybl/Yes Bank Ltd/ICIf9669bc33f6f45fb9e8ffcb0</t>
  </si>
  <si>
    <t>UPI/306813997806/vegetables/q20082480@ybl/Yes Bank Ltd/ICI17b2aacaca6341f1b62d4</t>
  </si>
  <si>
    <t>UPI/307188697464/tiles/venkatakrishna7/Andhra Pradesh /ICIa4e82018abeb4f9c9fe53</t>
  </si>
  <si>
    <t>UPI/343736993262/hair cut/zim-apl1000642./INDUSIND BANK/ICI84a501b67c054878aec8</t>
  </si>
  <si>
    <t xml:space="preserve">BIL/INFT/000623904808/SIP-weekly/                 </t>
  </si>
  <si>
    <t xml:space="preserve">NFS/S1ANWB27/CASH WDL/13-03-23                    </t>
  </si>
  <si>
    <t xml:space="preserve">SRS/EUR1060.07@88.0259G/INREM/20230314215237      </t>
  </si>
  <si>
    <t xml:space="preserve">CMS/001167275501/ICICIPRULIFEINS__32141601        </t>
  </si>
  <si>
    <t xml:space="preserve">BIL/INFT/000628448258/SIP-weekly/                 </t>
  </si>
  <si>
    <t>UPI/344551595388/UPI/compassindiafoo/HDFC BANK LTD/PINELABPOSDQR423103072661212</t>
  </si>
  <si>
    <t>UPI/308020515434/vegetables/q20082480@ybl/Yes Bank Ltd/ICI1e96f6f746ff49df9e600</t>
  </si>
  <si>
    <t xml:space="preserve">CMS/001169988890/ICICIPRULIFEINS__24511656        </t>
  </si>
  <si>
    <t>BIL/ONL/000630336355/Go Indigo/wwwgoindigoin17/Aai</t>
  </si>
  <si>
    <t>UPI/345081818831/vegetables/q20082480@ybl/Yes Bank Ltd/ICId02500ba032749d892dfa</t>
  </si>
  <si>
    <t xml:space="preserve">BIL/INFT/000632766157/SIP-weekly/                 </t>
  </si>
  <si>
    <t xml:space="preserve">NEFT-CITIN23339985725-NOVARTIS HEALTHCARE PRIVATE LIMITED-SALARY FOR THE MONTH </t>
  </si>
  <si>
    <t xml:space="preserve">CMS/001173810181/BF-IC__40491262475               </t>
  </si>
  <si>
    <t>UPI/345321296566/vegetables/q20082480@ybl/Yes Bank Ltd/ICI1e312496002c489f8e999</t>
  </si>
  <si>
    <t xml:space="preserve">CMS/001173973562/ICICIPRULIFEINS__21131016        </t>
  </si>
  <si>
    <t xml:space="preserve">000401043279:Int.Pd:31-12-2022 to 29-03-2023      </t>
  </si>
  <si>
    <t>MMT/IMPS/308909344822/LIC Vyom/LICBO 883/UBIN09022</t>
  </si>
  <si>
    <t>MMT/IMPS/308912965060/C305 RamkyColor/RTABOWA - /H</t>
  </si>
  <si>
    <t>UPI/345646673087/hair cut/voguesalonandbe/HDFC BANK LTD/ICIb445078520e6469d89a2</t>
  </si>
  <si>
    <t>BIL/NEFT/000636123386/Vyom Umang/LICBO 883/UBIN090</t>
  </si>
  <si>
    <t>UPI/309059889296/kitchen demolit/jhansijhanu1824/HDFC BANK LTD/ICIaf64a3014dce4</t>
  </si>
  <si>
    <t>UPI/309035486672/kitchen demolit/jhansijhanu1824/HDFC BANK LTD/ICI64f28902cc034</t>
  </si>
  <si>
    <t>50400300750551- RD INSTALLMENT-MAR 2023</t>
  </si>
  <si>
    <t>NEFT CR-ICIC0SF0002-VINAY N MAHAJAN-VINAY NARAYAN MAHAJAN-618615301</t>
  </si>
  <si>
    <t>BIL/NEFT/000636814206/VyomHDFC/VYOM VINAY/HDFC0000652</t>
  </si>
  <si>
    <t>UPI/309168224591/c305 car wash/nareshvemula749/State Bank Of I/ICI27b0705ea0534876806602d0b40c9f88/</t>
  </si>
  <si>
    <t>UPI/345806840984/PaymenttoGreate/rpy.qrgreaterhy/ICICI Bank/ICIe1debbace24b42479820f23094390ba9/</t>
  </si>
  <si>
    <t>BIL/INFT/000638638276/SIP-weekly/ VINAY NARAYAN M</t>
  </si>
  <si>
    <t>UPI/309386459946/vegetables/q20082480@ybl/Yes Bank Ltd/ICI6f05c03835bf494c838ecc850e4f7459/</t>
  </si>
  <si>
    <t>MMT/IMPS/309309568476/C305 Apr2023/RTABOWA - /HDFC0000968</t>
  </si>
  <si>
    <t>UPI/346073599263/UPI/compassindiafoo/HDFC BANK LTD/PINELABPOSDQR4231030726612123009561/</t>
  </si>
  <si>
    <t>UPI/309458915888/c305 milk Feb M/7989495557@axl/Punjab National/ICI487c65c653854e06ad0b4ec89ec71ce4/</t>
  </si>
  <si>
    <t>BIL/NEFT/000641762890/HDFC transfer/Vinay Nara/HDFC0000652</t>
  </si>
  <si>
    <t>UPI/346404429486/tea/paytmqr28100505/Paytm Payments /ICIbcb211b4ff9d4529b98f98e1798c9347/</t>
  </si>
  <si>
    <t>UPI/346534742932/mangoes/balaswamybandag/Union Bank of I/ICI989505c61b934f4e90f612ec43b965a1/</t>
  </si>
  <si>
    <t>BIL/INFT/000644667516/SIP-weekly/ VINAY NARAYAN M</t>
  </si>
  <si>
    <t>UPI/310182517731/kitchen/manojdas137@oks/State Bank Of I/ICI15b368f65f4b49b68f0e7695ab30b4bf/</t>
  </si>
  <si>
    <t>UPI/310128420337/electricians/9821381468@ibl/IDBIBank Limit/ICI98239df465fd44de84493fb524e517b8/</t>
  </si>
  <si>
    <t>UPI/310245440283/photocopy/paytmqr28100505/Paytm Payments /ICI6f5935887f994901ac600274fc4e1e9f/</t>
  </si>
  <si>
    <t>UPI/346970287296/UPI/paytm-68434242@/Paytm Payments /ICIb90f4932ba2a437ea98d1495342a5e9a/</t>
  </si>
  <si>
    <t>UPI/310489692502/Pay To GURUAPPA/bharatpe9077201/Yes Bank Ltd/ICI758a8af19d724184b3849f0e67ffdf12/</t>
  </si>
  <si>
    <t>UPI/347190918210/vegetables/q20082480@ybl/Yes Bank Ltd/ICI70fa12f1afb444f1995bf5b4cf24f28e/</t>
  </si>
  <si>
    <t>UPI/347239544336/mangoes/balaswamybandag/Union Bank of I/ICIbab693f649fa47d1b11eac77f81767b4/</t>
  </si>
  <si>
    <t>UPI/310659546999/paneer/q031609182@ybl/Yes Bank Ltd/ICI2b351e4140484cabaadaa3e5c46ee52a/</t>
  </si>
  <si>
    <t>UPI/310680274340/UPI/goog-payment@ok/Axis Bank Ltd./AXIb66aff21285b42df910415cd466cbfd7</t>
  </si>
  <si>
    <t>BIL/INFT/000649407490/SIP-weekly/ VINAY NARAYAN M</t>
  </si>
  <si>
    <t>CMS/001186372098/ICICIPRULIFEINS__32141601</t>
  </si>
  <si>
    <t>UPI/310919138577/electricians/mdaftabalam3400/Paytm Payments /ICI7bced6bfb8e64297b65d1e929712b8a9/</t>
  </si>
  <si>
    <t>CMS/001188596639/ICICIPRULIFEINS__24511656</t>
  </si>
  <si>
    <t>UPI/311234423626/vegetables/q20082480@ybl/Yes Bank Ltd/ICId8a596ea56614834a2473eeb1b9f4c3f/</t>
  </si>
  <si>
    <t>UPI/311292531240/paneer/q933789333@ybl/Yes Bank Ltd/ICI956b034808b741c3831e27b43fa577ec/</t>
  </si>
  <si>
    <t>UPI/347842047340/mangoes/syed.ficoconsul/HDFC BANK LTD/ICI290ac851460d49a3b0baf806929c09ec/</t>
  </si>
  <si>
    <t>BIL/NSP/CDS0113994/ICIC0SF0002/VINAYSIP VINAY NARAYAN M</t>
  </si>
  <si>
    <t>BIL/000654191450/FASTAG IMOBILE/TS07EF8186</t>
  </si>
  <si>
    <t>UPI/348200694537/coloring/tateraojinkalwa/State Bank Of I/ICIb675e503af6b440a9f5791908dfc6eee/</t>
  </si>
  <si>
    <t>NEFT-CITIN23355539829-NOVARTIS HEALTHCARE PRIVATELIMITED-SALARY FOR THE MONTH OF APR2023-000987704</t>
  </si>
  <si>
    <t>UPI/348382937639/UPI Transaction/airtel.payu@axi/Axis Bank Ltd./PPPL17254053192270423192934/</t>
  </si>
  <si>
    <t>CMS/001191505310/BF-IC__40491262475</t>
  </si>
  <si>
    <t>CMS/001192139101/ICICIPRULIFEINS__21131016</t>
  </si>
  <si>
    <t>UPI/311970789058/vegetables/q20082480@ybl/Yes Bank Ltd/ICI98d5f5a12ca94eee96218f3b8d42f729/</t>
  </si>
  <si>
    <t>BIL/ONL/000656115093/Life Insur/LIC_YICI1863344/LIC premium</t>
  </si>
  <si>
    <t>BIL/ONL/000656120707/Life Insur/LIC_YICI1863360/LIC varsha</t>
  </si>
  <si>
    <t>UPI/311921017128/mangoes/johndheere40@yb/HDFC BANK LTD/ICI88c31563592d4a278033eea5c3fc18c6/</t>
  </si>
  <si>
    <t>000413346536: Rev Sweep From</t>
  </si>
  <si>
    <t>000413346536: Closure Proceeds</t>
  </si>
  <si>
    <t>50400300750551- RD INSTALLMENT-APR 2023</t>
  </si>
  <si>
    <t>NEFT CR-ICIC0SF0002-VINAY N MAHAJAN-VINAY NARAYAN MAHAJAN-641762890</t>
  </si>
  <si>
    <t>BIL/NSP/CE11762491/ICIC0SF0002/VINAYSIP VINAY NARAYAN M</t>
  </si>
  <si>
    <t>BIL/NEFT/HS92312100831135/HDFC0000652/VYOM VINAY MNEFT OUTWARD TR</t>
  </si>
  <si>
    <t>UPI/348973590810/car wash c305 m/nareshvemula749/State Bank Of I/ICI3b060e0e50ce4389af07080c323878ba</t>
  </si>
  <si>
    <t>UPI/312478804255/vegetables/q20082480@ybl/Yes Bank Ltd/ICI18f929647921422c89f1057282d6a3b7/</t>
  </si>
  <si>
    <t>MMT/IMPS/312510868236/C305 May2023/RTABOWA - /HDFC0000968</t>
  </si>
  <si>
    <t>UPI/349273081688/vegetables/q20082480@ybl/Yes Bank Ltd/ICId2f3b05bc50b46c281b71d468b01a8bd/</t>
  </si>
  <si>
    <t>UPI/312687646725/UPI/goog-payment@ok/Axis Bank Ltd./AXIc5054c0ca388425fa4cb9021f0d3083e</t>
  </si>
  <si>
    <t>BIL/NEFT/HS92312601708363/HDFC0000652/Vinay NarayaNEFT OUTWARD TR</t>
  </si>
  <si>
    <t>NFS/S1ANWB27/CASH WDL/06-05-23</t>
  </si>
  <si>
    <t>BIL/NSP/CEC3882486/ICIC0SF0002/VINAYSIP VINAY NARAYAN M</t>
  </si>
  <si>
    <t>UPI/313196098697/vegetables/q20082480@ybl/Yes Bank Ltd/ICIe01ede4a6d4541fdae6629ab56ad24aa/</t>
  </si>
  <si>
    <t>NFS/S1ANWB27/CASH WDL/13-05-23</t>
  </si>
  <si>
    <t>UPI/350043030665/haircut/voguesalonandbe/HDFC BANK LTD/ICI9214e5a4a33a445d815443e428679db7/</t>
  </si>
  <si>
    <t>UPI/313486228359/haircut/ashusheikh51136/Fino Payments B/ICIa4f7744717a1491896a444b1e1f16c07/</t>
  </si>
  <si>
    <t>BIL/000664681582/FASTAG IMOBILE/TS07EF8186</t>
  </si>
  <si>
    <t>BIL/NSP/CEJ5412006/ICIC0SF0002/VINAYSIP VINAY NARAYAN M</t>
  </si>
  <si>
    <t>SRS/EUR6.02@89.1544GST45/INREM/20230515173942</t>
  </si>
  <si>
    <t>UPI/350196500575/UPI/airtelpostpaid@/Axis Bank Ltd./AXB5125a80c6e1b48c8a4241c35fdaac67d/</t>
  </si>
  <si>
    <t>CMS/001202781534/ICICIPRULIFEINS__32141601</t>
  </si>
  <si>
    <t>UPI/350255438865/dinner/paytmqr28100505/Paytm Payments /ICIaff540e68b924550a206d52070ec1fb1/</t>
  </si>
  <si>
    <t>UPI/350328450332/c305 milk Apr20/7989495557@axl/Punjab National/ICI6b321ee7a67e4115846f7b7da3b0c2f8/</t>
  </si>
  <si>
    <t>BIL/000666271951/FASTAG IMOBILE/TS07EF8186</t>
  </si>
  <si>
    <t>UPI/313819113415/mangalore trip/shridurgatravel/Canara Bank/ICI2e6f6f362fe8437b802abed6fb23d6c0/</t>
  </si>
  <si>
    <t>UPI/313982275848/medicine/paytm-68434242@/Paytm Payments /ICI4d053148679041da8963e68427b0045d/</t>
  </si>
  <si>
    <t>BIL/NSP/CEQ6725506/ICIC0SF0002/VINAYSIP VINAY NARAYAN M</t>
  </si>
  <si>
    <t>CMS/001205600698/ICICIPRULIFEINS__24511656</t>
  </si>
  <si>
    <t>BIL/ONL/000668568794/Life Insur/LIC_YICI1902857/LIC premium</t>
  </si>
  <si>
    <t>UPI/314470265797/lunch/compassindiafoo/HDFC BANK LTD/PINELABPOSDQR4231030726612123018281/</t>
  </si>
  <si>
    <t>UPI/351040169891/dosa/compassindiafoo/HDFC BANK LTD/PINELABPOSDQR4231030726612123018390/</t>
  </si>
  <si>
    <t>NEFT-CITIN23369634705-NOVARTIS HEALTHCARE PRIVATELIMITED-SALARY FOR THE MONTH OF MAY2023-000987704</t>
  </si>
  <si>
    <t>UPI/351299939224/pizza/mohammedabbasal/ICICI Bank/ICI1493c26afdf24439993df2baa0f5682c/</t>
  </si>
  <si>
    <t>UPI/314763562132/mangoes/paytmqr28100505/Paytm Payments /ICId54f30d093614ecaa47044c95c76dffd/</t>
  </si>
  <si>
    <t>CMS/001208649797/BF-IC__40491262475</t>
  </si>
  <si>
    <t>BIL/NSP/CEX7944705/ICIC0SF0002/VINAYSIP VINAY NARAYAN M</t>
  </si>
  <si>
    <t>CMS/001208908959/ICICIPRULIFEINS__21131016</t>
  </si>
  <si>
    <t>UPI/314999028446/dtdc Varsha PF/q907433922@ybl/Yes Bank Ltd/ICIbcf477816339421c82bc3acd3c7d113f/</t>
  </si>
  <si>
    <t>50400300750551- RD INSTALLMENT-MAY 2023</t>
  </si>
  <si>
    <t>NEFT CR-ICIC0SF0002-VINAY N MAHAJAN-VINAY NARAYAN MAHAJAN-HS92312601708363</t>
  </si>
  <si>
    <t>50400300750551- RD INSTALLMENT-JUN 2023</t>
  </si>
  <si>
    <t>NEFT CR-ICIC0SF0002-VINAY N MAHAJAN-VINAY NARAYAN MAHAJAN-HS92315705071048</t>
  </si>
  <si>
    <t>BIL/NEFT/HS92315204136168/HDFC0000652/VYOM VINAY MNEFT OUTWARD TR</t>
  </si>
  <si>
    <t>UPI/351945247740/c305 car wash J/nareshvemula749/State Bank Of I/ICI1fadfa24b9eb49ad86fdbda31509727d</t>
  </si>
  <si>
    <t>UPI/315474274954/water/paytmqr28100505/Paytm Payments /ICIce6cb075f69c45299d4bc932230e781e/</t>
  </si>
  <si>
    <t>UPI/352174316491/battery/q934644605@ybl/Yes Bank Ltd/ICIed60e6fb231542b6886d53482642eec0/</t>
  </si>
  <si>
    <t>BIL/NSP/CF50159885/ICIC0SF0002/VINAYSIP VINAY NARAYAN M</t>
  </si>
  <si>
    <t>MMT/IMPS/315608929785/C305 June2023/RTABOWA - /HDFC0000968</t>
  </si>
  <si>
    <t>UPI/315628125715/UPI/paytm-68434242@/Paytm Payments /ICIbf5f458e3e7c4cd2a42189b622162760/</t>
  </si>
  <si>
    <t>BIL/NEFT/HS92315705071048/HDFC0000652/Vinay NarayaNEFT OUTWARD TR</t>
  </si>
  <si>
    <t>UPI/316225105154/mangoes/balaswamybandag/Union Bank of I/ICIb52de1046e8c45c394cc1ae45ceab99b/</t>
  </si>
  <si>
    <t>UPI/352867216672/Pay to BharatPe/bharatpe9072706/Yes Bank Ltd/ICIc85730aa3a1a4a19b8dc92fae4047ddf/</t>
  </si>
  <si>
    <t>UPI/352869415092/Pay to BharatPe/bharatpe9072679/Yes Bank Ltd/ICI5253b4636f3443bd868eb1683f8aff2b/</t>
  </si>
  <si>
    <t>BIL/NSP/CFG1898930/ICIC0SF0002/VINAYSIP VINAY NARAYAN M</t>
  </si>
  <si>
    <t>UPI/353171713950/medicines/nawabsuhel@oksb/State Bank Of I/ICI95f1f57738b542998e38821441bbf39e/</t>
  </si>
  <si>
    <t>UPI/316578912010/pani puri/paytmqr28100505/Paytm Payments /ICI30483026f1f74508a4f0718112ed9113/</t>
  </si>
  <si>
    <t>UPI/316645719475/UPI/airtel121@hdfcb/HDFC BANK LTD/ICIeaa5be00b9c049df99f935782e33983c/</t>
  </si>
  <si>
    <t>UPI/353310851909/vegetables/q20082480@ybl/Yes Bank Ltd/ICIb5c3009535e54383912a0959a2f3378b/</t>
  </si>
  <si>
    <t>CMS/001221007411/ICICIPRULIFEINS__32141601</t>
  </si>
  <si>
    <t>UPI/316751957216/transfer from v/poojaaru949@oks/State Bank Of I/ICI7f0d8a0710834217ade174ee4ddc0bed</t>
  </si>
  <si>
    <t>Shivshankar transfer</t>
  </si>
  <si>
    <t>UPI/353540914090/plumber/swarajakhatua@o/HDFC BANK LTD/ICI7fe4a8dd61334cdbb354e72933285104/</t>
  </si>
  <si>
    <t>UPI/316954515387/medicine/paytm-68434242@/Paytm Payments /ICI7e28a25db42b4211ab49198cf08514ba/</t>
  </si>
  <si>
    <t>BIL/NSP/CFN3253114/ICIC0SF0002/VINAYSIP VINAY NARAYAN M</t>
  </si>
  <si>
    <t>CMS/001223251530/ICICIPRULIFEINS__24511656</t>
  </si>
  <si>
    <t>UPI/353808410190/UPI/compassindiafoo/HDFC BANK LTD/PINELABPOSDQR4231030726612123023256/</t>
  </si>
  <si>
    <t>MMT/IMPS/317409623501/LIC Umang Vyom/LICBO 883/UBIN0902217</t>
  </si>
  <si>
    <t>UPI/354226223221/mangoes/balaswamybandag/Union Bank of I/ICI4e1a0b10d5b84658b06d18e2904e8de5/</t>
  </si>
  <si>
    <t>UPI/354281928160/petrol/chikondrashekar/UCO Bank/ICId5bcffe290d14f0cb95a3ed6871846d1/</t>
  </si>
  <si>
    <t>BIL/NSP/CFU4515796/ICIC0SF0002/VINAYSIP VINAY NARAYAN M</t>
  </si>
  <si>
    <t>NEFT-CITIN23383600652-NOVARTIS HEALTHCARE PRIVATELIMITED-SALARY FOR THE MONTH OF JUN2023-000987704</t>
  </si>
  <si>
    <t>CMS/001226730091/BF-IC__40491262475</t>
  </si>
  <si>
    <t>CMS/001226997338/ICICIPRULIFEINS__21131016</t>
  </si>
  <si>
    <t>UPI/317950313304/macaroons/paytmqr28100505/Paytm Payments /ICIdadc5fdd30a941faaf9840e4feec8c27/</t>
  </si>
  <si>
    <t>UPI/354668345282/computer repair/ishu6492@okhdfc/HDFC BANK LTD/ICIf8afdcace8b043aabdc46230a83850d4/</t>
  </si>
  <si>
    <t>000401043279:Int.Pd:30-03-2023 to 29-06-2023</t>
  </si>
  <si>
    <t>XXXX</t>
  </si>
  <si>
    <t>ATM/CASH WDL/14-04-09/19:59:15/0</t>
  </si>
  <si>
    <t>BIL/000099859230/vinay&amp;#39;s airtel b/AIRTEL_MICI9</t>
  </si>
  <si>
    <t>BIL/000099860887/Varsha&amp;#39;s airtel/AIRTEL_MICI90</t>
  </si>
  <si>
    <t>CITI BANK CREDIT CARD</t>
  </si>
  <si>
    <t>ATM/CASH WDL/06-05-09/08:47:17/0</t>
  </si>
  <si>
    <t>ATM/WDL RVSL/06-05-09/08:47:17/R/008801013248</t>
  </si>
  <si>
    <t>VINAY  MOHAJAN</t>
  </si>
  <si>
    <t>ATM/CASH WDL/22-06-09/07:24:11/0</t>
  </si>
  <si>
    <t>BIL/000109822373/LIC policy/NA-L340</t>
  </si>
  <si>
    <t>9862  BNP</t>
  </si>
  <si>
    <t>MATRIXCE</t>
  </si>
  <si>
    <t>BIL/000116448048/citibank card 518936/CITICARD_MIC</t>
  </si>
  <si>
    <t>BIL/000116449783/Airtel bill for July/AIRTEL_MICI9</t>
  </si>
  <si>
    <t>BIL/000116655524/Airtel Vinay bill 93/AIRTEL_MICI9</t>
  </si>
  <si>
    <t>Twds  EXPENSE REIMBURSEMENT</t>
  </si>
  <si>
    <t>302073HDF RELIANCE</t>
  </si>
  <si>
    <t>ATM/CASH WDL/03-09-09/12:49:12/0</t>
  </si>
  <si>
    <t>ATM/CASH WDL/03-09-09/12:50:30/0</t>
  </si>
  <si>
    <t>ATM/CASH WDL/03-09-09/12:56:55/0</t>
  </si>
  <si>
    <t>008801013248:Int.Pd:01-03-2009 to 31-08-2009</t>
  </si>
  <si>
    <t>REIMB OF EXPENSES</t>
  </si>
  <si>
    <t>TRFR TO:SATVAN</t>
  </si>
  <si>
    <t>BIL/000119823910/LIC premium for two/NA</t>
  </si>
  <si>
    <t>BIL/000120318832/Citibank credit card/CITICARD_MIC</t>
  </si>
  <si>
    <t>BIL/000121191912/Amex bill/376918361501009</t>
  </si>
  <si>
    <t>BIL/000121253746/Airtel Varsha&amp;#39;s/AIRTEL_MICI90</t>
  </si>
  <si>
    <t>BIL/000121258136/Vinay&amp;#39;s airtel b/AIRTEL_MICI9</t>
  </si>
  <si>
    <t>RAMKY TWERS LTD</t>
  </si>
  <si>
    <t>RELIANCE GENERAL INSURANCE CO</t>
  </si>
  <si>
    <t>K C MAHINDRA EDUCATION TRUST</t>
  </si>
  <si>
    <t>TRO/302486/S M PAIGAONKAR</t>
  </si>
  <si>
    <t>BIL/000125032638/Amex card/376918361501009</t>
  </si>
  <si>
    <t>916587 SRC</t>
  </si>
  <si>
    <t>BIL/000129257424/Amex bill for Basel/3769183615010</t>
  </si>
  <si>
    <t>ATM/CASH WDL/22-11-09/16:30:31/0</t>
  </si>
  <si>
    <t>RAMKY TOWERS LTD</t>
  </si>
  <si>
    <t>twds reimb.of expenses</t>
  </si>
  <si>
    <t>TRFR TO:SATNA PRESCHOOLS PVT LTD</t>
  </si>
  <si>
    <t>ATM/CASH WDL/09-12-09/13:08:44/0</t>
  </si>
  <si>
    <t>BIL/000133513427/Amex bill/376918361501009</t>
  </si>
  <si>
    <t>BIL/000133514090/LIC payments/L340_LIC OF IND</t>
  </si>
  <si>
    <t>BIL/000134600195/LIC policy/L340_LIC OF IND</t>
  </si>
  <si>
    <t>POST MASTER DADAR H O</t>
  </si>
  <si>
    <t>IIN/billdesk   /20100107141201/0</t>
  </si>
  <si>
    <t>BIL/000137778093/AMEX card/376918361501009</t>
  </si>
  <si>
    <t>ATM/CASH WDL/22-01-10/15:09:23/0</t>
  </si>
  <si>
    <t>BIL/000138779020/Airtel bill/AIRTEL_MICI0010</t>
  </si>
  <si>
    <t>BIL/000138978369/Airtel bill Vinay/AIRTEL_MICI0010</t>
  </si>
  <si>
    <t>BIL/000139008373/Tata indicom bill/TATAINDICOM_MIC</t>
  </si>
  <si>
    <t>MARTIX CELLULAR SERVICES PVT LTD</t>
  </si>
  <si>
    <t>BIL/000141795010/Movie tickets 14th F/BOOKMYSHOW_M</t>
  </si>
  <si>
    <t>BIL/000142149217/AMEX card/376918361501009</t>
  </si>
  <si>
    <t>BIL/000142150024/Airtel Varsha bill/AIRTEL_MICI002</t>
  </si>
  <si>
    <t>BIL/000142150436/Airtel bill Vinay&amp;#3/AIRTEL_MICI0</t>
  </si>
  <si>
    <t>ATM/CASH WDL/15-02-10/19:25:01/0</t>
  </si>
  <si>
    <t>ATM/CASH WDL/15-02-10/19:26:27/0</t>
  </si>
  <si>
    <t>BIL/000143544305/Vyom&amp;#39;s LIC/L340_LIC OF IND</t>
  </si>
  <si>
    <t>008801013248:Int.Pd:01-09-2009 to 28-02-2010</t>
  </si>
  <si>
    <t>BIL/000144562053/Ticket booking for M/0189856028</t>
  </si>
  <si>
    <t>IRCTC REFUND - PRN  0189856028</t>
  </si>
  <si>
    <t>ATM/CASH WDL/12-03-10/16:23:24/0</t>
  </si>
  <si>
    <t>BIL/000146115609/airtel bill varsha/AIRTEL_MICI003</t>
  </si>
  <si>
    <t>BIL/000146115177/airtelbill - Vinay/AIRTEL_MICI003</t>
  </si>
  <si>
    <t>ATM/CASH WDL/16-03-10/16:09:31/0</t>
  </si>
  <si>
    <t>BIL/000147563564/Amex bill/376918361501009</t>
  </si>
  <si>
    <t>BIL/000147564975/LIC policy/L340_LIC OF IND</t>
  </si>
  <si>
    <t>CMS/000017029056/ BIRLA MF DIV</t>
  </si>
  <si>
    <t>ATD/4864093103224004/20100406175031</t>
  </si>
  <si>
    <t>SR POST MASTER</t>
  </si>
  <si>
    <t>BIL/000150834219/Airtel bill/AIRTEL_MICI0043</t>
  </si>
  <si>
    <t>BIL/000151639609/AMEX card/376918361501009</t>
  </si>
  <si>
    <t>Twds Reimbursements</t>
  </si>
  <si>
    <t>008801013248:Int.Pd:01-03-2010 to 31-03-2010</t>
  </si>
  <si>
    <t>ATM/CASH WDL/03-05-10/06:23:07/0</t>
  </si>
  <si>
    <t>ATD/4864093103224004/20100506171309</t>
  </si>
  <si>
    <t>BIL/000154594638/Airtel varsha&amp;#39;s/AIRTEL_MICI00</t>
  </si>
  <si>
    <t>BIL/000154597046/Airtel vinay/AIRTEL_MICI0057</t>
  </si>
  <si>
    <t>GE MOTOR INDI PVT LTD</t>
  </si>
  <si>
    <t>ATM/CASH WDL/16-05-10/17:36:01/0</t>
  </si>
  <si>
    <t>BIL/000156170314/Citibank card/CITICARD_MICI00</t>
  </si>
  <si>
    <t>BIL/000156171349/Amex card/376918361501009</t>
  </si>
  <si>
    <t>BIL/000157767384/gargi airtel/AIRTEL_MICI0051</t>
  </si>
  <si>
    <t>ATD/4864093103224004/20100607173817</t>
  </si>
  <si>
    <t>BIL/000160532669/varsha airtel/AIRTEL_MICI0064</t>
  </si>
  <si>
    <t>BIL/000160534138/vinay Airtel bill/AIRTEL_MICI0064</t>
  </si>
  <si>
    <t>HDFC BANK LTD AC INCOME TAX</t>
  </si>
  <si>
    <t>EUR265.79@55.62 FCST 25</t>
  </si>
  <si>
    <t>BIL/000162259195/LIC policy 3210/L340_LIC OF IND</t>
  </si>
  <si>
    <t>ATM/CASH WDL/02-07-10/18:26:50/0</t>
  </si>
  <si>
    <t>ATM/CASH WDL/02-07-10/18:27:48/0</t>
  </si>
  <si>
    <t>ATD/4864093103224004/20100706162632</t>
  </si>
  <si>
    <t>GEM MOTORS INDIA PVT</t>
  </si>
  <si>
    <t>BIL/000165359266/citibank/CITICARD_MICI00</t>
  </si>
  <si>
    <t>BIL/000165457669/AMEX/376918361501009</t>
  </si>
  <si>
    <t>SATNAV PRESCHOOL PVT</t>
  </si>
  <si>
    <t>BIL/000167028070/Varsha airtel bill/AIRTEL_MICI007</t>
  </si>
  <si>
    <t>BIL/000167028245/Vinay airtel bill/AIRTEL_MICI0073</t>
  </si>
  <si>
    <t>ATD/4864093103224004/20100805164620</t>
  </si>
  <si>
    <t>BIL/000171137053/citibank credit card/CITICARD_MIC</t>
  </si>
  <si>
    <t>BIL/000171795371/varsha airtel bill/AIRTEL_MICI008</t>
  </si>
  <si>
    <t>BIL/000171795939/vinay airtel bill/AIRTEL_MICI0088</t>
  </si>
  <si>
    <t>008801013248:Int.Pd:01-04-2010 to 31-08-2010</t>
  </si>
  <si>
    <t>ATM/CASH WDL/05-09-10/20:01:07/0</t>
  </si>
  <si>
    <t>CHF146.57@44.82 FCST 25</t>
  </si>
  <si>
    <t>BIL/000176800946/citibank credit card/CITICARD_MIC</t>
  </si>
  <si>
    <t>BIL/000178108410/Varsha Airtel bill/AIRTEL_MICI009</t>
  </si>
  <si>
    <t>BIL/000178109838/vinay&amp;#39;s airtel/AIRTEL_MICI009</t>
  </si>
  <si>
    <t>BIL/000179871228/LIC premium/L340_LIC OF IND</t>
  </si>
  <si>
    <t>ATD/4864093103224004/20101006143739</t>
  </si>
  <si>
    <t>BIL/000182092364/varsha airtel bill/AIRTEL_MICI010</t>
  </si>
  <si>
    <t>BIL/000182093173/Vinay&amp;#39;s airtel b/AIRTEL_MICI0</t>
  </si>
  <si>
    <t>ATM/CASH WDL/24-10-10/08:39:32/0</t>
  </si>
  <si>
    <t>BIL/000184524021/citibank card/CITICARD_MICI01</t>
  </si>
  <si>
    <t>ATM/CASH WDL/28-10-10/18:52:22/0</t>
  </si>
  <si>
    <t>BIL/000185880951/Amex office dinner/37691836150100</t>
  </si>
  <si>
    <t>ATM/CASH WDL/04-11-10/10:28:33/0</t>
  </si>
  <si>
    <t>ATD/4864093103224004/20101105160208</t>
  </si>
  <si>
    <t>BIL/000188504400/varsha&amp;#39;s airtel/AIRTEL_MICI01</t>
  </si>
  <si>
    <t>BIL/000188505086/vinay&amp;#39;s airtel b/AIRTEL_MICI0</t>
  </si>
  <si>
    <t>BIL/000189067130/Vodafone bill/VODAFONE_MICI01</t>
  </si>
  <si>
    <t>BIL/000190357031/citibank payment/CITICARD_MICI01</t>
  </si>
  <si>
    <t>TWDS EXP REIOMB-NOVARTIS</t>
  </si>
  <si>
    <t>ATD/4864093103224004/20101207173141</t>
  </si>
  <si>
    <t>BIL/000193988009/LIC policy 921431215/LICPGI_MICI0</t>
  </si>
  <si>
    <t>BIL/000194620367/electricity bill/A9009837</t>
  </si>
  <si>
    <t>BIL/000194620675/citibank bill/CITICARD_MICI01</t>
  </si>
  <si>
    <t>BIL/000195286906/LIC next set/LICPGI_MICI0129</t>
  </si>
  <si>
    <t>BIL/000196850603/LIC premium/LICPGI_MICI0122</t>
  </si>
  <si>
    <t>BIL/000197157718/varsha test transact/065210000088</t>
  </si>
  <si>
    <t>BIL/000197992080/Transfer to HDFC/06521000008889</t>
  </si>
  <si>
    <t>ATD/4864093103224004/20110105160447</t>
  </si>
  <si>
    <t>BIL/000201439688/varsha airtel/AIRTEL_MICI1018</t>
  </si>
  <si>
    <t>ATM/CASH WDL/20-01-11/13:11:46/0</t>
  </si>
  <si>
    <t>ATM/CASH WDL/24-01-11/12:35:16/0</t>
  </si>
  <si>
    <t>ATM/CASH WDL/24-01-11/12:36:03/0</t>
  </si>
  <si>
    <t>EUR1.49@61.19 FCST 25</t>
  </si>
  <si>
    <t>BIL/000203792846/For Home loan/06521000008889</t>
  </si>
  <si>
    <t>HDFC LTD A/C</t>
  </si>
  <si>
    <t>ATD/4864093103224004/20110207155437</t>
  </si>
  <si>
    <t>TWDS REIMB-NOVARTIS</t>
  </si>
  <si>
    <t>ATM/CASH WDL/09-02-11/19:37:17/0</t>
  </si>
  <si>
    <t>ATM/CASH WDL/22-02-11/13:12:26/0</t>
  </si>
  <si>
    <t>BIL/000208911273/vodafone bill/VODAFONE_MICI10</t>
  </si>
  <si>
    <t>BIL/000210358879/Vyom LIC/LICPGI_MICI1032</t>
  </si>
  <si>
    <t>EUR87.74@61.09 FCST 25</t>
  </si>
  <si>
    <t>BIL/000210798507/Tranfer to HDFC/06521000008889</t>
  </si>
  <si>
    <t>008801013248:Int.Pd:01-09-2010 to 28-02-2011</t>
  </si>
  <si>
    <t>ATD/4864093103224004/20110307173632</t>
  </si>
  <si>
    <t>EUR61.11@61.75 FCST 25</t>
  </si>
  <si>
    <t>BIL/000215043824/vodafone/VODAFONE_MICI10</t>
  </si>
  <si>
    <t>BIL/000215253797/Lic premium/LICPGI_MICI1039</t>
  </si>
  <si>
    <t>BIL/000215792999/citibank payment/CITICARD_MICI10</t>
  </si>
  <si>
    <t>ATD/4864093103224004/20110404161953</t>
  </si>
  <si>
    <t>NEFT-CITIN11113945125-BSL TAX</t>
  </si>
  <si>
    <t>BIL/000219683311/Ohri&amp;#39;s Ronan&amp;#39/376918361501</t>
  </si>
  <si>
    <t>ATM/CASH WDL/21-04-11/16:35:14/0</t>
  </si>
  <si>
    <t>ATM/CASH WDL/21-04-11/16:36:03/0</t>
  </si>
  <si>
    <t>BIL/000221337521/citibank/CITICARD_MICI10</t>
  </si>
  <si>
    <t>BIL/000221789237/airtel digital tv/AIRTELDTH_MICI1</t>
  </si>
  <si>
    <t>TDS RECOVERY 8813689</t>
  </si>
  <si>
    <t>ATD/4864093103224004/20110504164126</t>
  </si>
  <si>
    <t>BIL/000228807651/Amex bill/376918361501009</t>
  </si>
  <si>
    <t>BIL/000229621995/Transfer to HDFC/06521000008889</t>
  </si>
  <si>
    <t>ATD/4864093103224004/20110603154400</t>
  </si>
  <si>
    <t>BIL/000231270270/LIC pension premium/LICPGI_MICI10</t>
  </si>
  <si>
    <t>ATM/CASH WDL/13-06-11/18:23:38/0</t>
  </si>
  <si>
    <t>SR POST MASTER DALAL</t>
  </si>
  <si>
    <t>BIL/000235292036/Amex bill 2/376918361501009</t>
  </si>
  <si>
    <t>BIL/000235889116/June 2011 Bill/1.52484218</t>
  </si>
  <si>
    <t>BIL/000236999535/Airtel DTH broadband/AIRTELDTH_MI</t>
  </si>
  <si>
    <t>ATM/CASH WDL/08-07-11/12:30:45/0</t>
  </si>
  <si>
    <t>BIL/000239446257/DTAX/639034018071150</t>
  </si>
  <si>
    <t>ATM/CASH WDL/19-07-11/13:11:58/0</t>
  </si>
  <si>
    <t>BIL/000242461126/Matrix charge/376918361501009</t>
  </si>
  <si>
    <t>BIL/000243709572/HDFC transfer/06521000008889</t>
  </si>
  <si>
    <t>BIL/000243784458/vodafone bill/1.52484218</t>
  </si>
  <si>
    <t>BIL/000244732280/incl N chg Rs5 ST Rs1</t>
  </si>
  <si>
    <t>BIL/000245131846/LIC policy with late/LICPGI_MICI0</t>
  </si>
  <si>
    <t>029911 CIT   NOVARTIS HEA</t>
  </si>
  <si>
    <t>BIL/000247879575/incl N chg Rs5 ST Rs1</t>
  </si>
  <si>
    <t>ATM/CASH WDL/26-08-11/13:17:52/0</t>
  </si>
  <si>
    <t>BIL/000249095827/BB charges/1.52484218</t>
  </si>
  <si>
    <t>008801013248:Int.Pd:01-03-2011 to 31-08-2011</t>
  </si>
  <si>
    <t>ATD/4864093103224004/20110905153703</t>
  </si>
  <si>
    <t>BIL/000251704171/airtel dth/AIRTELDTH_MICI0</t>
  </si>
  <si>
    <t>ATM/CASH WDL/10-09-11/09:27:08/0</t>
  </si>
  <si>
    <t>ATM/CASH WDL/10-09-11/21:48:30/0</t>
  </si>
  <si>
    <t>PASIMAL M AGASHE</t>
  </si>
  <si>
    <t>MLV CHANDRA SEKHAR</t>
  </si>
  <si>
    <t>NFS/CASH WDL/24-09-11/19:48:31/0</t>
  </si>
  <si>
    <t>BIL/000255576284/LIC policy premium/LICPGI_MICI099</t>
  </si>
  <si>
    <t>BIL/000257317530/vodafone/1.52484218</t>
  </si>
  <si>
    <t>NFS/CASH WDL/08-10-11/10:46:14/0</t>
  </si>
  <si>
    <t>BIL/000260004888/Airtel BCPH/AIRTEL_MICI1005</t>
  </si>
  <si>
    <t>BIL/000260082681/airtel vinay/AIRTEL_MICI1005</t>
  </si>
  <si>
    <t>BIL/000261120567/AMEX card/376918361501009</t>
  </si>
  <si>
    <t>BIL/000261124327/incl N chg Rs5 ST Rs1</t>
  </si>
  <si>
    <t>ATM/CASH WDL/19-10-11/16:21:50/0</t>
  </si>
  <si>
    <t>NFS/CASH WDL/29-10-11</t>
  </si>
  <si>
    <t>BIL/000264986566/airticket for vivan/NF25241123380</t>
  </si>
  <si>
    <t>BIL/000264995021/vivan airticket/KINGFISHER_MICI</t>
  </si>
  <si>
    <t>Rev of pmt id  264986566</t>
  </si>
  <si>
    <t>BIL/000265604957/Vodafone bill/1.52484218</t>
  </si>
  <si>
    <t>BIL/000266427809/beam cable/262140</t>
  </si>
  <si>
    <t>BIL/000272563762/Vodafone/1.52484218</t>
  </si>
  <si>
    <t>ATD/4864093103224004/20111205162108</t>
  </si>
  <si>
    <t>BIL/000274553077/incl N chg Rs5 ST Rs1</t>
  </si>
  <si>
    <t>BIL/000274554857/LIC premium/LICPGI_MICI2653</t>
  </si>
  <si>
    <t>BIL/000277271384/Amex card/376918361501009</t>
  </si>
  <si>
    <t>BIL/000277271720/Varsha BB/1.52484218</t>
  </si>
  <si>
    <t>BIL/000284472035/incl N chg Rs15 ST Rs2</t>
  </si>
  <si>
    <t>BIL/000284472844/incl N chg Rs15 ST Rs2</t>
  </si>
  <si>
    <t>BIL/000286506515/Vodafone bill/1.52484218</t>
  </si>
  <si>
    <t>ATD/4864093103224004/20120203160714</t>
  </si>
  <si>
    <t>ATM/CASH WDL/06-02-12/12:27:57/0</t>
  </si>
  <si>
    <t>TWDS EMP EXP REIMB</t>
  </si>
  <si>
    <t>BIL/000295328978/LIC/LICPGI_MICI2693</t>
  </si>
  <si>
    <t>008801013248:Int.Pd:01-09-2011 to 29-02-2012</t>
  </si>
  <si>
    <t>BIL/000297888363/Vodafone bill/1.52484218</t>
  </si>
  <si>
    <t>SRS/EUR66.27@64.09STAX26/INREM/20120315131123/0</t>
  </si>
  <si>
    <t>SRS/EUR95.67@66.59STAX26/INREM/20120327130313/0</t>
  </si>
  <si>
    <t>NEFT-HSBCN12088852012-BSL MU FD BSL TX RE 96 DV IN</t>
  </si>
  <si>
    <t>BIL/000305527344/Vodafone/1.52484218</t>
  </si>
  <si>
    <t>BIL/000306354746/LIC premium/LICPGI_MICI2715</t>
  </si>
  <si>
    <t>BIL/000309326497/incl N chg Rs15 ST Rs2</t>
  </si>
  <si>
    <t>TWDS EXP REIMBURSEMENT</t>
  </si>
  <si>
    <t>BIL/000314665128/Vodafone/1.52484218</t>
  </si>
  <si>
    <t>RTGS :ICICH12124082594/Vinay Narayan Mahajan</t>
  </si>
  <si>
    <t>RTGS Chrgs:Vinay Narayan Mahajan/HDFC</t>
  </si>
  <si>
    <t>BIL/000318942186/incl N chg Rs15 ST Rs2</t>
  </si>
  <si>
    <t>ATM/CASH WDL/18-05-12/15:57:48/0</t>
  </si>
  <si>
    <t>BIL/000320448647/Beam cable/262140</t>
  </si>
  <si>
    <t>BIL/000320450501/airtel dth/AIRTELDTH_MICI2</t>
  </si>
  <si>
    <t>BIL/000322626957/vodafone bill/1.52484218</t>
  </si>
  <si>
    <t>BIL/000322983072/incl N chg Rs15 ST Rs2</t>
  </si>
  <si>
    <t>BIL/000323745905/LIC policy/LICPGI_MICI2748</t>
  </si>
  <si>
    <t>BIL/000323755971/incl N chg Rs5 ST Rs1</t>
  </si>
  <si>
    <t>ATD/4864093103224004/20120604160507</t>
  </si>
  <si>
    <t>BIL/000324644084/DTAX/639034006061250</t>
  </si>
  <si>
    <t>BIL/000324647269/DTAX/639034006061250</t>
  </si>
  <si>
    <t>ATM/CASH WDL/08-06-12/18:03:42/0</t>
  </si>
  <si>
    <t>BIL/000327223423/beam cable/262140</t>
  </si>
  <si>
    <t>BIL/000330096294/LIC premium/LICPGI_MICI2761</t>
  </si>
  <si>
    <t>BIL/000332113633/Vodafone bill/1.52484218</t>
  </si>
  <si>
    <t>ATD/4864093103224004/20120704160541</t>
  </si>
  <si>
    <t>KUONI BUSINESS TRAVEL INDIA P LTD</t>
  </si>
  <si>
    <t>KUONI BUSINESS TRAVEL INDIA PVT LTD</t>
  </si>
  <si>
    <t>BIL/000339777397/beam cable/262140</t>
  </si>
  <si>
    <t>ATD/4864093103224004/20120803155347</t>
  </si>
  <si>
    <t>BIL/000342369787/hyd cell/1.52484218</t>
  </si>
  <si>
    <t>BIL/000342768407/Internet beam/262140</t>
  </si>
  <si>
    <t>BIL/000344918258/NchgRs25.00STRs3.09</t>
  </si>
  <si>
    <t>008815259447: Rev Sweep From</t>
  </si>
  <si>
    <t>008814049408: Rev Sweep From</t>
  </si>
  <si>
    <t>008814033128: Rev Sweep From</t>
  </si>
  <si>
    <t>008814030485: Rev Sweep From</t>
  </si>
  <si>
    <t>008814022135: Rev Sweep From</t>
  </si>
  <si>
    <t>008814017469: Rev Sweep From</t>
  </si>
  <si>
    <t>BIL/000347165138/HDFC corporate card/HDFCCARD_MICI</t>
  </si>
  <si>
    <t>SRS/EUR2647.32@67.77STA/INREM/20120822141902/0</t>
  </si>
  <si>
    <t>SRS/EUR3838.68@68.5STAX/INREM/20120828195450/0</t>
  </si>
  <si>
    <t>RAMKY TOWER LTD</t>
  </si>
  <si>
    <t>twrds expense reimbursement</t>
  </si>
  <si>
    <t>008801013248:Int.Pd:01-03-2012 to 31-08-2012</t>
  </si>
  <si>
    <t>BIL/000350932677/1271.14/1.52484218</t>
  </si>
  <si>
    <t>ATM/CASH WDL/03-09-12/17:08:16/0</t>
  </si>
  <si>
    <t>BIL/000351339510/Beam september/262140</t>
  </si>
  <si>
    <t>ATD/4864093103224004/20120904163852</t>
  </si>
  <si>
    <t>BIL/000357456681/LIC policy/LICPGI_MICI2815</t>
  </si>
  <si>
    <t>BIL/000359668010/vodafone bill/1.52484218</t>
  </si>
  <si>
    <t>BIL/000360998579/beam/262140</t>
  </si>
  <si>
    <t>ATD/4864093103224004/20121004160315</t>
  </si>
  <si>
    <t>CMS/000061019608/ REDEMPTION - RELIANCE MF</t>
  </si>
  <si>
    <t>CMS/000061019824/ REDEMPTION - RELIANCE MF</t>
  </si>
  <si>
    <t>NEFT-0P12103044696715-BNP PARIBAS MUTUAL FUND REDE MPTION AC</t>
  </si>
  <si>
    <t>SUJATHA RADHAKRISHNAN</t>
  </si>
  <si>
    <t>BIL/000371176149/cell fone/1.52484218</t>
  </si>
  <si>
    <t>BIL/000371186367/Beam cable/BEAMTELE.COM-IL</t>
  </si>
  <si>
    <t>ATD/4864093103224004/20121105160147</t>
  </si>
  <si>
    <t>NFS/CASH WDL/08-11-12</t>
  </si>
  <si>
    <t>SUJATHA RADHA KRISHNAN</t>
  </si>
  <si>
    <t>NFS/CASH WDL/22-11-12</t>
  </si>
  <si>
    <t>BIL/000379883985/vodafone bill/1.52484218</t>
  </si>
  <si>
    <t>BIL/000379884722/Beam cable/262140</t>
  </si>
  <si>
    <t>BIL/000379886594/airtel digital/AIRTELDTH_MICI2</t>
  </si>
  <si>
    <t>BIL/000379890858/airtel digital/AIRTELDTH_MICI2</t>
  </si>
  <si>
    <t>ATD/4864093103224004/20121204152714</t>
  </si>
  <si>
    <t>ATM/CASH WDL/04-12-12/16:30:10/0</t>
  </si>
  <si>
    <t>ATM/CASH WDL/04-12-12/16:31:08/0</t>
  </si>
  <si>
    <t>NEFT-FBLIC1235401486-LIC OF INDIA</t>
  </si>
  <si>
    <t>NEFT-FBLIC1235401487-LIC OF INDIA</t>
  </si>
  <si>
    <t>NEFT-FBLIC1235401488-LIC OF INDIA</t>
  </si>
  <si>
    <t>ECS AOSPS2188F-AY2012-13 / CMPR8739109</t>
  </si>
  <si>
    <t>BIL/000387979721/NchgRs2.50STRs0.31</t>
  </si>
  <si>
    <t>BIL/000388032354/LIC premium/LICPGI_MICI2881</t>
  </si>
  <si>
    <t>BIL/000388034590/NchgRs5.00STRs0.62</t>
  </si>
  <si>
    <t>BIL/000390648965/vodafone/1.52484218</t>
  </si>
  <si>
    <t>ATD/4864093103224004/20130103153935</t>
  </si>
  <si>
    <t>BIL/000394118832/Nanhi kali/NANHIKALI.ORG-I</t>
  </si>
  <si>
    <t>CMS/000067884145/ REDEMPTION - RELIANCE MF</t>
  </si>
  <si>
    <t>BIL/000396275658/NchgRs5.00STRs0.62</t>
  </si>
  <si>
    <t>ATM/CASH WDL/25-01-13/17:25:36/0</t>
  </si>
  <si>
    <t>ATM/CASH WDL/28-01-13/11:27:06/0</t>
  </si>
  <si>
    <t>ATD/4864093103224004/20130204163400</t>
  </si>
  <si>
    <t>BIL/000402561081/VOdafone bill/1.52484218</t>
  </si>
  <si>
    <t>BIL/000408745085/Vyom&amp;#39;s LIC/LICPGI_MICI2927</t>
  </si>
  <si>
    <t>008801013248:Int.Pd:01-09-2012 to 28-02-2013</t>
  </si>
  <si>
    <t>BIL/000411507846/Varsha Hyd cell/1.52484218</t>
  </si>
  <si>
    <t>ATD/4864093103224004/20130305174503</t>
  </si>
  <si>
    <t>BIL/000418790197/NchgRs5.00STRs0.62</t>
  </si>
  <si>
    <t>BIL/000418790933/LIC policy/LICPGI_MICI2948</t>
  </si>
  <si>
    <t>ATD/4864093103224004/20130403110610</t>
  </si>
  <si>
    <t>BIL/000424532558/Mobile/1.52484218</t>
  </si>
  <si>
    <t>SURIYHA ENTERPRISES</t>
  </si>
  <si>
    <t>NFS/CASH WDL/22-04-13</t>
  </si>
  <si>
    <t>BIL/000434546301/mobile/1.52484218</t>
  </si>
  <si>
    <t>A F FERGUSON   CO 659610 SCB</t>
  </si>
  <si>
    <t>BIL/000435608786/beam cable/262140</t>
  </si>
  <si>
    <t>ATD/4864093103224004/20130506113031</t>
  </si>
  <si>
    <t>NFS/CASH WDL/07-05-13</t>
  </si>
  <si>
    <t>BIL/000439409791/NchgRs2.50STRs0.31</t>
  </si>
  <si>
    <t>TIRUPATI ENTERPRISES</t>
  </si>
  <si>
    <t>BIL/000441196265/LIC pension premium/LICPGI_MICI29</t>
  </si>
  <si>
    <t>NEFT-FBLIC1314201021-LIC OF INDIA</t>
  </si>
  <si>
    <t>INF/000067783404/ICICI BANK Varsha V M</t>
  </si>
  <si>
    <t>BIL/000444293380/NchgRs2.50STRs0.31</t>
  </si>
  <si>
    <t>BIL/000445622057/vodafone bill/1.52484218</t>
  </si>
  <si>
    <t>ATD/4864093103224004/20130604101421</t>
  </si>
  <si>
    <t>CITIBANK       \CIT  \923564</t>
  </si>
  <si>
    <t>INF/000068311813/NOVARTIS SALARY JUN-2</t>
  </si>
  <si>
    <t>BIL/000456781543/Varsha cell phone/1.52484218</t>
  </si>
  <si>
    <t>BIL/000457783234/NchgRs2.50STRs0.31</t>
  </si>
  <si>
    <t>ATD/4864093103224004/20130704132447</t>
  </si>
  <si>
    <t>BIL/000460911395/beam cable/262140</t>
  </si>
  <si>
    <t>BIL/000466128745/DTAX/639034024071355</t>
  </si>
  <si>
    <t>INF/000068890778/NOVARTIS SALARY FOR</t>
  </si>
  <si>
    <t>ATD/4864093103224004/20130805091317</t>
  </si>
  <si>
    <t>NFS/CASH WDL/12-08-13</t>
  </si>
  <si>
    <t>BIL/000478432256/HDFC coporate/HDFCCARD_MICI30</t>
  </si>
  <si>
    <t>INF/000069401033/NOVARTIS SALARY FOR</t>
  </si>
  <si>
    <t>008801013248:Int.Pd:01-03-2013 to 31-08-2013</t>
  </si>
  <si>
    <t>ATD/4864093103224004/20130903120455</t>
  </si>
  <si>
    <t>BIL/000483289262/Vodafone/1.52484218</t>
  </si>
  <si>
    <t>NFS/CASH WDL/11-09-13</t>
  </si>
  <si>
    <t>BIL/000490185618/Tata photon/919283160 VARSH</t>
  </si>
  <si>
    <t>BIL/000491200730/tata photon/TATADOCOMO_MICI</t>
  </si>
  <si>
    <t>BIL/000493388125/Vodafone/1.52484218</t>
  </si>
  <si>
    <t>BIL/000495216774/Vodafone/1.52484218</t>
  </si>
  <si>
    <t>BIL/000495227311/NchgRs25.00STRs3.09</t>
  </si>
  <si>
    <t>ATD/4864093103224004/20131004092119</t>
  </si>
  <si>
    <t>BIL/000496359363/Corporate card/HDFCCARD_MICI31</t>
  </si>
  <si>
    <t>TRFR TO:SATNAV PRESCHOOL PRIVATE LIMITED</t>
  </si>
  <si>
    <t>EXP REIMBURSEMANT FOR SEPT 13</t>
  </si>
  <si>
    <t>BIL/000504484918/LIC premium/LICPGI_MICI3148</t>
  </si>
  <si>
    <t>INF/000070587066/NOVARTIS SALARY FOR</t>
  </si>
  <si>
    <t>NFS/CASH WDL/30-10-13</t>
  </si>
  <si>
    <t>ATD/4864093103224004/20131104124946</t>
  </si>
  <si>
    <t>NFS/CASH WDL/05-11-13</t>
  </si>
  <si>
    <t>BIL/000509082494/Beam/BEAMTELECO01483</t>
  </si>
  <si>
    <t>EXPENSES REIMB</t>
  </si>
  <si>
    <t>INF/000071168617/NOVARTIS SALARY FOR</t>
  </si>
  <si>
    <t>NFS/CASH WDL/30-11-13</t>
  </si>
  <si>
    <t>BIL/000519455670/vodafone/1.52484218</t>
  </si>
  <si>
    <t>ATD/4864093103224004/20131204121216</t>
  </si>
  <si>
    <t>BIL/000526956081/LIC 4 policies/LICPGI_MICI3201</t>
  </si>
  <si>
    <t>INF/000071719682/NOVARTIS SALARY FOR</t>
  </si>
  <si>
    <t>VIN/Book My Sho/20131227194443/0</t>
  </si>
  <si>
    <t>BIL/000529173410/Hyd Varsha cell/1.52484218</t>
  </si>
  <si>
    <t>008801013248:Int.Pd:01-09-2013 to 29-12-2013</t>
  </si>
  <si>
    <t>ATD/Auto Debit CC4xx4004</t>
  </si>
  <si>
    <t>NFS/CASH WDL/06-01-14</t>
  </si>
  <si>
    <t>NFS/CASH WDL/19-01-14</t>
  </si>
  <si>
    <t>INF/000072267531/NOVARTIS SALARY FOR</t>
  </si>
  <si>
    <t>BIL/000546013603/vodafone/1.52484218</t>
  </si>
  <si>
    <t>BIL/000551953777/Vyom policy/LICPGI_MICI3258</t>
  </si>
  <si>
    <t>INF/000072855264/NOVARTIS SALARY FOR</t>
  </si>
  <si>
    <t>EXP REIMBURSEMENT</t>
  </si>
  <si>
    <t>BIL/000556443341/Vodafone/1.52484218</t>
  </si>
  <si>
    <t>KALAABUZZ PVT LTYD</t>
  </si>
  <si>
    <t>SRS/EUR71.53@82.73STAX3/INREM/20140305183904/0</t>
  </si>
  <si>
    <t>TRFR TO:SATNAV PRESCHOOL</t>
  </si>
  <si>
    <t>BIL/000564549314/NchgRs2.50STRs0.31</t>
  </si>
  <si>
    <t>NFS/CASH WDL/21-03-14</t>
  </si>
  <si>
    <t>INF/000073451931/NOVARTIS SALARY FOR</t>
  </si>
  <si>
    <t>BIL/000572758738/LIC of India/LICPGI_MICI3307</t>
  </si>
  <si>
    <t>BIL/000572762607/VODAFONE HYDERABAD/1.52484218</t>
  </si>
  <si>
    <t>BIL/000575606120/Property tax/101109435</t>
  </si>
  <si>
    <t>BIL/000575734284/Nanhi Kali/NANHIKALI.ORG-B</t>
  </si>
  <si>
    <t>720847 HDF</t>
  </si>
  <si>
    <t>INF/000074077870/NOVARTIS SALARY FOR</t>
  </si>
  <si>
    <t>NFS/CASH WDL/30-04-14</t>
  </si>
  <si>
    <t>NFS/CASH WDL/04-05-14</t>
  </si>
  <si>
    <t>BIL/000586466993/Vodafone bill/1.52484218</t>
  </si>
  <si>
    <t>CHEQUE 347482</t>
  </si>
  <si>
    <t>CHEQUE 347483</t>
  </si>
  <si>
    <t>CHEERS FUNDATION</t>
  </si>
  <si>
    <t>BIL/000592373699/LIC payment/LICPGI_MICI3354</t>
  </si>
  <si>
    <t>VIN/MOPSOTHDRCA/20140524152551/0</t>
  </si>
  <si>
    <t>VIN/MOPSOTHDRCA/20140524153001/0</t>
  </si>
  <si>
    <t>INF/000074674154/NOVARTIS SAL MAY-14</t>
  </si>
  <si>
    <t>BIL/000598546975/vodafone/1.52484218</t>
  </si>
  <si>
    <t>BIL/000600997506/Beam/BEAMTELE.COM-BF</t>
  </si>
  <si>
    <t>CHEQUE 347484</t>
  </si>
  <si>
    <t>CHEQUE 347485</t>
  </si>
  <si>
    <t>NFS/CASH WDL/08-06-14</t>
  </si>
  <si>
    <t>BIL/000607694096/Tata docomo/TATADOCOMO_MICI</t>
  </si>
  <si>
    <t>BIL/000608859363/Movie tickets/BOOKMYSHOW_MICI</t>
  </si>
  <si>
    <t>INF/000075311253/NOVARTIS SAL JUN-14</t>
  </si>
  <si>
    <t>008801013248:Int.Pd:30-12-2013 to 29-06-2014</t>
  </si>
  <si>
    <t>NFS/CASH WDL/02-07-14</t>
  </si>
  <si>
    <t>NFS/CASH WDL/03-07-14</t>
  </si>
  <si>
    <t>BIL/000614974630/vodafone bill/1.52484218</t>
  </si>
  <si>
    <t>CHEQUE 928850</t>
  </si>
  <si>
    <t>BIL/000615854939/Beam/BEAMTELE.COM-BG</t>
  </si>
  <si>
    <t>BIL/000617238024/DTAX/639034011071471</t>
  </si>
  <si>
    <t>CHEQUE 347486</t>
  </si>
  <si>
    <t>SR POST MASTER DADAR  HO</t>
  </si>
  <si>
    <t>NFS/CASH WDL/13-07-14</t>
  </si>
  <si>
    <t>INF/000075944788/NOVARTIS SAL JUL-14</t>
  </si>
  <si>
    <t>NFS/CASH WDL/30-07-14</t>
  </si>
  <si>
    <t>BIL/000625184851/NchgRs25.00STRs3.09</t>
  </si>
  <si>
    <t>NFS/CASH WDL/04-08-14</t>
  </si>
  <si>
    <t>BIL/000629188394/Vodafone bill/VODAFONE_MICI34</t>
  </si>
  <si>
    <t>NFS/CASH WDL/17-08-14</t>
  </si>
  <si>
    <t>BY EXPENSE REIMBURSEMENT</t>
  </si>
  <si>
    <t>NEFT-CITIN14463342371-NOVARTIS HEALTHCARE PVT LTD-</t>
  </si>
  <si>
    <t>NFS/CASH WDL/04-09-14</t>
  </si>
  <si>
    <t>BIL/000642890458/vodafone/1.52484218</t>
  </si>
  <si>
    <t>BIL/000646499425/NchgRs25.00STRs3.09</t>
  </si>
  <si>
    <t>NFS/CASH WDL/16-09-14</t>
  </si>
  <si>
    <t>NEFT-CITIN14472249784-NOVARTIS HEALTHCARE PVT LTD-</t>
  </si>
  <si>
    <t>NFS/CASH WDL/02-10-14</t>
  </si>
  <si>
    <t>BIL/000657063899/Vodafone/1.52484218</t>
  </si>
  <si>
    <t>NFS/CASH WDL/16-10-14</t>
  </si>
  <si>
    <t>NEFT-CITIN14480174918-NOVARTIS HEALTHCARE PVT LTD-</t>
  </si>
  <si>
    <t>Expenses</t>
  </si>
  <si>
    <t>NEFT-CITIN14490208877-NOVARTIS HEALTHCARE PVT LTD-</t>
  </si>
  <si>
    <t>NEFT-CITIN14491261174-NOVARTIS HEALTHCARE PVT LTD-</t>
  </si>
  <si>
    <t>NFS/CASH WDL/04-12-14</t>
  </si>
  <si>
    <t>NFS/CASH WDL/05-12-14</t>
  </si>
  <si>
    <t>BIL/000688814904/LIC premium of polic/LICPGI_BICI3</t>
  </si>
  <si>
    <t>BIL/000688817042/LIC premium/LICPGI_BICI3584</t>
  </si>
  <si>
    <t>NEFT-CITIN14498013758-NOVARTIS HEALTHCARE PVT LTD-</t>
  </si>
  <si>
    <t>NFS/CASH WDL/24-12-14</t>
  </si>
  <si>
    <t>NEFT-CITIN14499720289-NOVARTIS HEALTHCARE PVT LTD-</t>
  </si>
  <si>
    <t>008801013248:Int.Pd:30-06-2014 to 30-12-2014</t>
  </si>
  <si>
    <t>BIL/000702510645/Vodafone bill/1.52484218</t>
  </si>
  <si>
    <t>NFS/CASH WDL/20-01-15</t>
  </si>
  <si>
    <t>Dr Tran For Funding iWish A/c 008824000228</t>
  </si>
  <si>
    <t>NEFT-CITIN15507711255-NOVARTIS HEALTHCARE PVT LTD-</t>
  </si>
  <si>
    <t>INF/210004056360/IWISHSETTLE CONTRIBUTION/0</t>
  </si>
  <si>
    <t>NFS/CASH WDL/01-02-15</t>
  </si>
  <si>
    <t>BIL/000717314462/Vodafone/1.52484218</t>
  </si>
  <si>
    <t>NFS/CASH WDL/15-02-15</t>
  </si>
  <si>
    <t>Dr Tran For Funding iWish A/c 008824000239</t>
  </si>
  <si>
    <t>NEFT-CITIN15515522925-NOVARTIS HEALTHCARE PVT LTD-</t>
  </si>
  <si>
    <t>BIL/000726235170/Vyom LIC policy/LICPGI_BICI3679</t>
  </si>
  <si>
    <t>NEFT-CITIN15518131774-NOVARTIS HEALTHCARE PVT LTD-</t>
  </si>
  <si>
    <t>NFS/CASH WDL/01-03-15</t>
  </si>
  <si>
    <t>INF/210004298128/IWISHSETTLE CONTRIBUTION/0</t>
  </si>
  <si>
    <t>BIL/000730633636/NchgRs2.50STRs0.31</t>
  </si>
  <si>
    <t>BIL/000731326102/PGMIB-Beam/ACTCORP.IN-CCA2</t>
  </si>
  <si>
    <t>BIL/000731327716/Vodafone/1.52484218</t>
  </si>
  <si>
    <t>NFS/CASH WDL/05-03-15</t>
  </si>
  <si>
    <t>BIL/000732992881/NchgRs25.00STRs3.09</t>
  </si>
  <si>
    <t>SRS/EUR86.58@66.33STAX3/INREM/20150309122018/0</t>
  </si>
  <si>
    <t>NEFT-CITIN15522085308-NOVARTIS HEALTHCARE PVT LTD-</t>
  </si>
  <si>
    <t>BIL/000736664530/Nanhi kali/NANHIKALI.ORG-C</t>
  </si>
  <si>
    <t>INF/210004451746/IWISHSETTLE CONTRIBUTION/0</t>
  </si>
  <si>
    <t>NFS/CASH WDL/15-03-15</t>
  </si>
  <si>
    <t>NEFT-CITIN15526544566-NOVARTIS HEALTHCARE PVT LTD-</t>
  </si>
  <si>
    <t>NEFT-CITIN15527779740-NOVARTIS HEALTHCARE PVT LTD-</t>
  </si>
  <si>
    <t>NFS/CASH WDL/31-03-15</t>
  </si>
  <si>
    <t>INF/210004542620/IWISHSETTLE CONTRIBUTION/1</t>
  </si>
  <si>
    <t>BIL/000746017747/NchgRs2.50STRs0.31</t>
  </si>
  <si>
    <t>BIL/000746021062/Vodafone/1.52484218</t>
  </si>
  <si>
    <t>NFS/CASH WDL/03-04-15</t>
  </si>
  <si>
    <t>BIL/000748448257/NchgRs25.00STRs3.09</t>
  </si>
  <si>
    <t>INF/210004698075/IWISHSETTLE CONTRIBUTION/0</t>
  </si>
  <si>
    <t>NFS/CASH WDL/15-04-15</t>
  </si>
  <si>
    <t>NEFT-CITIN15536554634-NOVARTIS HEALTHCARE PVT LTD-</t>
  </si>
  <si>
    <t>544021 HDF</t>
  </si>
  <si>
    <t>INF/210004790427/IWISHSETTLE CONTRIBUTION/0</t>
  </si>
  <si>
    <t>BIL/000763771346/MIB-/1.52484218</t>
  </si>
  <si>
    <t>BIL/000764345753/LIC policy/LICPGI_DICI3787</t>
  </si>
  <si>
    <t>INF/210004933562/IWISHSETTLE CONTRIBUTION/0</t>
  </si>
  <si>
    <t>BIL/000769541440/Airtel digital/BHARTIAIRT01053</t>
  </si>
  <si>
    <t>NEFT-CITIN15545775194-NOVARTIS HEALTHCARE PVT LTD</t>
  </si>
  <si>
    <t>NFS/CASH WDL/30-05-15</t>
  </si>
  <si>
    <t>INF/210005025070/IWISHSETTLE CONTRIBUTION/0</t>
  </si>
  <si>
    <t>BIL/000776784279/Movie/346034495_WWWBO</t>
  </si>
  <si>
    <t>BIL/000777842551/NchgRs2.50STRs0.35</t>
  </si>
  <si>
    <t>NEFT-CITIN15549419057-NOVARTIS HEALTHCARE PVT LTD</t>
  </si>
  <si>
    <t>BIL/000779303041/vodafone/1.52484218</t>
  </si>
  <si>
    <t>NFS/CASH WDL/11-06-15</t>
  </si>
  <si>
    <t>INF/210005206004/IWISHSETTLE CONTRIBUTION/0</t>
  </si>
  <si>
    <t>NFS/CASH WDL/15-06-15</t>
  </si>
  <si>
    <t>NFS/CASH WDL/18-06-15</t>
  </si>
  <si>
    <t>NEFT-CITIN15555976972-NOVARTIS HEALTHCARE PVT LTD</t>
  </si>
  <si>
    <t>NFS/CASH WDL/28-06-15</t>
  </si>
  <si>
    <t>008801013248:Int.Pd:31-12-2014 to 29-06-2015</t>
  </si>
  <si>
    <t>INF/210005313454/IWISHSETTLE CONTRIBUTION/0</t>
  </si>
  <si>
    <t>BIL/000795471240/Vodafone/50287986</t>
  </si>
  <si>
    <t>NEFT-CITIN15560705524-NOVARTIS HEALTHCARE PVT LTD</t>
  </si>
  <si>
    <t>NFS/CASH WDL/10-07-15</t>
  </si>
  <si>
    <t>INF/210005486434/IWISHSETTLE CONTRIBUTION/0</t>
  </si>
  <si>
    <t>NFS/CASH WDL/20-07-15</t>
  </si>
  <si>
    <t>NEFT-CITIN15565170526-NOVARTIS HEALTHCARE PVT LTD</t>
  </si>
  <si>
    <t>BIL/000805605331/NchgRs25.00STRs3.50</t>
  </si>
  <si>
    <t>INF/210005595574/IWISHSETTLE CONTRIBUTION/0</t>
  </si>
  <si>
    <t>BIL/000811176319/Vodafone Varsha/50287986</t>
  </si>
  <si>
    <t>NEFT-CITIN15570710407-NOVARTIS HEALTHCARE PVT LTD</t>
  </si>
  <si>
    <t>BIL/000816731042/DTAX/639034013081551</t>
  </si>
  <si>
    <t>BIL/000816965736/NchgRs2.50STRs0.35</t>
  </si>
  <si>
    <t>NFS/CASH WDL/14-08-15</t>
  </si>
  <si>
    <t>BIL/000817277637/NchgRs5.00STRs0.70</t>
  </si>
  <si>
    <t>INF/210005770294/IWISHSETTLE CONTRIBUTION/0</t>
  </si>
  <si>
    <t>NEFT-CITIN15575368611-NOVARTIS HEALTHCARE PVT LTD</t>
  </si>
  <si>
    <t>NEFT-CITIN15575368597-NOVARTIS HEALTHCARE PVT LTD</t>
  </si>
  <si>
    <t>NEFT-CITIN15575817587-NOVARTIS HEALTHCARE PVT LTD</t>
  </si>
  <si>
    <t>INF/210005872124/IWISHSETTLE CONTRIBUTION/0</t>
  </si>
  <si>
    <t>BIL/000826348047/PGMIB-/LICPGI_DICI3996</t>
  </si>
  <si>
    <t>BIL/000828299466/vodafone bill/50287986</t>
  </si>
  <si>
    <t>BIL/000828767989/Beam/ACTCORP.IN-CIA2</t>
  </si>
  <si>
    <t>BIL/000833561422/LIC policy/LICPGI_DICI4017</t>
  </si>
  <si>
    <t>BIL/000833567269/NchgRs5.00STRs0.70</t>
  </si>
  <si>
    <t>INF/210006048184/IWISHSETTLE CONTRIBUTION/0</t>
  </si>
  <si>
    <t>NEFT-CITIN15585689332-NOVARTIS HEALTHCARE PVT LTD</t>
  </si>
  <si>
    <t>NEFT-CITIN15586581885-NOVARTIS HEALTHCARE PVT LTD</t>
  </si>
  <si>
    <t>NEFT-CITIN15587947468-NOVARTIS HEALTHCARE PVT LTD</t>
  </si>
  <si>
    <t>INF/210006156642/IWISHSETTLE CONTRIBUTION/0</t>
  </si>
  <si>
    <t>NFS/CASH WDL/03-10-15</t>
  </si>
  <si>
    <t>NFS/CASH WDL/05-10-15</t>
  </si>
  <si>
    <t>NFS/CASH WDL/13-10-15</t>
  </si>
  <si>
    <t>INF/210006344054/IWISHSETTLE CONTRIBUTION/0</t>
  </si>
  <si>
    <t>NFS/CASH WDL/30-10-15</t>
  </si>
  <si>
    <t>NEFT-HSBCN15302934821-PPD PHARMACEUTICAL DEV INDI</t>
  </si>
  <si>
    <t>INF/210006453114/IWISHSETTLE CONTRIBUTION/0</t>
  </si>
  <si>
    <t>MMT/531018604245/*263/chgRs5.00STRs0.70</t>
  </si>
  <si>
    <t>NEFT-CITIN15601780451-NOVARTIS HEALTHCARE PVT LTD</t>
  </si>
  <si>
    <t>NOVARTIS HEALTH UBI   050136</t>
  </si>
  <si>
    <t>NFS/CASH WDL/12-11-15</t>
  </si>
  <si>
    <t>INF/210006634132/IWISHSETTLE CONTRIBUTION/0</t>
  </si>
  <si>
    <t>MMT/531913439239/*263/chgRs5.00STRs0.70</t>
  </si>
  <si>
    <t>MMT/531913439604/*263/chgRs5.00STRs0.70</t>
  </si>
  <si>
    <t>CHEQUE 694819</t>
  </si>
  <si>
    <t>NFS/CASH WDL/19-11-15</t>
  </si>
  <si>
    <t>INF/210006741184/IWISHSETTLE CONTRIBUTION/1</t>
  </si>
  <si>
    <t>MMT/533609914902/*263/chgRs5.00STRs0.73</t>
  </si>
  <si>
    <t>BIL/000878628803/Beam cable/ACTCORP.IN-CLA1</t>
  </si>
  <si>
    <t>CoralPaywaveJFee499+ST14%+0.5%</t>
  </si>
  <si>
    <t>NFS/CASH WDL/10-12-15</t>
  </si>
  <si>
    <t>CHEQUE 694820</t>
  </si>
  <si>
    <t>INF/210006919648/IWISHSETTLE CONTRIBUTION/0</t>
  </si>
  <si>
    <t>BIL/000884377349/Lic premium/LICPGI_EICI4177</t>
  </si>
  <si>
    <t>NFS/CASH WDL/20-12-15</t>
  </si>
  <si>
    <t>NFS/CASH WDL/22-12-15</t>
  </si>
  <si>
    <t>MMT/Ref535817295236/*****80263</t>
  </si>
  <si>
    <t>ATM/CASH WDL/26-12-15/0</t>
  </si>
  <si>
    <t>NFS/CASH WDL/30-12-15</t>
  </si>
  <si>
    <t>008801013248:Int.Pd:30-06-2015 to 30-12-2015</t>
  </si>
  <si>
    <t>CMS/ SALARY FOR DECEMBER  2015</t>
  </si>
  <si>
    <t>INF/210007022386/IWISHSETTLE CONTRIBUTION/0</t>
  </si>
  <si>
    <t>BIL/000892336081/Tatafoton/TATADOCOMO_EICI</t>
  </si>
  <si>
    <t>MMT/Ref600209049094/*****80263</t>
  </si>
  <si>
    <t>BIL/000892350743/Beam/ACTTV_EICI42085</t>
  </si>
  <si>
    <t>BIL/000892355496/Ramky maintenance/09687630000512</t>
  </si>
  <si>
    <t>BIL/000892374887/Vodafone/VODAFONE_EICI42</t>
  </si>
  <si>
    <t>Dr Tran For Funding iWish A/c 008824000366</t>
  </si>
  <si>
    <t>CMS/ GESS_1217152_13001_115_5993553/GE</t>
  </si>
  <si>
    <t>CMS/ GESS_1217152_13001_115_5993582/GE</t>
  </si>
  <si>
    <t>ATM/CASH WDL/07-01-16/0</t>
  </si>
  <si>
    <t>MMT/Ref600722518337/*****80263</t>
  </si>
  <si>
    <t>MMT/Ref600722518925/*****80263</t>
  </si>
  <si>
    <t>NFS/CASH WDL/10-01-16</t>
  </si>
  <si>
    <t>NEFT-CITIN16604121763-NOVARTIS HEALTHCARE PVT LTD</t>
  </si>
  <si>
    <t>INF/210007232103/IWISHSETTLE CONTRIBUTION/0</t>
  </si>
  <si>
    <t>CMS/ GESS_1217152_2230_115_6051176/GES</t>
  </si>
  <si>
    <t>NFS/CASH WDL/21-01-16</t>
  </si>
  <si>
    <t>CMS/ GESS_1217152_13001_115_6061551/GE</t>
  </si>
  <si>
    <t>CHEQUE 694818</t>
  </si>
  <si>
    <t>SR POST MASTER DADAR H PO</t>
  </si>
  <si>
    <t>BIL/000906532297/VodFone/50287986</t>
  </si>
  <si>
    <t>IIN/BOOKMYSHOW /20160129190949</t>
  </si>
  <si>
    <t>INF/210007361995/IWISHSETTLE CONTRIBUTION/0</t>
  </si>
  <si>
    <t>INF/210007361993/IWISHSETTLE CONTRIBUTION/0</t>
  </si>
  <si>
    <t>NEFT-SIN00103Q0888848-TATA CONSULTANCY SER-/ACC/A</t>
  </si>
  <si>
    <t>CMS/ GESS_1217152_13001_115_6094462/GE</t>
  </si>
  <si>
    <t>MIN/ACTTV      /20160202212047/0</t>
  </si>
  <si>
    <t>NEFT-SBIN816034614482-EMPLOYEE PROVIDENT FUND ORG</t>
  </si>
  <si>
    <t>MMT/Ref603508123007/*****80263</t>
  </si>
  <si>
    <t>MMT/Ref603614524122/*****80263</t>
  </si>
  <si>
    <t>IIN/I-Debit/Make my T/20160208203221</t>
  </si>
  <si>
    <t>NFS/CASH WDL/14-02-16</t>
  </si>
  <si>
    <t>INF/210007549665/IWISHSETTLE CONTRIBUTION/0</t>
  </si>
  <si>
    <t>BIL/000918596948/LIC Vyom premium/LICPGI_FICI4296</t>
  </si>
  <si>
    <t>MMT/Ref604716619650/*****80263</t>
  </si>
  <si>
    <t>BIL/000922478559/T Chg Rs10 ST Rs1.45/10000044393</t>
  </si>
  <si>
    <t>ATM/CASH WDL/25-02-16/0</t>
  </si>
  <si>
    <t>CMS/ SALARY FOR FEBRUARY  2016</t>
  </si>
  <si>
    <t>INF/210007658299/IWISHSETTLE CONTRIBUTION/0</t>
  </si>
  <si>
    <t>INF/210007658297/IWISHSETTLE CONTRIBUTION/0</t>
  </si>
  <si>
    <t>IIN/BOOKMYSHOW /20160304081043</t>
  </si>
  <si>
    <t>ATM/CASH WDL/04-03-16/0</t>
  </si>
  <si>
    <t>CMS/ GESS_1217152_62_6282319_6282320/G</t>
  </si>
  <si>
    <t>BIL/000928833266/MIB-Ramky maintenanc/09687630000</t>
  </si>
  <si>
    <t>MMT/Ref606511562587/*****80263</t>
  </si>
  <si>
    <t>MIN/ACTTV      /20160305110705/0</t>
  </si>
  <si>
    <t>MIN/Goibibo    /20160308144818/0</t>
  </si>
  <si>
    <t>CMS/ GESS_1217152_62_6302118_6302120/G</t>
  </si>
  <si>
    <t>MIN/BHARTI TELE/20160311150423/0</t>
  </si>
  <si>
    <t>INF/210007856749/IWISHSETTLE CONTRIBUTION/0</t>
  </si>
  <si>
    <t>CHEQUE 694821</t>
  </si>
  <si>
    <t>RTABOWA MAINTENANCE ACCOU</t>
  </si>
  <si>
    <t>BIL/000937918659/Hdfc bank/06521000008889</t>
  </si>
  <si>
    <t>CMS/ GESS_1217152_62_6458112_6458113/G</t>
  </si>
  <si>
    <t>008801013248:Int.Pd:31-12-2015 to 29-03-2016</t>
  </si>
  <si>
    <t>ATM/CASH WDL/30-03-16/0</t>
  </si>
  <si>
    <t>CMS/ SALARY FOR MARCH     2016</t>
  </si>
  <si>
    <t>CMS/ GESS_1217152_62_6543064_6543065/G</t>
  </si>
  <si>
    <t>INF/210007971479/IWISHSETTLE CONTRIBUTION/1</t>
  </si>
  <si>
    <t>BIL/000943394351/final vodafone bill/50287986</t>
  </si>
  <si>
    <t>MMT/Ref609213107452/*****80263</t>
  </si>
  <si>
    <t>IIN/BOOKMYSHOW /20160402155316</t>
  </si>
  <si>
    <t>Dr Tran For Funding iWish A/c 008824000414</t>
  </si>
  <si>
    <t>CHEQUE 694823</t>
  </si>
  <si>
    <t>MOHD QADER</t>
  </si>
  <si>
    <t>CMS/ GESS_1217152_62_6554292_6554293/G</t>
  </si>
  <si>
    <t>MMT/Ref609811224222/*****80263</t>
  </si>
  <si>
    <t>Dr Tran For Funding A/c 008825009241</t>
  </si>
  <si>
    <t>/994841/HDF</t>
  </si>
  <si>
    <t>NEFT-SIN00892Q3613195-TATA CONSULTANCY SER-/ACC/1</t>
  </si>
  <si>
    <t>INF/210008190605/IWISHSETTLE CONTRIBUTION/0</t>
  </si>
  <si>
    <t>INF/210008187761/IWISHSETTLE CONTRIBUTION/0</t>
  </si>
  <si>
    <t>NFS/CASH WDL/15-04-16</t>
  </si>
  <si>
    <t>CMS/ GESS_1217152_62_6677933_6677934/G</t>
  </si>
  <si>
    <t>ACCT CLOSURE TRANSACTION 0228</t>
  </si>
  <si>
    <t>BIL/000956962497/LIC premium/LICPGI_FICI4442</t>
  </si>
  <si>
    <t>BIL/000957722720/Jewellery payment/12012020005158</t>
  </si>
  <si>
    <t>CMS/ SALARY FOR APRIL     2016</t>
  </si>
  <si>
    <t>MMT/Ref612018080137/*****80263</t>
  </si>
  <si>
    <t>INF/210008293445/IWISHSETTLE CONTRIBUTION/0</t>
  </si>
  <si>
    <t>CMS/ GESS_1217152_62_6799125_6799126/G</t>
  </si>
  <si>
    <t>MMT/Ref612708438362/*****80263</t>
  </si>
  <si>
    <t>CMS/ GESS_1217152_62_6912427_6912428/G</t>
  </si>
  <si>
    <t>INF/210008516023/IWISHSETTLE CONTRIBUTION/0</t>
  </si>
  <si>
    <t>INF/210008512475/IWISHSETTLE CONTRIBUTION/0</t>
  </si>
  <si>
    <t>ACCT CLOSURE TRANSACTION 0239</t>
  </si>
  <si>
    <t>CMS/ GESS_1217152_62_6996464_6996465/G</t>
  </si>
  <si>
    <t>To RD Ac no 008825009241</t>
  </si>
  <si>
    <t>CMS/ SALARY FOR MAY       2016</t>
  </si>
  <si>
    <t>INF/210008641245/IWISHSETTLE CONTRIBUTION/0</t>
  </si>
  <si>
    <t>CMS/ GESS_1217152_62_7083199_7083200/G</t>
  </si>
  <si>
    <t>NFS/CASH WDL/03-06-16</t>
  </si>
  <si>
    <t>BIL/000982604329/LIC premium/LICPGI_GICI4529</t>
  </si>
  <si>
    <t>MMT/Ref616114169665/*****80263</t>
  </si>
  <si>
    <t>Dr Tran For Funding iWish A/c 008824000455</t>
  </si>
  <si>
    <t>NFS/CASH WDL/11-06-16</t>
  </si>
  <si>
    <t>CMS/ GESS_1217152_62_7211207_7211208/G</t>
  </si>
  <si>
    <t>INF/210008854839/IWISHSETTLE CONTRIBUTION/0</t>
  </si>
  <si>
    <t>BIL/000990631306/MIB-Jewellery/099200100004609</t>
  </si>
  <si>
    <t>008801013248:Int.Pd:30-03-2016 to 28-06-2016</t>
  </si>
  <si>
    <t>CMS/ GESS_1217152_62_7326188_7326189/G</t>
  </si>
  <si>
    <t>CMS/ SALARY FOR JUNE      2016</t>
  </si>
  <si>
    <t>INF/210008964951/IWISHSETTLE CONTRIBUTION</t>
  </si>
  <si>
    <t>INF/210008992769/IWISHSETTLE CONTRIBUTION</t>
  </si>
  <si>
    <t>ATM/CASH WDL/04-07-16/0</t>
  </si>
  <si>
    <t>ATM/WDL RVSL/04-07-16/R/008801013248</t>
  </si>
  <si>
    <t>MMT/Ref619109376489/0426104000111</t>
  </si>
  <si>
    <t>MMT/Ref619109377518/0426104000111</t>
  </si>
  <si>
    <t>MMT/Ref619109378739/0426104000111</t>
  </si>
  <si>
    <t>NFS/CASH WDL/10-07-16</t>
  </si>
  <si>
    <t>BIL/001002425291/DTAX/639034011071650</t>
  </si>
  <si>
    <t>MMT/Ref619614581769/0426104000111</t>
  </si>
  <si>
    <t>INF/210009199763/IWISHSETTLE CONTRIBUTION</t>
  </si>
  <si>
    <t>CMS/ GESS_1217152_62_7481978_7481979/G</t>
  </si>
  <si>
    <t>ATM/CASH WDL/21-07-16/0</t>
  </si>
  <si>
    <t>CHEQUE 236743</t>
  </si>
  <si>
    <t>V M SHANBHAG</t>
  </si>
  <si>
    <t>CMS/ SALARY FOR JULY      2016</t>
  </si>
  <si>
    <t>INF/210009353225/IWISHSETTLE CONTRIBUTION</t>
  </si>
  <si>
    <t>INF/210009360089/IWISHSETTLE CONTRIBUTION</t>
  </si>
  <si>
    <t>ATM/CASH WDL/05-08-16/0</t>
  </si>
  <si>
    <t>MMT/Ref621913672956/0992001000046</t>
  </si>
  <si>
    <t>CMS/ GESS_1217152_62_7719378_7719379/G</t>
  </si>
  <si>
    <t>CMS/ GESS_1217152_62_7719420_7719421/G</t>
  </si>
  <si>
    <t>MMT/Ref622511278737/1177335813</t>
  </si>
  <si>
    <t>INF/210009570661/IWISHSETTLE CONTRIBUTION</t>
  </si>
  <si>
    <t>MMT/Ref623421957208/0011140014747</t>
  </si>
  <si>
    <t>MMT/Ref623421957727/0011140014747</t>
  </si>
  <si>
    <t>MMT/Ref623421958298/0011140014747</t>
  </si>
  <si>
    <t>MMT/Ref623508989523/0426104000111</t>
  </si>
  <si>
    <t>MMT/Ref623508989979/0011140014747</t>
  </si>
  <si>
    <t>CMS/ GESS_1217152_62_7846330_7846331/G</t>
  </si>
  <si>
    <t>CMS/ SALARY FOR AUGUST    2016</t>
  </si>
  <si>
    <t>INF/210009707287/IWISHSETTLE CONTRIBUTION</t>
  </si>
  <si>
    <t>INF/210009690529/IWISHSETTLE CONTRIBUTION</t>
  </si>
  <si>
    <t>NFS/CASH WDL/02-09-16</t>
  </si>
  <si>
    <t>NFS/CASH WDL/10-09-16</t>
  </si>
  <si>
    <t>CMS/ GESS_1217152_62_7990015_7990016/G</t>
  </si>
  <si>
    <t>INF/210009917389/IWISHSETTLE CONTRIBUTION</t>
  </si>
  <si>
    <t>BIL/001045913725/Lic premium/LICPGI_GICI4770</t>
  </si>
  <si>
    <t>CMS/ GESS_1217152_62_8106102_8106103/G</t>
  </si>
  <si>
    <t>NFS/CASH WDL/28-09-16</t>
  </si>
  <si>
    <t>008801013248:Int.Pd:29-06-2016 to 28-09-2016</t>
  </si>
  <si>
    <t>CMS/ SALARY FOR SEPTEMBER 2016</t>
  </si>
  <si>
    <t>INF/210010041599/IWISHSETTLE CONTRIBUTION</t>
  </si>
  <si>
    <t>INF/210010051119/IWISHSETTLE CONTRIBUTION</t>
  </si>
  <si>
    <t>NFS/CASH WDL/09-10-16</t>
  </si>
  <si>
    <t>NEFT-161013459GN00166-TATA CONSULTANCY-GESS 12171</t>
  </si>
  <si>
    <t>INF/210010267419/IWISHSETTLE CONTRIBUTION</t>
  </si>
  <si>
    <t>MPS/CLUB ONE CL/20161017202046/0</t>
  </si>
  <si>
    <t>MPS/PAYMNT RVSL/20161017202046/1/008801013248</t>
  </si>
  <si>
    <t>ATM/CASH WDL/19-10-16/0</t>
  </si>
  <si>
    <t>BIL/001068442828/Monthly Aai/1177335813</t>
  </si>
  <si>
    <t>BIL/001068443913/Vyom taekwondo/042610400011190</t>
  </si>
  <si>
    <t>CMS/ SALARY FOR OCTOBER   2016</t>
  </si>
  <si>
    <t>NFS/CASH WDL/29-10-16</t>
  </si>
  <si>
    <t>INF/210010417339/IWISHSETTLE CONTRIBUTION</t>
  </si>
  <si>
    <t>INF/210010429409/IWISHSETTLE CONTRIBUTION</t>
  </si>
  <si>
    <t>NFS/CASH WDL/05-11-16</t>
  </si>
  <si>
    <t>NEFT-161107504GN04103-TATA CONSULTANCY-GESS 12171</t>
  </si>
  <si>
    <t>MMT/Ref631418229296/0426104000111</t>
  </si>
  <si>
    <t>NEFT-161110937GN00108-TATA CONSULTANCY-GESS 12171</t>
  </si>
  <si>
    <t>INF/210010615905/IWISHSETTLE CONTRIBUTION</t>
  </si>
  <si>
    <t>MMT/Ref632220812473/1313215000058</t>
  </si>
  <si>
    <t>Dr Tran For Funding iWish A/c 008824000533</t>
  </si>
  <si>
    <t>NEFT-161129ADKGN00095-TATA CONSULTANCY-GESS 12171</t>
  </si>
  <si>
    <t>CMS/ SALARY FOR NOVEMBER  2016</t>
  </si>
  <si>
    <t>INF/210010741425/IWISHSETTLE CONTRIBUTION</t>
  </si>
  <si>
    <t>INF/210010757505/IWISHSETTLE CONTRIBUTION</t>
  </si>
  <si>
    <t>BIL/001091756588/Laxmi salary/65079968295</t>
  </si>
  <si>
    <t>BIL/001091758822/Lavanya maid/50302191068</t>
  </si>
  <si>
    <t>BIL/001091765203/Aai monthly/1177335813</t>
  </si>
  <si>
    <t>BIL/001091766132/Taekwondo/042610400011190</t>
  </si>
  <si>
    <t>BIL/001094030697/Tennis sir/20319844616</t>
  </si>
  <si>
    <t>BIL/001094560196/Ramky maintenance/09687630000512</t>
  </si>
  <si>
    <t>MMT/Ref633922886265/5636101100040</t>
  </si>
  <si>
    <t>BIL/001099571327/PGMIB-LiC/LICPGI_HICI4956</t>
  </si>
  <si>
    <t>BIL/001101415265/Ramky milk/13132150000580</t>
  </si>
  <si>
    <t>MMT/Ref634722378409/1123193000304</t>
  </si>
  <si>
    <t>MMT/Ref634806430603/1123193000304</t>
  </si>
  <si>
    <t>INF/210010977391/IWISHSETTLE CONTRIBUTION</t>
  </si>
  <si>
    <t>BIL/001103948738/Nishant/NSP</t>
  </si>
  <si>
    <t>MMT/Ref635011520188/5010004840922</t>
  </si>
  <si>
    <t>MMT/Ref635011521696/5010004840922</t>
  </si>
  <si>
    <t>BIL/001106270906/Trial transfer GP/NSP</t>
  </si>
  <si>
    <t>BIL/001106332792/GPs birthday gift/NSP</t>
  </si>
  <si>
    <t>INF/210011039413/IWISHSETTLE CONTRIBUTION</t>
  </si>
  <si>
    <t>NEFT-161222A9FGN02787-TATA CONSULTANCY-GESS 12171</t>
  </si>
  <si>
    <t>MPS/THE SONNET /20161223083844/0</t>
  </si>
  <si>
    <t>DCardfee1275DEC16-NOV17ST74.85</t>
  </si>
  <si>
    <t>NEFT-161228239GN00875-TATA CONSULTANCY-GESS 12171</t>
  </si>
  <si>
    <t>008801013248:Int.Pd:29-09-2016 to 29-12-2016</t>
  </si>
  <si>
    <t>CMS/ SALARY FOR DECEMBER  2016</t>
  </si>
  <si>
    <t>INF/210011128841/IWISHSETTLE CONTRIBUTION</t>
  </si>
  <si>
    <t>INF/210011141157/IWISHSETTLE CONTRIBUTION</t>
  </si>
  <si>
    <t>MMT/Ref700109107519/65079968295</t>
  </si>
  <si>
    <t>MMT/Ref700109109871/1177335813</t>
  </si>
  <si>
    <t>MMT/Ref700109112346/20319844616</t>
  </si>
  <si>
    <t>MMT/Ref700109115548/0426104000111</t>
  </si>
  <si>
    <t>MMT/Ref700110168704/50302191068</t>
  </si>
  <si>
    <t>MMT/Ref700110170401/65079968295</t>
  </si>
  <si>
    <t>MMT/Ref700820178689/1313215000058</t>
  </si>
  <si>
    <t>MMT/Ref700912784269/30507195343</t>
  </si>
  <si>
    <t>MMT/Ref700913892355/1049021010000</t>
  </si>
  <si>
    <t>MMT/Ref700913893016/1049021010000</t>
  </si>
  <si>
    <t>BIL/001123256785/Malish Masrat/104902101000034</t>
  </si>
  <si>
    <t>NEFT-170111A2WGN02990-TATA CONSULTANCY-GESS 12171</t>
  </si>
  <si>
    <t>INF/210011378455/IWISHSETTLE CONTRIBUTION</t>
  </si>
  <si>
    <t>NEFT-170116A7SGN01967-TATA CONSULTANCY-GESS 12171</t>
  </si>
  <si>
    <t>INF/210011428613/IWISHSETTLE CONTRIBUTION</t>
  </si>
  <si>
    <t>NEFT-170130556GN00035-TATA CONSULTANCY-GESS 12171</t>
  </si>
  <si>
    <t>CMS/ SALARY FOR JANUARY   2017</t>
  </si>
  <si>
    <t>BIL/001137774975/Laxmi monthly salary/65079968295</t>
  </si>
  <si>
    <t>MMT/Ref703208085677/30507195343</t>
  </si>
  <si>
    <t>MMT/Ref703208087861/20319844616</t>
  </si>
  <si>
    <t>MMT/Ref703208089281/0426104000111</t>
  </si>
  <si>
    <t>MMT/Ref703208093445/1177335813</t>
  </si>
  <si>
    <t>INF/210011536234/IWISHSETTLE CONTRIBUTION</t>
  </si>
  <si>
    <t>INF/210011519694/IWISHSETTLE CONTRIBUTION</t>
  </si>
  <si>
    <t>MMT/Ref703308814788/32710344437</t>
  </si>
  <si>
    <t>IPL/P-UTI -DSGP-11718547/20170206175108</t>
  </si>
  <si>
    <t>MMT/Ref704009946221/1313215000058</t>
  </si>
  <si>
    <t>IPL/P-ICIC-PLFRAG-11723862/20170210114028</t>
  </si>
  <si>
    <t>NEFT-170213AM4GN00465-TATA CONSULTANCY-GESS 12171</t>
  </si>
  <si>
    <t>BIL/001147976659/Lic Vyom/LICPGI_HICI5116</t>
  </si>
  <si>
    <t>NEFT-CITIN17744713584-THE NEW INDIA ASSURANCE CO</t>
  </si>
  <si>
    <t>NEFT-CITIN17744717665-THE NEW INDIA ASSURANCE CO</t>
  </si>
  <si>
    <t>INF/210011792993/IWISHSETTLE CONTRIBUTION</t>
  </si>
  <si>
    <t>INF/210011851199/IWISHSETTLE CONTRIBUTION</t>
  </si>
  <si>
    <t>CMS/ SALARY FOR FEBRUARY  2017</t>
  </si>
  <si>
    <t>INF/210011925200/IWISHSETTLE CONTRIBUTION</t>
  </si>
  <si>
    <t>MMT/Ref706008589831/32710344437</t>
  </si>
  <si>
    <t>MMT/Ref706008591613/65079968295</t>
  </si>
  <si>
    <t>MMT/Ref706008594289/20319844616</t>
  </si>
  <si>
    <t>INF/210011915648/IWISHSETTLE CONTRIBUTION</t>
  </si>
  <si>
    <t>MMT/Ref706008597360/0426104000111</t>
  </si>
  <si>
    <t>BIL/001157322357/Aai Bappa/1177335813</t>
  </si>
  <si>
    <t>MMT/Ref706008602865/30507195343</t>
  </si>
  <si>
    <t>MMT/Ref706422208172/1313215000058</t>
  </si>
  <si>
    <t>BIL/001162169415/MIB-Milk/13132150000580</t>
  </si>
  <si>
    <t>NEFT-170309923GN01687-TATA CONSULTANCY-GESS 12171</t>
  </si>
  <si>
    <t>INF/210012173704/IWISHSETTLE CONTRIBUTION</t>
  </si>
  <si>
    <t>NEFT-170316249GN01624-TATA CONSULTANCY-GESS 12171</t>
  </si>
  <si>
    <t>INF/210012236330/IWISHSETTLE CONTRIBUTION</t>
  </si>
  <si>
    <t>NEFT-170329879GN03232-TATA CONSULTANCY-4000000116</t>
  </si>
  <si>
    <t>CMS/ SALARY FOR MARCH     2017</t>
  </si>
  <si>
    <t>008801013248:Int.Pd:30-12-2016 to 30-03-2017</t>
  </si>
  <si>
    <t>MMT/Ref709110499551/20319844616</t>
  </si>
  <si>
    <t>MMT/Ref709110504850/0426104000111</t>
  </si>
  <si>
    <t>MMT/Ref709110509230/65079968295</t>
  </si>
  <si>
    <t>MMT/Ref709110515176/1177335813</t>
  </si>
  <si>
    <t>INF/210012345020/IWISHSETTLE CONTRIBUTION</t>
  </si>
  <si>
    <t>INF/210012320608/IWISHSETTLE CONTRIBUTION</t>
  </si>
  <si>
    <t>MMT/Ref709409732176/1313215000058</t>
  </si>
  <si>
    <t>IPL/P-ICIC-P2933-11787812/20170407141132</t>
  </si>
  <si>
    <t>BIL/001188318369/Jayachand cash trans/NSP</t>
  </si>
  <si>
    <t>INF/210012593750/IWISHSETTLE CONTRIBUTION</t>
  </si>
  <si>
    <t>BIL/001191982838/MIB-in return to cas/NSP</t>
  </si>
  <si>
    <t>BIL/001193991485/Lic premium/LICPGI_IICI5307</t>
  </si>
  <si>
    <t>INF/210012649118/IWISHSETTLE CONTRIBUTION</t>
  </si>
  <si>
    <t>IPL/P-Reli-L5GP-11809835/20170424132713</t>
  </si>
  <si>
    <t>CMS/ SALARY FOR APRIL     2017</t>
  </si>
  <si>
    <t>INF/210012746588/IWISHSETTLE CONTRIBUTION</t>
  </si>
  <si>
    <t>BIL/001200525404/Laxmi salary/65079968295</t>
  </si>
  <si>
    <t>MMT/Ref712109845775/1177335813</t>
  </si>
  <si>
    <t>MPS/GOOD TIMES /20170501164414/0</t>
  </si>
  <si>
    <t>MPS/PAYMNT RVSL/20170501164414/1/008801013248</t>
  </si>
  <si>
    <t>BIL/001203555997/Lic varsha/LICPGI_IICI5340</t>
  </si>
  <si>
    <t>NEFT-170505440GN00383-TATA CONSULTANCY-4000001143</t>
  </si>
  <si>
    <t>NEFT-170505440GN00382-TATA CONSULTANCY-4000001143</t>
  </si>
  <si>
    <t>BIL/001205115489/Mani maid/32710344437</t>
  </si>
  <si>
    <t>MMT/Ref712620895405/1313215000058</t>
  </si>
  <si>
    <t>NEFT-170509497GN02679-TATA CONSULTANCY-4000001229</t>
  </si>
  <si>
    <t>INF/210012993612/IWISHSETTLE CONTRIBUTION</t>
  </si>
  <si>
    <t>INF/210013049602/IWISHSETTLE CONTRIBUTION</t>
  </si>
  <si>
    <t>CMS/ SALARY FOR MAY       2017</t>
  </si>
  <si>
    <t>INF/210013147400/IWISHSETTLE CONTRIBUTION</t>
  </si>
  <si>
    <t>BIL/001223009052/MIB-Monthly transfer/1177335813</t>
  </si>
  <si>
    <t>BIL/001223009482/MIB-Vyom's Taekwondo/04261040001</t>
  </si>
  <si>
    <t>BIL/001223010877/MIB-Vyom's tennis/20319844616</t>
  </si>
  <si>
    <t>BIL/001223011746/MIB-Laxmi salary/65079968295</t>
  </si>
  <si>
    <t>BIL/001223012341/MIB-Vyom's daycare/30507195343</t>
  </si>
  <si>
    <t>ACCT CLOSURE TRANSACTION</t>
  </si>
  <si>
    <t>Dr Tran For Funding A/c 008825010040</t>
  </si>
  <si>
    <t>BIL/001225872631/Amex card/374741012051006</t>
  </si>
  <si>
    <t>NEFT-170608298GN01214-TATA CONSULTANCY-6000000015</t>
  </si>
  <si>
    <t>INF/210013396388/IWISHSETTLE CONTRIBUTION</t>
  </si>
  <si>
    <t>BIL/001233566500/Milk bill/13132150000580</t>
  </si>
  <si>
    <t>INF/210013454590/IWISHSETTLE CONTRIBUTION</t>
  </si>
  <si>
    <t>NEFT-170622474GN00793-TATA CONSULTANCY-6000000148</t>
  </si>
  <si>
    <t>NEFT-CITIN17794171862-THE NEW INDIA ASSURANCE CO</t>
  </si>
  <si>
    <t>NEFT-CITIN17794177863-THE NEW INDIA ASSURANCE CO</t>
  </si>
  <si>
    <t>IPL/P-ICIC-P62-11950170/20170627131047</t>
  </si>
  <si>
    <t>008801013248:Int.Pd:31-03-2017 to 28-06-2017</t>
  </si>
  <si>
    <t>CMS/ SALARY FOR JUNE      2017</t>
  </si>
  <si>
    <t>INF/210013530738/IWISHSETTLE CONTRIBUTION</t>
  </si>
  <si>
    <t>To RD Ac no 008825010040</t>
  </si>
  <si>
    <t>MMT/Ref718308799494/65079968295</t>
  </si>
  <si>
    <t>MMT/Ref718308800993/0426104000111</t>
  </si>
  <si>
    <t>MMT/Ref718308801822/20319844616</t>
  </si>
  <si>
    <t>MMT/Ref718308804491/1177335813</t>
  </si>
  <si>
    <t>BIL/001245351953/Saffiro card payment/37474101205</t>
  </si>
  <si>
    <t>NEFT-170707AEAGN01538-TATA CONSULTANCY-6000000520</t>
  </si>
  <si>
    <t>NEFT-CITIN17802255554-THE NEW INDIA ASSURANCE CO</t>
  </si>
  <si>
    <t>NEFT-CITIN17802254017-THE NEW INDIA ASSURANCE CO</t>
  </si>
  <si>
    <t>NEFT-170711724GN07871-TATA CONSULTANCY-6000000663</t>
  </si>
  <si>
    <t>BIL/001251337137/MIB-Milk/13132150000580</t>
  </si>
  <si>
    <t>INF/210013812547/IWISHSETTLE CONTRIBUTION</t>
  </si>
  <si>
    <t>BIL/001252111260/DTAX/639034015071751</t>
  </si>
  <si>
    <t>INF/210013870063/IWISHSETTLE CONTRIBUTION</t>
  </si>
  <si>
    <t>IPL/P-Axis-AHGP-11999996/20170727135036</t>
  </si>
  <si>
    <t>BIL/001261031956/Vodafone/50287986</t>
  </si>
  <si>
    <t>BIL/001261032190/ICICI Amex bill/374741012051006</t>
  </si>
  <si>
    <t>BIL/001261196814/LIC premium/LIC_JICI5539570</t>
  </si>
  <si>
    <t>CMS/ SALARY FOR JULY      2017</t>
  </si>
  <si>
    <t>INF/210013952019/IWISHSETTLE CONTRIBUTION</t>
  </si>
  <si>
    <t>BIL/001263454520/Vyom tennis/20319844616</t>
  </si>
  <si>
    <t>BIL/001263455766/Vyom taekwondo/042610400011190</t>
  </si>
  <si>
    <t>BIL/001263457946/Laxmi maid/65079968295</t>
  </si>
  <si>
    <t>BIL/001263459409/Aai Bappa/1177335813</t>
  </si>
  <si>
    <t>MMT/Ref722407204473/1313215000058</t>
  </si>
  <si>
    <t>NFS/CASH WDL/15-08-17</t>
  </si>
  <si>
    <t>INF/210014285365/IWISHSETTLE CONTRIBUTION</t>
  </si>
  <si>
    <t>NEFT-170824602GN05391-TATA CONSULTANCY-6000001714</t>
  </si>
  <si>
    <t>NEFT-170824602GN05392-TATA CONSULTANCY-6000001714</t>
  </si>
  <si>
    <t>NEFT-170829576GN01464-TATA CONSULTANCY-6000001737</t>
  </si>
  <si>
    <t>CMS/ SALARY FOR AUGUST    2017</t>
  </si>
  <si>
    <t>IPL/P-ICIC-P62-12056121/20170831133948</t>
  </si>
  <si>
    <t>INF/210014371131/IWISHSETTLE CONTRIBUTION</t>
  </si>
  <si>
    <t>MMT/Ref724417719864/20319844616</t>
  </si>
  <si>
    <t>MMT/Ref724417725555/0426104000111</t>
  </si>
  <si>
    <t>MMT/Ref724417729203/1177335813</t>
  </si>
  <si>
    <t>BIL/001284174355/Matrix sim/NSP</t>
  </si>
  <si>
    <t>NEFT-FDRLH17249594032-RIYA TRAVEL AND TOURS INDIA</t>
  </si>
  <si>
    <t>MMT/Ref725322238777/1313215000058</t>
  </si>
  <si>
    <t>MMT/Ref725322257959/65079968295</t>
  </si>
  <si>
    <t>ACCT CLOSURE TRANSACTION 0455</t>
  </si>
  <si>
    <t>NEFT-170915293GN00031-TATA CONSULTANCY-GBV 121715</t>
  </si>
  <si>
    <t>NEFT-170921378GN00597-TATA CONSULTANCY-6000002389</t>
  </si>
  <si>
    <t>INF/000000136510/IWISH CONTRIBUTION</t>
  </si>
  <si>
    <t>CMS/ SALARY FOR SEPTEMBER 2017</t>
  </si>
  <si>
    <t>008801013248:Int.Pd:29-06-2017 to 29-09-2017</t>
  </si>
  <si>
    <t>MMT/Ref727519485393/9160100067475</t>
  </si>
  <si>
    <t>MMT/Ref727715947479/20319844616</t>
  </si>
  <si>
    <t>MMT/Ref727715950285/0426104000111</t>
  </si>
  <si>
    <t>MMT/Ref727715954693/1177335813</t>
  </si>
  <si>
    <t>VIN/AIRTELMONEY/20171004161005/0</t>
  </si>
  <si>
    <t>NEFT-171006877GN00037-TATA CONSULTANCY-GBV 121715</t>
  </si>
  <si>
    <t>BIL/001307273430/LIC/LIC_JICI5714613</t>
  </si>
  <si>
    <t>VIN/CITRUS PAY /20171007211907/0</t>
  </si>
  <si>
    <t>BIL/001308140215/Credit card/374741012051006</t>
  </si>
  <si>
    <t>IIN/I-Debit/Tata Doco/20171008221556</t>
  </si>
  <si>
    <t>BIL/001309389930/PGMIB-Diwaliank/BOOKGANGA.COM-E</t>
  </si>
  <si>
    <t>NEFT-171012431GN05584-TATA CONSULTANCY-6000002973</t>
  </si>
  <si>
    <t>NFS/CASH WDL/14-10-17</t>
  </si>
  <si>
    <t>MMT/Ref728820738488/1313215000058</t>
  </si>
  <si>
    <t>CHEQUE 694825</t>
  </si>
  <si>
    <t>INF/000000423711/IWISH CONTRIBUTION</t>
  </si>
  <si>
    <t>IPL/P-ICIC-P61-12146534/20171027124127</t>
  </si>
  <si>
    <t>CMS/ TATA CONSULTANCY  SERVICES LIMITE</t>
  </si>
  <si>
    <t>CHEQUE 694826</t>
  </si>
  <si>
    <t>MMT/Ref730814466190/20319844616</t>
  </si>
  <si>
    <t>MMT/Ref730814468945/65079968295</t>
  </si>
  <si>
    <t>MMT/Ref730814471452/0426104000111</t>
  </si>
  <si>
    <t>MMT/Ref730814474015/1177335813</t>
  </si>
  <si>
    <t>MMT/Ref731121557189/1313215000058</t>
  </si>
  <si>
    <t>NEFT-171115993GN01936-TATA CONSULTANCY-6000003814</t>
  </si>
  <si>
    <t>NEFT-CITIN17854564587-THE NEW INDIA ASSURANCE CO</t>
  </si>
  <si>
    <t>INF/000000637713/IWISH CONTRIBUTION</t>
  </si>
  <si>
    <t>IPL/P-HDFC-HHO1DR-12206237/20171130114222</t>
  </si>
  <si>
    <t>MMT/Ref733518471533/20319844616</t>
  </si>
  <si>
    <t>MMT/Ref733518474404/65079968295</t>
  </si>
  <si>
    <t>MMT/Ref733518476632/0426104000111</t>
  </si>
  <si>
    <t>MMT/Ref733518482192/1177335813</t>
  </si>
  <si>
    <t>CMS/000387822942/ICICIPRULIFEINS__20484157</t>
  </si>
  <si>
    <t>NEFT-171205AHWGN05635-TATA CONSULTANCY-6000004220</t>
  </si>
  <si>
    <t>NEFT-171205AHWGN05636-TATA CONSULTANCY-6000004220</t>
  </si>
  <si>
    <t>NEFT-FBLIC1735202094-LIC INDIA D092-//PAYMENT-177</t>
  </si>
  <si>
    <t>NEFT-FBLIC1735202096-LIC INDIA D092-//PAYMENT-177</t>
  </si>
  <si>
    <t>NEFT-FBLIC1735202095-LIC INDIA D092-//PAYMENT-177</t>
  </si>
  <si>
    <t>INF/000000841247/IWISH CONTRIBUTION</t>
  </si>
  <si>
    <t>DCardfee1275DEC17-NOV18+GST</t>
  </si>
  <si>
    <t>008801013248:Int.Pd:30-09-2017 to 29-12-2017</t>
  </si>
  <si>
    <t>MMT/Ref800307596552/65079968295</t>
  </si>
  <si>
    <t>MMT/Ref800307596778/20319844616</t>
  </si>
  <si>
    <t>MMT/Ref800307597247/0426104000111</t>
  </si>
  <si>
    <t>MMT/Ref800307598725/1177335813</t>
  </si>
  <si>
    <t>MMT/Ref800307616513/64161191302</t>
  </si>
  <si>
    <t>NFS/CASH WDL/03-01-18</t>
  </si>
  <si>
    <t>BIL/001366096950/LIC premium/LIC_LICI5937204</t>
  </si>
  <si>
    <t>MMT/Ref800708280724/64161191302</t>
  </si>
  <si>
    <t>MMT/Ref801213942554/32166923273</t>
  </si>
  <si>
    <t>MMT/Ref801407628528/1313215000058</t>
  </si>
  <si>
    <t>IPL/P-LT -F17-12295529/20180116122757</t>
  </si>
  <si>
    <t>IPL/P-ICIC-P11-12295551/20180116123506</t>
  </si>
  <si>
    <t>NEFT-180116239GN03157-TATA CONSULTANCY-6000005403</t>
  </si>
  <si>
    <t>MMT/Ref802119238309/62171804595</t>
  </si>
  <si>
    <t>INF/000001063829/IWISH CONTRIBUTION</t>
  </si>
  <si>
    <t>BIL/001381726089/Credit card bil/374741012051006</t>
  </si>
  <si>
    <t>RwdRdmFee/204188452370/05-12-17</t>
  </si>
  <si>
    <t>IGST20180131311873253</t>
  </si>
  <si>
    <t>MMT/Ref803215051758/65079968295</t>
  </si>
  <si>
    <t>MMT/Ref803215058351/20319844616</t>
  </si>
  <si>
    <t>MMT/Ref803215063086/0426104000111</t>
  </si>
  <si>
    <t>MMT/Ref803215069374/1177335813</t>
  </si>
  <si>
    <t>CMS/ CMS759518548/ICICI PRUDENTIAL MUTUAL FUND</t>
  </si>
  <si>
    <t>MMT/Ref804607812143/1313215000058</t>
  </si>
  <si>
    <t>BIL/001395417454/Lic Vyom's prem/LIC_LICI6066131</t>
  </si>
  <si>
    <t>BIL/001395418894/Lic Vyom's prem/LIC_LICI6066140</t>
  </si>
  <si>
    <t>INF/000001277830/IWISH CONTRIBUTION</t>
  </si>
  <si>
    <t>CMS/ CMS768073972/TATA CONSULTANCY  SERVICES LIMI</t>
  </si>
  <si>
    <t>MMT/Ref806117706197/0426104000111</t>
  </si>
  <si>
    <t>MMT/Ref806117710332/20319844616</t>
  </si>
  <si>
    <t>MMT/Ref806117711382/65079968295</t>
  </si>
  <si>
    <t>MMT/Ref806117714302/1177335813</t>
  </si>
  <si>
    <t>BIL/001403773631/amex/374741012051006</t>
  </si>
  <si>
    <t>CMS/ CMS779183149/ICICI PRUDENTIAL MUTUAL FUND</t>
  </si>
  <si>
    <t>INF/000001490569/IWISH CONTRIBUTION</t>
  </si>
  <si>
    <t>CMS/ CMS786627705/ICICI PRUDENTIAL MUTUAL FUND</t>
  </si>
  <si>
    <t>NFS/CASH WDL/24-03-18</t>
  </si>
  <si>
    <t>NEFT-180326934GN00023-TATA CONSULTANCY-GBV 121715</t>
  </si>
  <si>
    <t>CMS/ CMS789289587/TATA CONSULTANCY  SERVICES LIMI</t>
  </si>
  <si>
    <t>NEFT-FBLIC1808781823-LIC INDIA D092-//PAYMENT-177</t>
  </si>
  <si>
    <t>008801013248:Int.Pd:30-12-2017 to 29-03-2018</t>
  </si>
  <si>
    <t>MMT/Ref809217122939/0426104000111</t>
  </si>
  <si>
    <t>MMT/Ref809217130266/20319844616</t>
  </si>
  <si>
    <t>MMT/Ref809217134031/1177335813</t>
  </si>
  <si>
    <t>MMT/Ref809217140306/65079968295</t>
  </si>
  <si>
    <t>CMS/ CMS801183227/ICICI PRUDENTIAL MUTUAL FUND</t>
  </si>
  <si>
    <t>NEFT-180410530GN04661-TATA CONSULTANCY-6000007606</t>
  </si>
  <si>
    <t>NEFT-180411A0UGN01147-TATA CONSULTANCY-6000007747</t>
  </si>
  <si>
    <t>MMT/Ref810321497580/1313215000058</t>
  </si>
  <si>
    <t>BIL/001433019916/Passport/MOPSPPSEVA_LICI</t>
  </si>
  <si>
    <t>BIL/001433021001/Vyom Passport/MOPSPPSEVA_LICI</t>
  </si>
  <si>
    <t>CHEQUE 8616</t>
  </si>
  <si>
    <t>NVK TENNIS ACDEMY PVT LTD</t>
  </si>
  <si>
    <t>INF/000001728537/IWISH CONTRIBUTION</t>
  </si>
  <si>
    <t>008825009241 RD clos 27-04-2018 VARSHA VINAY MAHA</t>
  </si>
  <si>
    <t>CMS/ CMS811111657/TATA CONSULTANCY  SERVICES LIMI</t>
  </si>
  <si>
    <t>MMT/Ref812208621702/0426104000111</t>
  </si>
  <si>
    <t>MMT/Ref812208627498/1177335813</t>
  </si>
  <si>
    <t>NEFT-180509836GN01685-TATA CONSULTANCY-6000008493</t>
  </si>
  <si>
    <t>CMS/ CMS820196577/ICICI PRUDENTIAL MUTUAL FUND</t>
  </si>
  <si>
    <t>BIL/001453478817/LIC/LIC_NICI6310844</t>
  </si>
  <si>
    <t>INF/000001967723/IWISH CONTRIBUTION</t>
  </si>
  <si>
    <t>IPL/P-Tata-TEPEG-13523060/20180524134808</t>
  </si>
  <si>
    <t>IPL/P-ICIC-P11-13523065/20180524134926</t>
  </si>
  <si>
    <t>CMS/ CMS831386966/TATA CONSULTANCY  SERVICES LIMI</t>
  </si>
  <si>
    <t>NEFT-CITIN18869279322-THE NEW INDIA ASSURANCE CO</t>
  </si>
  <si>
    <t>NEFT-CITIN18869285085-THE NEW INDIA ASSURANCE CO</t>
  </si>
  <si>
    <t>NEFT-CITIN18869299707-THE NEW INDIA ASSURANCE CO</t>
  </si>
  <si>
    <t>MMT/Ref815314969882/65079968295</t>
  </si>
  <si>
    <t>MMT/Ref815314973341/0426104000111</t>
  </si>
  <si>
    <t>MMT/Ref815314978736/1177335813</t>
  </si>
  <si>
    <t>CMS/ CMS840174610/ICICI PRUDENTIAL MUTUAL FUND</t>
  </si>
  <si>
    <t>NEFT-180611A57GN04661-TATA CONSULTANCY-6000009404</t>
  </si>
  <si>
    <t>INF/IWISH CONTRIBUTION</t>
  </si>
  <si>
    <t>CMS/000434682707/ICICIPRULIFEINS__21130963</t>
  </si>
  <si>
    <t>CMS/ CMS850171043/TATA CONSULTANCY  SERVICES LIMI</t>
  </si>
  <si>
    <t>008801013248:Int.Pd:30-03-2018 to 29-06-2018</t>
  </si>
  <si>
    <t>MPS/BANK FASHIO/20180630152506/0</t>
  </si>
  <si>
    <t>MMT/IMPS/818219114747/June2018Laxmi/SBIN0021162</t>
  </si>
  <si>
    <t>MMT/IMPS/818219117083/Jun2018Taekwond/IBKL0000426</t>
  </si>
  <si>
    <t>MMT/IMPS/818219119198/Aai/CBIN0281615</t>
  </si>
  <si>
    <t>MMT/IMPS/818607991072/Milk june 2018/ORBC0101313</t>
  </si>
  <si>
    <t>IPL/P-ICIC-P3131-13605116/20180709140708</t>
  </si>
  <si>
    <t>CMS/ CMS859403987/ICICI PRUDENTIAL MUTUAL FUND</t>
  </si>
  <si>
    <t>CHEQUE 8617</t>
  </si>
  <si>
    <t>CLG/N V K TENNIS ACADEMY PVT/SBI</t>
  </si>
  <si>
    <t>BIL/001491227935/DTAX/639034012071850</t>
  </si>
  <si>
    <t>MPS/RAINBOW   /20180724050708/0</t>
  </si>
  <si>
    <t>CMS/ CMS875359353/TATA CONSULTANCY  SERVICES LIMI</t>
  </si>
  <si>
    <t>MMT/IMPS/821408402048/Lakshmi salary/ANANTHA LA/SB</t>
  </si>
  <si>
    <t>MMT/IMPS/821408404950/Vyom's taekwond/VIKRAM TAE/I</t>
  </si>
  <si>
    <t>MMT/IMPS/821408408278/Aai Bappa/VITHAL MAD/CBIN028</t>
  </si>
  <si>
    <t>NEFT-180809AFEGN04070-TATA CONSULTANCY-60000110925</t>
  </si>
  <si>
    <t>NEFT-180809AFEGN04069-TATA CONSULTANCY-60000110925</t>
  </si>
  <si>
    <t>CMS/ CMS888242817/ICICI PRUDENTIAL MUTUAL FUND</t>
  </si>
  <si>
    <t>NEFT-CITIN18905870387-THE NEW INDIA ASSURANCE CO L</t>
  </si>
  <si>
    <t>NEFT-CITIN18905877934-THE NEW INDIA ASSURANCE CO L</t>
  </si>
  <si>
    <t>CMS/ CMS898698642/TATA CONSULTANCY  SERVICES LIMI</t>
  </si>
  <si>
    <t>008825010040 RD clos 03-09-2018 VARSHA VINAY MAHA</t>
  </si>
  <si>
    <t>MMT/IMPS/824719026209/Vyom taekwondo/VIKRAM TAE/IB</t>
  </si>
  <si>
    <t>MMT/IMPS/824719035064/Lakshmi salary/ANANTHA LA/SB</t>
  </si>
  <si>
    <t>MMT/IMPS/824719042126/Aai Bappa/VITHAL MAD/CBIN028</t>
  </si>
  <si>
    <t>CMS/ CMS908126612/ICICI PRUDENTIAL MUTUAL FUND</t>
  </si>
  <si>
    <t>BIL/ONL/001541105212/BILL DESK /LIC_NICI6716124792</t>
  </si>
  <si>
    <t>CMS/ CMS919714912/TATA CONSULTANCY  SERVICES LIMI</t>
  </si>
  <si>
    <t>008801013248:Int.Pd:30-06-2018 to 28-09-2018</t>
  </si>
  <si>
    <t>BIL/DTAX/001544175068/DTAX/CH No639034029091850134</t>
  </si>
  <si>
    <t>MMT/IMPS/827521268349/taekwondo/VIKRAM TAE/IBKL000</t>
  </si>
  <si>
    <t>MMT/IMPS/827521275472/aai baapa/VITHAL MAD/CBIN028</t>
  </si>
  <si>
    <t>IPL/P-ICIC-P3191-13751731/20181004145912</t>
  </si>
  <si>
    <t>CMS/ CMS929805950/ICICI PRUDENTIAL MUTUAL FUND</t>
  </si>
  <si>
    <t>NFS/CASH WDL/09-10-18</t>
  </si>
  <si>
    <t>CMS/ CMS943742873/TATA CONSULTANCY  SERVICES LIMI</t>
  </si>
  <si>
    <t>MMT/IMPS/830808016894/Vyom's taekwond/VIKRAM TAE/I</t>
  </si>
  <si>
    <t>MMT/IMPS/830808019240/Aai Bappa/VITHAL MAD/CBIN028</t>
  </si>
  <si>
    <t>IPL/P-ICIC-P2059-13817431/20181112134023</t>
  </si>
  <si>
    <t>IPL/P-Kota-K35-13817433/20181112134326</t>
  </si>
  <si>
    <t>CMS/ CMS956021571/ICICI PRUDENTIAL MUTUAL FUND</t>
  </si>
  <si>
    <t>IPL/P-ICIC-P3234-13824773/20181116122947</t>
  </si>
  <si>
    <t>CMS/ CMS966644356/TATA CONSULTANCY  SERVICES LIMI</t>
  </si>
  <si>
    <t>MMT/IMPS/833609931049/Lakshmi salary/ANANTHA LA/SB</t>
  </si>
  <si>
    <t>MMT/IMPS/833609934456/Vyom Taekwond/VIKRAM TAE/IBK</t>
  </si>
  <si>
    <t>MMT/IMPS/833609938136/Aai Bapa/VITHAL MAD/CBIN0281</t>
  </si>
  <si>
    <t>CMS/000475158209/ICICIPRULIFEINS__20484157</t>
  </si>
  <si>
    <t>NEFT-CITIN18960562134-THE NEW INDIA ASSURANCE CO L</t>
  </si>
  <si>
    <t>NEFT-CITIN18960560649-THE NEW INDIA ASSURANCE CO L</t>
  </si>
  <si>
    <t>CMS/ CMS975768993/ICICI PRUDENTIAL MUTUAL FUND</t>
  </si>
  <si>
    <t>NEFT-181210229GN05572-TATA CONSULTANCY-60000146402</t>
  </si>
  <si>
    <t>CMS/ CMS979537395/ICICI PRUDENTIAL MUTUAL FUND</t>
  </si>
  <si>
    <t>NEFT-N347180702390916-JITENDRA SADASHIV JOSHI-Flig</t>
  </si>
  <si>
    <t>NEFT-181218769GN04013-TATA CONSULTANCY-60000149276</t>
  </si>
  <si>
    <t>DCardfee1275DEC18-NOV19+GST</t>
  </si>
  <si>
    <t>MMT/IMPS/836420231020/Tailor/S K KHADEE/SBIN002136</t>
  </si>
  <si>
    <t>008801013248:Int.Pd:29-09-2018 to 30-12-2018</t>
  </si>
  <si>
    <t>CMS/ CMS991456396/TATA CONSULTANCY  SERVICES LIMI</t>
  </si>
  <si>
    <t>BIL/INFT/001608740830/sapphiro card/Self</t>
  </si>
  <si>
    <t>Dr Tran For Funding iWish A/c 008824001164</t>
  </si>
  <si>
    <t>MMT/IMPS/900121590847/Vyom's taek/VIKRAM TAE/IBKL0</t>
  </si>
  <si>
    <t>MMT/IMPS/900121594430/Aai baapa/VITHAL MAD/CBIN028</t>
  </si>
  <si>
    <t>MMT/IMPS/900121602029/Tennis/KHAJA NAVE/SBIN000509</t>
  </si>
  <si>
    <t>MMT/IMPS/900121606835/Lakshmi mai/ANANTHA LA/SBIN0</t>
  </si>
  <si>
    <t>CMS/ CMS998734392/ICICI PRUDENTIAL MUTUAL FUND</t>
  </si>
  <si>
    <t>MIN/WWW PHONEPE/20190107090535/0</t>
  </si>
  <si>
    <t>NEFT-190109273GN00012-TATA CONSULTANCY-60000155751</t>
  </si>
  <si>
    <t>BIL/INFT/001617345408/Vyom Mumbai tic/Riyaprabu /I</t>
  </si>
  <si>
    <t>CMS/ CMS1008405643/ICICI PRUDENTIAL MUTUAL FUND</t>
  </si>
  <si>
    <t>NEFT-CITIN19907581675-THE NEW INDIA ASSURANCE CO L</t>
  </si>
  <si>
    <t>MMT/IMPS/901922283192/6092046joyalukk/JOYALUKKAS/I</t>
  </si>
  <si>
    <t>BIL/ONL/001629336371/Hyderabad /703969735/Traffic</t>
  </si>
  <si>
    <t>CMS/ CMS1020543256/TATA CONSULTANCY  SERVICES LIM</t>
  </si>
  <si>
    <t>MMT/IMPS/903308786224/Taekwondo/VIKRAM TAE/IBKL000</t>
  </si>
  <si>
    <t>MMT/IMPS/903308804013/Tennis Vyom/KHAJA NAVE/SBIN0</t>
  </si>
  <si>
    <t>MMT/IMPS/903308811116/Aai Bappa/VITHAL MAD/CBIN028</t>
  </si>
  <si>
    <t>NEFT-190205393GN08439-TATA CONSULTANCY-60000161961</t>
  </si>
  <si>
    <t>MIN/TPS PHONEPE/201902062106/562550/</t>
  </si>
  <si>
    <t>CMS/ CMS1030808884/ICICI PRUDENTIAL MUTUAL FUND</t>
  </si>
  <si>
    <t>ATD/Auto Debit CC0xx8640</t>
  </si>
  <si>
    <t>CMS/ CMS1033946075/ICICI PRUDENTIAL MUTUAL FUND</t>
  </si>
  <si>
    <t>MMT/IMPS/904309371593/Milk/T SHIV SHA/ORBC0101313</t>
  </si>
  <si>
    <t>CMS/ CMS1039105516/L AND T FUND</t>
  </si>
  <si>
    <t>BIL/ONL/001645437193/Life Insur/LIC_PICI7232227/Li</t>
  </si>
  <si>
    <t>NEFT-190221325GN01930-TATA CONSULTANCY-60000167575</t>
  </si>
  <si>
    <t>IPL/P-ICIC-PEDWRG-14001010/20190221140117</t>
  </si>
  <si>
    <t>BIL/DTAX/001647696647/DTAX/CH No639034022021951043</t>
  </si>
  <si>
    <t>MMT/IMPS/905508460126/Joyalukkas/JOYALUKKAS/IBKL00</t>
  </si>
  <si>
    <t>CMS/ CMS1048944744/TATA CONSULTANCY  SERVICES LIM</t>
  </si>
  <si>
    <t>MMT/IMPS/906222952799/Vyom Taekwondo/VIKRAM TAE/IB</t>
  </si>
  <si>
    <t>MMT/IMPS/906222957099/Vyom tennis/KHAJA NAVE/SBIN0</t>
  </si>
  <si>
    <t>MMT/IMPS/906222960918/Lakshmi salary/ANANTHA LA/SB</t>
  </si>
  <si>
    <t>MMT/IMPS/906222966538/Aai Bappa/VITHAL MAD/CBIN028</t>
  </si>
  <si>
    <t>CMS/ CMS1061124106/ICICI PRUDENTIAL MUTUAL FUND</t>
  </si>
  <si>
    <t>MMT/IMPS/906720946741/Tailor/S K KHADEE/SBIN002136</t>
  </si>
  <si>
    <t>MMT/IMPS/906817904787/Milk bill/T SHIV SHA/ORBC010</t>
  </si>
  <si>
    <t>CMS/ CMS1065342153/ICICI PRUDENTIAL MUTUAL FUND</t>
  </si>
  <si>
    <t>NEFT-190313439GN02449-TATA CONSULTANCY-60000173509</t>
  </si>
  <si>
    <t>MMT/IMPS/907309097691/Aryabhatta Nati/Aryabhatta/H</t>
  </si>
  <si>
    <t>IPL/P-Kota-K35-14041908/20190318143114</t>
  </si>
  <si>
    <t>IPL/P-ICIC-PEDWRG-14041906/20190318142918</t>
  </si>
  <si>
    <t>CMS/ CMS1083762880/TATA CONSULTANCY  SERVICES LIM</t>
  </si>
  <si>
    <t>008801013248:Int.Pd:31-12-2018 to 30-03-2019</t>
  </si>
  <si>
    <t>MMT/IMPS/909208670953/salary/ANANTHA LA/SBIN0021162</t>
  </si>
  <si>
    <t>MMT/IMPS/909208675605/aai baapa/VITHAL MAD/CBIN0281615</t>
  </si>
  <si>
    <t>MMT/IMPS/909316663800/32141575 321415/ICICI PRUD to VARSHA VIN</t>
  </si>
  <si>
    <t>CMS/ CMS1094643664/ICICI PRUDENTIAL LIFE INSURANC</t>
  </si>
  <si>
    <t>CMS/ CMS1096513155/ICICI PRUDENTIAL MUTUAL FUND</t>
  </si>
  <si>
    <t>CMS/ CMS1098781513/ICICI PRUDENTIAL MUTUAL FUND</t>
  </si>
  <si>
    <t>BIL/INFT/001683896771/Trip/ MEENAKSHI SREEN</t>
  </si>
  <si>
    <t>BIL/INFT/001683912322/Trip/VARSHA    /ICICI BANK GARGI S PAIGAON</t>
  </si>
  <si>
    <t>BIL/INFT/001684206484/VarshaMata/ VIJAY CHANDRASE</t>
  </si>
  <si>
    <t>NEFT-063643400240-TATA CONSULTANCY SERVICES LIMITED-008801013248-00010310001915-HDFC0004989</t>
  </si>
  <si>
    <t>MMT/IMPS/911108744983/Vyom 21267 pape/Aryabhatta/HDFC0003200</t>
  </si>
  <si>
    <t>MMT/IMPS/911119246429/Tailor/S K KHADEE/SBIN0021360</t>
  </si>
  <si>
    <t>MMT/IMPS/911914406351/Vyom text books/T.S.SYAMAL/UTIB0000008</t>
  </si>
  <si>
    <t>SALARY</t>
  </si>
  <si>
    <t>MMT/IMPS/912207317160/Lakshmi salary/ANANTHA LA/SBIN0021162</t>
  </si>
  <si>
    <t>MMT/IMPS/912309759658/Aai-Bappa/VITHAL MAD/CBIN0281615</t>
  </si>
  <si>
    <t>BIL/NEFT/001699592143/LIC premium/LIC OF IND/CORP0000221</t>
  </si>
  <si>
    <t>TRF TO FD no. 008813018305</t>
  </si>
  <si>
    <t>Trf to PPF 000418156991</t>
  </si>
  <si>
    <t>INF/021201563461/Travel DLI049805000809/GUNJAN CUTTING EDGE SOLUTIONS</t>
  </si>
  <si>
    <t>CMS/ CMS1118935102/ICICI PRUDENTIAL MUTUAL FUND</t>
  </si>
  <si>
    <t>TRF TO FD no. 008813018382</t>
  </si>
  <si>
    <t>TRF TO FD no. 008813018383</t>
  </si>
  <si>
    <t>CMS/ MF - RED  - 11- 11236866/ICICI PRUDENTIAL MU</t>
  </si>
  <si>
    <t>CMS/ MF - RED  - 11- 9116172/ICICI PRUDENTIAL MUT</t>
  </si>
  <si>
    <t>CMS/ CMS1122950618/ICICI PRUDENTIAL MUTUAL FUND</t>
  </si>
  <si>
    <t>MMT/IMPS/913508136045/Milk Bill/T SHIV SHA/ORBC0101313</t>
  </si>
  <si>
    <t>INF/021230778411/Visit Bombay049805000809/GUNJAN CUTTING EDGE SOLUTIONS</t>
  </si>
  <si>
    <t>BIL/ONL/001717685039/Life Insur/LIC_QICI7588661/LIC JeevanAnand</t>
  </si>
  <si>
    <t>BIL/NEFT/001719643062/LiC policy/LIC OF IND/CORP0000221</t>
  </si>
  <si>
    <t>ICSP/SALARY</t>
  </si>
  <si>
    <t>MMT/IMPS/915417516574/Lakshmi salary/ANANTHA LA/SBIN0021162</t>
  </si>
  <si>
    <t>MMT/IMPS/915417527374/Aai Bappa trans/VITHAL MAD/CBIN0281615</t>
  </si>
  <si>
    <t>CMS/ CMS1142409544/ICICI PRUDENTIAL MUTUAL FUND</t>
  </si>
  <si>
    <t>CMS/ CMS1143552608/ICICI PRUDENTIAL MUTUAL FUND</t>
  </si>
  <si>
    <t>INF/021279341451/Travel exp for GDPR T049805000809/GUNJAN CUTTING EDGE SOLUTIONS</t>
  </si>
  <si>
    <t>MMT/IMPS/916710852764/Milk bill/T SHIV SHA/ORBC0101313</t>
  </si>
  <si>
    <t>MMT/IMPS/917111213016/Account validat/Computer A/HONGKONG AND SH</t>
  </si>
  <si>
    <t>RTGS-HDFCR52019062483789938-TMF REDEMPTION POOL-00600350019201-HDFC0000240</t>
  </si>
  <si>
    <t>CMS/000534875718/ICICIPRULIFEINS__21130963</t>
  </si>
  <si>
    <t>008801013248:Int.Pd:31-03-2019 to 28-06-2019</t>
  </si>
  <si>
    <t>ICSP/Salary for June 2019</t>
  </si>
  <si>
    <t>CMS/ CMS1166214815/ICICI PRUDENTIAL MUTUAL FUND</t>
  </si>
  <si>
    <t>MMT/IMPS/918607382000/Aai Bappa/VITHAL MAD/CBIN0281615</t>
  </si>
  <si>
    <t>NEFT-N186190257377819-LIC MUMBAI DO ONE AC-201900000543800001883-000185700001411-YESB0000001</t>
  </si>
  <si>
    <t>CMS/ CMS1167095778/ICICI PRUDENTIAL MUTUAL FUND</t>
  </si>
  <si>
    <t>Dr Tran For Funding iWish A/c 008824001374</t>
  </si>
  <si>
    <t>MMT/IMPS/919019922357/Vyom Taekwondo/Taekwondo /ANDB0000835</t>
  </si>
  <si>
    <t>CMS/000542062265/ICICIPRULIFEINS__24516375</t>
  </si>
  <si>
    <t>BIL/DTAX/001758713271/DTAX/CH No639034023071950662</t>
  </si>
  <si>
    <t>INF/021391805551/Visit USA049805000809/GUNJAN CUTTING EDGE SOLUTIONS</t>
  </si>
  <si>
    <t>INF/021391812121/Visit BY Mtg IQVIA049805000809/GUNJAN CUTTING EDGE SOLUTIONS</t>
  </si>
  <si>
    <t>ICSP/Salary for July 2019</t>
  </si>
  <si>
    <t>CMS/ CMS1198554765/ICICI PRUDENTIAL MUTUAL FUND</t>
  </si>
  <si>
    <t>CMS/ CMS1199579764/ICICI PRUDENTIAL MUTUAL FUND</t>
  </si>
  <si>
    <t>MMT/IMPS/921911563476/Aai Bappa/VITHAL MAD/CBIN0281615</t>
  </si>
  <si>
    <t>INF/021430435831/Visit BY  PHUSE049805000809/GUNJAN CUTTING EDGE SOLUTIONS</t>
  </si>
  <si>
    <t>MMT/IMPS/923719009051/Resort Golkonda/MANJIRI JO/HDFC0001123</t>
  </si>
  <si>
    <t>ICSP/Salary for Aug 2019</t>
  </si>
  <si>
    <t>MMT/IMPS/924608904429/Aai Bappa/VITHAL MAD/CBIN0281615</t>
  </si>
  <si>
    <t>CMS/ CMS1229445025/ICICI PRUDENTIAL MUTUAL FUND</t>
  </si>
  <si>
    <t>CMS/ CMS1230458887/ICICI PRUDENTIAL MUTUAL FUND</t>
  </si>
  <si>
    <t>MMT/IMPS/926010996168/Jaisalmer trip/MANJIRI JO/HDFC0001123</t>
  </si>
  <si>
    <t>BIL/INFT/001802010154/JaiTripVarsha/ VIJAY CHANDRASE</t>
  </si>
  <si>
    <t>NEFT-FBLIC1926903153-LIC INDIA D092-//PAYMENT-17750200000173-FDRL0000037</t>
  </si>
  <si>
    <t>008801013248:Int.Pd:29-06-2019 to 29-09-2019</t>
  </si>
  <si>
    <t>CMS/ MF   RED    3131  12078689/ICICI PRUDENTIAL</t>
  </si>
  <si>
    <t>NEFT-N273190938989021-TMF REDEMPTION POOL-TATA MF - 4251719-00600350019201-HDFC0000240</t>
  </si>
  <si>
    <t>ICSP/Salary for Sep 2019</t>
  </si>
  <si>
    <t>CMS/ CMS1259058041/ICICI PRUDENTIAL MUTUAL FUND</t>
  </si>
  <si>
    <t>CMS/ CMS1260369754/ICICI PRUDENTIAL MUTUAL FUND</t>
  </si>
  <si>
    <t>MMT/IMPS/927821475918/Tailor/S K KHADEE/SBIN0021360</t>
  </si>
  <si>
    <t>MMT/IMPS/927821479127/Aai Bappa/VITHAL MAD/CBIN0281615</t>
  </si>
  <si>
    <t>MMT/IMPS/928415959244/Vyom Taekwondo/Taekwondo /ANDB0000835</t>
  </si>
  <si>
    <t>MMT/IMPS/930508747610/Aai Bappa/VITHAL MAD/CBIN0281615</t>
  </si>
  <si>
    <t>MMT/IMPS/930508749496/Vyom Taekwondo/Taekwondo /ANDB0000835</t>
  </si>
  <si>
    <t>INF/INFT/021659958491/GUNJAN CUTTING /Salary Oct 1</t>
  </si>
  <si>
    <t>CMS/ CMS1291232604/ICICI PRUDENTIAL MUTUAL FUND</t>
  </si>
  <si>
    <t>CMS/ CMS1292395560/ICICI PRUDENTIAL MUTUAL FUND</t>
  </si>
  <si>
    <t>MMT/IMPS/933609664641/Aai Bappa/VITHAL MAD/CBIN0281615</t>
  </si>
  <si>
    <t>CMS/000586313132/ICICIPRULIFEINS__20484157</t>
  </si>
  <si>
    <t>ICSP/Salary for Nov 2019</t>
  </si>
  <si>
    <t>CMS/ CMS1321044333/ICICI PRUDENTIAL MUTUAL FUND</t>
  </si>
  <si>
    <t>CMS/ CMS1322275735/ICICI PRUDENTIAL MUTUAL FUND</t>
  </si>
  <si>
    <t>MMT/IMPS/934315955342/Vyom Taekwondo/Taekwondo /ANDB0000835</t>
  </si>
  <si>
    <t>BIL/BPAY/001874500820/BuyFasTag/11997929</t>
  </si>
  <si>
    <t>DCardfee1275DEC19-NOV20+GST</t>
  </si>
  <si>
    <t>MMT/IMPS/936417727417/OFdHBt1bK7fopte/CAMS      /HONGKONG AND SH</t>
  </si>
  <si>
    <t>008801013248:Int.Pd:30-09-2019 to 30-12-2019</t>
  </si>
  <si>
    <t>MMT/IMPS/000109828995/Vyom Taekwondo/Taekwondo /ANDB0000835</t>
  </si>
  <si>
    <t>MMT/IMPS/000110839158/Aai Bappa/VITHAL MAD/CBIN0281615</t>
  </si>
  <si>
    <t>CMS/ CMS1350898510/ICICI PRUDENTIAL MUTUAL FUND</t>
  </si>
  <si>
    <t>CMS/ CMS1353678091/ICICI PRUDENTIAL MUTUAL FUND</t>
  </si>
  <si>
    <t>UPI/001514874073/NA/8888877512@payt/ICICI Bank</t>
  </si>
  <si>
    <t>UPI/003378401447/Oid10253286616@/add-money@paytm/Paytm Payments/</t>
  </si>
  <si>
    <t>MMT/IMPS/003614395284/Aai Bappa/VITHAL MAD/CBIN0281615</t>
  </si>
  <si>
    <t>CMS/ CMS1386810908/ICICI PRUDENTIAL MUTUAL FUND</t>
  </si>
  <si>
    <t>BIL/ONL/001915992440/Google Pla/109596378950282/Lehra studio</t>
  </si>
  <si>
    <t>CMS/ CMS1388543537/ICICI PRUDENTIAL MUTUAL FUND</t>
  </si>
  <si>
    <t>MMT/IMPS/004218331358/Vyom Taekwondo/Taekwondo /ANDB0000835</t>
  </si>
  <si>
    <t>BIL/ONL/001929393369/Life Insur/LIC_RICI8559072/Vyom's policy</t>
  </si>
  <si>
    <t>MMT/IMPS/006112334331/Vyoms Taekwondo/Taekwondo /ANDB0000835</t>
  </si>
  <si>
    <t>MMT/IMPS/006112341698/Aai Bappa/VITHAL MAD/CBIN0281615</t>
  </si>
  <si>
    <t>CMS/ CMS1422310593/ICICI PRUDENTIAL MUTUAL FUND</t>
  </si>
  <si>
    <t>CMS/ CMS1424165251/ICICI PRUDENTIAL MUTUAL FUND</t>
  </si>
  <si>
    <t>IPL/S-ICIC-PAMP-14846263/20200318050454</t>
  </si>
  <si>
    <t>UPI/008913083965/Bread/akshayprabhu201/HDFC BANK LTD/</t>
  </si>
  <si>
    <t>UPI/008913119926/Test transfer/mahajvi@okicici/ICICI Bank</t>
  </si>
  <si>
    <t>UPI/008913130004/UPI/pmcares@sbi/State Bank Of I</t>
  </si>
  <si>
    <t>UPI/RVSL008913130004/UPI/pmcares@sbi/State Bank Of I</t>
  </si>
  <si>
    <t>008801013248:Int.Pd:31-12-2019 to 29-03-2020</t>
  </si>
  <si>
    <t>UPI/009012447637/For Corona reli/pmcares@sbi/</t>
  </si>
  <si>
    <t>UPI/RVSL009012447637/For Corona reli/pmcares@sbi/</t>
  </si>
  <si>
    <t>UPI/009012449065/For Corona reli/pmcares@sbi/</t>
  </si>
  <si>
    <t>UPI/009115205014/Grocery/ayyappaundru@ok/Axis Bank Ltd./</t>
  </si>
  <si>
    <t>UPI/009216271974/Chocolate/ayyappaundru@ok/Axis Bank Ltd./</t>
  </si>
  <si>
    <t>MMT/IMPS/009309603928/Aai Bappa/VITHAL MAD/CBIN0281615</t>
  </si>
  <si>
    <t>MMT/IMPS/009309606272/Aai Bappa/VITHAL MAD/CBIN0281615</t>
  </si>
  <si>
    <t>MMT/IMPS/009309613309/Aai Bappa/VITHAL MAD/CBIN0281615</t>
  </si>
  <si>
    <t>UPI/009317030774/Grocery/ayyappaundru@ok/Axis Bank Ltd./</t>
  </si>
  <si>
    <t>UPI/009419364699/UPI/vijaykumar.tab@/State Bank Of I/</t>
  </si>
  <si>
    <t>UPI/009419710100/Rewarded for pa/goog-payment@ok/Axis Bank Ltd.</t>
  </si>
  <si>
    <t>To PPF 000418156991_SR659051026</t>
  </si>
  <si>
    <t>UPI/009507650349/Rewarded for pa/goog-payment@ok/Axis Bank Ltd.</t>
  </si>
  <si>
    <t>UPI/009713476273/Grocery/ayyappaundru@ok/Axis Bank Ltd./</t>
  </si>
  <si>
    <t>UPI/009811348315/On behalf of VM/pmcares@sbi/</t>
  </si>
  <si>
    <t>BIL/NEFT/001962807038/Aai Bappa/VITHAL MAD/CBIN0281615</t>
  </si>
  <si>
    <t>UPI/009915463775/Grocery/ayyappaundru@ok/Axis Bank Ltd./</t>
  </si>
  <si>
    <t>TRF TO FD no. 008813022746</t>
  </si>
  <si>
    <t>TRF TO FD no. 008813022747</t>
  </si>
  <si>
    <t>TRF TO FD no. 008813022748</t>
  </si>
  <si>
    <t>TRF TO FD no. 008813022749</t>
  </si>
  <si>
    <t>TRF TO FD no. 008813022750</t>
  </si>
  <si>
    <t>UPI/010308205561/Rewarded for pa/goog-payment@ok/Axis Bank Ltd.</t>
  </si>
  <si>
    <t>UPI/010416385012/Mango/9966009744@ybl/Paytm Payments/</t>
  </si>
  <si>
    <t>UPI/010514489067/Ratnadeep n man/gargi24@okicici/ICICI Bank</t>
  </si>
  <si>
    <t>UPI/010517252353/Coffee/drneelparna@oki/ICICI Bank</t>
  </si>
  <si>
    <t>IPL/S-ICIC-PAMP-14920708/20200418050432</t>
  </si>
  <si>
    <t>UPI/010915463058/Grocery/ayyappaundru@ok/Axis Bank Ltd./</t>
  </si>
  <si>
    <t>UPI/011414152620/Mango/9966009744@ybl/Paytm Payments/</t>
  </si>
  <si>
    <t>UPI/011607629246/For mangoes/shyam.suba80@ok/AxisBank Ltd.</t>
  </si>
  <si>
    <t>UPI/011617076290/Test/mahajvi@okicici/ICICI Bank</t>
  </si>
  <si>
    <t>UPI/011712265855/Fruits for Sund/shyam.suba80@ok/Axis Bank Ltd./</t>
  </si>
  <si>
    <t>UPI/011815306405/Varsha transfer/mahajvi@okicici/ICICI Bank</t>
  </si>
  <si>
    <t>UPI/011908371920/From Vinay/varshanbhag@okh/HDFC BANK LTD/</t>
  </si>
  <si>
    <t>BIL/ONL/001975076946/Life Insur/LIC_SICI8747170/LIC premium</t>
  </si>
  <si>
    <t>ACCT CLOSURE TRANSACTION 1164</t>
  </si>
  <si>
    <t>MMT/IMPS/012310950562/Aai Bappa/VITHAL MAD/CBIN0281615</t>
  </si>
  <si>
    <t>MMT/IMPS/013821943442/Photography wor/Kabirphoto/SBIN0003607</t>
  </si>
  <si>
    <t>IPL/S-ICIC-PAMP-15000679/20200518050301</t>
  </si>
  <si>
    <t>BIL/ONL/001995495273/Life Insur/LIC_SICI8840931/LIC premium</t>
  </si>
  <si>
    <t>UPI/015298705367/Oid11041790490@/add-money@paytm/Paytm Payments/</t>
  </si>
  <si>
    <t>MMT/IMPS/015321568512/Aai Bappa/VITHAL MAD/CBIN0281615</t>
  </si>
  <si>
    <t>008814017469: Closure Proceeds</t>
  </si>
  <si>
    <t>IPL/S-Mira-117IORG-15052465/20200608050428</t>
  </si>
  <si>
    <t>RTGS-HDFCR52020061183323900-KMMF REDEMPTIONS-00600350001142-HDFC0000240</t>
  </si>
  <si>
    <t>CMS/ CMS1512027685/ICICI PRUDENTIAL MUTUAL FUND</t>
  </si>
  <si>
    <t>IPL/S-ICIC-PAMP-15080117/20200618040334</t>
  </si>
  <si>
    <t>008801013248:Int.Pd:30-03-2020 to 28-06-2020</t>
  </si>
  <si>
    <t>CMS/000658504958/ICICIPRULIFEINS__21130963</t>
  </si>
  <si>
    <t>MMT/IMPS/018313111808/Aai Bappa/VITHAL MAD/CBIN0281615</t>
  </si>
  <si>
    <t>UPI/018405325472/Towels/shyam.suba80@ok/Axis BankLtd./</t>
  </si>
  <si>
    <t>UPI/018425348908/Oid202007020908/paytm-54571913@/Paytm Payments/</t>
  </si>
  <si>
    <t>CMS/ CMS1532743186/ICICI PRUDENTIAL MUTUAL FUND</t>
  </si>
  <si>
    <t>ACCT CLOSURE TRANSACTION 1374</t>
  </si>
  <si>
    <t>IPL/S-Mira-117IORG-15133741/20200708040231</t>
  </si>
  <si>
    <t>RTGS-HDFCR52020070987428550-NIPPON INDIA DUAL AD-00600350084396-HDFC0000240</t>
  </si>
  <si>
    <t>MMT/IMPS/019507820716/Ramky C305 June/T SHIV SHA/ORBC0101313</t>
  </si>
  <si>
    <t>IPL/S-ICIC-PAMP-15161892/20200718040337</t>
  </si>
  <si>
    <t>CMS/000667800763/ICICIPRULIFEINS__24516375</t>
  </si>
  <si>
    <t>008814013661: Rev Sweep From</t>
  </si>
  <si>
    <t>008814009953: Rev Sweep From</t>
  </si>
  <si>
    <t>008814004993: Rev Sweep From</t>
  </si>
  <si>
    <t>008814004993: Closure Proceeds</t>
  </si>
  <si>
    <t>008814009953: Closure Proceeds</t>
  </si>
  <si>
    <t>008814013661: Closure Proceeds</t>
  </si>
  <si>
    <t>MMT/IMPS/021410487953/aai baapa/VITHAL MAD/CBIN0281615</t>
  </si>
  <si>
    <t>MMT/IMPS/021410557605/Lakshmi salary/ANANTHA LA/SBIN0021162</t>
  </si>
  <si>
    <t>008813018383: Rev Sweep From</t>
  </si>
  <si>
    <t>008813018383: Closure Proceeds</t>
  </si>
  <si>
    <t>IPL/S-Mira-117IORG-15230869/20200808070351</t>
  </si>
  <si>
    <t>CMS/ CMS1574325734/ICICI PRUDENTIAL MUTUAL FUND</t>
  </si>
  <si>
    <t>RTGS-HDFCR52020081292204919-UTIMUTUALFUND-00600350037895-HDFC0000240</t>
  </si>
  <si>
    <t>CMS/ CMS1584544928/ICICI PRUDENTIAL MUTUAL FUND</t>
  </si>
  <si>
    <t>NEFT-IBKL200824044493-UTD HST GENERAL FUND-NEFT-0694104000134705-IBKL0NEFT01</t>
  </si>
  <si>
    <t>IPL/P-Axis-XS50-15290741/20200828123255</t>
  </si>
  <si>
    <t>MMT/IMPS/024608764163/Aai Bappa/VITHAL MAD/CBIN0281615</t>
  </si>
  <si>
    <t>CMS/ CMS1602587736/ICICI PRUDENTIAL MUTUAL FUND</t>
  </si>
  <si>
    <t>IPL/S-Mira-117IORG-15321136/20200908040329</t>
  </si>
  <si>
    <t>CMS/ CMS1610178984/ICICI PRUDENTIAL MUTUAL FUND</t>
  </si>
  <si>
    <t>IPL/S-ICIC-PAMP-15352162/20200918040153</t>
  </si>
  <si>
    <t>BIL/ONL/002078803096/Bharti Air/109965673462-10</t>
  </si>
  <si>
    <t>BIL/ONL/002078804412/Bharti Air/109965676309-10</t>
  </si>
  <si>
    <t>UPI/026716098114/Grocery/paytm-1425436@p/Paytm Payments/</t>
  </si>
  <si>
    <t>008801013248:Int.Pd:29-06-2020 to 28-09-2020</t>
  </si>
  <si>
    <t>CMS/ CMS1639892888/ICICI PRUDENTIAL MUTUAL FUND</t>
  </si>
  <si>
    <t>IPL/S-Mira-117IORG-15419811/20201008040249</t>
  </si>
  <si>
    <t>IPL/S-ICIC-PAMP-15450971/20201018070339</t>
  </si>
  <si>
    <t>MMT/IMPS/030412623285/Laxmi salary/ANANTHA LA/SBIN0021162</t>
  </si>
  <si>
    <t>MMT/IMPS/030710969651/Aai Bappa/VITHAL MAD/CBIN0281615</t>
  </si>
  <si>
    <t>UPI/031040817614/Bell/9908008123@payt/Bank of India/</t>
  </si>
  <si>
    <t>CMS/ CMS1675464261/ICICI PRUDENTIAL MUTUAL FUND</t>
  </si>
  <si>
    <t>IPL/S-Mira-117IORG-15514929/20201108040341</t>
  </si>
  <si>
    <t>MMT/IMPS/031915172379/Diwali bonus/ANANTHA LA/SBIN0021162</t>
  </si>
  <si>
    <t>UPI/031941737538/NA/8888877512@payt/ICICI Bank</t>
  </si>
  <si>
    <t>IPL/S-ICIC-PAMP-15550101/20201118040313</t>
  </si>
  <si>
    <t>Dr Tran For Funding iWish A/c 008824002132</t>
  </si>
  <si>
    <t>CMS/ CMS1694812918/ICICI PRUDENTIAL MUTUAL FUND</t>
  </si>
  <si>
    <t>UPI/032820241067/KettoOnlineVent/kettoonlinevent/Axis Bank Ltd./</t>
  </si>
  <si>
    <t>MMT/IMPS/033710412352/Lakshmi maid sa/ANANTHA LA/SBIN0021162</t>
  </si>
  <si>
    <t>CMS/000721510116/ICICIPRULIFEINS__20484157</t>
  </si>
  <si>
    <t>CMS/ CMS1713731020/ICICI PRUDENTIAL MUTUAL FUND</t>
  </si>
  <si>
    <t>IPL/S-Mira-117IORG-15625025/20201208040419</t>
  </si>
  <si>
    <t>CMS/ CMS1718715749/ICICI PRUDENTIAL MUTUAL FUND</t>
  </si>
  <si>
    <t>IPL/S-ICIC-PAMP-15665032/20201218040307</t>
  </si>
  <si>
    <t>UPI/035648698639/Oid12410430400@/add-money@paytm/Paytm Payments/</t>
  </si>
  <si>
    <t>BIL/BPAY/000004442591/FastagRecharge/FSTGRCH</t>
  </si>
  <si>
    <t>UPI/036144402442/Oid12497590721@/add-money@paytm/Paytm Payments/</t>
  </si>
  <si>
    <t>008801013248:Int.Pd:29-09-2020 to 29-12-2020</t>
  </si>
  <si>
    <t>RTGS-HDFCR52020123166455127-KMMF REDEMPTIONS-00600350001142-HDFC0000240</t>
  </si>
  <si>
    <t>CMS/ MF   RED    61  9873727/ICICI PRUDENTIAL MUT</t>
  </si>
  <si>
    <t>CMS/ MF   RED    3191  12522708/ICICI PRUDENTIAL</t>
  </si>
  <si>
    <t>Dr Tran For Funding A/c 008825012808</t>
  </si>
  <si>
    <t>MMT/IMPS/100314684124/Aai Bappa trans/VITHAL MAD/CBIN0281615</t>
  </si>
  <si>
    <t>UPI/100439577338/Oidcwpgr7903262/paytm-acthyd2@p/Paytm Payments/</t>
  </si>
  <si>
    <t>UPI/100783245009/Oid202101070906/paytm-54571913@/Paytm Payments/</t>
  </si>
  <si>
    <t>IPL/S-Mira-117IORG-15750893/20210108040141</t>
  </si>
  <si>
    <t>CMS/ MF   RED    2933  9390898/ICICI PRUDENTIAL M</t>
  </si>
  <si>
    <t>CMS/ CMS1760616242/ICICI PRUDENTIAL MUTUAL FUND</t>
  </si>
  <si>
    <t>MMT/IMPS/100820998331/Devi katha book/VITHAL MAD/CBIN0281615</t>
  </si>
  <si>
    <t>IPL/P-ICIC-P3439-15753280/20210108194907</t>
  </si>
  <si>
    <t>CMS/ CMS1766063484/ICICI PRUDENTIAL MUTUAL FUND</t>
  </si>
  <si>
    <t>IPL/S-ICIC-PAMP-15793582/20210118040134</t>
  </si>
  <si>
    <t>MMT/IMPS/103222254993/Aai Bappa trans/VITHAL MAD/CBIN0281615</t>
  </si>
  <si>
    <t>UPI/103344685611/Oidcwpgr8203148/paytm-acthyd2@p/Paytm Payments/</t>
  </si>
  <si>
    <t>NEFT-N034211393607413-THOMAS COOK INDIA LTD 335-102037635481-00210410000335-HDFC0000240</t>
  </si>
  <si>
    <t>Dr Tran For Funding iWish A/c 008824002219</t>
  </si>
  <si>
    <t>To RD Ac no 008825012808</t>
  </si>
  <si>
    <t>RTGS-UTIBR52021020400340491-AXIS MUTUAL FUND REDEMPTION POOL A/-909020031719108-UTIB0000004</t>
  </si>
  <si>
    <t>CMS/ CMS1798979317/ICICI PRUDENTIAL MUTUAL FUND</t>
  </si>
  <si>
    <t>UPI/103718063927/Oid12717370362@/add-money@paytm/Paytm Payments/</t>
  </si>
  <si>
    <t>IPL/S-Mira-117IORG-15876648/20210208040219</t>
  </si>
  <si>
    <t>CMS/ MF   RED    EDWRG  13199992/ICICI PRUDENTIAL</t>
  </si>
  <si>
    <t>CMS/ CMS1807454276/ICICI PRUDENTIAL MUTUAL FUND</t>
  </si>
  <si>
    <t>MMT/IMPS/104610139200/Lakshmi ironing/ANANTHA LA/SBIN0021162</t>
  </si>
  <si>
    <t>BIL/ONL/000045804713/Life Insur/LIC_VICI9752316/LIC for Vyom</t>
  </si>
  <si>
    <t>ACH/AOSPS2188F-AY2020-21/CE21141581273</t>
  </si>
  <si>
    <t>INF/IWISH KTC FUNDING-15-FEB-21-ROUND OFF-100</t>
  </si>
  <si>
    <t>IPL/S-ICIC-PAMP-15934660/20210218040338</t>
  </si>
  <si>
    <t>NEFT-AXIR210503471584-SMITA SANDEEP ABHYANKAR-FEES-913010028956640-UTIB0000018</t>
  </si>
  <si>
    <t>MMT/IMPS/106111759593/Aai Bappa/VITHAL MAD/CBIN0281615</t>
  </si>
  <si>
    <t>CMS/ CMS1842948555/ICICI PRUDENTIAL MUTUAL FUND</t>
  </si>
  <si>
    <t>UPI/106475757369/NA/8888877512@payt/ICICI Bank</t>
  </si>
  <si>
    <t>IPL/S-Mira-117IORG-16018071/20210308040151</t>
  </si>
  <si>
    <t>CMS/ CMS1851638889/ICICI PRUDENTIAL MUTUAL FUND</t>
  </si>
  <si>
    <t>NEFT-ICMS210316000OA6-LIC P   GS UNIT 3 VILE PARLE MDO I-706200011102-0039102000037527-IBKL0000039</t>
  </si>
  <si>
    <t>IPL/S-ICIC-PAMP-16064246/20210318040241</t>
  </si>
  <si>
    <t>008801013248:Int.Pd:30-12-2020 to 29-03-2021</t>
  </si>
  <si>
    <t>HDFC salary</t>
  </si>
  <si>
    <t>MMT/IMPS/109205430078/Aai Bappa/VITHAL MAD/CBIN028</t>
  </si>
  <si>
    <t>02/04/2021</t>
  </si>
  <si>
    <t>UPI/109266463198/Oid202104021576/add-money@paytm/P</t>
  </si>
  <si>
    <t xml:space="preserve">INF/IWISH CONTRIBUTION                            </t>
  </si>
  <si>
    <t>03/04/2021</t>
  </si>
  <si>
    <t xml:space="preserve">To PPF 000418156991_SR659051026                   </t>
  </si>
  <si>
    <t xml:space="preserve">To RD Ac no 008825012808                          </t>
  </si>
  <si>
    <t>UPI/109797863402/Oid13279398108@/add-money@paytm/P</t>
  </si>
  <si>
    <t>07/04/2021</t>
  </si>
  <si>
    <t xml:space="preserve">UPI/109711272474/NA/8888877512@payt/ICICI Bank    </t>
  </si>
  <si>
    <t xml:space="preserve">UPI/109826238996/NA/8888877512@payt/ICICI Bank    </t>
  </si>
  <si>
    <t>08/04/2021</t>
  </si>
  <si>
    <t xml:space="preserve">CMS/ CMS1898969680/ICICI PRUDENTIAL MUTUAL FUND   </t>
  </si>
  <si>
    <t>UPI/110081941573/Oid13196659117@/add-money@paytm/P</t>
  </si>
  <si>
    <t>12/04/2021</t>
  </si>
  <si>
    <t>UPI/110081987559/pathology/Mswipe.14002111/Kotak M</t>
  </si>
  <si>
    <t>BIL/ONL/000090603687/One97 Comm/202104111603603/Me</t>
  </si>
  <si>
    <t xml:space="preserve">UPI/110229576708/NA/8888877512@payt/ICICI Bank    </t>
  </si>
  <si>
    <t xml:space="preserve">UPI/110229707369/NA/8888877512@payt/ICICI Bank    </t>
  </si>
  <si>
    <t xml:space="preserve">CMS/ CMS1909758966/ICICI PRUDENTIAL MUTUAL FUND   </t>
  </si>
  <si>
    <t>15/04/2021</t>
  </si>
  <si>
    <t>UPI/110887015140/Oid13407825570@/add-money@paytm/P</t>
  </si>
  <si>
    <t>19/04/2021</t>
  </si>
  <si>
    <t>BIL/ONL/000095423350/Life Insur/LIC_VICI9913436/LI</t>
  </si>
  <si>
    <t xml:space="preserve">UPI/111040381485/NA/8888877512@payt/ICICI Bank    </t>
  </si>
  <si>
    <t>20/04/2021</t>
  </si>
  <si>
    <t>21/04/2021</t>
  </si>
  <si>
    <t>UPI/111163373755/Oid13344317380@/add-money@paytm/P</t>
  </si>
  <si>
    <t>UPI/111801221776/Oid1457286@Apol/paytm-016780@pa/P</t>
  </si>
  <si>
    <t>28/04/2021</t>
  </si>
  <si>
    <t xml:space="preserve">INF/IWISH KTC FUNDING-18-APR-21-ROUND OFF-100     </t>
  </si>
  <si>
    <t>30/04/2021</t>
  </si>
  <si>
    <t>UPI/112054843853/collect/paytm-016780@pa/Paytm Pay</t>
  </si>
  <si>
    <t>MMT/IMPS/112122276500/Aai Bappa trans/VITHAL MAD/C</t>
  </si>
  <si>
    <t>01/05/2021</t>
  </si>
  <si>
    <t>03/05/2021</t>
  </si>
  <si>
    <t xml:space="preserve">UPI/112548104351/NA/8888877512@payt/ICICI Bank    </t>
  </si>
  <si>
    <t>05/05/2021</t>
  </si>
  <si>
    <t xml:space="preserve">CMS/ CMS1934632014/ICICI PRUDENTIAL MUTUAL FUND   </t>
  </si>
  <si>
    <t xml:space="preserve">CMS/ CMS1937309438/ICICI PRUDENTIAL MUTUAL FUND   </t>
  </si>
  <si>
    <t>07/05/2021</t>
  </si>
  <si>
    <t>BIL/ONL/000117725272/Life Insur/LIC_VICI9980756/LI</t>
  </si>
  <si>
    <t>19/05/2021</t>
  </si>
  <si>
    <t>21/05/2021</t>
  </si>
  <si>
    <t xml:space="preserve">INF/IWISH KTC FUNDING-19-MAY-21-ROUND OFF-100     </t>
  </si>
  <si>
    <t>24/05/2021</t>
  </si>
  <si>
    <t>UPI/114794755055/Oid202105271118/paytm-007196@pa/P</t>
  </si>
  <si>
    <t>27/05/2021</t>
  </si>
  <si>
    <t>03/06/2021</t>
  </si>
  <si>
    <t xml:space="preserve">CMS/ CMS1965418488/ICICI PRUDENTIAL MUTUAL FUND   </t>
  </si>
  <si>
    <t xml:space="preserve">CMS/ CMS1966805539/ICICI PRUDENTIAL MUTUAL FUND   </t>
  </si>
  <si>
    <t>04/06/2021</t>
  </si>
  <si>
    <t>UPI/115579993324/Oid13798743947@/add-money@paytm/P</t>
  </si>
  <si>
    <t>MMT/IMPS/116611401516/Aai Bappa/VITHAL MAD/CBIN028</t>
  </si>
  <si>
    <t>15/06/2021</t>
  </si>
  <si>
    <t xml:space="preserve">UPI/117152908403/NA/8888877512@payt/ICICI Bank    </t>
  </si>
  <si>
    <t>21/06/2021</t>
  </si>
  <si>
    <t>UPI/117705462948/Oid14065849547@/add-money@paytm/P</t>
  </si>
  <si>
    <t>28/06/2021</t>
  </si>
  <si>
    <t xml:space="preserve">CMS/000813052617/ICICIPRULIFEINS__21130963        </t>
  </si>
  <si>
    <t xml:space="preserve">008801013248:Int.Pd:30-03-2021 to 29-06-2021      </t>
  </si>
  <si>
    <t>30/06/2021</t>
  </si>
  <si>
    <t>MMT/IMPS/118306287231/Aai Bappa/VITHAL MAD/CBIN028</t>
  </si>
  <si>
    <t>02/07/2021</t>
  </si>
  <si>
    <t>03/07/2021</t>
  </si>
  <si>
    <t xml:space="preserve">BIL/ONL/000151502818/Swiggy/HUH5YG08VICLHK/Swiggy </t>
  </si>
  <si>
    <t>05/07/2021</t>
  </si>
  <si>
    <t xml:space="preserve">BIL/REV PMT ID 151502818                          </t>
  </si>
  <si>
    <t xml:space="preserve">CMS/ CMS2014101577/ICICI PRUDENTIAL MUTUAL FUND   </t>
  </si>
  <si>
    <t>07/07/2021</t>
  </si>
  <si>
    <t xml:space="preserve">CMS/ CMS2015807244/ICICI PRUDENTIAL MUTUAL FUND   </t>
  </si>
  <si>
    <t>08/07/2021</t>
  </si>
  <si>
    <t xml:space="preserve">BIL/ONL/000157691141/Swiggy/HXXAMKJBGEY5XR/Swiggy </t>
  </si>
  <si>
    <t>12/07/2021</t>
  </si>
  <si>
    <t xml:space="preserve">MMT/IMPS/120112520669/test/SHIVA SHAN/SBIN0021272 </t>
  </si>
  <si>
    <t>20/07/2021</t>
  </si>
  <si>
    <t>MMT/IMPS/120113634732/Shivshankar/SHIVA SHAN/SBIN0</t>
  </si>
  <si>
    <t>21/07/2021</t>
  </si>
  <si>
    <t xml:space="preserve">CMS/000824377241/ICICIPRULIFEINS__24516375        </t>
  </si>
  <si>
    <t>UPI/120404634618/Oid14424424441@/add-money@paytm/Paytm Payments /PTM3898945ec02</t>
  </si>
  <si>
    <t>23/07/2021</t>
  </si>
  <si>
    <t xml:space="preserve">BIL/ONL/000166457571/Swiggy/HCBBBWDXFKFS6V/Swiggy </t>
  </si>
  <si>
    <t>26/07/2021</t>
  </si>
  <si>
    <t>UPI/120791926141/Oid14507165185@/add-money@paytm/Paytm Payments /PTMdfb96664349</t>
  </si>
  <si>
    <t>UPI/120791950661/Oid14439325252@/add-money@paytm/Paytm Payments /PTMc73b2f24ecd</t>
  </si>
  <si>
    <t xml:space="preserve">CMS/ MF   RED    2059  12680077/ICICI PRUDENTIAL  </t>
  </si>
  <si>
    <t>27/07/2021</t>
  </si>
  <si>
    <t xml:space="preserve">CMS/000826925112/ICICIPRULIFEINS__21130963        </t>
  </si>
  <si>
    <t>28/07/2021</t>
  </si>
  <si>
    <t>MMT/IMPS/121423478275/Aai Bappa/VITHAL MAD/CBIN028</t>
  </si>
  <si>
    <t>02/08/2021</t>
  </si>
  <si>
    <t>03/08/2021</t>
  </si>
  <si>
    <t>UPI/121728993488/NA/IRMUN@icici/ICICI Bank/PTM4162</t>
  </si>
  <si>
    <t>05/08/2021</t>
  </si>
  <si>
    <t xml:space="preserve">BIL/ONL/000178044236/Swiggy/HHVCJVD0BIHU0V/dinner </t>
  </si>
  <si>
    <t>06/08/2021</t>
  </si>
  <si>
    <t>UPI/121991547029/Oid14605215535@/add-money@paytm/Paytm Payments /PTM6c24053b92d</t>
  </si>
  <si>
    <t>07/08/2021</t>
  </si>
  <si>
    <t xml:space="preserve">ATD/Auto Debit CC0xx8640                          </t>
  </si>
  <si>
    <t>10/08/2021</t>
  </si>
  <si>
    <t xml:space="preserve">CMS/ CMS2069153916/ICICI PRUDENTIAL MUTUAL FUND   </t>
  </si>
  <si>
    <t xml:space="preserve">INF/IWISH KTC FUNDING-06-AUG-21-ROUND OFF-100     </t>
  </si>
  <si>
    <t>13/08/2021</t>
  </si>
  <si>
    <t xml:space="preserve">BIL/ONL/000183546090/Swiggy/HKCAN9YPTSXIN1/Swiggy </t>
  </si>
  <si>
    <t>21/08/2021</t>
  </si>
  <si>
    <t xml:space="preserve">CMS/000839319561/ICICIPRULIFEINS__24516375        </t>
  </si>
  <si>
    <t xml:space="preserve">CMS/000842108377/ICICIPRULIFEINS__21130963        </t>
  </si>
  <si>
    <t>30/08/2021</t>
  </si>
  <si>
    <t>UPI/124428629830/Oid202109011150/paytm-33527669@/Paytm Payments /PTMf25a01d07f5</t>
  </si>
  <si>
    <t>01/09/2021</t>
  </si>
  <si>
    <t>03/09/2021</t>
  </si>
  <si>
    <t xml:space="preserve">CMS/ CMS2116150681/ICICI PRUDENTIAL MUTUAL FUND   </t>
  </si>
  <si>
    <t>07/09/2021</t>
  </si>
  <si>
    <t>10/09/2021</t>
  </si>
  <si>
    <t>21/09/2021</t>
  </si>
  <si>
    <t xml:space="preserve">CMS/000855212152/ICICIPRULIFEINS__24516375        </t>
  </si>
  <si>
    <t xml:space="preserve">CMS/000858428771/ICICIPRULIFEINS__21130963        </t>
  </si>
  <si>
    <t>28/09/2021</t>
  </si>
  <si>
    <t xml:space="preserve">008801013248:Int.Pd:30-06-2021 to 29-09-2021      </t>
  </si>
  <si>
    <t>30/09/2021</t>
  </si>
  <si>
    <t>0000001198196913</t>
  </si>
  <si>
    <t>UPI-VINAY N MAHAJAN-MAHAJVI@OKICICI-ICIC0000004-011908356297-VARSHA HDFC</t>
  </si>
  <si>
    <t>28/04/20</t>
  </si>
  <si>
    <t>0000001198219078</t>
  </si>
  <si>
    <t>UPI-VARSHA VINAY MAHAJAN-VARSHANBHAG@OKICICI-ICIC0000088-011908371920-FROM VINAY</t>
  </si>
  <si>
    <t>0000001198236273</t>
  </si>
  <si>
    <t>UPI-VINAY N MAHAJAN-MAHAJVI@OKICICI-ICIC0000004-011908388116-VARSHA HDFC 2</t>
  </si>
  <si>
    <t>0000001198237783</t>
  </si>
  <si>
    <t>UPI-VINAY N MAHAJAN-MAHAJVI@OKICICI-ICIC0000004-011908389876-VARSHA HDFC 3</t>
  </si>
  <si>
    <t>0000011915187030</t>
  </si>
  <si>
    <t>UPI-MANJIRI J JOSHI-MANJIRISTAR@OKSBI-HDFC0009095-011915750175-MANGOS</t>
  </si>
  <si>
    <t>0000001209726448</t>
  </si>
  <si>
    <t>UPI-T S SYAMALA SUBASHIN-SHYAM.SUBA80@OKAXIS-UTIB0000008-012009014022-FOR MANGOES</t>
  </si>
  <si>
    <t>29/04/20</t>
  </si>
  <si>
    <t>0000012310764221</t>
  </si>
  <si>
    <t>UPI-INDUKURI VIJAYA KUMA-IVKRCL@OKICICI-ICIC0000075-012310995303-5 HUNGER RELIEF KI</t>
  </si>
  <si>
    <t>02/05/20</t>
  </si>
  <si>
    <t>0000001247396059</t>
  </si>
  <si>
    <t>UPI-T S SYAMALA SUBASHIN-SHYAM.SUBA80@OKAXIS-UTIB0000008-012407565655-FRUITS</t>
  </si>
  <si>
    <t>03/05/20</t>
  </si>
  <si>
    <t>0000001247395770</t>
  </si>
  <si>
    <t>UPI-GOOGLEPAY-GOOG-PAYMENT@OKAXIS-UTIB0000553-012407667003-REWARDED FOR PAYIN</t>
  </si>
  <si>
    <t>0000012517632844</t>
  </si>
  <si>
    <t>UPI-MUNUGAL  VIJAY KUMAR-VIJAYKUMAR.TAB@OKSBI-SBIN0020075-012517258679-UPI</t>
  </si>
  <si>
    <t>04/05/20</t>
  </si>
  <si>
    <t>0000012517639718</t>
  </si>
  <si>
    <t>UPI-GOOGLEPAY-GOOG-PAYMENT@OKAXIS-UTIB0000553-012517611158-REWARDED FOR PAYIN</t>
  </si>
  <si>
    <t>0000012517646447</t>
  </si>
  <si>
    <t>UPI-ACT  BROADBAND-PAYTM-ACTHYD2@PAYTM-PYTM0123456-012517270240-UPI</t>
  </si>
  <si>
    <t>0000012612525152</t>
  </si>
  <si>
    <t>UPI-T S SYAMALA SUBASHIN-SHYAM.SUBA80@OKAXIS-UTIB0000008-012612321414-DADDUS</t>
  </si>
  <si>
    <t>05/05/20</t>
  </si>
  <si>
    <t>0000012618525933</t>
  </si>
  <si>
    <t>UPI-GOOGLEPAY-GOOG-PAYMENT@OKAXIS-UTIB0000553-012618516176-REWARDED FOR PAYIN</t>
  </si>
  <si>
    <t>0000000253634398</t>
  </si>
  <si>
    <t>CC 000518159XXXXXX7112 AUTOPAY SI-TAD</t>
  </si>
  <si>
    <t>06/05/20</t>
  </si>
  <si>
    <t>0000001279857419</t>
  </si>
  <si>
    <t>UPI-G SANGEETHA-AYYAPPAUNDRU@OKAXIS-UTIB0000881-012709861112-GROCERIES</t>
  </si>
  <si>
    <t>0000001338247257</t>
  </si>
  <si>
    <t>UPI-BUKKA SRI HARI KUMAR-SHKTKD2123@OKSBI-ANDB0000835-013308995144-UPI</t>
  </si>
  <si>
    <t>12/05/20</t>
  </si>
  <si>
    <t>0000001338250432</t>
  </si>
  <si>
    <t>UPI-GOOGLEPAY-GOOG-PAYMENT@OKAXIS-UTIB0000553-013308331451-REWARDED FOR PAYIN</t>
  </si>
  <si>
    <t>0000001339560908</t>
  </si>
  <si>
    <t>UPI-T S SYAMALA SUBASHIN-SHYAM.SUBA80@OKAXIS-UTIB0000008-013309313042-LADDU</t>
  </si>
  <si>
    <t>0000001339657828</t>
  </si>
  <si>
    <t>UPI-G SANGEETHA-AYYAPPAUNDRU@OKAXIS-UTIB0000881-013309403320-GROCERIES</t>
  </si>
  <si>
    <t>0000013317443437</t>
  </si>
  <si>
    <t>UPI-T S SYAMALA SUBASHIN-SHYAM.SUBA80@OKAXIS-UTIB0000008-013317102260-DATES</t>
  </si>
  <si>
    <t>0000013613297199</t>
  </si>
  <si>
    <t>UPI-INNOVATIVE RETAIL CO-BIGBASKET@AXISBANK-UTIB0000100-013613597429-BIG BASKET</t>
  </si>
  <si>
    <t>15/05/20</t>
  </si>
  <si>
    <t>0000013617740755</t>
  </si>
  <si>
    <t>UPI-AKSHAY JAYANT PRABHU-AKSHAYPRABHU2018@OKHDFCBANK-HDFC0009095-013617943698-MANGOES</t>
  </si>
  <si>
    <t>0000013617801147</t>
  </si>
  <si>
    <t>UPI-GARGI PAIGAONKAR-GARGI24@OKICICI-ICIC0000011-013617035607-MANGOES</t>
  </si>
  <si>
    <t>0000013712277882</t>
  </si>
  <si>
    <t>UPI-INNOVATIVE RETAIL CO-BIGBASKET@AXISBANK-UTIB0000100-013712379624-BIG BASKET</t>
  </si>
  <si>
    <t>16/05/20</t>
  </si>
  <si>
    <t>0000001416561775</t>
  </si>
  <si>
    <t>UPI-OLD MADRAS BAKING CO-PAYTMQR281005050101FU5I4SUYV9QB@PAYTM-PYTM0123456-014106862566-OMBC</t>
  </si>
  <si>
    <t>20/05/20</t>
  </si>
  <si>
    <t>0000014217219219</t>
  </si>
  <si>
    <t>UPI-AKSHAY JAYANT PRABHU-VARADA.PRABHU6@OKICICI-ICIC0000409-014217481032-MANGOES</t>
  </si>
  <si>
    <t>21/05/20</t>
  </si>
  <si>
    <t>0000014217217512</t>
  </si>
  <si>
    <t>UPI-GNANENDRA SHAMAIAH-MAIL2GNANI@OKICICI-ICIC0000004-014217356226-MANGOES</t>
  </si>
  <si>
    <t>0000014217320085</t>
  </si>
  <si>
    <t>UPI-GOOGLEPAY-GOOG-PAYMENT@OKAXIS-UTIB0000553-014217548370-REWARDED FOR PAYIN</t>
  </si>
  <si>
    <t>0000014220177315</t>
  </si>
  <si>
    <t>UPI-INNOVATIVE RETAIL CO-BIGBASKET@AXISBANK-UTIB0000100-014220367245-GROCERY</t>
  </si>
  <si>
    <t>0000014220183883</t>
  </si>
  <si>
    <t>UPI-GOOGLEPAY-GOOG-PAYMENT@OKAXIS-UTIB0000553-014220654526-REWARDED FOR PAYIN</t>
  </si>
  <si>
    <t>0000014311620234</t>
  </si>
  <si>
    <t>UPI-BILLDESKTEZ-BILLDESK.AIRTEL-POSTPAID@ICICI-ICIC0000555-014311591963-UPI</t>
  </si>
  <si>
    <t>22/05/20</t>
  </si>
  <si>
    <t>0000014320128178</t>
  </si>
  <si>
    <t>UPI-BIGBASKET-PAYTM-1425436@PAYTM-PYTM0123456-014320901429-UPI</t>
  </si>
  <si>
    <t>0000014414476903</t>
  </si>
  <si>
    <t>UPI-G SANGEETHA-AYYAPPAUNDRU@OKAXIS-UTIB0000881-014414968155-GROCERY</t>
  </si>
  <si>
    <t>23/05/20</t>
  </si>
  <si>
    <t>0000014417743443</t>
  </si>
  <si>
    <t>UPI-BIGBASKET-PAYTM-1425436@PAYTM-PYTM0123456-014417082288-GROCERY</t>
  </si>
  <si>
    <t>0000014715112815</t>
  </si>
  <si>
    <t>UPI-VINAY N MAHAJAN-MAHAJVI@OKICICI-ICIC0000004-014715264935-JUNE PART01</t>
  </si>
  <si>
    <t>26/05/20</t>
  </si>
  <si>
    <t>0000014715116022</t>
  </si>
  <si>
    <t>UPI-VINAY N MAHAJAN-MAHAJVI@OKICICI-ICIC0000004-014715267148-JUNE PART02</t>
  </si>
  <si>
    <t>0000014715117121</t>
  </si>
  <si>
    <t>UPI-VINAY N MAHAJAN-MAHAJVI@OKICICI-ICIC0000004-014715268603-JUNE PART03</t>
  </si>
  <si>
    <t>0000014814218617</t>
  </si>
  <si>
    <t>UPI-VINAY N MAHAJAN-MAHAJVI@OKICICI-ICIC0000004-014814095175-VARSHA JUNE PART04</t>
  </si>
  <si>
    <t>27/05/20</t>
  </si>
  <si>
    <t>0000015021158627</t>
  </si>
  <si>
    <t>UPI-BIGBASKET-PAYTM-1425436@PAYTM-PYTM0123456-015021016586-BIG BASKET GROCERY</t>
  </si>
  <si>
    <t>29/05/20</t>
  </si>
  <si>
    <t>0000001529838892</t>
  </si>
  <si>
    <t>UPI-SATTI  NAKKA-MURALIKRISHANNAKKA-1@OKAXIS-KKBK0007475-015209505218-MEDICINE</t>
  </si>
  <si>
    <t>31/05/20</t>
  </si>
  <si>
    <t>0000001529846804</t>
  </si>
  <si>
    <t>UPI-GOOGLEPAY-GOOG-PAYMENT@OKAXIS-UTIB0000553-015209043002-REWARDED FOR PAYIN</t>
  </si>
  <si>
    <t>0000001529857663</t>
  </si>
  <si>
    <t>UPI-BENOLA  NARAYANA-NARESH.TARAKRAM@OKSBI-SBIN0020496-015209520304-FRUIT</t>
  </si>
  <si>
    <t>0000015320207120</t>
  </si>
  <si>
    <t>UPI-INNOVATIVE RETAIL CO-BIGBASKET@AXISBANK-UTIB0000100-015320184051-BIGBASKET</t>
  </si>
  <si>
    <t>01/06/20</t>
  </si>
  <si>
    <t>0000001547505711</t>
  </si>
  <si>
    <t>UPI-MUNUGAL  VIJAY KUMAR-VIJAYKUMAR.TAB@OKSBI-SBIN0020075-015407199513-TABLA FEES</t>
  </si>
  <si>
    <t>02/06/20</t>
  </si>
  <si>
    <t>0000001548585567</t>
  </si>
  <si>
    <t>UPI-BUKKA SRI HARI KUMAR-SHKTKD2123@OKSBI-ANDB0000835-015408270540-UPI</t>
  </si>
  <si>
    <t>0000015419528797</t>
  </si>
  <si>
    <t>UPI-SK  KHADEERUDDIN-MDYSKHADEER007.AB@OKSBI-SBIN0021360-015419530019-TAILOR</t>
  </si>
  <si>
    <t>0000015420874196</t>
  </si>
  <si>
    <t>UPI-BIGBASKET-PAYTM-1425436@PAYTM-PYTM0123456-015420829171-GROCERY BIG BASKET</t>
  </si>
  <si>
    <t>0000015517415198</t>
  </si>
  <si>
    <t>UPI-ACT  BROADBAND-PAYTM-ACTHYD2@PAYTM-PYTM0123456-015517401777-UPI</t>
  </si>
  <si>
    <t>03/06/20</t>
  </si>
  <si>
    <t>0000015613016163</t>
  </si>
  <si>
    <t>UPI-T S SYAMALA SUBASHIN-SHYAM.SUBA80@OKAXIS-UTIB0000008-015613371304-HAIR OIL</t>
  </si>
  <si>
    <t>04/06/20</t>
  </si>
  <si>
    <t>0000015812901281</t>
  </si>
  <si>
    <t>UPI-KISHORE REDDY CH-8106657658@UPI-ICIC0000202-015812080295-VEGETABLES</t>
  </si>
  <si>
    <t>06/06/20</t>
  </si>
  <si>
    <t>0000015812961132</t>
  </si>
  <si>
    <t>UPI-G SANGEETHA-AYYAPPAUNDRU@OKAXIS-UTIB0000881-015812125876-GROCERY</t>
  </si>
  <si>
    <t>0000015912405107</t>
  </si>
  <si>
    <t>UPI-CHRISTINA FRANCIS-CHRISTINAFRANC@OKHDFCBANK-HDFC0002391-015912470167-MANGOES</t>
  </si>
  <si>
    <t>07/06/20</t>
  </si>
  <si>
    <t>0000015912506804</t>
  </si>
  <si>
    <t>UPI-KAVALI  PARAMESHWAR-KAVALIPARAMESHWAR@OKSBI-SBIN0020106-015912551311-VEGETABLE</t>
  </si>
  <si>
    <t>0000015912542592</t>
  </si>
  <si>
    <t>UPI-PATLOLA  ASHOK REDDY-ASHOKREDDY.6964@OKSBI-SBIN0020076-015912579598-VEGETABLE</t>
  </si>
  <si>
    <t>000000000000000</t>
  </si>
  <si>
    <t>RD THROUGH NET-50400190641085  :VARSHA MAHAJAN</t>
  </si>
  <si>
    <t>08/06/20</t>
  </si>
  <si>
    <t>RD THROUGH NET-50400190641891  :VARSHA MAHAJAN</t>
  </si>
  <si>
    <t>0000001629768901</t>
  </si>
  <si>
    <t>UPI-BIGBASKET-PAYTM-1425436@PAYTM-PYTM0123456-016209764052-GROCERY</t>
  </si>
  <si>
    <t>10/06/20</t>
  </si>
  <si>
    <t>0000016312558614</t>
  </si>
  <si>
    <t>UPI-BIGBASKET-PAYTM-1425436@PAYTM-PYTM0123456-016312330947-GROCERY</t>
  </si>
  <si>
    <t>11/06/20</t>
  </si>
  <si>
    <t>0000016414594870</t>
  </si>
  <si>
    <t>UPI-G SANGEETHA-AYYAPPAUNDRU@OKAXIS-UTIB0000881-016414138870-BREAD</t>
  </si>
  <si>
    <t>12/06/20</t>
  </si>
  <si>
    <t>0000016612971436</t>
  </si>
  <si>
    <t>UPI-LAXMA REDDY  GADDAM-GADDAMLAXMANREDDY@OKAXIS-SBIN0020400-016612309869-VEGETABLE</t>
  </si>
  <si>
    <t>14/06/20</t>
  </si>
  <si>
    <t>0000016612026968</t>
  </si>
  <si>
    <t>UPI-ASHOK VEGETABL SHOP-GPAY-11167941484@OKBIZAXIS-UTIB0000000-016612369854-VEGETABLE</t>
  </si>
  <si>
    <t>0000001689346486</t>
  </si>
  <si>
    <t>UPI-BIGBASKET-PAYTM-1425436@PAYTM-PYTM0123456-016809114695-BIG BASKET</t>
  </si>
  <si>
    <t>16/06/20</t>
  </si>
  <si>
    <t>0000016919153058</t>
  </si>
  <si>
    <t>UPI-SWIGGY-UPISWIGGY@ICICI-ICIC0000001-016919414699-PAYMENT FOR SWIGGY</t>
  </si>
  <si>
    <t>17/06/20</t>
  </si>
  <si>
    <t>0000016919219255</t>
  </si>
  <si>
    <t>UPI-SWIGGY-SWIGGYUPI@AXISBANK-UTIB0000000-016919867180-SWIGGY ORDER ID 75</t>
  </si>
  <si>
    <t>0000016919238290</t>
  </si>
  <si>
    <t>UPI-SAUMITRA SHASHIKANT -SAUMITRA14@OKICICI-ICIC0000268-016919005785-TREAT</t>
  </si>
  <si>
    <t>0000016919348721</t>
  </si>
  <si>
    <t>UPI-SWIGGY-UPISWIGGY@ICICI-ICIC0000001-016919099540-TXN FAILED AT MERC</t>
  </si>
  <si>
    <t>0000017311722838</t>
  </si>
  <si>
    <t>UPI-SHWETHA REDDY  PALLE-PALLETI.SHWETHA@OKSBI-SBIN0011081-017311518066-INCENSE STICKS</t>
  </si>
  <si>
    <t>21/06/20</t>
  </si>
  <si>
    <t>0000017312879061</t>
  </si>
  <si>
    <t>UPI-LAXMA REDDY VEGETABL-PAYTMQR281005050101FHEIVJVAZ3O4@PAYTM-PYTM0123456-017312654755-VEGETABLE</t>
  </si>
  <si>
    <t>0000017321164902</t>
  </si>
  <si>
    <t>UPI-BIGBASKET-PAYTM-1425436@PAYTM-PYTM0123456-017321611351-BIG BASKET</t>
  </si>
  <si>
    <t>0000017413896322</t>
  </si>
  <si>
    <t>UPI-VELLANKI FOODS-VFOODS1@YBL-HDFC0000642-017413962268-UPI</t>
  </si>
  <si>
    <t>22/06/20</t>
  </si>
  <si>
    <t>0000017419643794</t>
  </si>
  <si>
    <t>UPI-BIGBASKET-PAYTM-1425436@PAYTM-PYTM0123456-017419288384-GROCERY</t>
  </si>
  <si>
    <t>0000017613152234</t>
  </si>
  <si>
    <t>UPI-KISHORE REDDY CH-8106657658@UPI-ICIC0000202-017613934677-VEGETABLE</t>
  </si>
  <si>
    <t>24/06/20</t>
  </si>
  <si>
    <t>0000017617628782</t>
  </si>
  <si>
    <t>UPI-BANDANA MUSHUNURI-BANDANAM@OKAXIS-UTIB0000008-017617099305-UPI</t>
  </si>
  <si>
    <t>0000017816727221</t>
  </si>
  <si>
    <t>UPI-VINAY N MAHAJAN-MAHAJVI@OKICICI-ICIC0000004-017816270213-VARSHA PART01</t>
  </si>
  <si>
    <t>26/06/20</t>
  </si>
  <si>
    <t>0000017816730208</t>
  </si>
  <si>
    <t>UPI-VINAY N MAHAJAN-MAHAJVI@OKICICI-ICIC0000004-017816272891-VARSHA PART02</t>
  </si>
  <si>
    <t>0000017816733477</t>
  </si>
  <si>
    <t>UPI-VINAY N MAHAJAN-MAHAJVI@OKICICI-ICIC0000004-017816275556-VARSHA PART03</t>
  </si>
  <si>
    <t>0000017816737007</t>
  </si>
  <si>
    <t>UPI-VINAY N MAHAJAN-MAHAJVI@OKICICI-ICIC0000004-017816278036-VARSHA PART04</t>
  </si>
  <si>
    <t>0000017817412584</t>
  </si>
  <si>
    <t>UPI-BIGBASKET-PAYTM-1425436@PAYTM-PYTM0123456-017817555729-GROCERY BIG BASKET</t>
  </si>
  <si>
    <t>0000001808103649</t>
  </si>
  <si>
    <t>UPI-T S SYAMALA SUBASHIN-SHYAM.SUBA80@OKAXIS-UTIB0000008-018008895380-FRUITS</t>
  </si>
  <si>
    <t>28/06/20</t>
  </si>
  <si>
    <t>01/07/20</t>
  </si>
  <si>
    <t>0000001839867361</t>
  </si>
  <si>
    <t>UPI-NAGARAJU KAUMUDI-NKAUMUDI@OKHDFCBANK-HDFC0009095-018309762969-UPI</t>
  </si>
  <si>
    <t>0000018313427168</t>
  </si>
  <si>
    <t>UPI-BUKKA SRI HARI KUMAR-SHKTKD2123@OKSBI-ANDB0000835-018313775290-UPI</t>
  </si>
  <si>
    <t>0000018313451389</t>
  </si>
  <si>
    <t>UPI-MUNUGAL  VIJAY KUMAR-VIJAYKUMAR.TAB@OKSBI-SBIN0020075-018313794094-UPI</t>
  </si>
  <si>
    <t>0000018518491075</t>
  </si>
  <si>
    <t>UPI-G SANGEETHA-AYYAPPAUNDRU@OKAXIS-UTIB0000881-018518672173-GROCERY</t>
  </si>
  <si>
    <t>03/07/20</t>
  </si>
  <si>
    <t>0000001867787622</t>
  </si>
  <si>
    <t>UPI-BIGBASKET-PAYTM-1425436@PAYTM-PYTM0123456-018607426338-GROCERY</t>
  </si>
  <si>
    <t>04/07/20</t>
  </si>
  <si>
    <t>0000018619406550</t>
  </si>
  <si>
    <t>UPI-TAMBALLA RAGHUKUMAR-HYDCHIMNEYS@OKHDFCBANK-HDFC0009015-018619867316-UPI</t>
  </si>
  <si>
    <t>0000018619801506</t>
  </si>
  <si>
    <t>UPI-BIGBASKET-PAYTM-1425436@PAYTM-PYTM0123456-018619183821-BIG BASKET GROCERY</t>
  </si>
  <si>
    <t>0000000267423164</t>
  </si>
  <si>
    <t>06/07/20</t>
  </si>
  <si>
    <t>50400190641085- RD INSTALLMENT-JUL 2020</t>
  </si>
  <si>
    <t>09/07/20</t>
  </si>
  <si>
    <t>50400190641891- RD INSTALLMENT-JUL 2020</t>
  </si>
  <si>
    <t>0000019114056129</t>
  </si>
  <si>
    <t>UPI-BIGBASKET-PAYTM-1425436@PAYTM-PYTM0123456-019114921527-BIG BASKET GROCERY</t>
  </si>
  <si>
    <t>0000019216795683</t>
  </si>
  <si>
    <t>UPI-BIGBASKET-PAYTM-1425436@PAYTM-PYTM0123456-019216475617-BIG BASKET GROCERY</t>
  </si>
  <si>
    <t>10/07/20</t>
  </si>
  <si>
    <t>0000001959702859</t>
  </si>
  <si>
    <t>UPI-KISHORE REDDY CH-8106657658@UPI-ICIC0000202-019509914111-VEGETABLES</t>
  </si>
  <si>
    <t>13/07/20</t>
  </si>
  <si>
    <t>0000019712444011</t>
  </si>
  <si>
    <t>UPI-RAZORPAY SOFTWARE PR-RAZOR.PAY@SBI-SBIN0016209-019712212484-PAYVIARAZORPAY</t>
  </si>
  <si>
    <t>15/07/20</t>
  </si>
  <si>
    <t>0000019812377611</t>
  </si>
  <si>
    <t>UPI-SHAILESH SADASHIVA S-SHAILSHETTY2000@OKAXIS-UTIB0000108-019812700710-SHANBHAG MEDICAL B</t>
  </si>
  <si>
    <t>16/07/20</t>
  </si>
  <si>
    <t>0000019819504130</t>
  </si>
  <si>
    <t>UPI-GOOGLEPAY-GOOG-PAYMENT@OKAXIS-UTIB0000553-019819135692-REWARDED FOR PAYIN</t>
  </si>
  <si>
    <t>0000019819506610</t>
  </si>
  <si>
    <t>UPI-GOOGLEPAY-GOOG-PAYMENT@OKAXIS-UTIB0000553-019819140772-REWARDED FOR PAYIN</t>
  </si>
  <si>
    <t>0000019822594376</t>
  </si>
  <si>
    <t>UPI-BIGBASKET-PAYTM-1425436@PAYTM-PYTM0123456-019822061431-BIG BASKET GROCERY</t>
  </si>
  <si>
    <t>0000019917478252</t>
  </si>
  <si>
    <t>UPI-INNOVATIVE RETAIL CO-BIGBASKET@AXISBANK-UTIB0000100-019917792850-GROCERY</t>
  </si>
  <si>
    <t>17/07/20</t>
  </si>
  <si>
    <t>0000002007799054</t>
  </si>
  <si>
    <t>UPI-BIGBASKET-PAYTM-1425436@PAYTM-PYTM0123456-020007648569-GROCERY BIG BASKET</t>
  </si>
  <si>
    <t>18/07/20</t>
  </si>
  <si>
    <t>0000020315001328</t>
  </si>
  <si>
    <t>UPI-RAZORPAYAIRTEL-AIRTELIN.RZP@ICICI-ICIC0000001-020315632677-REMARKS</t>
  </si>
  <si>
    <t>21/07/20</t>
  </si>
  <si>
    <t>0000020616888940</t>
  </si>
  <si>
    <t>UPI-VINAY N MAHAJAN-MAHAJVI@OKICICI-ICIC0000004-020616478576-PART 1</t>
  </si>
  <si>
    <t>24/07/20</t>
  </si>
  <si>
    <t>0000020616895489</t>
  </si>
  <si>
    <t>UPI-VINAY N MAHAJAN-MAHAJVI@OKICICI-ICIC0000004-020616481663-PART 2</t>
  </si>
  <si>
    <t>0000020616897851</t>
  </si>
  <si>
    <t>UPI-VINAY N MAHAJAN-MAHAJVI@OKICICI-ICIC0000004-020616483983-PART 3</t>
  </si>
  <si>
    <t>0000020616900355</t>
  </si>
  <si>
    <t>UPI-VINAY N MAHAJAN-MAHAJVI@OKICICI-ICIC0000004-020616486605-PART 4</t>
  </si>
  <si>
    <t>0000020617312926</t>
  </si>
  <si>
    <t>UPI-INNOVATIVE RETAIL CO-BIGBASKET@AXISBANK-UTIB0000100-020617126062-BIG BASKET GROCERY</t>
  </si>
  <si>
    <t>0000020710837350</t>
  </si>
  <si>
    <t>UPI-BIGBASKET-PAYTM-1425436@PAYTM-PYTM0123456-020710875098-GROCERY BIG BASKET</t>
  </si>
  <si>
    <t>25/07/20</t>
  </si>
  <si>
    <t>0000002098867421</t>
  </si>
  <si>
    <t>UPI-BIGBASKET-PAYTM-1425436@PAYTM-PYTM0123456-020908989669-GROCERY BIG BASKET</t>
  </si>
  <si>
    <t>27/07/20</t>
  </si>
  <si>
    <t>0000020910541309</t>
  </si>
  <si>
    <t>UPI-SHAILESH SADASHIVA S-SHAILSHETTY2000@OKAXIS-UTIB0000108-020910486567-SHANBHAG CONSULTAT</t>
  </si>
  <si>
    <t>0000020913312447</t>
  </si>
  <si>
    <t>UPI-PARMEET KAUR SALUJA-DIMPLESALUJA1010@OKICICI-SBIN0011081-020913856503-SANITIZERS</t>
  </si>
  <si>
    <t>0000020920424763</t>
  </si>
  <si>
    <t>UPI-GNANENDRA SHAMAIAH-MAIL2GNANI@OKICICI-ICIC0000004-020920279234-OXIMETER</t>
  </si>
  <si>
    <t>0000021122392367</t>
  </si>
  <si>
    <t>UPI-BIGBASKET-PAYTM-1425436@PAYTM-PYTM0123456-021122793097-GROCERY BIG BASKET</t>
  </si>
  <si>
    <t>29/07/20</t>
  </si>
  <si>
    <t>0000002126800837</t>
  </si>
  <si>
    <t>UPI-BIGBASKET-PAYTM-1425436@PAYTM-PYTM0123456-021206088944-BIG BASKET GROCERY</t>
  </si>
  <si>
    <t>30/07/20</t>
  </si>
  <si>
    <t>0000021213355866</t>
  </si>
  <si>
    <t>UPI-RAZORPAY SOFTWARE PR-RAZOR.PAY@SBI-SBIN0016209-021213061556-PAYVIARAZORPAY</t>
  </si>
  <si>
    <t>0000021218956134</t>
  </si>
  <si>
    <t>UPI-G SANGEETHA-AYYAPPAUNDRU@OKAXIS-UTIB0000881-021218066054-GROCERY</t>
  </si>
  <si>
    <t>0000021317556191</t>
  </si>
  <si>
    <t>UPI-KISHORE REDDY CH-8106657658@UPI-ICIC0000202-021317745163-VEGETABLES</t>
  </si>
  <si>
    <t>31/07/20</t>
  </si>
  <si>
    <t>0000021317560552</t>
  </si>
  <si>
    <t>UPI-GOOGLEPAY-GOOG-PAYMENT@OKAXIS-UTIB0000553-021317950124-REWARDED FOR PAYIN</t>
  </si>
  <si>
    <t>0000002167165977</t>
  </si>
  <si>
    <t>UPI-BUKKA SRI HARI KUMAR-SHKTKD2123@OKSBI-ANDB0000835-021607569319-UPI</t>
  </si>
  <si>
    <t>03/08/20</t>
  </si>
  <si>
    <t>0000002167170508</t>
  </si>
  <si>
    <t>UPI-MUNUGAL  VIJAY KUMAR-VIJAYKUMAR.TAB@OKSBI-SBIN0020075-021607571780-UPI</t>
  </si>
  <si>
    <t>0000021612421590</t>
  </si>
  <si>
    <t>UPI-K NARENDER-NARENDERCHARYKAMMARI@OKHDFCBANK-BKID0005712-021612432337-CARPENTER</t>
  </si>
  <si>
    <t>0000021621040714</t>
  </si>
  <si>
    <t>UPI-BILLDESKACTTV-BILLDESKPG.ACTTV@ICICI-ICIC0000555-021621468371-PAY</t>
  </si>
  <si>
    <t>0000021712377992</t>
  </si>
  <si>
    <t>UPI-INNOVATIVE RETAIL CO-BIGBASKET@AXISBANK-UTIB0000100-021712057159-GROCERY BIG BASKET</t>
  </si>
  <si>
    <t>04/08/20</t>
  </si>
  <si>
    <t>0000021712391130</t>
  </si>
  <si>
    <t>UPI-GOOGLEPAY-GOOG-PAYMENT@OKAXIS-UTIB0000553-021712716383-REWARDED FOR PAYIN</t>
  </si>
  <si>
    <t>0000021717818018</t>
  </si>
  <si>
    <t>UPI-BIGBASKET-PAYTM-1425436@PAYTM-PYTM0123456-021717993982-GROCERY BIG BASKET</t>
  </si>
  <si>
    <t>0000000273776810</t>
  </si>
  <si>
    <t>05/08/20</t>
  </si>
  <si>
    <t>0000021819110702</t>
  </si>
  <si>
    <t>UPI-SHAILESH SADASHIVA S-SHAILSHETTY2000@OKAXIS-UTIB0000108-021819579619-SHANBHAG MEDICAL C</t>
  </si>
  <si>
    <t>0000021916578623</t>
  </si>
  <si>
    <t>UPI-AKSHAY JAYANT PRABHU-VARADA.PRABHU6@OKICICI-ICIC0000409-021916434182-LADY IN RED SCARF</t>
  </si>
  <si>
    <t>06/08/20</t>
  </si>
  <si>
    <t>0000022019954660</t>
  </si>
  <si>
    <t>UPI-BIGBASKET-PAYTM-1425436@PAYTM-PYTM0123456-022019312204-GROCERY BIG BASKET</t>
  </si>
  <si>
    <t>07/08/20</t>
  </si>
  <si>
    <t>50400190641085- RD INSTALLMENT-AUG 2020</t>
  </si>
  <si>
    <t>09/08/20</t>
  </si>
  <si>
    <t>50400190641891- RD INSTALLMENT-AUG 2020</t>
  </si>
  <si>
    <t>0000022212313186</t>
  </si>
  <si>
    <t>UPI-LAXMA REDDY  GADDAM-GADDAMLAXMANREDDY@OKAXIS-SBIN0020400-022212318722-VEGETABLES</t>
  </si>
  <si>
    <t>REV-UPI-50100317164911-VARSHANBHAG@OKHDFCBANK-PAY-022212318722-VEGETABLES</t>
  </si>
  <si>
    <t>0000022212392248</t>
  </si>
  <si>
    <t>UPI-LAXMA REDDY  GADDAM-GADDAMLAXMANREDDY@OKAXIS-SBIN0020400-022212384584-VEGETABLES</t>
  </si>
  <si>
    <t>0000022618373342</t>
  </si>
  <si>
    <t>UPI-RAZORPAY SOFTWARE PR-RAZOR.PAY@SBI-SBIN0016209-022618875314-PAYVIARAZORPAY</t>
  </si>
  <si>
    <t>13/08/20</t>
  </si>
  <si>
    <t>0000022618388492</t>
  </si>
  <si>
    <t>UPI-RAZORPAY-RAZORPAY@ICICI-ICIC0000001-022618887410-VELLANKIFOODS</t>
  </si>
  <si>
    <t>0000022717006923</t>
  </si>
  <si>
    <t>UPI-G SANGEETHA-AYYAPPAUNDRU@OKAXIS-UTIB0000881-022717569819-GROCERY</t>
  </si>
  <si>
    <t>14/08/20</t>
  </si>
  <si>
    <t>0000022717018738</t>
  </si>
  <si>
    <t>UPI-GOOGLEPAY-GOOG-PAYMENT@OKAXIS-UTIB0000553-022717538328-REWARDED FOR PAYIN</t>
  </si>
  <si>
    <t>0000023011084996</t>
  </si>
  <si>
    <t>UPI-G SANGEETHA-AYYAPPAUNDRU@OKAXIS-UTIB0000881-023011477183-MILK</t>
  </si>
  <si>
    <t>17/08/20</t>
  </si>
  <si>
    <t>0000023018597642</t>
  </si>
  <si>
    <t>UPI-SHAILESH SADASHIVA S-SHAILSHETTY2000@OKAXIS-UTIB0000108-023018611835-SHANBHAG MEDICAL C</t>
  </si>
  <si>
    <t>0000023020013010</t>
  </si>
  <si>
    <t>UPI-SAUMITRA SHASHIKANT -SAUMITRA14@OKICICI-ICIC0000268-023020058230-VEGETABLES</t>
  </si>
  <si>
    <t>0000023020055142</t>
  </si>
  <si>
    <t>UPI-GOOGLEPAY-GOOG-PAYMENT@OKAXIS-UTIB0000553-023020218599-REWARDED FOR PAYIN</t>
  </si>
  <si>
    <t>0000023119018528</t>
  </si>
  <si>
    <t>UPI-BIGBASKET-PAYTM-1425436@PAYTM-PYTM0123456-023119974681-GROCERY BIG BASKET</t>
  </si>
  <si>
    <t>18/08/20</t>
  </si>
  <si>
    <t>0000023312228976</t>
  </si>
  <si>
    <t>UPI-BHARTI AIRTEL LIMITE-BHARTIAIRTEL.RZP@SBI-SBIN0016209-023312875105-REMARKS</t>
  </si>
  <si>
    <t>20/08/20</t>
  </si>
  <si>
    <t>0000023312238148</t>
  </si>
  <si>
    <t>UPI-BHARTI AIRTEL LIMITE-BHARTIAIRTEL.RZP@SBI-SBIN0016209-023312875323-REMARKS</t>
  </si>
  <si>
    <t>0000023318352274</t>
  </si>
  <si>
    <t>UPI-KISHORE REDDY CH-8106657658@UPI-ICIC0000202-023318058385-VEGETABLES</t>
  </si>
  <si>
    <t>0000023510872062</t>
  </si>
  <si>
    <t>UPI-RAKESH KUMAR PARIDA-RAKESHPARIDA9668@OKICICI-BKID0005575-023510588725-TAP FITTING</t>
  </si>
  <si>
    <t>22/08/20</t>
  </si>
  <si>
    <t>0000023516331114</t>
  </si>
  <si>
    <t>UPI-TAMBALLA RAGHUKUMAR-HYDCHIMNEYS@OKHDFCBANK-HDFC0009015-023516416832-DISH WASHER</t>
  </si>
  <si>
    <t>0000002387624013</t>
  </si>
  <si>
    <t>UPI-BIGBASKET-PAYTM-1425436@PAYTM-PYTM0123456-023807149948-GROCERY BIG BASKET</t>
  </si>
  <si>
    <t>25/08/20</t>
  </si>
  <si>
    <t>0000023821620636</t>
  </si>
  <si>
    <t>UPI-BIGBASKET-PAYTM-1425436@PAYTM-PYTM0123456-023821376982-GROCERY BIG BASKET</t>
  </si>
  <si>
    <t>0000023916755952</t>
  </si>
  <si>
    <t>UPI-SHAIK ABDULLAH  JILA-SHAIKWAJED6@OKAXIS-SBIN0007640-023916755952-SIEMENS INSTALLATI</t>
  </si>
  <si>
    <t>26/08/20</t>
  </si>
  <si>
    <t>0000023918182608</t>
  </si>
  <si>
    <t>UPI-VINAY N MAHAJAN-MAHAJVI@OKICICI-ICIC0000004-023918182608-PART 1</t>
  </si>
  <si>
    <t>0000023918186830</t>
  </si>
  <si>
    <t>UPI-VINAY N MAHAJAN-MAHAJVI@OKICICI-ICIC0000004-023918186830-PART 2</t>
  </si>
  <si>
    <t>0000023918190854</t>
  </si>
  <si>
    <t>UPI-VINAY N MAHAJAN-MAHAJVI@OKICICI-ICIC0000004-023918190854-PART 3</t>
  </si>
  <si>
    <t>0000023918196685</t>
  </si>
  <si>
    <t>UPI-VINAY N MAHAJAN-MAHAJVI@OKICICI-ICIC0000004-023918196685-PART 4</t>
  </si>
  <si>
    <t>0000024112653041</t>
  </si>
  <si>
    <t>UPI-RAZORPAY-RAZORPAY@ICICI-ICIC0000001-024112653041-VELLANKIFOODS</t>
  </si>
  <si>
    <t>28/08/20</t>
  </si>
  <si>
    <t>0000024210313094</t>
  </si>
  <si>
    <t>UPI-SCIENCE OLYMPIAD FOU-SOF.RAZORPAY@AXISBANK-UTIB0001506-024210313094-SCIENCEOLYMPIADFOU</t>
  </si>
  <si>
    <t>29/08/20</t>
  </si>
  <si>
    <t>0000024212819730</t>
  </si>
  <si>
    <t>UPI-SAUMITRA SHASHIKANT -SAUMITRA14@OKICICI-ICIC0000268-024212819730-VEGETABLES</t>
  </si>
  <si>
    <t>0000024313810784</t>
  </si>
  <si>
    <t>UPI-BIGBASKET-PAYTM-1425436@PAYTM-PYTM0123456-024313810784-GROCERY BIG BASKET</t>
  </si>
  <si>
    <t>30/08/20</t>
  </si>
  <si>
    <t>0000024412972677</t>
  </si>
  <si>
    <t>UPI-SURENDAR REDDY-SURIWATER1984-1@OKICICI-ANDB0001403-024412972677-DISHWASHER STAND</t>
  </si>
  <si>
    <t>31/08/20</t>
  </si>
  <si>
    <t>0000024608029331</t>
  </si>
  <si>
    <t>UPI-BUKKA SRI HARI KUMAR-SHKTKD2123@OKSBI-ANDB0000835-024608029331-UPI</t>
  </si>
  <si>
    <t>02/09/20</t>
  </si>
  <si>
    <t>0000024608035026</t>
  </si>
  <si>
    <t>UPI-MUNUGAL  VIJAY KUMAR-VIJAYKUMAR.TAB@OKAXIS-SBIN0020075-024608035026-UPI</t>
  </si>
  <si>
    <t>0000024608057520</t>
  </si>
  <si>
    <t>UPI-BILLDESKACTTV-BILLDESKPG.ACTTV@ICICI-ICIC0000555-024608057520-PAY</t>
  </si>
  <si>
    <t>0000024608385858</t>
  </si>
  <si>
    <t>UPI-GOOGLEPAY-GOOG-PAYMENT@OKAXIS-UTIB0000553-024608385858-REWARDED FOR PAYIN</t>
  </si>
  <si>
    <t>0000024617478079</t>
  </si>
  <si>
    <t>UPI-KYARAGARI SAGAR KUMA-SAGARKUMAR39314@OKSBI-UCBA0001628-024617478079-DISHWASHER DETERGE</t>
  </si>
  <si>
    <t>0000024709842159</t>
  </si>
  <si>
    <t>UPI-KISHORE REDDY CH-8106657658@UPI-ICIC0000202-024709842159-VEGETABLES</t>
  </si>
  <si>
    <t>03/09/20</t>
  </si>
  <si>
    <t>0000024720358826</t>
  </si>
  <si>
    <t>UPI-SHAILESH SADASHIVA S-SHAILSHETTY2000@OKAXIS-UTIB0000108-024720358826-SHANBHAG MEDICAL B</t>
  </si>
  <si>
    <t>0000000280863095</t>
  </si>
  <si>
    <t>05/09/20</t>
  </si>
  <si>
    <t>0000025110037369</t>
  </si>
  <si>
    <t>UPI-BIGBASKET-PAYTM-1425436@PAYTM-PYTM0123456-025110037369-GROCERY BIG BASKET</t>
  </si>
  <si>
    <t>07/09/20</t>
  </si>
  <si>
    <t>0000025114658584</t>
  </si>
  <si>
    <t>UPI-HOTSTAR-HOTSTAR.RAZORPAY@ICICI-ICIC0000001-025114658584-HOTSTAR</t>
  </si>
  <si>
    <t>50400190641085- RD INSTALLMENT-SEP 2020</t>
  </si>
  <si>
    <t>09/09/20</t>
  </si>
  <si>
    <t>50400190641891- RD INSTALLMENT-SEP 2020</t>
  </si>
  <si>
    <t>0000025410884319</t>
  </si>
  <si>
    <t>UPI-KISHORE REDDY CH-8106657658@UPI-ICIC0000202-025410884319-VEGETABLES</t>
  </si>
  <si>
    <t>10/09/20</t>
  </si>
  <si>
    <t>0000025421518996</t>
  </si>
  <si>
    <t>UPI-RAZORPAY SOFTWARE PR-RAZOR.PAY@SBI-SBIN0016209-025421518996-PAYVIARAZORPAY</t>
  </si>
  <si>
    <t>0000025610999203</t>
  </si>
  <si>
    <t>UPI-RAZORPAY LICIOUS-RAZORPAY.LICIOUS@HDFCBANK-HDFC0000053-025610999203-LICIOUS</t>
  </si>
  <si>
    <t>12/09/20</t>
  </si>
  <si>
    <t>0000025619749250</t>
  </si>
  <si>
    <t>UPI-AVANTIKA NARAYAN-NAVANTIKA11@OKHDFCBANK-HDFC0000223-025619749250-RAJASHRI SNACKS</t>
  </si>
  <si>
    <t>0000025820028331</t>
  </si>
  <si>
    <t>UPI-MEDHAKSHETHRA SCHOOL-9019153455@OKBIZAXIS-UTIB0000000-025820028331-UPI</t>
  </si>
  <si>
    <t>14/09/20</t>
  </si>
  <si>
    <t>0000025820127711</t>
  </si>
  <si>
    <t>UPI-GOOGLEPAY-GOOG-PAYMENT@OKAXIS-UTIB0000553-025820127711-REWARDED FOR PAYIN</t>
  </si>
  <si>
    <t>0000026109895062</t>
  </si>
  <si>
    <t>UPI-SAUMITRA SHASHIKANT -SAUMITRA14@OKICICI-ICIC0000268-026109895062-VEGETABLES</t>
  </si>
  <si>
    <t>17/09/20</t>
  </si>
  <si>
    <t>0000026210773150</t>
  </si>
  <si>
    <t>UPI-INNOVATIVE RETAIL CO-BIGBASKET@AXISBANK-UTIB0000100-026210773150-BIG BASKET GROCERY</t>
  </si>
  <si>
    <t>18/09/20</t>
  </si>
  <si>
    <t>0000026312146744</t>
  </si>
  <si>
    <t>UPI-GOOGLEPAY-GOOG-PAYMENT@OKAXIS-UTIB0000553-026312146744-REWARDED FOR PAYIN</t>
  </si>
  <si>
    <t>19/09/20</t>
  </si>
  <si>
    <t>0000026606024535</t>
  </si>
  <si>
    <t>UPI-DELIGHTFUL GOURMET P-LICIOUS@ABFSPAY-UTIB0000100-026606024535-PAYVIARAZORPAY</t>
  </si>
  <si>
    <t>22/09/20</t>
  </si>
  <si>
    <t>0000026610917527</t>
  </si>
  <si>
    <t>UPI-SAUMITRA SHASHIKANT -SAUMITRA14@OKICICI-ICIC0000268-026610917527-VEGETABLES</t>
  </si>
  <si>
    <t>0000026619394924</t>
  </si>
  <si>
    <t>UPI-G SANGEETHA-AYYAPPAUNDRU@OKAXIS-UTIB0000881-026619394924-GROCERY</t>
  </si>
  <si>
    <t>0000026621342974</t>
  </si>
  <si>
    <t>UPI-SAUMITRA SHASHIKANT -SAUMITRA14@OKICICI-ICIC0000268-026621342974-HAIR CUT</t>
  </si>
  <si>
    <t>0000026821464339</t>
  </si>
  <si>
    <t>UPI-RAZORPAY-RAZORPAY@ICICI-ICIC0000001-026821464339-VELLANKIFOODS</t>
  </si>
  <si>
    <t>24/09/20</t>
  </si>
  <si>
    <t>0000026917304322</t>
  </si>
  <si>
    <t>UPI-VINAY N MAHAJAN-MAHAJVI@OKICICI-ICIC0000004-026917304322-PART 1</t>
  </si>
  <si>
    <t>25/09/20</t>
  </si>
  <si>
    <t>0000026917308795</t>
  </si>
  <si>
    <t>UPI-VINAY N MAHAJAN-MAHAJVI@OKICICI-ICIC0000004-026917308795-PART 2</t>
  </si>
  <si>
    <t>0000026917312811</t>
  </si>
  <si>
    <t>UPI-VINAY N MAHAJAN-MAHAJVI@OKICICI-ICIC0000004-026917312811-PART 3</t>
  </si>
  <si>
    <t>0000026917316314</t>
  </si>
  <si>
    <t>UPI-VINAY N MAHAJAN-MAHAJVI@OKICICI-ICIC0000004-026917316314-PART 4</t>
  </si>
  <si>
    <t>0000027013575298</t>
  </si>
  <si>
    <t>UPI-SAUMITRA SHASHIKANT -SAUMITRA14@OKICICI-ICIC0000268-027013575298-VEGETABLES</t>
  </si>
  <si>
    <t>26/09/20</t>
  </si>
  <si>
    <t>0000027015589333</t>
  </si>
  <si>
    <t>UPI-G SANGEETHA-AYYAPPAUNDRU@OKAXIS-UTIB0000881-027015589333-GROCERY</t>
  </si>
  <si>
    <t>0000027310994086</t>
  </si>
  <si>
    <t>UPI-SHAILESH SADASHIVA S-SHAILSHETTY2000@OKAXIS-UTIB0000108-027310994086-SHANBHAG MEDICAL B</t>
  </si>
  <si>
    <t>29/09/20</t>
  </si>
  <si>
    <t>0000027317848548</t>
  </si>
  <si>
    <t>UPI-G SANGEETHA-AYYAPPAUNDRU@OKAXIS-UTIB0000881-027317848548-GROCERY</t>
  </si>
  <si>
    <t>0000027317881364</t>
  </si>
  <si>
    <t>UPI-KISHORE REDDY CH-8106657658@UPI-ICIC0000202-027317881364-VEGETABLES</t>
  </si>
  <si>
    <t>0000027415860628</t>
  </si>
  <si>
    <t>UPI-G SANGEETHA-AYYAPPAUNDRU@OKAXIS-UTIB0000881-027415860628-GROCERY</t>
  </si>
  <si>
    <t>30/09/20</t>
  </si>
  <si>
    <t>01/10/20</t>
  </si>
  <si>
    <t>0000027508134199</t>
  </si>
  <si>
    <t>UPI-IMTIYAZ ALI-IMTIYAZALISD143786@OKHDFCBANK-HDFC0002391-027508134199-BLOOD TEST</t>
  </si>
  <si>
    <t>0000027510752104</t>
  </si>
  <si>
    <t>UPI-KISHORE REDDY CH-8106657658@UPI-ICIC0000202-027510752104-VEGETABLES</t>
  </si>
  <si>
    <t>0000027511207313</t>
  </si>
  <si>
    <t>UPI-BIGBASKET-PAYTM-1425436@PAYTM-PYTM0123456-027511207313-UPI</t>
  </si>
  <si>
    <t>0000027616145270</t>
  </si>
  <si>
    <t>UPI-BUKKA SRI HARI KUMAR-SHKTKD2123@OKSBI-ANDB0000835-027616145270-UPI</t>
  </si>
  <si>
    <t>02/10/20</t>
  </si>
  <si>
    <t>0000027616147662</t>
  </si>
  <si>
    <t>UPI-MUNUGAL  VIJAY KUMAR-VIJAYKUMAR.TAB@OKAXIS-SBIN0020075-027616147662-UPI</t>
  </si>
  <si>
    <t>0000027709705583</t>
  </si>
  <si>
    <t>UPI-G SANGEETHA-AYYAPPAUNDRU@OKAXIS-UTIB0000881-027709705583-BISCUITS</t>
  </si>
  <si>
    <t>03/10/20</t>
  </si>
  <si>
    <t>0000027914838390</t>
  </si>
  <si>
    <t>UPI-ACT  BROADBAND-PAYTM-ACTHYD2@PAYTM-PYTM0123456-027914838390-ACT FIBRENET</t>
  </si>
  <si>
    <t>05/10/20</t>
  </si>
  <si>
    <t>0000000288826023</t>
  </si>
  <si>
    <t>06/10/20</t>
  </si>
  <si>
    <t>0000028009042142</t>
  </si>
  <si>
    <t>UPI-T S SYAMALA SUBASHIN-SHYAM.SUBA80@OKAXIS-UTIB0000008-028009042142-TRIP</t>
  </si>
  <si>
    <t>0000028016110838</t>
  </si>
  <si>
    <t>UPI-LICIOUS-LICIOUS.RZP@AXISBANK-UTIB0001507-028016110838-LICIOUS</t>
  </si>
  <si>
    <t>0000028017387146</t>
  </si>
  <si>
    <t>UPI-G SANGEETHA-AYYAPPAUNDRU@OKAXIS-UTIB0000881-028017387146-GROCERY</t>
  </si>
  <si>
    <t>0000028110370599</t>
  </si>
  <si>
    <t>UPI-SWIGGY-SWIGGYUPI@AXISBANK-UTIB0000000-028110370599-SWIGGY ORDER ID 85</t>
  </si>
  <si>
    <t>07/10/20</t>
  </si>
  <si>
    <t>50400190641085- RD INSTALLMENT-OCT 2020</t>
  </si>
  <si>
    <t>09/10/20</t>
  </si>
  <si>
    <t>50400190641891- RD INSTALLMENT-OCT 2020</t>
  </si>
  <si>
    <t>0000028313115968</t>
  </si>
  <si>
    <t>UPI-RAZORPAY-RAZORPAY@ICICI-ICIC0000001-028313115968-VELLANKIFOODS</t>
  </si>
  <si>
    <t>0000028407640648</t>
  </si>
  <si>
    <t>UPI-IMTIYAZ ALI-IMTIYAZALISD143786@OKHDFCBANK-HDFC0002391-028407640648-VINAY BLOOD TEST</t>
  </si>
  <si>
    <t>10/10/20</t>
  </si>
  <si>
    <t>0000028411683984</t>
  </si>
  <si>
    <t>UPI-BIGBASKET-PAYTM-1425436@PAYTM-PYTM0123456-028411683984-GROCERY</t>
  </si>
  <si>
    <t>0000028919827769</t>
  </si>
  <si>
    <t>UPI-MEDHAKSHETHRA SCHOOL-9019153455@OKBIZAXIS-UTIB0000000-028919827769-REGISTRATION FOR K</t>
  </si>
  <si>
    <t>15/10/20</t>
  </si>
  <si>
    <t>0000028920429139</t>
  </si>
  <si>
    <t>UPI-GARGI PAIGAONKAR-GARGI24@OKICICI-ICIC0000011-028920429139-MASKS</t>
  </si>
  <si>
    <t>0000029114083663</t>
  </si>
  <si>
    <t>UPI-INNOVATIVE RETAIL CO-BIGBASKET@AXISBANK-UTIB0000100-029114083663-UPI</t>
  </si>
  <si>
    <t>17/10/20</t>
  </si>
  <si>
    <t>0000029122198513</t>
  </si>
  <si>
    <t>UPI-BIGBASKET-PAYTM-1425436@PAYTM-PYTM0123456-029122198513-BIG BASKET GROCERY</t>
  </si>
  <si>
    <t>0000029421068600</t>
  </si>
  <si>
    <t>UPI-BHARTI AIRTEL LIMITE-BHARTIAIRTEL.RZP@SBI-SBIN0016209-029421068600-REMARKS</t>
  </si>
  <si>
    <t>20/10/20</t>
  </si>
  <si>
    <t>0000029421069553</t>
  </si>
  <si>
    <t>UPI-BHARTI AIRTEL LIMITE-BHARTIAIRTEL.RZP@SBI-SBIN0016209-029421069553-REMARKS</t>
  </si>
  <si>
    <t>0000029523593324</t>
  </si>
  <si>
    <t>UPI-BIGBASKET-PAYTM-1425436@PAYTM-PYTM0123456-029523593324-UPI</t>
  </si>
  <si>
    <t>21/10/20</t>
  </si>
  <si>
    <t>0000029610717186</t>
  </si>
  <si>
    <t>UPI-XPRESSBEES-PAYPHI.XPRESSBEESUPI@ICICI-ICIC0000004-029610717186-LIMEROAD</t>
  </si>
  <si>
    <t>22/10/20</t>
  </si>
  <si>
    <t>0000029711167351</t>
  </si>
  <si>
    <t>UPI-XPRESSBEES-PAYPHI.XPRESSBEESUPI@ICICI-ICIC0000004-029711167351-LIMEROAD</t>
  </si>
  <si>
    <t>23/10/20</t>
  </si>
  <si>
    <t>0000029713278405</t>
  </si>
  <si>
    <t>UPI-BHARATPE MERCHANT-BHARATPE30010956407@YESBANKLTD-YESB0000105-029713278405-PAY TO SHADOWFAX T</t>
  </si>
  <si>
    <t>IB27180728958351</t>
  </si>
  <si>
    <t>IB FUNDS TRANSFER CR-50200046074733  -VARSHA MAHAJAN</t>
  </si>
  <si>
    <t>27/10/20</t>
  </si>
  <si>
    <t>IB27180812103160</t>
  </si>
  <si>
    <t>IB27180838077308</t>
  </si>
  <si>
    <t>0000030209082782</t>
  </si>
  <si>
    <t>UPI-MANOJ KUMAR DAS-MANOJDAS137@OKSBI-SBIN0010102-030209082782-UPI</t>
  </si>
  <si>
    <t>28/10/20</t>
  </si>
  <si>
    <t>0000030209293271</t>
  </si>
  <si>
    <t>UPI-GOOGLEPAY-GOOG-PAYMENT@OKAXIS-UTIB0000553-030209293271-REWARDED FOR PAYIN</t>
  </si>
  <si>
    <t>0000002107352435</t>
  </si>
  <si>
    <t>NEFT CR-ICIC0SF0002-VINAY N MAHAJAN-VARSHA MAHAJAN-2107352435</t>
  </si>
  <si>
    <t>0000030407141708</t>
  </si>
  <si>
    <t>UPI-LICIOUS-LICIOUS.RZP@AXISBANK-UTIB0001507-030407141708-LICIOUS</t>
  </si>
  <si>
    <t>30/10/20</t>
  </si>
  <si>
    <t>0000030408246843</t>
  </si>
  <si>
    <t>UPI-BIGBASKET-PAYTM-1425436@PAYTM-PYTM0123456-030408246843-GROCERY BIG BASKET</t>
  </si>
  <si>
    <t>0000030408166788</t>
  </si>
  <si>
    <t>UPI-GOOGLEPAY-GOOG-PAYMENT@OKAXIS-UTIB0000553-030408166788-REWARDED FOR PAYIN</t>
  </si>
  <si>
    <t>0000030710439158</t>
  </si>
  <si>
    <t>UPI-BUKKA SRI HARI KUMAR-SHKTKD2123@OKICICI-ANDB0000835-030710439158-UPI</t>
  </si>
  <si>
    <t>02/11/20</t>
  </si>
  <si>
    <t>0000030710448789</t>
  </si>
  <si>
    <t>UPI-MUNUGAL  VIJAY KUMAR-VIJAYKUMAR.TAB@OKAXIS-SBIN0020075-030710448789-UPI</t>
  </si>
  <si>
    <t>0000030716231042</t>
  </si>
  <si>
    <t>UPI-BIGBASKET-PAYTM-1425436@PAYTM-PYTM0123456-030716231042-BIG BASKET GROCERY</t>
  </si>
  <si>
    <t>0000030716421441</t>
  </si>
  <si>
    <t>UPI-GOOGLEPAY-GOOG-PAYMENT@OKAXIS-UTIB0000553-030716421441-REWARDED FOR USING</t>
  </si>
  <si>
    <t>0000030817880210</t>
  </si>
  <si>
    <t>UPI-BILLDESKACTTV-BILLDESKPG.ACTTV@ICICI-ICIC0000555-030817880210-PAY</t>
  </si>
  <si>
    <t>03/11/20</t>
  </si>
  <si>
    <t>0000030909688323</t>
  </si>
  <si>
    <t>UPI-MYNTRACOM-MYNTRA.PAYU@AXISBANK-UTIB0000000-030909688323-UPI</t>
  </si>
  <si>
    <t>04/11/20</t>
  </si>
  <si>
    <t>0000000295455716</t>
  </si>
  <si>
    <t>05/11/20</t>
  </si>
  <si>
    <t>0000031009309574</t>
  </si>
  <si>
    <t>UPI-KUNCHE SIRENDRA-SIRENDRAKUNCHE-1@OKICICI-SBIN0021623-031009309574-ELECTRICIAN</t>
  </si>
  <si>
    <t>0000031009455178</t>
  </si>
  <si>
    <t>UPI-DEEPTI NARAYANA-ARNAVSAOJI@OKICICI-ICIC0006306-031009455178-DIYA</t>
  </si>
  <si>
    <t>0000031121584953</t>
  </si>
  <si>
    <t>UPI-RAZORPAY-RAZORPAY@ICICI-ICIC0000001-031121584953-VELLANKIFOODS</t>
  </si>
  <si>
    <t>06/11/20</t>
  </si>
  <si>
    <t>0000031121629896</t>
  </si>
  <si>
    <t>UPI-GARGI PAIGAONKAR-GARGI24@OKICICI-ICIC0000011-031121629896-MASKS</t>
  </si>
  <si>
    <t>0000031306012931</t>
  </si>
  <si>
    <t>UPI-RAZORPAY LICIOUS-RAZORPAY.LICIOUS@HDFCBANK-HDFC0000499-031306012931-LICIOUS</t>
  </si>
  <si>
    <t>08/11/20</t>
  </si>
  <si>
    <t>0000031317182988</t>
  </si>
  <si>
    <t>UPI-BIGBASKET-PAYTM-1425436@PAYTM-PYTM0123456-031317182988-BIG BASKET GROCERY</t>
  </si>
  <si>
    <t>50400190641085- RD INSTALLMENT-NOV 2020</t>
  </si>
  <si>
    <t>50400190641891- RD INSTALLMENT-NOV 2020</t>
  </si>
  <si>
    <t>0000031717734023</t>
  </si>
  <si>
    <t>UPI-MEDHAKSHETHRA SCHOOL-9019153455@OKBIZAXIS-UTIB0000000-031717734023-NOVEMBER DANCE FEE</t>
  </si>
  <si>
    <t>12/11/20</t>
  </si>
  <si>
    <t>0000032014954927</t>
  </si>
  <si>
    <t>UPI-MUNUGAL  VIJAY KUMAR-VIJAYKUMAR.TAB@OKAXIS-SBIN0020075-032014954927-TABLA EXAM FEES FO</t>
  </si>
  <si>
    <t>15/11/20</t>
  </si>
  <si>
    <t>0000032113335583</t>
  </si>
  <si>
    <t>UPI-GNANENDRA SHAMAIAH-MAIL2GNANI@ICICI-ICIC0000000-032113335583-PHONE PAY</t>
  </si>
  <si>
    <t>16/11/20</t>
  </si>
  <si>
    <t>0000032120634581</t>
  </si>
  <si>
    <t>UPI-G SANGEETHA-AYYAPPAUNDRU@OKAXIS-UTIB0000881-032120634581-GROCERY AYAPPA</t>
  </si>
  <si>
    <t>0000032410442950</t>
  </si>
  <si>
    <t>UPI-RAZORPAY LICIOUS-RAZORPAY.LICIOUS@HDFCBANK-HDFC0000499-032410442950-LICIOUS</t>
  </si>
  <si>
    <t>19/11/20</t>
  </si>
  <si>
    <t>0000032411828798</t>
  </si>
  <si>
    <t>UPI-BHARTI AIRTEL LIMITE-BHARTIAIRTEL.RZP@SBI-SBIN0016209-032411828798-BHARTIAIRTELLIMITE</t>
  </si>
  <si>
    <t>0000032418890073</t>
  </si>
  <si>
    <t>UPI-MYNTRACOM-MYNTRA.PAYU@AXISBANK-UTIB0000000-032418890073-UPI</t>
  </si>
  <si>
    <t>0000032509387441</t>
  </si>
  <si>
    <t>UPI-SWIGGY-SWIGGYUPI@AXISBANK-UTIB0000000-032509387441-SWIGGY ORDER ID 88</t>
  </si>
  <si>
    <t>20/11/20</t>
  </si>
  <si>
    <t>0000032509850319</t>
  </si>
  <si>
    <t>UPI-SWIGGY-SWIGGY.REFUNDS@AXISBANK-UTIB0000052-032509850319-REFUND FROM SWIGGY</t>
  </si>
  <si>
    <t>RD THROUGH NET-50400211010344  :VARSHA MAHAJAN</t>
  </si>
  <si>
    <t>0000032518044257</t>
  </si>
  <si>
    <t>UPI-GARGI PAIGAONKAR-GARGI24@OKICICI-ICIC0000011-032518044257-BREAD KA PAISA</t>
  </si>
  <si>
    <t>0000032617049477</t>
  </si>
  <si>
    <t>UPI-KISHORE REDDY CH-8106657658@UPI-ICIC0000202-032617049477-VEGETABLES</t>
  </si>
  <si>
    <t>21/11/20</t>
  </si>
  <si>
    <t>0000032712382012</t>
  </si>
  <si>
    <t>UPI-KETTO ONLINE VENTURE-KETTOONLINEVENTURES.RZP@AXISBANK-UTIB0001507-032712382012-KETTOONLINEVENTURE</t>
  </si>
  <si>
    <t>22/11/20</t>
  </si>
  <si>
    <t>0000032712416918</t>
  </si>
  <si>
    <t>UPI-KETTO ONLINE VENTURE-KETTOONLINEVENTURES.RZP@AXISBANK-UTIB0001507-032712416918-KETTOONLINEVENTURE</t>
  </si>
  <si>
    <t>0000032719568442</t>
  </si>
  <si>
    <t>UPI-BIGBASKET-PAYTM-1425436@PAYTM-PYTM0123456-032719568442-UPI</t>
  </si>
  <si>
    <t>0000033015844128</t>
  </si>
  <si>
    <t>UPI-G SANGEETHA-AYYAPPAUNDRU@OKAXIS-UTIB0000881-033015844128-GROCERY</t>
  </si>
  <si>
    <t>25/11/20</t>
  </si>
  <si>
    <t>0000033117141284</t>
  </si>
  <si>
    <t>UPI-VINAY N MAHAJAN-MAHAJVI@OKICICI-ICIC0000004-033117141284-PART 1</t>
  </si>
  <si>
    <t>26/11/20</t>
  </si>
  <si>
    <t>0000033117145519</t>
  </si>
  <si>
    <t>UPI-VINAY N MAHAJAN-MAHAJVI@OKICICI-ICIC0000004-033117145519-PART 2</t>
  </si>
  <si>
    <t>0000033117149579</t>
  </si>
  <si>
    <t>UPI-VINAY N MAHAJAN-MAHAJVI@OKICICI-ICIC0000004-033117149579-PART 3</t>
  </si>
  <si>
    <t>0000033117153318</t>
  </si>
  <si>
    <t>UPI-VINAY N MAHAJAN-MAHAJVI@OKICICI-ICIC0000004-033117153318-PART 4</t>
  </si>
  <si>
    <t>0000033209634619</t>
  </si>
  <si>
    <t>UPI-KISHORE REDDY CH-8106657658@UPI-ICIC0000202-033209634619-VEGETABLES</t>
  </si>
  <si>
    <t>27/11/20</t>
  </si>
  <si>
    <t>0000033319853963</t>
  </si>
  <si>
    <t>UPI-BIGBASKET-PAYTM-1425436@PAYTM-PYTM0123456-033319853963-UPI</t>
  </si>
  <si>
    <t>28/11/20</t>
  </si>
  <si>
    <t>0000033708552740</t>
  </si>
  <si>
    <t>UPI-DELIGHTFUL GOURMET P-LICIOUS@ABFSPAY-UTIB0000100-033708552740-PAYVIARAZORPAY</t>
  </si>
  <si>
    <t>02/12/20</t>
  </si>
  <si>
    <t>0000033710207843</t>
  </si>
  <si>
    <t>UPI-BUKKA SRI HARI KUMAR-SHKTKD2123@OKICICI-ANDB0000835-033710207843-UPI</t>
  </si>
  <si>
    <t>0000033710218553</t>
  </si>
  <si>
    <t>UPI-MUNUGAL  VIJAY KUMAR-VIJAYKUMAR.TAB@OKAXIS-SBIN0020075-033710218553-UPI</t>
  </si>
  <si>
    <t>0000033710316198</t>
  </si>
  <si>
    <t>UPI-ACT  BROADBAND-PAYTM-ACTHYD2@PAYTM-PYTM0123456-033710316198-UPI</t>
  </si>
  <si>
    <t>0000033713335056</t>
  </si>
  <si>
    <t>UPI-URBANCLAP-PAYTM-URBANCLAP@PAYTM-PYTM0123456-033713335056-UPI</t>
  </si>
  <si>
    <t>0000033718515035</t>
  </si>
  <si>
    <t>UPI-BIGBASKET-PAYTM-1425436@PAYTM-PYTM0123456-033718515035-BIG BASKET GROCERY</t>
  </si>
  <si>
    <t>0000033915752711</t>
  </si>
  <si>
    <t>UPI-RAZORPAY-RAZORPAY@ICICI-ICIC0000001-033915752711-VELLANKIFOODS</t>
  </si>
  <si>
    <t>04/12/20</t>
  </si>
  <si>
    <t>0000000304307156</t>
  </si>
  <si>
    <t>06/12/20</t>
  </si>
  <si>
    <t>0000034106807374</t>
  </si>
  <si>
    <t>UPI-MEDHAKSHETHRA SCHOOL-9019153455@OKBIZAXIS-UTIB0000000-034106807374-DECEMBER 2020 DANC</t>
  </si>
  <si>
    <t>0000034108187599</t>
  </si>
  <si>
    <t>UPI-RAZORPAY LICIOUS-RAZORPAY.LICIOUS@HDFCBANK-HDFC0000499-034108187599-LICIOUS</t>
  </si>
  <si>
    <t>0000034215468435</t>
  </si>
  <si>
    <t>UPI-KISHORE REDDY CH-8106657658@UPI-ICIC0000202-034215468435-VEGETABLES</t>
  </si>
  <si>
    <t>07/12/20</t>
  </si>
  <si>
    <t>50400190641085- RD INSTALLMENT-DEC 2020</t>
  </si>
  <si>
    <t>09/12/20</t>
  </si>
  <si>
    <t>50400190641891- RD INSTALLMENT-DEC 2020</t>
  </si>
  <si>
    <t>0000034410156576</t>
  </si>
  <si>
    <t>UPI-KISHORE REDDY CH-8106657658@UPI-ICIC0000202-034410156576-DHANIYA</t>
  </si>
  <si>
    <t>0000034620444038</t>
  </si>
  <si>
    <t>UPI-BIGBASKET-PAYTM-1425436@PAYTM-PYTM0123456-034620444038-UPI</t>
  </si>
  <si>
    <t>11/12/20</t>
  </si>
  <si>
    <t>0000035010470798</t>
  </si>
  <si>
    <t>UPI-D KARISHMA-KARISHMA.TADANKI@OKAXIS-UTIB0000008-035010470798-FARM HOUSE BOOKING</t>
  </si>
  <si>
    <t>15/12/20</t>
  </si>
  <si>
    <t>0000035010815510</t>
  </si>
  <si>
    <t>UPI-D KARISHMA-KARISHMA.TADANKI@OKAXIS-UTIB0000008-035010815510-UPI</t>
  </si>
  <si>
    <t>0000035108990402</t>
  </si>
  <si>
    <t>UPI-BIGBASKET-PAYTM-1425436@PAYTM-PYTM0123456-035108990402-BIG BASKET GROCERY</t>
  </si>
  <si>
    <t>16/12/20</t>
  </si>
  <si>
    <t>0000035118318819</t>
  </si>
  <si>
    <t>UPI-KISHORE REDDY CH-8106657658@UPI-ICIC0000202-035118318819-VEGGIES</t>
  </si>
  <si>
    <t>0000035209773944</t>
  </si>
  <si>
    <t>UPI-KISHORE REDDY CH-8106657658@UPI-ICIC0000202-035209773944-VEGGIES</t>
  </si>
  <si>
    <t>17/12/20</t>
  </si>
  <si>
    <t>0000035209784471</t>
  </si>
  <si>
    <t>UPI-BHARATPE MERCHANT-BHARATPE91000132746@YESBANKLTD-YESB0000105-035209784471-VERIFIED MERCHANT</t>
  </si>
  <si>
    <t>0000035209889055</t>
  </si>
  <si>
    <t>UPI-G SANGEETHA-AYYAPPAUNDRU@OKAXIS-UTIB0000881-035209889055-GROCERIES</t>
  </si>
  <si>
    <t>0000035221088004</t>
  </si>
  <si>
    <t>UPI-URBANCLAP-PAYTM-URBANCLAP@PAYTM-PYTM0123456-035221088004-UPI</t>
  </si>
  <si>
    <t>0000035316086968</t>
  </si>
  <si>
    <t>UPI-RAZORPAY-RAZORPAY@ICICI-ICIC0000001-035316086968-VELLANKIFOODS</t>
  </si>
  <si>
    <t>18/12/20</t>
  </si>
  <si>
    <t>0000035322957528</t>
  </si>
  <si>
    <t>UPI-MYNTRA-MYNTRA.PAYU@HDFCBANK-HDFC0000499-035322957528-UPI</t>
  </si>
  <si>
    <t>0000035511783287</t>
  </si>
  <si>
    <t>UPI-G SANGEETHA-AYYAPPAUNDRU@OKAXIS-UTIB0000881-035511783287-GROCERIES</t>
  </si>
  <si>
    <t>20/12/20</t>
  </si>
  <si>
    <t>50400211010344- RD INSTALLMENT-DEC 2020</t>
  </si>
  <si>
    <t>21/12/20</t>
  </si>
  <si>
    <t>0000035619378609</t>
  </si>
  <si>
    <t>UPI-MANJIRI J JOSHI-MANJIRISTAR@OKSBI-HDFC0009095-035619378609-SHILPARAMAM</t>
  </si>
  <si>
    <t>0000035620780353</t>
  </si>
  <si>
    <t>UPI-MANJIRI J JOSHI-MANJIRISTAR@OKSBI-HDFC0009095-035620780353-UPI</t>
  </si>
  <si>
    <t>0000035620779175</t>
  </si>
  <si>
    <t>UPI-MANJIRI J JOSHI-MANJIRISTAR@OKSBI-HDFC0009095-035620779175-PETROL</t>
  </si>
  <si>
    <t>0000035621171181</t>
  </si>
  <si>
    <t>UPI-MANJIRI J JOSHI-MANJIRISTAR@OKSBI-HDFC0009095-035621171181-UPI</t>
  </si>
  <si>
    <t>0000035621885424</t>
  </si>
  <si>
    <t>UPI-MANJIRI J JOSHI-MANJIRISTAR@OKSBI-HDFC0009095-035621885424-THANK YOU VERY MUC</t>
  </si>
  <si>
    <t>0000035716246590</t>
  </si>
  <si>
    <t>UPI-BIGBASKET-PAYTM-1425436@PAYTM-PYTM0123456-035716246590-UPI</t>
  </si>
  <si>
    <t>22/12/20</t>
  </si>
  <si>
    <t>0000035811490459</t>
  </si>
  <si>
    <t>UPI-MANJIRI J JOSHI-MANJIRISTAR@OKSBI-HDFC0009095-035811490459-GARGI CAKE</t>
  </si>
  <si>
    <t>23/12/20</t>
  </si>
  <si>
    <t>0000035811131824</t>
  </si>
  <si>
    <t>UPI-AKSHAY JAYANT PRABHU-VARADA.PRABHU6@OKICICI-ICIC0000409-035811131824-CONTRIBUTION FOR G</t>
  </si>
  <si>
    <t>0000035909774675</t>
  </si>
  <si>
    <t>UPI-KISHORE REDDY CH-8106657658@UPI-ICIC0000202-035909774675-VEGGIES</t>
  </si>
  <si>
    <t>24/12/20</t>
  </si>
  <si>
    <t>0000035910155181</t>
  </si>
  <si>
    <t>UPI-BIGBASKET-PAYTM-1425436@PAYTM-PYTM0123456-035910155181-UPI</t>
  </si>
  <si>
    <t>0000035914110223</t>
  </si>
  <si>
    <t>UPI-BHAVANA RTA-7675872208@OKBIZAXIS-UTIB0000000-035914110223-PUC</t>
  </si>
  <si>
    <t>0000035915452772</t>
  </si>
  <si>
    <t>UPI-VINAY N MAHAJAN-MAHAJVI@OKICICI-ICIC0000004-035915452772-PART 1</t>
  </si>
  <si>
    <t>0000035915457463</t>
  </si>
  <si>
    <t>UPI-VINAY N MAHAJAN-MAHAJVI@OKICICI-ICIC0000004-035915457463-PART 2</t>
  </si>
  <si>
    <t>0000035915460397</t>
  </si>
  <si>
    <t>UPI-VINAY N MAHAJAN-MAHAJVI@OKICICI-ICIC0000004-035915460397-PART 3</t>
  </si>
  <si>
    <t>0000035915463405</t>
  </si>
  <si>
    <t>UPI-VINAY N MAHAJAN-MAHAJVI@OKICICI-ICIC0000004-035915463405-PART 4</t>
  </si>
  <si>
    <t>0000036010808695</t>
  </si>
  <si>
    <t>UPI-KISHORE REDDY CH-8106657658@UPI-ICIC0000202-036010808695-VEGGIES</t>
  </si>
  <si>
    <t>25/12/20</t>
  </si>
  <si>
    <t>0000036109597382</t>
  </si>
  <si>
    <t>UPI-KISHORE REDDY CH-8106657658@UPI-ICIC0000202-036109597382-VEGGIES</t>
  </si>
  <si>
    <t>26/12/20</t>
  </si>
  <si>
    <t>0000036118797835</t>
  </si>
  <si>
    <t>UPI-OLD MADRAS BAKING CO-PAYTMQR2810050501017HXF0UOZA6TE@PAYTM-PYTM0123456-036118797835-BAK</t>
  </si>
  <si>
    <t>0000036119234253</t>
  </si>
  <si>
    <t>UPI-DELIGHTFUL GOURMET P-LICIOUS@ABFSPAY-UTIB0000100-036119234253-PAYVIARAZORPAY</t>
  </si>
  <si>
    <t>0000036119495832</t>
  </si>
  <si>
    <t>UPI-VELLANKI FOODS KAVUR-PAYTMQR2810050501011HIT4OD9GQ63@PAYTM-PYTM0123456-036119495832-VELLANKI</t>
  </si>
  <si>
    <t>0000036243100736</t>
  </si>
  <si>
    <t>UPI-MUNEER  KHAN-9703170365@YBL-SBIN0020106-036243100736-PAYMENT FROM PHONE</t>
  </si>
  <si>
    <t>27/12/20</t>
  </si>
  <si>
    <t>0000036309352006</t>
  </si>
  <si>
    <t>UPI-G SANGEETHA-AYYAPPAUNDRU@OKAXIS-UTIB0000881-036309352006-GROCERIES</t>
  </si>
  <si>
    <t>28/12/20</t>
  </si>
  <si>
    <t>0000036310240924</t>
  </si>
  <si>
    <t>UPI-MUNEER  KHAN-9703170365@YBL-SBIN0020106-036310240924-PAYMENT FROM PHONE</t>
  </si>
  <si>
    <t>0000036312751035</t>
  </si>
  <si>
    <t>UPI-DELIGHTFUL GOURMET P-LICIOUS@ABFSPAY-UTIB0000100-036312751035-PAYVIARAZORPAY</t>
  </si>
  <si>
    <t>0000036322668735</t>
  </si>
  <si>
    <t>UPI-BIGBASKET-PAYTM-1425436@PAYTM-PYTM0123456-036322668735-UPI</t>
  </si>
  <si>
    <t>0000036322302445</t>
  </si>
  <si>
    <t>UPI-GOOGLEPAY-GOOG-PAYMENT@OKAXIS-UTIB0000553-036322302445-REWARDED FOR PAYIN</t>
  </si>
  <si>
    <t>0000036419546405</t>
  </si>
  <si>
    <t>UPI-G SANGEETHA-AYYAPPAUNDRU@OKAXIS-UTIB0000881-036419546405-GROCERY</t>
  </si>
  <si>
    <t>29/12/20</t>
  </si>
  <si>
    <t>0000036518006201</t>
  </si>
  <si>
    <t>UPI-G SANGEETHA-AYYAPPAUNDRU@OKAXIS-UTIB0000881-036518006201-GROCERIES</t>
  </si>
  <si>
    <t>30/12/20</t>
  </si>
  <si>
    <t>0000036609176582</t>
  </si>
  <si>
    <t>UPI-KISHORE REDDY CH-8106657658@UPI-ICIC0000202-036609176582-VEGGIES</t>
  </si>
  <si>
    <t>31/12/20</t>
  </si>
  <si>
    <t>0000036609208279</t>
  </si>
  <si>
    <t>UPI-G SANGEETHA-AYYAPPAUNDRU@OKAXIS-UTIB0000881-036609208279-GROCERIES</t>
  </si>
  <si>
    <t>01/01/21</t>
  </si>
  <si>
    <t>0000100111029465</t>
  </si>
  <si>
    <t>UPI-LUMBINI FILLING STAT-PAYTM-8597884@PAYTM-PYTM0123456-100111029465-PETROL</t>
  </si>
  <si>
    <t>0000100112338680</t>
  </si>
  <si>
    <t>UPI-VELLANKI FOODS KAVUR-PAYTMQR2810050501011HIT4OD9GQ63@PAYTM-PYTM0123456-100112338680-UPI</t>
  </si>
  <si>
    <t>0000100219286644</t>
  </si>
  <si>
    <t>UPI-G SANGEETHA-AYYAPPAUNDRU@OKAXIS-UTIB0000881-100219286644-CHEESE</t>
  </si>
  <si>
    <t>02/01/21</t>
  </si>
  <si>
    <t>0000100314924590</t>
  </si>
  <si>
    <t>UPI-MUNUGAL  VIJAY KUMAR-VIJAYKUMAR.TAB@OKAXIS-SBIN0020075-100314924590-UPI</t>
  </si>
  <si>
    <t>03/01/21</t>
  </si>
  <si>
    <t>0000100314931334</t>
  </si>
  <si>
    <t>UPI-BUKKA SRI HARI KUMAR-SHKTKD2123@OKICICI-ANDB0000835-100314931334-UPI</t>
  </si>
  <si>
    <t>0000100413033126</t>
  </si>
  <si>
    <t>UPI-NEELPARNA ASHUTOSH K-DRNEELPARNA@OKICICI-ICIC0000039-100413033126-UPI</t>
  </si>
  <si>
    <t>04/01/21</t>
  </si>
  <si>
    <t>0000100507828331</t>
  </si>
  <si>
    <t>UPI-BIGBASKET-PAYTM-1425436@PAYTM-PYTM0123456-100507828331-UPI</t>
  </si>
  <si>
    <t>05/01/21</t>
  </si>
  <si>
    <t>0000100509308675</t>
  </si>
  <si>
    <t>UPI-KISHORE REDDY CH-8106657658@UPI-ICIC0000202-100509308675-FOR DECEMBER 29TH</t>
  </si>
  <si>
    <t>0000000311104476</t>
  </si>
  <si>
    <t>0000100517364563</t>
  </si>
  <si>
    <t>UPI-MEDHAKSHETHRA SCHOOL-9019153455@OKBIZAXIS-UTIB0000000-100517364563-VARSHA KATHAK FEE</t>
  </si>
  <si>
    <t>0000100521277858</t>
  </si>
  <si>
    <t>UPI-MOHAMMED KHADEER UDD-MDYSKHADEER007.AB-1@OKHDFCBANK-HDFC0003739-100521277858-BLOUSE</t>
  </si>
  <si>
    <t>0000100815011362</t>
  </si>
  <si>
    <t>UPI-BHAVISHBHAI BHARATBH-KEEPCARTRETAIL@OKICICI-PYTM0123456-100815011362-UPI</t>
  </si>
  <si>
    <t>08/01/21</t>
  </si>
  <si>
    <t>0000100815073787</t>
  </si>
  <si>
    <t>UPI-BHAVISHBHAI BHARATBH-KEEPCARTRETAIL@OKICICI-PYTM0123456-100815073787-UPI</t>
  </si>
  <si>
    <t>0000100816932668</t>
  </si>
  <si>
    <t>UPI-DELIGHTFUL GOURMET P-LICIOUS@ABFSPAY-UTIB0000100-100816932668-PAYVIARAZORPAY</t>
  </si>
  <si>
    <t>50400190641085- RD INSTALLMENT-JAN 2021</t>
  </si>
  <si>
    <t>09/01/21</t>
  </si>
  <si>
    <t>50400190641891- RD INSTALLMENT-JAN 2021</t>
  </si>
  <si>
    <t>0000100907254474</t>
  </si>
  <si>
    <t>UPI-INNOVATIVE RETAIL CO-BIGBASKET@AXISBANK-UTIB0000100-100907254474-UPI</t>
  </si>
  <si>
    <t>0000101310930455</t>
  </si>
  <si>
    <t>UPI-URBANCLAP-PAYTM-URBANCLAP@PAYTM-PYTM0123456-101310930455-UPI</t>
  </si>
  <si>
    <t>13/01/21</t>
  </si>
  <si>
    <t>0000101316790478</t>
  </si>
  <si>
    <t>UPI-URBANCLAP-PAYTM-URBANCLAP@PAYTM-PYTM0123456-101316790478-EXPRESS</t>
  </si>
  <si>
    <t>0000101515372099</t>
  </si>
  <si>
    <t>UPI-MOLUGU  HIMADIVYA-HIMADIVYA8686@OKSBI-KKBK0000564-101515372099-URBAN CLAP</t>
  </si>
  <si>
    <t>15/01/21</t>
  </si>
  <si>
    <t>0000101611322353</t>
  </si>
  <si>
    <t>UPI-KISHORE REDDY CH-8106657658@UPI-ICIC0000202-101611322353-GP VEGETABLE</t>
  </si>
  <si>
    <t>16/01/21</t>
  </si>
  <si>
    <t>0000101611324734</t>
  </si>
  <si>
    <t>UPI-KISHORE REDDY CH-8106657658@UPI-ICIC0000202-101611324734-VEGETABLES</t>
  </si>
  <si>
    <t>0000101611374455</t>
  </si>
  <si>
    <t>UPI-G SANGEETHA-AYYAPPAUNDRU@OKAXIS-UTIB0000881-101611374455-GP ATA</t>
  </si>
  <si>
    <t>0000101611353519</t>
  </si>
  <si>
    <t>UPI-G SANGEETHA-AYYAPPAUNDRU@OKAXIS-UTIB0000881-101611353519-GROCERIES</t>
  </si>
  <si>
    <t>0000101811373449</t>
  </si>
  <si>
    <t>UPI-WIN VISION GACHIBOWL-Q79246859@YBL-YESB0YBLUPI-101811373449-EYE TEST</t>
  </si>
  <si>
    <t>18/01/21</t>
  </si>
  <si>
    <t>0000102023547738</t>
  </si>
  <si>
    <t>UPI-RAZORPAY LICIOUS-RAZORPAY.LICIOUS@HDFCBANK-HDFC0000499-102023547738-LICIOUS</t>
  </si>
  <si>
    <t>20/01/21</t>
  </si>
  <si>
    <t>50400211010344- RD INSTALLMENT-JAN 2021</t>
  </si>
  <si>
    <t>21/01/21</t>
  </si>
  <si>
    <t>0000102220373230</t>
  </si>
  <si>
    <t>UPI-AARTHI SCANS  KUKATP-Q91114653@YBL-YESB0YBLUPI-102220373230-MRI KNEE LEFT LEG</t>
  </si>
  <si>
    <t>22/01/21</t>
  </si>
  <si>
    <t>0000102311548110</t>
  </si>
  <si>
    <t>UPI-SHANTHAMMA FRUITS AN-PAYTMQR2810050501013RYJZOE6HA2Y@PAYTM-PYTM0123456-102311548110-VEGGIES</t>
  </si>
  <si>
    <t>23/01/21</t>
  </si>
  <si>
    <t>0000102312491479</t>
  </si>
  <si>
    <t>UPI-GARGI PAIGAONKAR-GARGI24@OKICICI-ICIC0000011-102312491479-UPI</t>
  </si>
  <si>
    <t>0000102313738926</t>
  </si>
  <si>
    <t>UPI-RAJSHREE FOOD MART  -Q37736924@YBL-YESB0YBLUPI-102313738926-RAJASHREE</t>
  </si>
  <si>
    <t>0000102508125385</t>
  </si>
  <si>
    <t>UPI-GOOGLEPAY-GOOG-PAYMENT@OKAXIS-UTIB0000553-102508125385-REWARDED FOR PAYIN</t>
  </si>
  <si>
    <t>25/01/21</t>
  </si>
  <si>
    <t>0000102515297868</t>
  </si>
  <si>
    <t>UPI-VINAY N MAHAJAN-MAHAJVI@OKICICI-ICIC0000004-102515297868-PART 1</t>
  </si>
  <si>
    <t>0000102515301766</t>
  </si>
  <si>
    <t>UPI-VINAY N MAHAJAN-MAHAJVI@OKICICI-ICIC0000004-102515301766-PART 2</t>
  </si>
  <si>
    <t>0000102515305062</t>
  </si>
  <si>
    <t>UPI-VINAY N MAHAJAN-MAHAJVI@OKICICI-ICIC0000004-102515305062-PART 3</t>
  </si>
  <si>
    <t>0000102519111133</t>
  </si>
  <si>
    <t>UPI-T SHIVASHANKER-7989495557@YBL-PUNB0131310-102519111133-BREAD</t>
  </si>
  <si>
    <t>0000102519454014</t>
  </si>
  <si>
    <t>UPI-AVANTIKA NARAYAN-NAVANTIKA11@OKHDFCBANK-HDFC0000223-102519454014-YEAST</t>
  </si>
  <si>
    <t>0000102710145041</t>
  </si>
  <si>
    <t>UPI-VINAY N MAHAJAN-MAHAJVI@OKICICI-ICIC0000004-102710145041-PART 4</t>
  </si>
  <si>
    <t>27/01/21</t>
  </si>
  <si>
    <t>0000102810143350</t>
  </si>
  <si>
    <t>UPI-GANDLA GOUTHAM-CHINNAG521@OKAXIS-PYTM0123456-102810143350-BLOOD TEST</t>
  </si>
  <si>
    <t>28/01/21</t>
  </si>
  <si>
    <t>0000103013791202</t>
  </si>
  <si>
    <t>UPI-T SHIVASHANKER-SHIVASHANKER0561@OKICICI-PUNB0131310-103013791202-PANEER</t>
  </si>
  <si>
    <t>30/01/21</t>
  </si>
  <si>
    <t>0000103222770539</t>
  </si>
  <si>
    <t>UPI-BUKKA SRI HARI KUMAR-SHKTKD2123@OKICICI-ANDB0000835-103222770539-UPI</t>
  </si>
  <si>
    <t>01/02/21</t>
  </si>
  <si>
    <t>0000103222771863</t>
  </si>
  <si>
    <t>UPI-MUNUGAL  VIJAY KUMAR-VIJAYKUMAR.TAB@OKAXIS-SBIN0020075-103222771863-UPI</t>
  </si>
  <si>
    <t>0000103223816382</t>
  </si>
  <si>
    <t>UPI-MEDHAKSHETHRA SCHOOL-9019153455@OKBIZAXIS-UTIB0000000-103223816382-UPI</t>
  </si>
  <si>
    <t>0000000318810747</t>
  </si>
  <si>
    <t>05/02/21</t>
  </si>
  <si>
    <t>0000103620917506</t>
  </si>
  <si>
    <t>UPI-SWIGGY-SWIGGYUPI@AXISBANK-UTIB0000000-103620917506-SWIGGY ORDER ID 95</t>
  </si>
  <si>
    <t>0000103709006220</t>
  </si>
  <si>
    <t>UPI-T SHIVASHANKER-7989495557@YBL-PUNB0131310-103709006220-PANEER</t>
  </si>
  <si>
    <t>06/02/21</t>
  </si>
  <si>
    <t>0000103709034451</t>
  </si>
  <si>
    <t>UPI-G SANGEETHA-Q84550623@YBL-UTIB0000881-103709034451-GROCERIES</t>
  </si>
  <si>
    <t>0000103909251893</t>
  </si>
  <si>
    <t>UPI-KISHORE REDDY CH-8106657658@UPI-ICIC0000202-103909251893-VEGGIES</t>
  </si>
  <si>
    <t>08/02/21</t>
  </si>
  <si>
    <t>50400190641085- RD INSTALLMENT-FEB 2021</t>
  </si>
  <si>
    <t>09/02/21</t>
  </si>
  <si>
    <t>50400190641891- RD INSTALLMENT-FEB 2021</t>
  </si>
  <si>
    <t>0000104110491229</t>
  </si>
  <si>
    <t>UPI-KISHORE REDDY CH-8106657658@UPI-ICIC0000202-104110491229-VEGGIES</t>
  </si>
  <si>
    <t>10/02/21</t>
  </si>
  <si>
    <t>0000104222967661</t>
  </si>
  <si>
    <t>UPI-DELIGHTFUL GOURMET P-LICIOUS@ABFSPAY-UTIB0000100-104222967661-PAYVIARAZORPAY</t>
  </si>
  <si>
    <t>11/02/21</t>
  </si>
  <si>
    <t>0000104222284798</t>
  </si>
  <si>
    <t>UPI-SWIGGY-SWIGGYUPI@AXISBANK-UTIB0000000-104222284798-SWIGGY ORDER ID 96</t>
  </si>
  <si>
    <t>0000104411192819</t>
  </si>
  <si>
    <t>UPI-G SANGEETHA-AYYAPPAUNDRU@OKAXIS-UTIB0000881-104411192819-COCOA</t>
  </si>
  <si>
    <t>13/02/21</t>
  </si>
  <si>
    <t>0000104415620371</t>
  </si>
  <si>
    <t>UPI-MR KARE  SREENU-SRINUKARE1398@OKHDFCBANK-CBIN0281333-104415620371-MESH PIGEON</t>
  </si>
  <si>
    <t>0000104721592405</t>
  </si>
  <si>
    <t>UPI-URBANCLAP-PAYTM-URBANCLAP@PAYTM-PYTM0123456-104721592405-UPI</t>
  </si>
  <si>
    <t>16/02/21</t>
  </si>
  <si>
    <t>0000104810266803</t>
  </si>
  <si>
    <t>UPI-OLD MADRAS BAKING CO-PAYTMQR2810050501017HXF0UOZA6TE@PAYTM-PYTM0123456-104810266803-OMBC</t>
  </si>
  <si>
    <t>17/02/21</t>
  </si>
  <si>
    <t>0000104810291171</t>
  </si>
  <si>
    <t>UPI-MEENAKSHI SREENIVASA-MEENPRI8@OKICICI-ICIC0000020-104810291171-OMBC</t>
  </si>
  <si>
    <t>0000105018692772</t>
  </si>
  <si>
    <t>UPI-MYAKA  PRAVEEN KUMAR-PRAVEENYADAV9603@OKSBI-SBIN0007082-105018692772-FOOD PROCESSOR JAR</t>
  </si>
  <si>
    <t>19/02/21</t>
  </si>
  <si>
    <t>50400211010344- RD INSTALLMENT-FEB 2021</t>
  </si>
  <si>
    <t>21/02/21</t>
  </si>
  <si>
    <t>0000105215699777</t>
  </si>
  <si>
    <t>UPI-RAZORPAY-RAZORPAY@ICICI-ICIC0000001-105215699777-ITCITCESTORE165454</t>
  </si>
  <si>
    <t>0000105309453905</t>
  </si>
  <si>
    <t>UPI-BHARTI AIRTEL LIMITE-BHARTIAIRTEL.RZP@SBI-SBIN0016209-105309453905-BHARTIAIRTELSERVIC</t>
  </si>
  <si>
    <t>22/02/21</t>
  </si>
  <si>
    <t>0000105413515745</t>
  </si>
  <si>
    <t>UPI-SATTI  NAKKA-MURALIKRISHANNAKKA-1@OKAXIS-KKBK0007475-105413515745-OTRIVIN</t>
  </si>
  <si>
    <t>23/02/21</t>
  </si>
  <si>
    <t>0000105416669966</t>
  </si>
  <si>
    <t>UPI-GOOGLEPAY-GOOG-PAYMENT@OKAXIS-UTIB0000553-105416669966-REWARDED FOR PAYIN</t>
  </si>
  <si>
    <t>0000105517645360</t>
  </si>
  <si>
    <t>UPI-GIVE FOUNDATION-GIVEFOUNDATION.RZP@AXISBANK-UTIB0001506-105517645360-GIVEDONATION</t>
  </si>
  <si>
    <t>24/02/21</t>
  </si>
  <si>
    <t>0000105717377679</t>
  </si>
  <si>
    <t>UPI-VINAY N MAHAJAN-MAHAJVI@OKICICI-ICIC0000004-105717377679-PART 1</t>
  </si>
  <si>
    <t>26/02/21</t>
  </si>
  <si>
    <t>0000105717381429</t>
  </si>
  <si>
    <t>UPI-VINAY N MAHAJAN-MAHAJVI@OKICICI-ICIC0000004-105717381429-PART 2</t>
  </si>
  <si>
    <t>0000105717385258</t>
  </si>
  <si>
    <t>UPI-VINAY N MAHAJAN-MAHAJVI@OKICICI-ICIC0000004-105717385258-PART 3</t>
  </si>
  <si>
    <t>0000105816674799</t>
  </si>
  <si>
    <t>UPI-DOMINOS PIZZA-PAYTM-51955531@PAYTM-PYTM0123456-105816674799-UPI</t>
  </si>
  <si>
    <t>27/02/21</t>
  </si>
  <si>
    <t>0000105816693231</t>
  </si>
  <si>
    <t>UPI-DOMINOS PIZZA-PAYTM-51955531@PAYTM-PYTM0123456-105816693231-UPI</t>
  </si>
  <si>
    <t>0000105818800650</t>
  </si>
  <si>
    <t>UPI-DELIGHTFUL GOURMET P-LICIOUS@ABFSPAY-UTIB0000100-105818800650-PAYVIARAZORPAY</t>
  </si>
  <si>
    <t>0000105921277732</t>
  </si>
  <si>
    <t>UPI-VINAY N MAHAJAN-MAHAJVI@OKICICI-ICIC0000004-105921277732-PART 4</t>
  </si>
  <si>
    <t>28/02/21</t>
  </si>
  <si>
    <t>0000106111891710</t>
  </si>
  <si>
    <t>UPI-MUNUGAL  VIJAY KUMAR-VIJAYKUMAR.TAB@OKAXIS-SBIN0020075-106111891710-UPI</t>
  </si>
  <si>
    <t>02/03/21</t>
  </si>
  <si>
    <t>0000106111953081</t>
  </si>
  <si>
    <t>UPI-MEDHAKSHETHRA SCHOOL-9019153455@OKBIZAXIS-UTIB0000000-106111953081-UPI</t>
  </si>
  <si>
    <t>0000106210579913</t>
  </si>
  <si>
    <t>UPI-BUKKA SRI HARI KUMAR-SHKTKD2123@OKICICI-ANDB0000835-106210579913-UPI</t>
  </si>
  <si>
    <t>03/03/21</t>
  </si>
  <si>
    <t>0000106218476921</t>
  </si>
  <si>
    <t>UPI-RAZORPAY SOFTWARE PR-RAZOR.PAY@SBI-SBIN0016209-106218476921-BEVZILLA  452DDF1F</t>
  </si>
  <si>
    <t>0000106218508773</t>
  </si>
  <si>
    <t>UPI-BBDAILY-PAYTM-48097969@PAYTM-PYTM0123456-106218508773-UPI</t>
  </si>
  <si>
    <t>0000106310397095</t>
  </si>
  <si>
    <t>UPI-GARGI PAIGAONKAR-GARGI24@OKICICI-ICIC0000011-106310397095-COFFEE</t>
  </si>
  <si>
    <t>04/03/21</t>
  </si>
  <si>
    <t>0000106413942216</t>
  </si>
  <si>
    <t>UPI-DEEPTI NARAYANA-ARNAVSAOJI@OKICICI-ICIC0006306-106413942216-BAGS SHOPPING</t>
  </si>
  <si>
    <t>05/03/21</t>
  </si>
  <si>
    <t>0000106420929347</t>
  </si>
  <si>
    <t>UPI-ACT  BROADBAND-PAYTM-ACTHYD2@PAYTM-PYTM0123456-106420929347-ACT PAYMENT</t>
  </si>
  <si>
    <t>0000106511168868</t>
  </si>
  <si>
    <t>UPI-MUNUGAL  VIJAY KUMAR-VIJAYKUMAR.TAB@OKAXIS-SBIN0020075-106511168868-TABLA REPAIR FEE</t>
  </si>
  <si>
    <t>06/03/21</t>
  </si>
  <si>
    <t>0000106610740285</t>
  </si>
  <si>
    <t>UPI-BHARATPE MERCHANT-BHARATPE30021007541@YESBANKLTD-YESB0000105-106610740285-PAY TO BEAUTIFUL P</t>
  </si>
  <si>
    <t>07/03/21</t>
  </si>
  <si>
    <t>0000000327650475</t>
  </si>
  <si>
    <t>08/03/21</t>
  </si>
  <si>
    <t>0000106711452093</t>
  </si>
  <si>
    <t>UPI-HICARE SERVICES PRIV-HICARESERVICESPRIVAT.76003402@HDFCBANK-HDFC0000001-106711452093-COLLECT</t>
  </si>
  <si>
    <t>0000106713933695</t>
  </si>
  <si>
    <t>UPI-JAMMULA  MALLAIAH-JAMMULAMALLESH1@OKSBI-SBIN0013138-106713933695-WASHING MACHINE</t>
  </si>
  <si>
    <t>0000106716459388</t>
  </si>
  <si>
    <t>UPI-OLD MADRAS BAKING CO-PAYTMQR2810050501017HXF0UOZA6TE@PAYTM-PYTM0123456-106716459388-OMBC</t>
  </si>
  <si>
    <t>50400190641085- RD INSTALLMENT-MAR 2021</t>
  </si>
  <si>
    <t>09/03/21</t>
  </si>
  <si>
    <t>50400190641891- RD INSTALLMENT-MAR 2021</t>
  </si>
  <si>
    <t>0000106910633386</t>
  </si>
  <si>
    <t>UPI-ZERODHA BROKING LTD-ZERODHABROKINGSIGNUP@HDFCBANK-HDFC0000523-106910633386-ZERODHA ACCOUNT OP</t>
  </si>
  <si>
    <t>10/03/21</t>
  </si>
  <si>
    <t>0000106910427343</t>
  </si>
  <si>
    <t>IMPS-106910427343-ZERODHA BROKING LTD--HDFC-XXXXXXXXXX3413-</t>
  </si>
  <si>
    <t>0000107219958260</t>
  </si>
  <si>
    <t>UPI-G SANGEETHA-AYYAPPAUNDRU@OKAXIS-UTIB0000881-107219958260-GROCERIES</t>
  </si>
  <si>
    <t>13/03/21</t>
  </si>
  <si>
    <t>0000107613445328</t>
  </si>
  <si>
    <t>UPI-DEEPTI NARAYANA-ARNAVSAOJI@OKICICI-ICIC0006306-107613445328-REFUND FOR BAGS</t>
  </si>
  <si>
    <t>17/03/21</t>
  </si>
  <si>
    <t>0000107709111171</t>
  </si>
  <si>
    <t>UPI-PAYUMONEY-PAYUMONEY.PAYU@AXISBANK-UTIB0000000-107709111171-UPI TRANSACTION</t>
  </si>
  <si>
    <t>18/03/21</t>
  </si>
  <si>
    <t>0000107709250987</t>
  </si>
  <si>
    <t>UPI-PAYUMONEY-PAYUMONEY.PAYU@AXISBANK-UTIB0000000-107709250987-UPI TRANSACTION</t>
  </si>
  <si>
    <t>0000107809162111</t>
  </si>
  <si>
    <t>UPI-KISHORE REDDY CH-8106657658@UPI-ICIC0000202-107809162111-VEGETABLES</t>
  </si>
  <si>
    <t>19/03/21</t>
  </si>
  <si>
    <t>0000107811163484</t>
  </si>
  <si>
    <t>UPI-SHAILESH SADASHIVA S-SHAILSHETTY2000@OKAXIS-UTIB0000108-107811163484-UPI</t>
  </si>
  <si>
    <t>0000107818249206</t>
  </si>
  <si>
    <t>UPI-G SANGEETHA-AYYAPPAUNDRU@OKAXIS-UTIB0000881-107818249206-GROCERIES</t>
  </si>
  <si>
    <t>50400211010344- RD INSTALLMENT-MAR 2021</t>
  </si>
  <si>
    <t>21/03/21</t>
  </si>
  <si>
    <t>0000108010903429</t>
  </si>
  <si>
    <t>UPI-MYGLAMM-MYGLAMM.RZP@AXISBANK-UTIB0001506-108010903429-MYGLAMM</t>
  </si>
  <si>
    <t>0000108019315441</t>
  </si>
  <si>
    <t>UPI-BIGBASKET-PAYTM-1425436@PAYTM-PYTM0123456-108019315441-UPI</t>
  </si>
  <si>
    <t>0000108020261111</t>
  </si>
  <si>
    <t>UPI-BAKE BAR-PAYTMQR281005050101CWIFDEXYE3LW@PAYTM-PYTM0123456-108020261111-CAKE</t>
  </si>
  <si>
    <t>0000108108330761</t>
  </si>
  <si>
    <t>UPI-BHARTI AIRTEL LIMITE-BHARTIAIRTEL.RZP@SBI-SBIN0016209-108108330761-BHARTIAIRTELSERVIC</t>
  </si>
  <si>
    <t>22/03/21</t>
  </si>
  <si>
    <t>0000108119395842</t>
  </si>
  <si>
    <t>UPI-G SANGEETHA-AYYAPPAUNDRU@OKAXIS-UTIB0000881-108119395842-UPI</t>
  </si>
  <si>
    <t>0000108209287945</t>
  </si>
  <si>
    <t>UPI-ZERODHA-ZERODHABROKING@AXISBANK-UTIB0000052-108209287945-595895 ZERODHA</t>
  </si>
  <si>
    <t>23/03/21</t>
  </si>
  <si>
    <t>0000001116990981</t>
  </si>
  <si>
    <t>ACH D- WEEKLY SIP-ZCLH9QRWS7YD</t>
  </si>
  <si>
    <t>25/03/21</t>
  </si>
  <si>
    <t>0000108517103348</t>
  </si>
  <si>
    <t>UPI-GOOGLEPAY-GOOG-PAYMENT@OKAXIS-UTIB0000553-108517103348-UPI</t>
  </si>
  <si>
    <t>26/03/21</t>
  </si>
  <si>
    <t>0000108517108635</t>
  </si>
  <si>
    <t>UPI-GOOGLEPAY-GOOG-PAYMENT@OKAXIS-UTIB0000553-108517108635-UPI</t>
  </si>
  <si>
    <t>0000108517131119</t>
  </si>
  <si>
    <t>UPI-GOOGLEPAY-GOOG-PAYMENT@OKAXIS-UTIB0000553-108517131119-UPI</t>
  </si>
  <si>
    <t>0000000076738163</t>
  </si>
  <si>
    <t>NEFT CR-ICIC0SF0002-VINAY N MAHAJAN-VARSHA MAHAJAN-76738163</t>
  </si>
  <si>
    <t>0000108614634380</t>
  </si>
  <si>
    <t>UPI-GARGI PAIGAONKAR-GARGI24@OKICICI-ICIC0000011-108614634380-SLING BAGS AND GP</t>
  </si>
  <si>
    <t>27/03/21</t>
  </si>
  <si>
    <t>0000108615947647</t>
  </si>
  <si>
    <t>UPI-SWIGGY-SWIGGYUPI@AXISBANK-UTIB0000000-108615947647-SWIGGY ORDER ID 99</t>
  </si>
  <si>
    <t>0000108708344466</t>
  </si>
  <si>
    <t>UPI-K BALASWAMY-BALASWAMYBANDAGATTU@OKHDFCBANK-ANDB0001340-108708344466-FRUIT</t>
  </si>
  <si>
    <t>28/03/21</t>
  </si>
  <si>
    <t>0000108809735076</t>
  </si>
  <si>
    <t>UPI-KISHORE REDDY CH-8106657658@UPI-ICIC0000202-108809735076-VEGETABLES</t>
  </si>
  <si>
    <t>29/03/21</t>
  </si>
  <si>
    <t>0000109008355951</t>
  </si>
  <si>
    <t>UPI-MAKEMYTRIP-MAKEMYTRIP@ICICI-ICIC0000001-109008355951-UPI</t>
  </si>
  <si>
    <t>31/03/21</t>
  </si>
  <si>
    <t>0000109018011171</t>
  </si>
  <si>
    <t>UPI-GARGI PAIGAONKAR-GARGI24@OKICICI-ICIC0000011-109018011171-SKIRT</t>
  </si>
  <si>
    <t>01/04/21</t>
  </si>
  <si>
    <t>UPI-INNOVATIVE RETAIL CO-BIGBASKET@AXISBANK-UTIB0000100-109108349215-GROCERIES</t>
  </si>
  <si>
    <t>UPI-MUNUGAL  VIJAY KUMAR-VIJAYKUMAR.TAB@OKAXIS-SBIN0020075-109205960886-UPI</t>
  </si>
  <si>
    <t>02/04/21</t>
  </si>
  <si>
    <t>UPI-BUKKA SRI HARI KUMAR-SHKTKD2123@OKICICI-ANDB0000835-109205956785-UPI</t>
  </si>
  <si>
    <t>UPI-BBDAILY-PAYTM-48097969@PAYTM-PYTM0123456-109207174017-UPI</t>
  </si>
  <si>
    <t>UPI-MEDHAKSHETHRA SCHOOL-9019153455@OKBIZAXIS-UTIB0000000-109210420018-VARSHA DANCE FEE A</t>
  </si>
  <si>
    <t>UPI-ACT  BROADBAND-PAYTM-ACTHYD2@PAYTM-PYTM0123456-109218445274-UPI</t>
  </si>
  <si>
    <t>UPI-KAVYA MANAM-DRMANAM@OKICICI-ICIC0002494-109223545032-DOCTOR FEES</t>
  </si>
  <si>
    <t>ACH D- WEEKLY SIP-LRNHRYUSM8T7</t>
  </si>
  <si>
    <t>03/04/21</t>
  </si>
  <si>
    <t>UPI-GNANENDRA SHAMAIAH-MAIL2GNANI@OKICICI-ICIC0000004-109311819538-MEDICINES</t>
  </si>
  <si>
    <t>UPI-T  ANIL KUMAR-ANILVARUN86104@OKSBI-SBIN0011076-109314042787-MYNTRA</t>
  </si>
  <si>
    <t>UPI-T S SYAMALA SUBASHIN-SHYAM.SUBA80@OKAXIS-UTIB0000008-109408402559-FRUITS</t>
  </si>
  <si>
    <t>04/04/21</t>
  </si>
  <si>
    <t>05/04/21</t>
  </si>
  <si>
    <t>UPI-T S SYAMALA SUBASHIN-SHYAM.SUBA80@OKAXIS-UTIB0000008-109517856391-NOTEBOOKS</t>
  </si>
  <si>
    <t>UPI-RAZORPAY SOFTWARE PR-RAZOR.PAY@SBI-SBIN0016209-109617307899-GREATER HYDERABAD</t>
  </si>
  <si>
    <t>06/04/21</t>
  </si>
  <si>
    <t>UPI-BHARATPE MERCHANT-BHARATPE90300260274@YESBANKLTD-YESB0000105-109619120451-VERIFIED MERCHANT</t>
  </si>
  <si>
    <t>UPI-MR DINESH TRILOKCHAN-DC73000@OKAXIS-MAHB0000088-109620143780-MEDICINE BILL</t>
  </si>
  <si>
    <t>UPI-MR DINESH TRILOKCHAN-DC73000@OKAXIS-MAHB0000088-109711353179-MEDICAL BILL</t>
  </si>
  <si>
    <t>07/04/21</t>
  </si>
  <si>
    <t>ACH D- WEEKLY SIP-HUXHPYU5KMYI</t>
  </si>
  <si>
    <t>08/04/21</t>
  </si>
  <si>
    <t>UPI-BHARATPE MERCHANT-BHARATPE90300260274@YESBANKLTD-YESB0000105-109820530171-VERIFIED MERCHANT</t>
  </si>
  <si>
    <t>50400190641085- RD INSTALLMENT-APR 2021</t>
  </si>
  <si>
    <t>09/04/21</t>
  </si>
  <si>
    <t>50400190641891- RD INSTALLMENT-APR 2021</t>
  </si>
  <si>
    <t>UPI-GNANENDRA SHAMAIAH-MAIL2GNANI@OKICICI-ICIC0000004-109911287995-TURMERIC</t>
  </si>
  <si>
    <t>UPI-MR DINESH TRILOKCHAN-DC73000@OKAXIS-MAHB0000088-110014469066-PHARMACY</t>
  </si>
  <si>
    <t>10/04/21</t>
  </si>
  <si>
    <t>UPI-SWIGGY-SWIGGYUPI@AXISBANK-UTIB0000000-110110649589-SWIGGY ORDER ID 10</t>
  </si>
  <si>
    <t>11/04/21</t>
  </si>
  <si>
    <t>UPI-BBDAILY-PAYTM-48097969@PAYTM-PYTM0123456-110121927926-BB</t>
  </si>
  <si>
    <t>UPI-BHARATPE MERCHANT-BHARATPE90300260274@YESBANKLTD-YESB0000105-110211535039-VERIFIED MERCHANT</t>
  </si>
  <si>
    <t>12/04/21</t>
  </si>
  <si>
    <t>UPI-MR DINESH TRILOKCHAN-DC73000@OKAXIS-MAHB0000088-110414031699-PHARMACY</t>
  </si>
  <si>
    <t>14/04/21</t>
  </si>
  <si>
    <t>UPI-VENUS PATHOLOGY LAB-MSWIPE.1400211119094786@KOTAK-KKBK0000958-110414065867-BLOOD TEST</t>
  </si>
  <si>
    <t>UPI-MR DINESH TRILOKCHAN-DC73000@OKAXIS-MAHB0000088-110418268721-PHARMACY</t>
  </si>
  <si>
    <t>ACH D- WEEKLY SIP-JN7COMHT7FM2</t>
  </si>
  <si>
    <t>15/04/21</t>
  </si>
  <si>
    <t>UPI-T S SYAMALA SUBASHIN-SHYAM.SUBA80@OKAXIS-UTIB0000008-110510109302-MEDS AND FRUITS</t>
  </si>
  <si>
    <t>UPI-ZERODHA-ZERODHABROKING@AXISBANK-UTIB0000052-110514793053-751022 ZERODHA</t>
  </si>
  <si>
    <t>UPI-SACHIN VITHAL RAO BO-SACHIN.BOMANWAR@OKHDFCBANK-HDFC0009095-110517914129-MANGOES</t>
  </si>
  <si>
    <t>UPI-BBDAILY-PAYTM-48097969@PAYTM-PYTM0123456-110611978577-UPI</t>
  </si>
  <si>
    <t>16/04/21</t>
  </si>
  <si>
    <t>UPI-APOLLO247 PHARMACY-PAYTM-016780@PAYTM-PYTM0123456-110763465769-OID1267579@APOLLO2</t>
  </si>
  <si>
    <t>17/04/21</t>
  </si>
  <si>
    <t>UPI-SWIGGY-SWIGGYUPI@AXISBANK-UTIB0000000-110716051393-SWIGGY ORDER ID 10</t>
  </si>
  <si>
    <t>UPI-RAZORPAY-RAZORPAY@ICICI-ICIC0000001-110718553818-BEVZILLA</t>
  </si>
  <si>
    <t>UPI-RAZORPAYAIRTEL-AIRTELIN.RZP@ICICI-ICIC0000001-110721891320-BHARTITELEMEDIALIM</t>
  </si>
  <si>
    <t>UPI-GOOGLEPAY-GOOG-PAYMENT@OKAXIS-UTIB0000553-110721915730-UPI</t>
  </si>
  <si>
    <t>UPI-GOOGLEPAY-GOOG-PAYMENT@OKAXIS-UTIB0000553-110721918375-UPI</t>
  </si>
  <si>
    <t>UPI-GOOGLEPAY-GOOG-PAYMENT@OKAXIS-UTIB0000553-110721922531-EARNED FOR USING G</t>
  </si>
  <si>
    <t>UPI-SANKELLA  RAMPRASAD-NSRP770-1@OKAXIS-UTIB0000553-110819254348-UPI</t>
  </si>
  <si>
    <t>18/04/21</t>
  </si>
  <si>
    <t>UPI-KISHORE REDDY CH-8106657658@UPI-ICIC0000202-110909829492-VEGGIES</t>
  </si>
  <si>
    <t>19/04/21</t>
  </si>
  <si>
    <t>UPI-RAKESH  MUSTINA-RAKESHMUSTINA@OKSBI-SBIN0021023-110916680591-UPI</t>
  </si>
  <si>
    <t>UPI-BBDAILY-PAYTM-48097969@PAYTM-PYTM0123456-111006819548-UPI</t>
  </si>
  <si>
    <t>20/04/21</t>
  </si>
  <si>
    <t>UPI-RAZORPAY SOFTWARE PR-RAZOR.PAY@SBI-SBIN0016209-111012152144-VEFRESHFOODSPVTLTD</t>
  </si>
  <si>
    <t>UPI-APOLLO247 PHARMACY-PAYTM-016780@PAYTM-PYTM0123456-111034645909-COLLECT</t>
  </si>
  <si>
    <t>50400211010344- RD INSTALLMENT-APR 2021</t>
  </si>
  <si>
    <t>21/04/21</t>
  </si>
  <si>
    <t>UPI-G SANGEETHA-AYYAPPAUNDRU@OKAXIS-UTIB0000881-111119256892-GROCERIES</t>
  </si>
  <si>
    <t>ACH D- WEEKLY SIP-H4P3739BDHN8</t>
  </si>
  <si>
    <t>22/04/21</t>
  </si>
  <si>
    <t>UPI-SHAH DHARA NIMISH-DRDHARASHAH17@OKAXIS-COSB0000022-111214016917-CONSULTATION FEE F</t>
  </si>
  <si>
    <t>UPI-MR DINESH TRILOKCHAN-DC73000@OKAXIS-MAHB0000088-111221673004-MEDICINE SUPPLIES</t>
  </si>
  <si>
    <t>UPI-G SANGEETHA-AYYAPPAUNDRU@OKAXIS-UTIB0000881-111512216437-GROCERIES</t>
  </si>
  <si>
    <t>25/04/21</t>
  </si>
  <si>
    <t>UPI-KURVA SRIKANTH-SRIKANTHPARMESH0@OKAXIS-SBIN0RRDCGB-111512239538-FRUIT</t>
  </si>
  <si>
    <t>UPI-RAKESH  MUSTINA-RAKESHMUSTINA@OKSBI-SBIN0021023-111611048896-UPI</t>
  </si>
  <si>
    <t>26/04/21</t>
  </si>
  <si>
    <t>UPI-GOOGLEPAY-GOOG-PAYMENT@OKAXIS-UTIB0000553-111611612316-EARNED FOR USING G</t>
  </si>
  <si>
    <t>UPI-MEDANSH MULTISPECIAL-BHARATPE90300260274@YESBANKLTD-YESB0000105-111618443193-VERIFIED MERCHANT</t>
  </si>
  <si>
    <t>UPI-BIGBASKET-PAYTM-1425436@PAYTM-PYTM0123456-111619276415-GROCERIES</t>
  </si>
  <si>
    <t>UPI-SWIGGY-SWIGGYUPI@AXISBANK-UTIB0000000-111713951990-SWIGGY ORDER ID 10</t>
  </si>
  <si>
    <t>27/04/21</t>
  </si>
  <si>
    <t>UPI-SWIGGY-SWIGGYUPI@AXISBANK-UTIB0000000-111719829104-SWIGGY ORDER ID 10</t>
  </si>
  <si>
    <t>UPI-DIPESH RADHESHYAM SI-SINGHDIPESH1-1@OKICICI-UBIN0901407-111908331230-UPI</t>
  </si>
  <si>
    <t>29/04/21</t>
  </si>
  <si>
    <t>UPI-VENUS PATHOLOGY LAB-MSWIPE.1400211119094786@KOTAK-KKBK0000958-111909446751-BLOOD TEST</t>
  </si>
  <si>
    <t>ACH D- WEEKLY SIP-XIBX8AM4HFVF</t>
  </si>
  <si>
    <t>UPI-SWIGGY-SWIGGYUPI@AXISBANK-UTIB0000000-111913771975-SWIGGY ORDER ID 10</t>
  </si>
  <si>
    <t>UPI-MR DINESH TRILOKCHAN-DC73000@OKAXIS-MAHB0000088-111921354986-MEDICINE</t>
  </si>
  <si>
    <t>NEFT CR-ICIC0SF0002-VINAY N MAHAJAN-VARSHA MAHAJAN-102595694</t>
  </si>
  <si>
    <t>UPI-KISHORE REDDY CH-Q16626447@YBL-ICIC0000202-112009042128-VEGGIES</t>
  </si>
  <si>
    <t>30/04/21</t>
  </si>
  <si>
    <t>UPI-BIGBASKET-PAYTM-1425436@PAYTM-PYTM0123456-112011401865-UPI</t>
  </si>
  <si>
    <t>UPI-RUCHI D SANTOSHWAR J-7702222549@PAYTM-ICIC0000059-112023938906-MAY DAY MEALS</t>
  </si>
  <si>
    <t>UPI-RAKESH  MUSTINA-RAKESHMUSTINA@OKSBI-SBIN0021023-112108870183-UPI</t>
  </si>
  <si>
    <t>01/05/21</t>
  </si>
  <si>
    <t>UPI-SRIJITH S-SRIJITHTIRUR@OKAXIS-CITI0000004-112122898190-VARSHA MAHAJAN FEE</t>
  </si>
  <si>
    <t>UPI-MUNUGAL  VIJAY KUMAR-VIJAYKUMAR.TAB@OKAXIS-SBIN0020075-112122902163-UPI</t>
  </si>
  <si>
    <t>UPI-BUKKA SRI HARI KUMAR-SHKTKD2123@OKICICI-ANDB0000835-112122888543-UPI</t>
  </si>
  <si>
    <t>UPI-SWIGGY-UPISWIGGY@ICICI-ICIC0000001-112314280977-PAYMENT FOR SWIGGY</t>
  </si>
  <si>
    <t>03/05/21</t>
  </si>
  <si>
    <t>UPI-DELIGHTFUL GOURMET P-LICIOUS@ABFSPAY-UTIB0000100-112407504624-PAYVIARAZORPAY</t>
  </si>
  <si>
    <t>04/05/21</t>
  </si>
  <si>
    <t>UPI-SYED MUNEERUDDIN AHM-SMUA1986-1@OKAXIS-UTIB0000009-112419409412-MANGOES</t>
  </si>
  <si>
    <t>UPI-BIGBASKET-PAYTM-1425436@PAYTM-PYTM0123456-112520087721-UPI</t>
  </si>
  <si>
    <t>05/05/21</t>
  </si>
  <si>
    <t>06/05/21</t>
  </si>
  <si>
    <t>ACH D- WEEKLY SIP-AXZC91N7312Z</t>
  </si>
  <si>
    <t>UPI-SWIGGY-UPISWIGGY@ICICI-ICIC0000001-112611071610-PAYMENT FOR SWIGGY</t>
  </si>
  <si>
    <t>UPI-BIGBASKET-PAYTM-1425436@PAYTM-PYTM0123456-112621365294-UPI</t>
  </si>
  <si>
    <t>UPI-RAZORPAY-RAZORPAY@ICICI-ICIC0000001-112709828047-MKREDUCATIONALSOCI</t>
  </si>
  <si>
    <t>07/05/21</t>
  </si>
  <si>
    <t>UPI-ACT  BROADBAND-PAYTM-ACTHYD2@PAYTM-PYTM0123456-112712234439-ACT FIBRENET</t>
  </si>
  <si>
    <t>UPI-GOOGLEPAY-GOOG-PAYMENT@OKAXIS-UTIB0000553-112712124850-EARNED FOR USING G</t>
  </si>
  <si>
    <t>UPI-GOOGLEPAY-GOOG-PAYMENT@OKAXIS-UTIB0000553-112712133289-EARNED FOR USING G</t>
  </si>
  <si>
    <t>UPI-BIGBASKET-PAYTM-1425436@PAYTM-PYTM0123456-112816399003-BIG BASKET</t>
  </si>
  <si>
    <t>08/05/21</t>
  </si>
  <si>
    <t>50400190641085- RD INSTALLMENT-MAY 2021</t>
  </si>
  <si>
    <t>09/05/21</t>
  </si>
  <si>
    <t>50400190641891- RD INSTALLMENT-MAY 2021</t>
  </si>
  <si>
    <t>UPI-SWIGGY-UPISWIGGY@ICICI-ICIC0000001-112920499319-PAYMENT FOR SWIGGY</t>
  </si>
  <si>
    <t>UPI-RAKESH  MUSTINA-RAKESHMUSTINA@OKSBI-SBIN0021023-113015394513-UPI</t>
  </si>
  <si>
    <t>10/05/21</t>
  </si>
  <si>
    <t>UPI-PAYTM-PTMUPF@PAYTM-PYTM0123456-113056377197-CASHBACK RECEIVED</t>
  </si>
  <si>
    <t>UPI-DELIGHTFULGOURMETPRI-DELIGHTFULGOURMETPRIVATELTD.RZP@SBI-SBIN0016209-113020404235-LICIOUS</t>
  </si>
  <si>
    <t>UPI-SWIGGY-SWIGGYUPI@AXISBANK-UTIB0000000-113115295971-SWIGGY ORDER ID 10</t>
  </si>
  <si>
    <t>11/05/21</t>
  </si>
  <si>
    <t>ACH D- WEEKLY SIP-YQD3OXFSLP1N</t>
  </si>
  <si>
    <t>13/05/21</t>
  </si>
  <si>
    <t>UPI-AKSHAY JAYANT PRABHU-VARADA.PRABHU6@OKICICI-ICIC0000409-113415990087-MANGOES</t>
  </si>
  <si>
    <t>14/05/21</t>
  </si>
  <si>
    <t>UPI-BIGBASKET-PAYTM-1425436@PAYTM-PYTM0123456-113508720412-BIG BASKET</t>
  </si>
  <si>
    <t>15/05/21</t>
  </si>
  <si>
    <t>UPI-RAKESH  MUSTINA-RAKESHMUSTINA@OKSBI-SBIN0021023-113520945450-UPI</t>
  </si>
  <si>
    <t>UPI-SWIGGY-UPISWIGGY@ICICI-ICIC0000001-113611365471-PAYMENT FOR SWIGGY</t>
  </si>
  <si>
    <t>16/05/21</t>
  </si>
  <si>
    <t>UPI-INNOVATIVE RETAIL CO-BIGBASKET@AXISBANK-UTIB0000100-113718283989-BIG BASKET</t>
  </si>
  <si>
    <t>17/05/21</t>
  </si>
  <si>
    <t>UPI-RAKESH  MUSTINA-RAKESHMUSTINA@OKSBI-SBIN0021023-114007983753-UPI</t>
  </si>
  <si>
    <t>20/05/21</t>
  </si>
  <si>
    <t>ACH D- WEEKLY SIP-QGEHGH1TK18U</t>
  </si>
  <si>
    <t>50400211010344- RD INSTALLMENT-MAY 2021</t>
  </si>
  <si>
    <t>21/05/21</t>
  </si>
  <si>
    <t>UPI-SWIGGY-SWIGGYUPI@AXISBANK-UTIB0000000-114118017326-SWIGGY ORDER ID 10</t>
  </si>
  <si>
    <t>UPI-MUNUGAL  VIJAY KUMAR-VIJAYKUMAR.TAB@OKAXIS-SBIN0020075-114118627659-TABLA REPAIR</t>
  </si>
  <si>
    <t>UPI-RAZORPAY SOFTWARE PR-RAZOR.PAY@SBI-SBIN0016209-114217668964-BEVZILLA</t>
  </si>
  <si>
    <t>22/05/21</t>
  </si>
  <si>
    <t>UPI-SWIGGY-SWIGGYUPI@AXISBANK-UTIB0000000-114308083249-SWIGGY ORDER ID 10</t>
  </si>
  <si>
    <t>23/05/21</t>
  </si>
  <si>
    <t>UPI-SWIGGY-UPISWIGGY@ICICI-ICIC0000001-114316020198-PAYMENT FOR SWIGGY</t>
  </si>
  <si>
    <t>UPI-BIGBASKET-PAYTM-1425436@PAYTM-PYTM0123456-114319655775-BIG BASKET</t>
  </si>
  <si>
    <t>UPI-BIGBASKET-PAYTM-1425436@PAYTM-PYTM0123456-114320485654-BIG BASKET</t>
  </si>
  <si>
    <t>NEFT CR-ICIC0SF0002-VINAY N MAHAJAN-VARSHA MAHAJAN-121478005</t>
  </si>
  <si>
    <t>25/05/21</t>
  </si>
  <si>
    <t>UPI-SWIGGY-SWIGGYUPI@AXISBANK-UTIB0000000-114608279585-SWIGGY ORDER ID 10</t>
  </si>
  <si>
    <t>26/05/21</t>
  </si>
  <si>
    <t>UPI-SWIGGY-SWIGGYUPI@AXISBANK-UTIB0000000-114620427809-SWIGGY ORDER ID 10</t>
  </si>
  <si>
    <t>UPI-RAKESH  MUSTINA-RAKESHMUSTINA@OKSBI-SBIN0021023-114620386994-UPI</t>
  </si>
  <si>
    <t>ACH D- WEEKLY SIP-WO3TM8QIMAE4</t>
  </si>
  <si>
    <t>27/05/21</t>
  </si>
  <si>
    <t>UPI-MUSHUNURI SHAILAJA R-SHAILAJARAOM@OKICICI-ICIC0006308-114911522840-UPI</t>
  </si>
  <si>
    <t>29/05/21</t>
  </si>
  <si>
    <t>UPI-SWIGGY-SWIGGYUPI@AXISBANK-UTIB0000000-115012702320-SWIGGY ORDER ID 10</t>
  </si>
  <si>
    <t>30/05/21</t>
  </si>
  <si>
    <t>UPI-BIGBASKET-PAYTM-1425436@PAYTM-PYTM0123456-115019282083-BIG BASKET</t>
  </si>
  <si>
    <t>UPI-BIGBASKET-PAYTM-1425436@PAYTM-PYTM0123456-115108568960-BIG BASKET</t>
  </si>
  <si>
    <t>31/05/21</t>
  </si>
  <si>
    <t>UPI-SWIGGY-SWIGGYUPI@AXISBANK-UTIB0000000-115111209103-SWIGGY ORDER ID 10</t>
  </si>
  <si>
    <t>UPI-GARGI PAIGAONKAR-GARGI24@OKICICI-ICIC0000011-115111294791-RUCHI CAKE</t>
  </si>
  <si>
    <t>UPI-AKSHAY JAYANT PRABHU-VARADA.PRABHU6@OKICICI-ICIC0000409-115111336438-RUCHI BDAY CAKE CO</t>
  </si>
  <si>
    <t>UPI-NEELPARNA ASHUTOSH K-DRNEELPARNA@OKICICI-ICIC0000039-115111475943-RUCHI CAKE</t>
  </si>
  <si>
    <t>UPI-MANJIRI J JOSHI-MANJIRISTAR@OKSBI-HDFC0009095-115113471383-CAKE</t>
  </si>
  <si>
    <t>UPI-MUNUGAL  VIJAY KUMAR-VIJAYKUMAR.TAB@OKAXIS-SBIN0020075-115213884249-UPI</t>
  </si>
  <si>
    <t>01/06/21</t>
  </si>
  <si>
    <t>UPI-BUKKA SRI HARI KUMAR-SHKTKD2123@OKHDFCBANK-HDFC0004886-115213915269-UPI</t>
  </si>
  <si>
    <t>UPI-RAKESH  MUSTINA-RAKESHMUSTINA@OKSBI-SBIN0021023-115215093698-UPI</t>
  </si>
  <si>
    <t>UPI-SWIGGY-SWIGGYUPI@AXISBANK-UTIB0000000-115215770592-SWIGGY ORDER ID 10</t>
  </si>
  <si>
    <t>UPI-GOOGLEPAY-GOOG-PAYMENT@OKAXIS-UTIB0000553-115215809799-EARNED FOR USING G</t>
  </si>
  <si>
    <t>UPI-GOOGLEPAY-GOOG-PAYMENT@OKAXIS-UTIB0000553-115215824460-EARNED FOR USING G</t>
  </si>
  <si>
    <t>UPI-SONYLIV-SONYLIV.RZP@AXISBANK-UTIB0001507-115300571489-SONYLIV</t>
  </si>
  <si>
    <t>02/06/21</t>
  </si>
  <si>
    <t>UPI-BB DAILY-EASEBUZZ.BBDAILY1@HDFCBANK-HDFC0001794-115308350220-BB DAILY</t>
  </si>
  <si>
    <t>UPI-MEDHAKSHETHRA SCHOOL-9019153455@OKBIZAXIS-UTIB0000000-115310594057-VARSHA MAHAJAN KAT</t>
  </si>
  <si>
    <t>UPI-ACT  BROADBAND-PAYTM-ACTHYD2@PAYTM-PYTM0123456-115310720562-ACT INTERNET</t>
  </si>
  <si>
    <t>UPI-BIGBASKET-PAYTM-1425436@PAYTM-PYTM0123456-115408125531-BIG BASKET</t>
  </si>
  <si>
    <t>03/06/21</t>
  </si>
  <si>
    <t>UPI-BIGBASKET-PAYTM-1425436@PAYTM-PYTM0123456-115408223372-BIG BASKET</t>
  </si>
  <si>
    <t>ACH D- WEEKLY SIP-ZFUJKIQBBZ77</t>
  </si>
  <si>
    <t>UPI-SWIGGY-SWIGGYUPI@AXISBANK-UTIB0000000-115419600260-SWIGGY ORDER ID 10</t>
  </si>
  <si>
    <t>UPI-SWIGGY-UPISWIGGY@ICICI-ICIC0000001-115500371488-PAYMENT FOR SWIGGY</t>
  </si>
  <si>
    <t>04/06/21</t>
  </si>
  <si>
    <t>05/06/21</t>
  </si>
  <si>
    <t>UPI-SWIGGY-UPISWIGGY@ICICI-ICIC0000001-115707387145-PAYMENT FOR SWIGGY</t>
  </si>
  <si>
    <t>06/06/21</t>
  </si>
  <si>
    <t>UPI-PAYU PAYMENTS PVT LT-PAYUMONEY@HDFCBANK-HDFC0000499-115809759278-UPI TRANSACTION</t>
  </si>
  <si>
    <t>07/06/21</t>
  </si>
  <si>
    <t>UPI-G SANGEETHA-AYYAPPAUNDRU@OKAXIS-UTIB0000881-115908102881-GROCERIES</t>
  </si>
  <si>
    <t>08/06/21</t>
  </si>
  <si>
    <t>UPI-KISHORE REDDY CH-Q16626447@YBL-ICIC0000202-115908163972-VEGETABLES</t>
  </si>
  <si>
    <t>UPI-CHRISTINA FRANCIS-CHRISTINAFRANC-1@OKHDFCBANK-HDFC0000521-115910338991-MANGOES</t>
  </si>
  <si>
    <t>50400190641085- RD INSTALLMENT-JUN 2021</t>
  </si>
  <si>
    <t>09/06/21</t>
  </si>
  <si>
    <t>50400190641891- RD INSTALLMENT-JUN 2021</t>
  </si>
  <si>
    <t>UPI-BIGBASKET-PAYTM-1425436@PAYTM-PYTM0123456-116009548576-BIG BASKET</t>
  </si>
  <si>
    <t>ACH D- WEEKLY SIP-QO83IZQSBNU4</t>
  </si>
  <si>
    <t>10/06/21</t>
  </si>
  <si>
    <t>UPI-SWIGGY-SWIGGYUPI@AXISBANK-UTIB0000000-116113940978-SWIGGY ORDER ID 10</t>
  </si>
  <si>
    <t>UPI-SWIGGY-UPISWIGGY@ICICI-ICIC0000001-116149760259-PAYMENT FOR SWIGGY</t>
  </si>
  <si>
    <t>UPI-SWIGGY-UPISWIGGY@ICICI-ICIC0000001-116259151267-PAYMENT FOR SWIGGY</t>
  </si>
  <si>
    <t>11/06/21</t>
  </si>
  <si>
    <t>UPI-SWIGGY-SWIGGYUPI@AXISBANK-UTIB0000000-116309944919-SWIGGY ORDER ID 10</t>
  </si>
  <si>
    <t>12/06/21</t>
  </si>
  <si>
    <t>UPI-KISHORE REDDY CH-Q16626447@YBL-ICIC0000202-116311992824-VEGETABLE</t>
  </si>
  <si>
    <t>UPI-G SANGEETHA-AYYAPPAUNDRU@OKAXIS-UTIB0000881-116311079013-GROCERIES</t>
  </si>
  <si>
    <t>UPI-KISHORE REDDY CH-Q16626447@YBL-ICIC0000202-116311115735-VEGETABLE</t>
  </si>
  <si>
    <t>UPI-GARGI PAIGAONKAR-GARGI24@OKICICI-ICIC0000011-116366388253-UPI</t>
  </si>
  <si>
    <t>UPI-SWIGGY-UPISWIGGY@ICICI-ICIC0000001-116481469697-PAYMENT FOR SWIGGY</t>
  </si>
  <si>
    <t>13/06/21</t>
  </si>
  <si>
    <t>ZERODHA BROKIN-14062021-LN2400</t>
  </si>
  <si>
    <t>15/06/21</t>
  </si>
  <si>
    <t>UPI-ZERODHA-ZERODHABROKING@AXISBANK-UTIB0000052-116611938184-230880 ZERODHA</t>
  </si>
  <si>
    <t>UPI-RAKESH  MUSTINA-RAKESHMUSTINA@OKSBI-SBIN0021023-116621318686-UPI</t>
  </si>
  <si>
    <t>UPI-SWIGGY-SWIGGYUPI@AXISBANK-UTIB0000000-116713520080-SWIGGY ORDER ID 10</t>
  </si>
  <si>
    <t>16/06/21</t>
  </si>
  <si>
    <t>ACH D- WEEKLY SIP-9FJUU2EC7UGZ</t>
  </si>
  <si>
    <t>17/06/21</t>
  </si>
  <si>
    <t>UPI-SWIGGY-SWIGGYUPI@AXISBANK-UTIB0000000-116819603283-SWIGGY ORDER ID 10</t>
  </si>
  <si>
    <t>UPI-SWIGGY-SWIGGY.REFUNDS@AXISBANK-UTIB0000052-116820125652-REFUND FROM SWIGGY</t>
  </si>
  <si>
    <t>UPI-AIRTEL HDFC UPI MAST-AIRTELIN.RZP@AXISBANK-UTIB0001507-116911133752-REMARKS</t>
  </si>
  <si>
    <t>18/06/21</t>
  </si>
  <si>
    <t>UPI-RAZORPAYAIRTEL-AIRTELIN.RZP@ICICI-ICIC0000001-116911142898-REMARKS</t>
  </si>
  <si>
    <t>UPI-SWIGGY-SWIGGYUPI@AXISBANK-UTIB0000000-117008685892-SWIGGY ORDER ID 10</t>
  </si>
  <si>
    <t>19/06/21</t>
  </si>
  <si>
    <t>UPI-SWIGGY-SWIGGYUPI@AXISBANK-UTIB0000000-117012533420-SWIGGY ORDER ID 10</t>
  </si>
  <si>
    <t>50400211010344- RD INSTALLMENT-JUN 2021</t>
  </si>
  <si>
    <t>21/06/21</t>
  </si>
  <si>
    <t>UPI-BIGBASKET-PAYTM-1425436@PAYTM-PYTM0123456-117353233216-BIG BASKET</t>
  </si>
  <si>
    <t>22/06/21</t>
  </si>
  <si>
    <t>UPI-RAKESH  MUSTINA-RAKESHMUSTINA@OKSBI-SBIN0021023-117356784403-UPI</t>
  </si>
  <si>
    <t>UPI-SWIGGY-SWIGGYUPI@AXISBANK-UTIB0000000-117416972770-SWIGGY ORDER ID 10</t>
  </si>
  <si>
    <t>23/06/21</t>
  </si>
  <si>
    <t>UPI-GOOGLEPAY-GOOG-PAYMENT@OKAXIS-UTIB0000553-117416570004-EARNED FOR USING G</t>
  </si>
  <si>
    <t>UPI-GOOGLEPAY-GOOG-PAYMENT@OKAXIS-UTIB0000553-117416573535-EARNED FOR USING G</t>
  </si>
  <si>
    <t>UPI-GOOGLEPAY-GOOG-PAYMENT@OKAXIS-UTIB0000553-117416577222-EARNED FOR USING G</t>
  </si>
  <si>
    <t>UPI-JADHAV  RAJINIKANTH-JADHAVRAJINIKANTH1313@OKSBI-SBIN0020696-117467763226-RO FILTER</t>
  </si>
  <si>
    <t>UPI-BIGBASKET-PAYTM-1425436@PAYTM-PYTM0123456-117571868887-BIG BASKET</t>
  </si>
  <si>
    <t>24/06/21</t>
  </si>
  <si>
    <t>ACH D- WEEKLY SIP-272Q3XCX461E</t>
  </si>
  <si>
    <t>IMPS-117615810819-VINAY N MAHAJAN-HDFC-XXXXXXXX3279-VARSHA TRANSFER</t>
  </si>
  <si>
    <t>25/06/21</t>
  </si>
  <si>
    <t>UPI-SWIGGY-SWIGGYUPI@AXISBANK-UTIB0000000-117616415267-SWIGGY ORDER ID 10</t>
  </si>
  <si>
    <t>UPI-SWIGGY-SWIGGYUPI@AXISBANK-UTIB0000000-117708389536-SWIGGY ORDER ID 10</t>
  </si>
  <si>
    <t>26/06/21</t>
  </si>
  <si>
    <t>UPI-BIGBASKET-PAYTM-1425436@PAYTM-PYTM0123456-117801638377-BIG BASKET</t>
  </si>
  <si>
    <t>27/06/21</t>
  </si>
  <si>
    <t>UPI-SWIGGY-UPISWIGGY@ICICI-ICIC0000001-117822094794-PAYMENT FOR SWIGGY</t>
  </si>
  <si>
    <t>UPI-BBDAILY-BBDAILY@PAYTM-PYTM0123456-117809076355-BIG BASKET</t>
  </si>
  <si>
    <t>UPI-BIGBASKET-PAYTM-1425436@PAYTM-PYTM0123456-117809155680-BIG BASKET</t>
  </si>
  <si>
    <t>UPI-MYNTRA-MYNTRA.PAYU@HDFCBANK-HDFC0000499-117914367891-UPI</t>
  </si>
  <si>
    <t>28/06/21</t>
  </si>
  <si>
    <t>UPI-PAYUMONEY-PAYUMONEY.PAYU@AXISBANK-UTIB0000000-118108224335-UPI TRANSACTION</t>
  </si>
  <si>
    <t>30/06/21</t>
  </si>
  <si>
    <t>UPI-RAKESH  MUSTINA-RAKESHMUSTINA@OKSBI-SBIN0021023-118138244568-UPI</t>
  </si>
  <si>
    <t>01/07/21</t>
  </si>
  <si>
    <t>UPI-SCIENCE OLYMPIAD FOU-SOF.RAZORPAY@HDFCBANK-HDFC0000053-118241486348-UPI</t>
  </si>
  <si>
    <t>ACH D- WEEKLY SIP-ARACQOUAI8M4</t>
  </si>
  <si>
    <t>UPI-BUKKA SRI HARI KUMAR-SHKTKD2123@OKHDFCBANK-HDFC0004886-118353372176-UPI</t>
  </si>
  <si>
    <t>02/07/21</t>
  </si>
  <si>
    <t>UPI-MUNUGAL  VIJAY KUMAR-VIJAYKUMAR.TAB@OKAXIS-SBIN0020075-118353373129-UPI</t>
  </si>
  <si>
    <t>UPI-MEDHAKSHETHRA SCHOOL-9019153455@OKBIZAXIS-UTIB0000000-118353405664-UPI</t>
  </si>
  <si>
    <t>UPI-SWIGGY-SWIGGYUPI@AXISBANK-UTIB0000000-118318645171-SWIGGY ORDER ID 10</t>
  </si>
  <si>
    <t>UPI-SWIGGY-SWIGGY.REFUNDS@AXISBANK-UTIB0000052-118318777090-REFUND FROM SWIGGY</t>
  </si>
  <si>
    <t>06/07/21</t>
  </si>
  <si>
    <t>UPI-SWIGGY-UPISWIGGY@ICICI-ICIC0000001-118726479757-PAYMENT FOR SWIGGY</t>
  </si>
  <si>
    <t>UPI-BIGBASKET-PAYTM-1425436@PAYTM-PYTM0123456-118701248013-BIG BASKET</t>
  </si>
  <si>
    <t>UPI-SWIGGY-UPISWIGGY@ICICI-ICIC0000001-118727472877-TXN FAILED AT MERC</t>
  </si>
  <si>
    <t>UPI-ACT  BROADBAND-PAYTM-ACTHYD2@PAYTM-PYTM0123456-118809614432-ACT BROAD BAND</t>
  </si>
  <si>
    <t>07/07/21</t>
  </si>
  <si>
    <t>ACH D- WEEKLY SIP-TVZ66OQ9F439</t>
  </si>
  <si>
    <t>08/07/21</t>
  </si>
  <si>
    <t>UPI-SWIGGY-UPISWIGGY@ICICI-ICIC0000001-118958533258-PAYMENT FOR SWIGGY</t>
  </si>
  <si>
    <t>50400190641085- RD INSTALLMENT-JUL 2021</t>
  </si>
  <si>
    <t>09/07/21</t>
  </si>
  <si>
    <t>50400190641891- RD INSTALLMENT-JUL 2021</t>
  </si>
  <si>
    <t>UPI-VIACOM18  MEDIA PRIV-VIACOM18MEDIAPRIVATELIMITED.RZP@SBI-SBIN0016209-119034187209-VIACOM18MEDIAPRIVA</t>
  </si>
  <si>
    <t>UPI-SWIGGY-UPISWIGGY@ICICI-ICIC0000001-119066362720-PAYMENT FOR SWIGGY</t>
  </si>
  <si>
    <t>UPI-T SHIVASHANKER-7989495557@YBL-PUNB0131310-119150288646-BISCUITS</t>
  </si>
  <si>
    <t>10/07/21</t>
  </si>
  <si>
    <t>UPI-BIGBASKET-PAYTM-1425436@PAYTM-PYTM0123456-119477482355-BIG BASKET</t>
  </si>
  <si>
    <t>13/07/21</t>
  </si>
  <si>
    <t>UPI-SWIGGY-SWIGGYUPI@AXISBANK-UTIB0000000-119412978583-SWIGGY ORDER ID 10</t>
  </si>
  <si>
    <t>UPI-BIGBASKET-PAYTM-1425436@PAYTM-PYTM0123456-119485193894-BIG BASKET</t>
  </si>
  <si>
    <t>UPI-SWIGGY-UPISWIGGY@ICICI-ICIC0000001-119529607837-PAYMENT FOR SWIGGY</t>
  </si>
  <si>
    <t>14/07/21</t>
  </si>
  <si>
    <t>ACH D- WEEKLY SIP-4DMD7MTNYCVR</t>
  </si>
  <si>
    <t>15/07/21</t>
  </si>
  <si>
    <t>UPI-BIGBASKET-PAYTM-1425436@PAYTM-PYTM0123456-119605648382-BIG BASKET</t>
  </si>
  <si>
    <t>UPI-SWIGGY-SWIGGYUPI@AXISBANK-UTIB0000000-119720031115-SWIGGY ORDER ID 10</t>
  </si>
  <si>
    <t>16/07/21</t>
  </si>
  <si>
    <t>UPI-BIGBASKET-PAYTM-1425436@PAYTM-PYTM0123456-119823506134-BIG BASKET</t>
  </si>
  <si>
    <t>17/07/21</t>
  </si>
  <si>
    <t>UPI-SWIGGY-UPISWIGGY@ICICI-ICIC0000001-119966306651-PAYMENT FOR SWIGGY</t>
  </si>
  <si>
    <t>18/07/21</t>
  </si>
  <si>
    <t>UPI-SWIGGY-SWIGGYUPI@AXISBANK-UTIB0000000-119911250109-SWIGGY ORDER ID 10</t>
  </si>
  <si>
    <t>UPI-GOOGLEPAY-GOOG-PAYMENT@OKAXIS-UTIB0000553-119911316783-EARNED FOR USING G</t>
  </si>
  <si>
    <t>UPI-SWIGGY-SWIGGYUPI@AXISBANK-UTIB0000000-119917317182-SWIGGY ORDER ID 10</t>
  </si>
  <si>
    <t>UPI-SWIGGY-UPISWIGGY@ICICI-ICIC0000001-119973081886-PAYMENT FOR SWIGGY</t>
  </si>
  <si>
    <t>UPI-SWIGGY-UPISWIGGY@ICICI-ICIC0000001-120081087961-PAYMENT FOR SWIGGY</t>
  </si>
  <si>
    <t>19/07/21</t>
  </si>
  <si>
    <t>UPI-URBAN COMPANY-PAYTM-URBANCLAP@PAYTM-PYTM0123456-120157592601-UPI</t>
  </si>
  <si>
    <t>20/07/21</t>
  </si>
  <si>
    <t>50400211010344- RD INSTALLMENT-JUL 2021</t>
  </si>
  <si>
    <t>21/07/21</t>
  </si>
  <si>
    <t>UPI-BIGBASKET-PAYTM-1425436@PAYTM-PYTM0123456-120266238820-BIG BASKET</t>
  </si>
  <si>
    <t>UPI-BIGBASKET-PAYTM-1425436@PAYTM-PYTM0123456-120266633692-BIG BASKET</t>
  </si>
  <si>
    <t>UPI-AKSHAY JAYANT PRABHU-VARADA.PRABHU6@OKICICI-ICIC0000409-120374555609-MANJIRI BIRTHDAY G</t>
  </si>
  <si>
    <t>22/07/21</t>
  </si>
  <si>
    <t>ACH D- WEEKLY SIP-Q1V8ALMS9VFP</t>
  </si>
  <si>
    <t>UPI-BIGBASKET-PAYTM-1425436@PAYTM-PYTM0123456-120598141415-BIG BASKET</t>
  </si>
  <si>
    <t>24/07/21</t>
  </si>
  <si>
    <t>UPI-KITSONS GACHIBOWLI-Q04381988@YBL-YESB0YBLUPI-120613720029-KITSONS</t>
  </si>
  <si>
    <t>25/07/21</t>
  </si>
  <si>
    <t>IMPS-120715766907-VINAY N MAHAJAN-HDFC-XXXXXXXX3279-VARSHA TRANSFER</t>
  </si>
  <si>
    <t>26/07/21</t>
  </si>
  <si>
    <t>UPI-BIGBASKET-BIGBASKET1@PAYTM-PYTM0123456-121053413839-BIG BASKET</t>
  </si>
  <si>
    <t>29/07/21</t>
  </si>
  <si>
    <t>UPI-BIGBASKET-BIGBASKET1@PAYTM-PYTM0123456-121053472317-BURGER BUNS</t>
  </si>
  <si>
    <t>ACH D- WEEKLY SIP-DLPWXS845B5V</t>
  </si>
  <si>
    <t>UPI-BUKKA SRI HARI KUMAR-SHKTKD2123@OKICICI-ANDB0000835-121390970272-UPI</t>
  </si>
  <si>
    <t>01/08/21</t>
  </si>
  <si>
    <t>UPI-M VIJAY KUMAR-VIJAYKUMAR.TAB-1@OKSBI-KKBK0007467-121391002688-UPI</t>
  </si>
  <si>
    <t>UPI-MEDHAKSHETHRA SCHOOL-9019153455@OKBIZAXIS-UTIB0000000-121391026314-VARSHA MAHAJAN KAT</t>
  </si>
  <si>
    <t>UPI-PRACHI S PAIGAONKAR-PSP184@OKHDFCBANK-HDFC0000668-121391059798-UPI</t>
  </si>
  <si>
    <t>UPI-GOOGLEPAY-GOOG-PAYMENT@OKAXIS-UTIB0000553-121312860987-EARNED FOR USING G</t>
  </si>
  <si>
    <t>UPI-GOOGLEPAY-GOOG-PAYMENT@OKAXIS-UTIB0000553-121312863177-EARNED FOR USING G</t>
  </si>
  <si>
    <t>UPI-BUKKA SRI HARI KUMAR-SHKTKD2123@OKICICI-ANDB0000835-121392457246-TAEKWONDO BELT EXA</t>
  </si>
  <si>
    <t>UPI-LICIOUS-LICIOUS.RZP@AXISBANK-UTIB0001507-121400781422-LICIOUS</t>
  </si>
  <si>
    <t>02/08/21</t>
  </si>
  <si>
    <t>UPI-ACT  BROADBAND-PAYTM-ACTHYD2@PAYTM-PYTM0123456-121434070818-OIDCWPGR10543263@A</t>
  </si>
  <si>
    <t>UPI-SWIGGY-SWIGGYUPI@AXISBANK-UTIB0000000-121507463267-SWIGGY ORDER ID 11</t>
  </si>
  <si>
    <t>03/08/21</t>
  </si>
  <si>
    <t>UPI-SWIGGY-UPISWIGGY@ICICI-ICIC0000001-121553235093-PAYMENT FOR SWIGGY</t>
  </si>
  <si>
    <t>UPI-BIGBASKET-BIGBASKET1@PAYTM-PYTM0123456-121631284209-BIG BASKET</t>
  </si>
  <si>
    <t>04/08/21</t>
  </si>
  <si>
    <t>UPI-GOOGLEPAY-GOOG-PAYMENT@OKAXIS-UTIB0000553-121614162725-EARNED FOR USING G</t>
  </si>
  <si>
    <t>UPI-SWIGGY-UPISWIGGY@ICICI-ICIC0000001-121676875149-PAYMENT FOR SWIGGY</t>
  </si>
  <si>
    <t>05/08/21</t>
  </si>
  <si>
    <t>ACH D- WEEKLY SIP-HD1AYXBGB9YN</t>
  </si>
  <si>
    <t>UPI-MOHAMMAD  NAUSHAD-NAUSHAD9011443443@OKSBI-SBIN0020413-121746736372-BAJAJ ELECTRICALS</t>
  </si>
  <si>
    <t>UPI-BBDAILY-BBDAILY@PAYTM-PYTM0123456-121749603095-BIG BASKET</t>
  </si>
  <si>
    <t>UPI-BIGBASKET-BIGBASKET1@PAYTM-PYTM0123456-121859021101-BIG BASKET</t>
  </si>
  <si>
    <t>06/08/21</t>
  </si>
  <si>
    <t>50400190641085- RD INSTALLMENT-AUG 2021</t>
  </si>
  <si>
    <t>09/08/21</t>
  </si>
  <si>
    <t>50400190641891- RD INSTALLMENT-AUG 2021</t>
  </si>
  <si>
    <t>UPI-RAZORPAY-RAZORPAY@ICICI-ICIC0000001-122133895654-NAT HABIT NAT HABI</t>
  </si>
  <si>
    <t>UPI-BIGBASKET-BIGBASKET1@PAYTM-PYTM0123456-122198467971-BIG BASKET</t>
  </si>
  <si>
    <t>UPI-HOTSTAR-HOTSTAR1.RAZORPAY@HDFCBANK-HDFC0000499-122318953899-HOTSTAR</t>
  </si>
  <si>
    <t>11/08/21</t>
  </si>
  <si>
    <t>ACH D- WEEKLY SIP-7XG36E2OUIEB</t>
  </si>
  <si>
    <t>12/08/21</t>
  </si>
  <si>
    <t>UPI-SIMPLIFY WELLNESS IN-PAYTM-15793542@PAYTM-PYTM0123456-122657298191-BLOOD TEST FOR VAR</t>
  </si>
  <si>
    <t>14/08/21</t>
  </si>
  <si>
    <t>UPI-SIMPLIFY WELLNESS IN-PAYTM-15793542@PAYTM-PYTM0123456-122658982788-BLOOD TEST POST LU</t>
  </si>
  <si>
    <t>UPI-BBDAILY-BBDAILY@PAYTM-PYTM0123456-122665993900-BIG BASKET</t>
  </si>
  <si>
    <t>ACH D- WEEKLY SIP-OZ7VQINMIUNL</t>
  </si>
  <si>
    <t>19/08/21</t>
  </si>
  <si>
    <t>UPI-PARIMALA T-PARIMALATHOTTATHI@OKICICI-CNRB0000033-123128537658-ONAM SADHYA</t>
  </si>
  <si>
    <t>50400211010344- RD INSTALLMENT-AUG 2021</t>
  </si>
  <si>
    <t>21/08/21</t>
  </si>
  <si>
    <t>UPI-MADHURI ANAND GOGI-GOGIMADHURI14-1@OKHDFCBANK-HDFC0000635-123346002070-REFFERAL AMOUNT  F</t>
  </si>
  <si>
    <t>UPI-BIGBASKET-BIGBASKET1@PAYTM-PYTM0123456-123459121128-BIG BASKET</t>
  </si>
  <si>
    <t>22/08/21</t>
  </si>
  <si>
    <t>ACH D- WEEKLY SIP-XHJJQBPE2FIL</t>
  </si>
  <si>
    <t>26/08/21</t>
  </si>
  <si>
    <t>NEFT CR-ICIC0SF0002-VINAY N MAHAJAN-VARSHA MAHAJAN-192254705</t>
  </si>
  <si>
    <t>UPI-M VIJAY KUMAR-VIJAYKUMAR.TAB-1@OKSBI-KKBK0007467-123806067785-UPI</t>
  </si>
  <si>
    <t>UPI-SWIGGY-SWIGGYUPI@AXISBANK-UTIB0000000-123943227561-SWIGGY ORDER ID 11</t>
  </si>
  <si>
    <t>27/08/21</t>
  </si>
  <si>
    <t>UPI-PAYU PAYMENTS PVT LT-YELLOWQR.ZITHARA.ZIM-APL1000020@HDFCBANK-HDFC0000622-123912765489-UPI</t>
  </si>
  <si>
    <t>UPI-GNANENDRA SHAMAIAH-MAIL2GNANI@OKICICI-ICIC0000004-123914423122-UPI</t>
  </si>
  <si>
    <t>NEFT CR-IBKL0NEFT01-UTD HST GENERAL FUND-VARSHAMAHAJAN-IBKL210827994427</t>
  </si>
  <si>
    <t>UPI-DOMINOS PIZZA-DOMINOSPIZZAONLINE@PAYTM-PYTM0123456-124139657127-PIZZA</t>
  </si>
  <si>
    <t>29/08/21</t>
  </si>
  <si>
    <t>UPI-DOMINOS PIZZA-DOMINOSPIZZAONLINE@PAYTM-PYTM0123456-124140012398-PIZZA</t>
  </si>
  <si>
    <t>UPI-BIGBASKET-BIGBASKET1@PAYTM-PYTM0123456-124356063985-BIG BASKET</t>
  </si>
  <si>
    <t>31/08/21</t>
  </si>
  <si>
    <t>UPI-M VIJAY KUMAR-VIJAYKUMAR.TAB-1@OKSBI-KKBK0007467-124469602990-UPI</t>
  </si>
  <si>
    <t>01/09/21</t>
  </si>
  <si>
    <t>UPI-BUKKA SRI HARI KUMAR-SHKTKD2123@OKICICI-ANDB0000835-124469631977-UPI</t>
  </si>
  <si>
    <t>UPI-GOOGLEPAY-GOOG-PAYMENT@OKAXIS-UTIB0000553-124418628592-EARNED FOR USING G</t>
  </si>
  <si>
    <t>UPI-XXXXXX3248-ICIC0000088-124429063061-NA</t>
  </si>
  <si>
    <t>UPI-XXXXXX5813-CBIN0281615-124429477415-NA</t>
  </si>
  <si>
    <t>UPI-XXXXXX5813-CBIN0281615-124430220374-NA</t>
  </si>
  <si>
    <t>ACH D- WEEKLY SIP-Y8PZBMQ2UGEP</t>
  </si>
  <si>
    <t>02/09/21</t>
  </si>
  <si>
    <t>NEFT CR-YESB0000001-ZERODHA BROKING LIMITED NSE CLIENT-VARSHA VINAY MAHAJAN-N246210738303990</t>
  </si>
  <si>
    <t>03/09/21</t>
  </si>
  <si>
    <t>UPI-ZERODHA-ZERODHA.RAZORPAY@ICICI-ICIC0000002-124694421614-306514447508755 ZE</t>
  </si>
  <si>
    <t>05/09/21</t>
  </si>
  <si>
    <t>UPI-GARGI PAIGAONKAR-GARGI24@OKICICI-ICIC0000011-124822287009-PASTRY</t>
  </si>
  <si>
    <t>UPI-RAMKY TOWERS APARTME-RAMKYTOWERSAPARTMENT.99753840@HDFCBANK-HDFC0000001-124823356945-UPI</t>
  </si>
  <si>
    <t>UPI-LAXMA REDDY VEGETABL-PAYTMQR281005050101AFCR9OPLMJIK@PAYTM-PYTM0123456-124824936884-VEGETABLE</t>
  </si>
  <si>
    <t>UPI-BIGBASKET-BIGBASKET1@PAYTM-PYTM0123456-124946627211-BIG BASKET</t>
  </si>
  <si>
    <t>06/09/21</t>
  </si>
  <si>
    <t>UPI-SHAILESH SADASHIVA S-SHAILSHETTY2000@OKAXIS-UTIB0000108-125060916304-SHANBHAG TREATMENT</t>
  </si>
  <si>
    <t>07/09/21</t>
  </si>
  <si>
    <t>MATURED RD. TRANSFER CR 50400190641891</t>
  </si>
  <si>
    <t>08/09/21</t>
  </si>
  <si>
    <t>UPI-KISHORE REDDY CH-Q16626447@YBL-ICIC0000202-125163619613-VEGGIES</t>
  </si>
  <si>
    <t>UPI-ACT  BROADBAND-PAYTM-ACTHYD2@PAYTM-PYTM0123456-125183483581-OIDCWPGR-10995899@</t>
  </si>
  <si>
    <t>NEFT CR-ICIC0SF0002-VINAY N MAHAJAN-VARSHA MAHAJAN-204147155</t>
  </si>
  <si>
    <t>09/09/21</t>
  </si>
  <si>
    <t>UPI-KISHORE REDDY CH-Q16626447@YBL-ICIC0000202-125279663389-VEGETABLES</t>
  </si>
  <si>
    <t>ACH D- WEEKLY SIP-SO9BZLLWT5P7</t>
  </si>
  <si>
    <t>UPI-KISHORE REDDY CH-Q16626447@YBL-ICIC0000202-125405595870-VEGGIES</t>
  </si>
  <si>
    <t>11/09/21</t>
  </si>
  <si>
    <t>UPI-KISHORE REDDY CH-Q16626447@YBL-ICIC0000202-126319536988-VEGGIES</t>
  </si>
  <si>
    <t>20/09/21</t>
  </si>
  <si>
    <t>UPI-WWWURBANCLAPCOM-URBANCLAP.PAYU@HDFCBANK-HDFC0000240-126323910183-UPI</t>
  </si>
  <si>
    <t>UPI-ALMAS NIZARALI HADWA-HADWANI999@OKHDFCBANK-KKBK0007466-126326714129-URBAN CLAP</t>
  </si>
  <si>
    <t>50400211010344- RD INSTALLMENT-SEP 2021</t>
  </si>
  <si>
    <t>21/09/21</t>
  </si>
  <si>
    <t>ACH D- WEEKLY SIP-TWSO3ZAJJHEU</t>
  </si>
  <si>
    <t>23/09/21</t>
  </si>
  <si>
    <t>UPI-DEEPTI NARAYANA-DEEPTISAOJI@OKICICI-ICIC0006306-126660588740-SAREE</t>
  </si>
  <si>
    <t>UPI-BIGBASKET-BIGBASKET1@PAYTM-PYTM0123456-126670434377-BIG BASKET</t>
  </si>
  <si>
    <t>NEFT CR-ICIC0SF0002-VINAY N MAHAJAN-VARSHA MAHAJAN-214842413</t>
  </si>
  <si>
    <t>24/09/21</t>
  </si>
  <si>
    <t>UPIRET-20210920-126323910183</t>
  </si>
  <si>
    <t>RD THROUGH NET-50400251539337  :VARSHA MAHAJAN</t>
  </si>
  <si>
    <t>25/09/21</t>
  </si>
  <si>
    <t>NEFT CR-CBIN0281615-MR. VITHAL MADHAV SHANBHAG-VARSHA MAHAJAN-CBINH21271843898</t>
  </si>
  <si>
    <t>28/09/21</t>
  </si>
  <si>
    <t>UPI-MOHAMMED KHADEER UDD-MDYSKHADEER007.AB-1@OKHDFCBANK-HDFC0003739-127246033922-BLOUSE</t>
  </si>
  <si>
    <t>29/09/21</t>
  </si>
  <si>
    <t>UPI-BUKKA SRI HARI KUMAR-SHKTKD2123@OKHDFCBANK-HDFC0004886-127469539543-UPI</t>
  </si>
  <si>
    <t>01/10/21</t>
  </si>
  <si>
    <t>UPI-M VIJAY KUMAR-VIJAYKUMAR.TAB-1@OKSBI-KKBK0007467-127469557178-UPI</t>
  </si>
  <si>
    <t>UPI-XXXXXX5813-CBIN0281615-127444066275-NA</t>
  </si>
  <si>
    <t>UPI-AKSHAY JAYANT PRABHU-VARADA.PRABHU6@OKICICI-ICIC0000409-127581287431-ASHVINI GIFT</t>
  </si>
  <si>
    <t>02/10/21</t>
  </si>
  <si>
    <t>UPI-ACT  BROADBAND-PAYTM-ACTHYD2@PAYTM-PYTM0123456-127580145621-OIDCWPGR-11278216@</t>
  </si>
  <si>
    <t>UPI-SWIGGY-UPISWIGGY@ICICI-ICIC0000001-127543331695-PAYMENT FOR SWIGGY</t>
  </si>
  <si>
    <t>UPI-DEEPTI NARAYANA-DEEPTISAOJI@OKICICI-ICIC0006306-127543723313-REFUND</t>
  </si>
  <si>
    <t>UPI-SAHANA S ALVA-SAHANASALVA@OKICICI-ICIC0000002-127589691534-POSTERS FOR ELECTI</t>
  </si>
  <si>
    <t>UPI-SHILPY  SINHA-SHILPY.SINHA56@OKSBI-SBIN0001679-127716877055-VARSHA KATHAK FEE</t>
  </si>
  <si>
    <t>04/10/21</t>
  </si>
  <si>
    <t>UPI-BIGBASKET-BIGBASKET1@PAYTM-PYTM0123456-127724350541-BIG BASKET</t>
  </si>
  <si>
    <t>UPI-NARAYAN NATARAJAN-8888877512@PAYTM-ICIC0000004-127803500203-NA</t>
  </si>
  <si>
    <t>05/10/21</t>
  </si>
  <si>
    <t>UPI-BIGBASKET-BIGBASKET1@PAYTM-PYTM0123456-127826077769-BIG BASKET</t>
  </si>
  <si>
    <t>06/10/21</t>
  </si>
  <si>
    <t>ACH D- WEEKLY SIP-7P8VJIVA2L6V</t>
  </si>
  <si>
    <t>07/10/21</t>
  </si>
  <si>
    <t>UPI-SACHIN VITHAL RAO BO-SACHIN.BOMANWAR@OKHDFCBANK-HDFC0009095-128644451744-VARADA GIFT</t>
  </si>
  <si>
    <t>13/10/21</t>
  </si>
  <si>
    <t>UPI-BACHPAN KIDS-GPAY-11170765740@OKBIZAXIS-UTIB0000000-128644738703-CLOTHES</t>
  </si>
  <si>
    <t>NEFT DR-UTIB0CCH274-MKR EDUCATIONAL SOCIETY-NETBANK, MUM-N286211673787083-5000</t>
  </si>
  <si>
    <t>ACH D- WEEKLY SIP-IIDTBAO1PONR</t>
  </si>
  <si>
    <t>14/10/21</t>
  </si>
  <si>
    <t>UPI-XXXXXX5813-CBIN0281615-128964254568-NA</t>
  </si>
  <si>
    <t>16/10/21</t>
  </si>
  <si>
    <t>UPI-BIGBASKET-BIGBASKET1@PAYTM-PYTM0123456-129099065435-FRUITS</t>
  </si>
  <si>
    <t>17/10/21</t>
  </si>
  <si>
    <t>UPI-DIPESH RADHESHYAM SI-SINGHDIPESH1-1@OKICICI-UBIN0901407-129004496507-UPI</t>
  </si>
  <si>
    <t>UPI-NARAYAN NATARAJAN-8888877512@PAYTM-ICIC0000004-129279697005-NA</t>
  </si>
  <si>
    <t>19/10/21</t>
  </si>
  <si>
    <t>UPI-BIGBASKET-BIGBASKET1@PAYTM-PYTM0123456-129341999145-BIG BASKET</t>
  </si>
  <si>
    <t>20/10/21</t>
  </si>
  <si>
    <t>50400211010344- RD INSTALLMENT-OCT 2021</t>
  </si>
  <si>
    <t>21/10/21</t>
  </si>
  <si>
    <t>ACH D- WEEKLY SIP-NSFKV8OG5PEL</t>
  </si>
  <si>
    <t>UPI-XXXXXX5813-CBIN0281615-129500702542-NA</t>
  </si>
  <si>
    <t>22/10/21</t>
  </si>
  <si>
    <t>UPI-BIGBASKET-BIGBASKET1@PAYTM-PYTM0123456-129791388544-BIG BASKET</t>
  </si>
  <si>
    <t>24/10/21</t>
  </si>
  <si>
    <t>50400251539337- RD INSTALLMENT-OCT 2021</t>
  </si>
  <si>
    <t>26/10/21</t>
  </si>
  <si>
    <t>UPI-BIGBASKET-BIGBASKET1@PAYTM-PYTM0123456-129920789094-BIG BASKET</t>
  </si>
  <si>
    <t>NEFT CR-ICIC0SF0002-VINAY N MAHAJAN-VARSHA MAHAJAN-240566245</t>
  </si>
  <si>
    <t>ACH D- WEEKLY SIP-W8D9QC451QVM</t>
  </si>
  <si>
    <t>28/10/21</t>
  </si>
  <si>
    <t>UPI-BANDANA MUSHUNURI-BANDANAM@OKHDFCBANK-HDFC0000317-130159839224-GOODIE BAGS FOR VY</t>
  </si>
  <si>
    <t>UPI-SHAILESH SADASHIVA S-SHAILSHETTY2000@OKAXIS-UTIB0000108-130261693050-MAHAJAN COVID TREA</t>
  </si>
  <si>
    <t>29/10/21</t>
  </si>
  <si>
    <t xml:space="preserve">BIL/BPAY/000221319556/FastagRecharge/FSTGRCH      </t>
  </si>
  <si>
    <t>04/10/2021</t>
  </si>
  <si>
    <t xml:space="preserve">CMS/ CMS2170728774/ICICI PRUDENTIAL MUTUAL FUND   </t>
  </si>
  <si>
    <t>07/10/2021</t>
  </si>
  <si>
    <t>21/10/2021</t>
  </si>
  <si>
    <t xml:space="preserve">CMS/000870436113/ICICIPRULIFEINS__24516375        </t>
  </si>
  <si>
    <t xml:space="preserve">CMS/000873524001/ICICIPRULIFEINS__21130963        </t>
  </si>
  <si>
    <t>28/10/2021</t>
  </si>
  <si>
    <t>UPI-NAGRIK DRY FRUITS-PAYTMQR2810050501013YVT08464QZ6@PAYTM-PYTM0123456-130518357974-DRYFRUITS</t>
  </si>
  <si>
    <t>UPI-G SRIKANT RAO-GINISRIKANTRAO@OKICICI-PUNB0479400-130521178295-UPI</t>
  </si>
  <si>
    <t>UPI-G SRIKANT RAO-GINISRIKANTRAO@OKICICI-PUNB0479400-130522226194-UPI</t>
  </si>
  <si>
    <t>UPI-BIGBASKET-BIGBASKET1@PAYTM-PYTM0123456-130628756824-BIG BASKET</t>
  </si>
  <si>
    <t>UPI-BUKKA SRI HARI KUMAR-SHKTKD2123@OKAXIS-UBIN0808351-130632826591-UPI</t>
  </si>
  <si>
    <t>UPI-SHILPY  SINHA-SHILPY.SINHA56@OKSBI-SBIN0001679-130632851333-VARSHA DANCE FEE F</t>
  </si>
  <si>
    <t>ACH D- WEEKLY SIP-BROSLMHEALTI</t>
  </si>
  <si>
    <t>UPI-NASIMA SONU SINGH-SINGH.NASIMA@OKHDFCBANK-HDFC0000015-130979412995-CAKE</t>
  </si>
  <si>
    <t>UPI-ACT  BROADBAND-PAYTM-ACTHYD2@PAYTM-PYTM0123456-131083429788-OIDCWPGR11724407@A</t>
  </si>
  <si>
    <t>UPI-BIGBASKET-BIGBASKET1@PAYTM-PYTM0123456-131103156331-BIG BASKET</t>
  </si>
  <si>
    <t>UPI-BIGBASKET-BIGBASKET1@PAYTM-PYTM0123456-131102808110-EXPRESS</t>
  </si>
  <si>
    <t>UPI-BIGBASKET-BIGBASKET1@PAYTM-PYTM0123456-131104639682-BIG BASKET</t>
  </si>
  <si>
    <t>UPI-IGP-PAYTM-8755902@PAYTM-PYTM0123456-131238736942-OID12581194@IGP</t>
  </si>
  <si>
    <t>UPI-ADD MONEY TO WALLET-ADD-MONEY@PAYTM-PYTM0123456-131238798400-OID202111082263198</t>
  </si>
  <si>
    <t>UPI-ADD MONEY TO WALLET-ADD-MONEY@PAYTM-PYTM0123456-131238897104-OID202111082263426</t>
  </si>
  <si>
    <t>UPI-KISHORE REDDY CH-Q16626447@YBL-ICIC0000202-131329157430-VEGGIES</t>
  </si>
  <si>
    <t>UPI-BBDAILY-BBDAILY@PAYTM-PYTM0123456-131452340817-UPI</t>
  </si>
  <si>
    <t>UPI-SATTI  NAKKA-MURALIKRISHANNAKKA-1@OKAXIS-KKBK0007475-131453515328-MEDICINE</t>
  </si>
  <si>
    <t>UPI-BIGBASKET-BIGBASKET1@PAYTM-PYTM0123456-131454282811-BIG BASKET</t>
  </si>
  <si>
    <t>ACH D- WEEKLY SIP-CL9O65X56HI1</t>
  </si>
  <si>
    <t>UPI-KISHORE REDDY CH-Q16626447@YBL-ICIC0000202-131674074386-UPI</t>
  </si>
  <si>
    <t>UPI-GARGI PAIGAONKAR-GARGI24@OKICICI-ICIC0000011-131639085992-UPI</t>
  </si>
  <si>
    <t>UPI-ADD MONEY TO WALLET-ADD-MONEY@PAYTM-PYTM0123456-131760763118-OID16029952552@ADD</t>
  </si>
  <si>
    <t>UPI-MANJIRI J JOSHI-MANJIRISTAR@OKSBI-HDFC0009095-131805833219-LUNCH</t>
  </si>
  <si>
    <t>UPI-INNOVATIVE RETAIL CO-BIGBASKET@AXISBANK-UTIB0000100-132039034595-BIG BASKET</t>
  </si>
  <si>
    <t>UPI-INTERMESH SHOPPING N-IGP.PAYU@HDFCBANK-HDFC0000499-132152767863-UPI</t>
  </si>
  <si>
    <t>UPI-INTERMESH SHOPPING N-IGP.PAYU@HDFCBANK-HDFC0000499-132153183588-UPI</t>
  </si>
  <si>
    <t>ACH D- WEEKLY SIP-S3CX5VLBQNUN</t>
  </si>
  <si>
    <t>UPI-INTERMESH SHOPPING N-IGP.PAYU@HDFCBANK-HDFC0000499-132374297339-UPI</t>
  </si>
  <si>
    <t>MATURED RD. TRANSFER CR 50400211010344</t>
  </si>
  <si>
    <t>UPI-INTERMESH SHOPPING N-IGP.PAYU@HDFCBANK-HDFC0000499-132501359247-UPI</t>
  </si>
  <si>
    <t>UPI-INTERMESH SHOPPING N-IGP.PAYU@HDFCBANK-HDFC0000499-132501414292-UPI</t>
  </si>
  <si>
    <t>00011140014747-TPT-FOR TRIP-VELA SACHIN DESAI</t>
  </si>
  <si>
    <t>UPI-BIGBASKET-BIGBASKET1@PAYTM-PYTM0123456-132613377527-BIG BASKET</t>
  </si>
  <si>
    <t>UPI-BHARATPEMERCHANT-BHARATPE.9100496135@ICICI-ICIC0000001-132733927501-PAY TO JAYABHERI A</t>
  </si>
  <si>
    <t>NEFT CR-YESB0000001-ZERODHA BROKING LIMITED NSE CLIENT-VARSHA VINAY MAHAJAN-N329210871338368</t>
  </si>
  <si>
    <t>UPI-ZERODHA BROKING LTD-ZERODHABROKING@HDFCBANK-HDFC0000523-132955197415-COIN DEPOSIT 76532</t>
  </si>
  <si>
    <t>ACH D- WEEKLY SIP-A5LYTOPWCF7C</t>
  </si>
  <si>
    <t>50400251539337- RD INSTALLMENT-NOV 2021</t>
  </si>
  <si>
    <t>NEFT CR-ICIC0SF0002-VINAY N MAHAJAN-VARSHA MAHAJAN-264854112</t>
  </si>
  <si>
    <t>UPI-SWIGGY-UPISWIGGY@ICICI-ICIC0000001-133028501662-PAYMENT FOR SWIGGY</t>
  </si>
  <si>
    <t>UPI-SWIGGY-UPISWIGGY@ICICI-ICIC0000001-133030712761-TXN FAILED AT MERC</t>
  </si>
  <si>
    <t>UPI-MANJIRI J JOSHI-MANJIRISTAR@OKSBI-HDFC0009095-133083003250-FRIDAY NEELU DINNE</t>
  </si>
  <si>
    <t>UPI-MOHAMMED KHADEER UDD-MDYSKHADEER007.AB-1@OKHDFCBANK-HDFC0003739-133195425331-DRESS AND BLOUSE</t>
  </si>
  <si>
    <t>UPI-INNOVATIVE RETAIL CO-BIGBASKET@AXISBANK-UTIB0000100-133209208615-BIG BASKET</t>
  </si>
  <si>
    <t>UPI-INNOVATIVE RETAIL CO-BIGBASKET@AXISBANK-UTIB0000100-133209835125-BIG BASKET</t>
  </si>
  <si>
    <t>UPI-OLD MADRAS BAKING CO-PAYTMQR2810050501017HXF0UOZA6TE@PAYTM-PYTM0123456-133542979993-OMBC</t>
  </si>
  <si>
    <t>UPI-BUKKA SRI HARI KUMAR-SHKTKD2123@OKHDFCBANK-HDFC0004886-133553089514-UPI</t>
  </si>
  <si>
    <t>UPI-G SRIKANT RAO-GINISRIKANTRAO@OKICICI-PUNB0479400-133553123520-UPI</t>
  </si>
  <si>
    <t>UPI-XXXXXX5813-CBIN0281615-133567985006-NA</t>
  </si>
  <si>
    <t>UPI-MISS  SHILPY  SINHA-PAYTM-33527669@PAYTM-PYTM0123456-133568198037-OID202112011852340</t>
  </si>
  <si>
    <t>UPI-ACT  BROADBAND-PAYTM-ACTHYD2@PAYTM-PYTM0123456-133695110669-OIDCWPGR12023156@A</t>
  </si>
  <si>
    <t>ACH D- WEEKLY SIP-V6IRJG61CJK1</t>
  </si>
  <si>
    <t>UPI-BIGBASKET-BIGBASKET1@PAYTM-PYTM0123456-134140154434-BIG BASKET</t>
  </si>
  <si>
    <t>UPI-BIGBASKET-BIGBASKET1@PAYTM-PYTM0123456-134140424770-BIG BASKET</t>
  </si>
  <si>
    <t>UPI-SATTI  NAKKA-MURALIKRISHANNAKKA-1@OKAXIS-KKBK0007475-134149525136-MEDPLUS</t>
  </si>
  <si>
    <t>UPI-INTERMESH SHOPPING N-IGP.PAYU@HDFCBANK-HDFC0000499-134150402315-UPI</t>
  </si>
  <si>
    <t>UPI-BIGBASKET-BIGBASKET1@PAYTM-PYTM0123456-134258540390-BIG BASKET</t>
  </si>
  <si>
    <t>UPI-M SHOBA RANI-SHOBARANIMENDUSHOBARANI@OKSBI-SBIN0020308-134264478003-MASSAGE</t>
  </si>
  <si>
    <t>ACH D- WEEKLY SIP-3UZQUJHITJU2</t>
  </si>
  <si>
    <t>UPI-KISHORE REDDY CH-Q16626447@YBL-ICIC0000202-134507324276-VEGETABLE</t>
  </si>
  <si>
    <t>UPI-VIKRAM DEEPAK JAIN-VVJJ83@OKHDFCBANK-HDFC0000368-134518527983-UPI</t>
  </si>
  <si>
    <t>UPI-KITSONS-Q04381988@YBL-YESB0YBLUPI-134630659985-KKISONS</t>
  </si>
  <si>
    <t>UPI-KITSONS-Q04381988@YBL-YESB0YBLUPI-134630739146-UPI</t>
  </si>
  <si>
    <t>UPI-BB DAILY-EASEBUZZ.BBDAILY1@HDFCBANK-HDFC0001794-134635040301-BB</t>
  </si>
  <si>
    <t>00011140014747-TPT-VELA TRANSFER-VELA SACHIN DESAI</t>
  </si>
  <si>
    <t>UPI-INNOVATIVE RETAIL CO-BIGBASKET@AXISBANK-UTIB0000100-134971552705-BIG BASKET</t>
  </si>
  <si>
    <t>UPI-INNOVATIVE RETAIL CO-BIGBASKET@AXISBANK-UTIB0000100-134971786812-BIG BASKET</t>
  </si>
  <si>
    <t>UPI-PAYU PAYMENTS PVT LT-YELLOWQR.ZITHARA.ZIM-APL1000020@HDFCBANK-HDFC0000622-134980905687-HAIR CUT</t>
  </si>
  <si>
    <t>UPI-INTERGLOBE AVIATION -GOINDIGO.RAZORPAY@HDFCBANK-HDFC0000053-135089613227-INDIGO ANDROID</t>
  </si>
  <si>
    <t>ACH D- WEEKLY SIP-2H8WFROU8NLI</t>
  </si>
  <si>
    <t>UPI-RADHIKA  DESHPANDE-RADHIKAD27@OKHDFCBANK-KKBK0000957-135092186917-SOUL SATTVA FOR SU</t>
  </si>
  <si>
    <t>UPI-VIKRAM DEEPAK JAIN-VVJJ83@OKHDFCBANK-HDFC0000368-135116687512-UPI</t>
  </si>
  <si>
    <t>UPI-BIGBASKET-BIGBASKET1@PAYTM-PYTM0123456-135226787182-BIG BASKET</t>
  </si>
  <si>
    <t>UPI-GOOGLEPAY-GOOG-PAYMENT@OKAXIS-UTIB0000553-135286422929-EARNED FOR USING G</t>
  </si>
  <si>
    <t>UPI-GOOGLEPAY-GOOG-PAYMENT@OKAXIS-UTIB0000553-135286456124-EARNED FOR USING G</t>
  </si>
  <si>
    <t>UPI-SACHIN DESAI-SACRULES-1@OKHDFCBANK-HDFC0000015-135226907148-TRANSFERRED SAFARI</t>
  </si>
  <si>
    <t>UPI-MOHAMMED KHADEER UDD-MDYSKHADEER007.AB-1@OKHDFCBANK-HDFC0003739-135450767647-SLEEVES</t>
  </si>
  <si>
    <t>UPI-BIGTREE ENTERTAINMEN-BOOKMYSHOW1@AXISBANK-UTIB0000415-135580687686-UPI</t>
  </si>
  <si>
    <t>UPI-MANJIRI J JOSHI-MANJIRISTAR@OKSBI-HDFC0009095-135685857890-UPI</t>
  </si>
  <si>
    <t>ACH D- WEEKLY SIP-T4M83UPQGXTQ</t>
  </si>
  <si>
    <t>UPI-KITSONS-Q04381988@YBL-YESB0YBLUPI-135703996450-KITSON</t>
  </si>
  <si>
    <t>UPI-THE FISHERMANS WHARF-Q17352506@YBL-YESB0YBLUPI-135826703533-FISHERMAN WARF</t>
  </si>
  <si>
    <t>UPI-MALLIKARJUNA RAO SAN-NAIDUMALLI183@OKICICI-KKBK0007860-135839748581-IFB STAND</t>
  </si>
  <si>
    <t>NEFT CR-ICIC0SF0002-VINAY N MAHAJAN-VARSHA MAHAJAN-287145933</t>
  </si>
  <si>
    <t>UPI-HC AHLL02876-Q561061190@YBL-YESB0YBLUPI-135963712877-RTPCR TEST</t>
  </si>
  <si>
    <t>50400251539337- RD INSTALLMENT-DEC 2021</t>
  </si>
  <si>
    <t>UPI-ARCHAEOLOGICAL SURVE-ASIMUSTSEE.PAYU@HDFCBANK-HDFC0000499-136087188427-UPI TRANSACTION</t>
  </si>
  <si>
    <t>ACH D- WEEKLY SIP-B56YYXVWZNW1</t>
  </si>
  <si>
    <t>UPI-SAKKARESAKKARE-Q92938234@YBL-YESB0YBLUPI-200236279822-MYSORE PAK</t>
  </si>
  <si>
    <t>UPI-BUKKA SRI HARI KUMAR-SHKTKD2123@OKHDFCBANK-HDFC0004886-200343076087-UPI</t>
  </si>
  <si>
    <t>UPI-SHILPY  SINHA-SHILPY.SINHA56@OKSBI-SBIN0001679-200343114656-VARSHA DANCE FEE J</t>
  </si>
  <si>
    <t>UPI-XXXXXX5813-CBIN0281615-200382285883-NA</t>
  </si>
  <si>
    <t>UPI-GOOGLEPAY-GOOG-PAYMENT@OKAXIS-UTIB0000553-200392030933-EARNED FOR USING G</t>
  </si>
  <si>
    <t>UPI-G SRIKANT RAO-GINISRIKANTRAO@OKICICI-PUNB0479400-200347016791-UPI</t>
  </si>
  <si>
    <t>UPI-ATRAEYEE N PURKAIT-REVISEDIET@OKHDFCBANK-HDFC0004117-200349980128-UPI</t>
  </si>
  <si>
    <t>UPI-BIGBASKET-BIGBASKET1@PAYTM-PYTM0123456-200470917686-BIG BASKET</t>
  </si>
  <si>
    <t>UPI-SACHIN DESAI-SACRULES-1@OKHDFCBANK-HDFC0000015-200472958922-UPI</t>
  </si>
  <si>
    <t>UPI-BARRE RAMESH-BARRERAMESH207@OKAXIS-CNRB0000033-200537676287-UPI</t>
  </si>
  <si>
    <t>ACH D- WEEKLY SIP-DMO4KENU1F6T</t>
  </si>
  <si>
    <t>UPI-ACT  BROADBAND-PAYTM-ACTHYD2@PAYTM-PYTM0123456-200791499872-OIDCWPGR-12534070@</t>
  </si>
  <si>
    <t>UPI-RAZORPAYBHARATQR-RAZORPAYBQR@ICICI-ICIC0000001-200720145180-DECATHLON</t>
  </si>
  <si>
    <t>UPI-BIGBASKET-BIGBASKET1@PAYTM-PYTM0123456-200833675046-BIG BASKET</t>
  </si>
  <si>
    <t>UPI-BIGBASKET-BIGBASKET1@PAYTM-PYTM0123456-200833833779-BIG BASKET</t>
  </si>
  <si>
    <t>UPI-BIGBASKET-BIGBASKET1@PAYTM-PYTM0123456-201064113481-BIG BASKET</t>
  </si>
  <si>
    <t>UPI-BIGBASKET-BIGBASKET1@PAYTM-PYTM0123456-201312157903-BIG BASKET</t>
  </si>
  <si>
    <t>ACH D- WEEKLY SIP-NGZ65LFI9J3M</t>
  </si>
  <si>
    <t>ATW-416021XXXXXX0984-S1ANWB27-KV.RANGAREDDY</t>
  </si>
  <si>
    <t>UPI-SWIGGY-UPISWIGGY@ICICI-ICIC0000001-201694442252-PAYMENT FOR SWIGGY</t>
  </si>
  <si>
    <t>UPI-SHAILESH SADASHIVA S-SHAILSHETTY2000@OKAXIS-UTIB0000108-201772425189-SHANBHAG MEDICAL C</t>
  </si>
  <si>
    <t>UPI-GARGI PAIGAONKAR-GARGI24@OKICICI-ICIC0000011-201774486951-COCONUT</t>
  </si>
  <si>
    <t>UPI-BIGBASKET-BIGBASKET1@PAYTM-PYTM0123456-201785331693-BIG BASKET</t>
  </si>
  <si>
    <t>UPI-BIGBASKET-BIGBASKET1@PAYTM-PYTM0123456-201785355430-BIG BASKET</t>
  </si>
  <si>
    <t>UPI-MOHAMMED KHADEER UDD-MDYSKHADEER007.AB-1@OKHDFCBANK-HDFC0003739-201801949803-BLOUSE</t>
  </si>
  <si>
    <t>UPI-BIGBASKET-BIGBASKET1@PAYTM-PYTM0123456-201802815681-BIG BASKET</t>
  </si>
  <si>
    <t>UPI-SATTI  NAKKA-MURALIKRISHANNAKKA-1@OKAXIS-KKBK0007475-201907466194-SOAP</t>
  </si>
  <si>
    <t>UPI-KISHORE REDDY CH-Q16626447@YBL-ICIC0000202-201907514609-FLOWERS</t>
  </si>
  <si>
    <t>ACH D- WEEKLY SIP-A88W2KIIUKCZ</t>
  </si>
  <si>
    <t>UPI-SHAILESH SADASHIVA S-SHAILSHETTY2000@OKAXIS-UTIB0000108-202023332365-SHANBHAG MEDICAL C</t>
  </si>
  <si>
    <t>UPI-BIGBASKET-BIGBASKET1@PAYTM-PYTM0123456-202141333968-BIG BASKET</t>
  </si>
  <si>
    <t>RD THROUGH NET-50400265895462  :VARSHA MAHAJAN</t>
  </si>
  <si>
    <t>UPI-MD IMRAN-AYAANALARAB49-4@OKAXIS-BARB0DBYOUS-202520825308-APOLLO</t>
  </si>
  <si>
    <t>50400251539337- RD INSTALLMENT-JAN 2022</t>
  </si>
  <si>
    <t>NEFT CR-ICIC0SF0002-VINAY N MAHAJAN-VARSHA MAHAJAN-311955651</t>
  </si>
  <si>
    <t>ACH D- WEEKLY SIP-4N5OUX3COMBO</t>
  </si>
  <si>
    <t>UPI-BIGBASKET-BIGBASKET1@PAYTM-PYTM0123456-202754939900-BIG BASKET</t>
  </si>
  <si>
    <t>UPI-SATTI  NAKKA-MURALIKRISHANNAKKA-1@OKAXIS-KKBK0007475-202758418505-UPI</t>
  </si>
  <si>
    <t>UPI-KAVYA MANAM-DRMANAM@OKICICI-ICIC0002494-202759183634-UPI</t>
  </si>
  <si>
    <t>UPI-BBDAILY-BBDAILY@PAYTM-PYTM0123456-202759611368-BB DAILY</t>
  </si>
  <si>
    <t>UPI-GNANENDRA SHAMAIAH-MAIL2GNANI@OKICICI-ICIC0000004-202871011831-VAPOURISER</t>
  </si>
  <si>
    <t>UPI-DELHIVERY-DELHIVERY@INDUS-INDB0002201-202856527253-UPI TRANSACTION</t>
  </si>
  <si>
    <t>UPI-BIGBASKET-BIGBASKET1@PAYTM-PYTM0123456-202878367558-UPI</t>
  </si>
  <si>
    <t>UPI-CCAVENUES-CCAVENUES@ICICI-ICIC0000555-202870166046-COLLECT-PAY-REQUES</t>
  </si>
  <si>
    <t>UPI-SATTI  NAKKA-MURALIKRISHANNAKKA-1@OKAXIS-KKBK0007475-202986458654-UPI</t>
  </si>
  <si>
    <t>UPI-KISHORE REDDY CH-8106657658@UPI-ICIC0000202-202988514547-UPI</t>
  </si>
  <si>
    <t>UPI-BIGBASKET-BIGBASKET1@PAYTM-PYTM0123456-203099545993-UPI</t>
  </si>
  <si>
    <t>UPI-BIGBASKET-BIGBASKET1@PAYTM-PYTM0123456-203005183585-BIG BASKET</t>
  </si>
  <si>
    <t>NEFT DR-UTIB0CCH274-MKR EDUCATIONAL SOCIETY-NETBANK, MUM-N031221811565163-VYOM MAHAJAN TEXTB</t>
  </si>
  <si>
    <t>UPI-DELHIVERY LIMITED-DELHIVERY.PAYU@ICICI-ICIC0000001-203120212036-UPI</t>
  </si>
  <si>
    <t>UPI-G SRIKANT RAO-GINISRIKANTRAO@OKICICI-PUNB0479400-203235428583-UPI</t>
  </si>
  <si>
    <t>UPI-BUKKA SRI HARI KUMAR-SHKTKD2123@OKHDFCBANK-HDFC0004886-203235453862-UPI</t>
  </si>
  <si>
    <t>UPI-XXXXXX5813-CBIN0281615-203227347240-NA</t>
  </si>
  <si>
    <t>UPI-SHILPY  SINHA-SHILPY.SINHA56@OKSBI-SBIN0001679-203235512280-VARSHA MA KATHAK F</t>
  </si>
  <si>
    <t>UPI-SATTI  NAKKA-MURALIKRISHANNAKKA-1@OKAXIS-KKBK0007475-203236277444-MEDICINE C305</t>
  </si>
  <si>
    <t>UPI-BBDAILY-BBDAILY@PAYTM-PYTM0123456-203244504204-BIG BASKET</t>
  </si>
  <si>
    <t>UPI-ACT  BROADBAND-PAYTM-ACTHYD2@PAYTM-PYTM0123456-203259739730-OIDCWPGR12901240@A</t>
  </si>
  <si>
    <t>UPI-SHANTHAMMA FRUITS AN-SHANTHAMMAFRUITS@ICICI-ICIC0000001-203471679337-VEGETABLES</t>
  </si>
  <si>
    <t>UPI-BIGBASKET-BIGBASKET1@PAYTM-PYTM0123456-203474111689-BIG BASKET</t>
  </si>
  <si>
    <t>UPI-BIGBASKET-BIGBASKET1@PAYTM-PYTM0123456-203478878545-BIG BASKET</t>
  </si>
  <si>
    <t>ACH D- WEEKLY SIP-48SP98JMYODM</t>
  </si>
  <si>
    <t>IRWHMMXVP7EPW3/RAZPINSARAF</t>
  </si>
  <si>
    <t>UPI-SHANTHAMMA FRUITS AN-SHANTHAMMAFRUITS@ICICI-ICIC0000001-203612302656-VEGETABLE</t>
  </si>
  <si>
    <t>UPI-VENKAT REDDY-VSBR@HDFCBANK-HDFC0000001-203625176473-UPI</t>
  </si>
  <si>
    <t>UPI-SHANTHAMMA FRUITS AN-SHANTHAMMAFRUITS@ICICI-ICIC0000001-203961620661-VEGGIES</t>
  </si>
  <si>
    <t>UPI-BIGBASKET-BIGBASKET1@PAYTM-PYTM0123456-203970379843-BIG BASKET</t>
  </si>
  <si>
    <t>UPI-MEDPLUS RAMKY TOWER-PAYTM-68434242@PAYTM-PYTM0123456-204081342429-MEDICINE</t>
  </si>
  <si>
    <t>UPI-GOOGLEPAY-GOOG-PAYMENT@OKAXIS-UTIB0000553-204017580581-EARNED FOR USING G</t>
  </si>
  <si>
    <t>UPI-GOOGLEPAY-GOOG-PAYMENT@OKAXIS-UTIB0000553-204030625610-UPI</t>
  </si>
  <si>
    <t>UPI-SAHANA S ALVA-SAHANASALVA@OKICICI-ICIC0000002-204094555681-FKS CELEBRATIONS C</t>
  </si>
  <si>
    <t>UPI-BIGBASKET-BIGBASKET1@PAYTM-PYTM0123456-204105185527-BIG BASKET</t>
  </si>
  <si>
    <t>ACH D- WEEKLY SIP-DYBISQCR42AM</t>
  </si>
  <si>
    <t>UPI-MEDPLUS RAMKY TOWER-PAYTM-68434242@PAYTM-PYTM0123456-204242465110-MEDPLUS</t>
  </si>
  <si>
    <t>UPI-BIGBASKET-BIGBASKET1@PAYTM-PYTM0123456-204248405633-BIG BASKET</t>
  </si>
  <si>
    <t>UPI-SWIGGY-SWIGGYUPI@AXISBANK-UTIB0000000-204418136315-SWIGGY ORDER ID 12</t>
  </si>
  <si>
    <t>UPI-GIVE FOUNDATION-GIVEFOUNDATION.RZP@AXISBANK-UTIB0001506-204597627166-GIVEDONATION</t>
  </si>
  <si>
    <t>UPI-BIGBASKET-BIGBASKET1@PAYTM-PYTM0123456-204501452876-BIG BASKET</t>
  </si>
  <si>
    <t>UPI-SHANTHAMMA FRUITS AN-SHANTHAMMAFRUITS@ICICI-ICIC0000001-204603419541-VEGGIES</t>
  </si>
  <si>
    <t>UPI-MEDPLUS RAMKY TOWER-PAYTM-68434242@PAYTM-PYTM0123456-204603442676-MEDICAL</t>
  </si>
  <si>
    <t>UPI-POOJA PANDEY TRIPATH-DRPOOJAPANDEY@OKICICI-ICIC0000002-204604007415-VARSHA MAHAJAN CON</t>
  </si>
  <si>
    <t>UPI-PAYU PAYMENTS PRIVAT-PAYUMONEY.PAYU@INDUS-INDB0002201-204660413285-UPI TRANSACTION</t>
  </si>
  <si>
    <t>UPI-MOHAMMED KHADEER UDD-MDYSKHADEER007.AB-1@OKHDFCBANK-HDFC0003739-204616872106-SUNETRA BLOUSES</t>
  </si>
  <si>
    <t>NEFT CR-YESB0000001-ZERODHA BROKING LIMITED NSE CLIENT-VARSHA VINAY MAHAJAN-N047221020616713</t>
  </si>
  <si>
    <t>UPI-ZERODHA BROKING LTD-ZERODHABROKING@HDFCBANK-HDFC0000523-204720031486-COIN DEPOSIT 27312</t>
  </si>
  <si>
    <t>ACH D- WEEKLY SIP-FNL24XMZARML</t>
  </si>
  <si>
    <t>UPI-BIGBASKET-BIGBASKET1@PAYTM-PYTM0123456-204846326490-VEGGIES</t>
  </si>
  <si>
    <t>UPI-BIGBASKET-BIGBASKET1@PAYTM-PYTM0123456-204851311180-VEGGIES</t>
  </si>
  <si>
    <t>UPI-HICARE SERVICES PVT -HICARESERVICESVIKHROLI@YBL-YESB0YBLUPI-205081760833-PAYMENT FOR A232X0</t>
  </si>
  <si>
    <t>UPI-OLD MADRAS BAKING CO-PAYTMQR281005050101177TQZZB46IT@PAYTM-PYTM0123456-205196640686-OMBC FOOD ITEMS</t>
  </si>
  <si>
    <t>UPI-RUBINA  BEGUM-9700525150@YBL-SBIN0005094-205182320163-PAYMENT FROM PHONE</t>
  </si>
  <si>
    <t>UPI-GARGI PAIGAONKAR-GARGI24@OKICICI-ICIC0000011-205106606656-UPI</t>
  </si>
  <si>
    <t>UPI-SHANTHAMMA FRUITS AN-SHANTHAMMAFRUITS@ICICI-ICIC0000001-205210944218-VEGGIES</t>
  </si>
  <si>
    <t>UPI-SHANTHAMMA FRUITS AN-SHANTHAMMAFRUITS@ICICI-ICIC0000001-205327067803-VEGGIES</t>
  </si>
  <si>
    <t>UPI-ZEE5-ZEE5@PAYTM-PYTM0123456-205333516593-UPI</t>
  </si>
  <si>
    <t>50400265895462- RD INSTALLMENT-FEB 2022</t>
  </si>
  <si>
    <t>UPI-ADD MONEY TO WALLET-ADD-MONEY@PAYTM-PYTM0123456-205438365224-OID17357364767@PAY</t>
  </si>
  <si>
    <t>ACH D- WEEKLY SIP-8MYXF9X9MSA8</t>
  </si>
  <si>
    <t>UPI-BIGBASKET-BIGBASKET1@PAYTM-PYTM0123456-205571243931-BIG BASKET</t>
  </si>
  <si>
    <t>UPI-MEDPLUS RAMKY TOWER-PAYTM-68434242@PAYTM-PYTM0123456-205676600117-MEDICINE</t>
  </si>
  <si>
    <t>UPI-ATRAEYEE N PURKAIT-REVISEDIET@OKHDFCBANK-HDFC0004117-205677059904-VARSHA MAHAJAN LEV</t>
  </si>
  <si>
    <t>UPI-BIGBASKET-BIGBASKET1@PAYTM-PYTM0123456-205691379407-BIG BASKET</t>
  </si>
  <si>
    <t>50400251539337- RD INSTALLMENT-FEB 2022</t>
  </si>
  <si>
    <t>IMPS-205711473511-VINAY N MAHAJAN-ICIC-XXXXXXXX3279-VARSHA TRANSFER</t>
  </si>
  <si>
    <t>UPI-BIGBASKET-BIGBASKET1@PAYTM-PYTM0123456-205810145507-BIG BASKET</t>
  </si>
  <si>
    <t>UPI-RAJSHREE FOOD MART  -Q37736924@YBL-YESB0YBLUPI-205811891390-FOOD</t>
  </si>
  <si>
    <t>UPI-BUKKA SRI HARI KUMAR-SHKTKD2123@OKHDFCBANK-HDFC0004886-206165008088-UPI</t>
  </si>
  <si>
    <t>UPI-G SRIKANT RAO-GINISRIKANTRAO@OKICICI-PUNB0479400-206165019385-UPI</t>
  </si>
  <si>
    <t>UPI-XXXXXX5813-CBIN0281615-206110045687-NA</t>
  </si>
  <si>
    <t>UPI-ACT  BROADBAND-PAYTM-ACTHYD2@PAYTM-PYTM0123456-206218143781-OIDCWPGR-13315853@</t>
  </si>
  <si>
    <t>ACH D- WEEKLY SIP-C3T7YZK5FQGA</t>
  </si>
  <si>
    <t>UPI-SHANTHAMMA FRUITS AN-SHANTHAMMAFRUITS@ICICI-ICIC0DC0099-206415520126-VEGGIES</t>
  </si>
  <si>
    <t>UPI-RUBINA  BEGUM-9700525150@YBL-SBIN0005094-206521477233-PAYMENT FROM PHONE</t>
  </si>
  <si>
    <t>UPI-GARGI PAIGAONKAR-9963995996@PAYTM-ICIC0000011-206523830612-NA</t>
  </si>
  <si>
    <t>UPI-BBDAILY-BBDAILY@PAYTM-PYTM0123456-206547809140-BIG BASKET</t>
  </si>
  <si>
    <t>UPI-GARGI PAIGAONKAR-GARGI24@OKICICI-ICIC0000011-206773676316-CHILLIES</t>
  </si>
  <si>
    <t>UPI-GARGI PAIGAONKAR-GARGI24@OKICICI-ICIC0000011-206709504135-UPI</t>
  </si>
  <si>
    <t>UPI-BIGBASKET-BIGBASKET1@PAYTM-PYTM0123456-206904365584-BIG BASKET</t>
  </si>
  <si>
    <t>ACH D- WEEKLY SIP-BLGFPZ7MH5RQ</t>
  </si>
  <si>
    <t>UPI-MANJIRI J JOSHI-MANJIRISTAR@OKSBI-HDFC0009095-207139443904-DINNER DATE</t>
  </si>
  <si>
    <t>UPI-GNANENDRA SHAMAIAH-MAIL2GNANI@OKICICI-ICIC0000004-207114170632-PEANUTS</t>
  </si>
  <si>
    <t>UPI-BIGTREE ENTERTAINMEN-BOOKMYSHOW1@AXISBANK-UTIB0000415-207260292004-UPI</t>
  </si>
  <si>
    <t>INSTA ALERT CHG JAN22-SMS(11) 280222-MIR2207057970228</t>
  </si>
  <si>
    <t>UPI-MEDPLUS RAMKY TOWER-PAYTM-68434242@PAYTM-PYTM0123456-207499919804-MEDICINE</t>
  </si>
  <si>
    <t>UPI-BIGBASKET-BIGBASKET1@PAYTM-PYTM0123456-207400972690-BIG BASKET</t>
  </si>
  <si>
    <t>UPI-SHANTHAMMA FRUITS AN-SHANTHAMMAFRUITS@ICICI-ICIC0DC0099-207510580385-VEGGIES</t>
  </si>
  <si>
    <t>UPI-MEDPLUS RAMKY TOWER-PAYTM-68434242@PAYTM-PYTM0123456-207510617124-MEDICINE</t>
  </si>
  <si>
    <t>UPI-RAZORPAY SORTWARE PV-RAZORPAY@MAIRTEL-AIRP0000001-207512895273-PAYVIARAZORPAY</t>
  </si>
  <si>
    <t>UPI-RELIANCE RETAIL LTD-PAYTM-8918634@PAYTM-PYTM0123456-207524342175-OID717567593@RELIA</t>
  </si>
  <si>
    <t>ACH D- WEEKLY SIP-KOG3HCC3M2CQ</t>
  </si>
  <si>
    <t>UPI-MEDPLUS RAMKY TOWER-PAYTM-68434242@PAYTM-PYTM0123456-207865997125-MEDICINE</t>
  </si>
  <si>
    <t>UPI-MOHAMMED KHADEER UDD-MDYSKHADEER007.AB-1@OKHDFCBANK-HDFC0003739-207867080599-BLOUSE</t>
  </si>
  <si>
    <t>UPI-INNOVATIVE RETAIL CO-BIGBASKET@AXISBANK-UTIB0000100-207871112258-BIG BASKET</t>
  </si>
  <si>
    <t>UPI-BIGBASKET-BIGBASKET1@PAYTM-PYTM0123456-208093479922-BIG BASKET</t>
  </si>
  <si>
    <t>UPI-BIGBASKET-BIGBASKET1@PAYTM-PYTM0123456-208093639280-BIG BASKET</t>
  </si>
  <si>
    <t>UPI-BIGBASKET-BIGBASKET1@PAYTM-PYTM0123456-208094472058-BIG BASKET</t>
  </si>
  <si>
    <t>UPI-BIGBASKET-BIGBASKET1@PAYTM-PYTM0123456-208109020347-BIG BASKET</t>
  </si>
  <si>
    <t>50400265895462- RD INSTALLMENT-MAR 2022</t>
  </si>
  <si>
    <t>ACH D- WEEKLY SIP-SMZWIREFKJP9</t>
  </si>
  <si>
    <t>UPI-BIGBASKET-BIGBASKET1@PAYTM-PYTM0123456-208353003859-BIG BASKET</t>
  </si>
  <si>
    <t>50400251539337- RD INSTALLMENT-MAR 2022</t>
  </si>
  <si>
    <t>UPI-SHANTHAMMA FRUITS AN-SHANTHAMMAFRUITS@ICICI-ICIC0DC0099-208573387793-VEGGIES</t>
  </si>
  <si>
    <t>IMPS-208509457407-VINAY N MAHAJAN-ICIC-XXXXXXXX3279-VARSHA TRANSFER</t>
  </si>
  <si>
    <t>UPI-GOOGLEPAY-GOOG-PAYMENT@OKAXIS-UTIB0000553-208564006222-UPI</t>
  </si>
  <si>
    <t>UPI-LENSKART-LENSKARTOFFLINE@YBL-YESB0YBLUPI-208580362286-PAYMENT FOR 161746</t>
  </si>
  <si>
    <t>UPI-BIGBASKET-BIGBASKET1@PAYTM-PYTM0123456-208711158039-NA</t>
  </si>
  <si>
    <t>INSTA ALERT CHARGES(FEB-22) - SMS 230322-MIR2208598704439</t>
  </si>
  <si>
    <t>UPI-SHANTHAMMA FRUITS AN-SHANTHAMMAFRUITS@ICICI-ICIC0DC0099-208939931724-VEGGIES</t>
  </si>
  <si>
    <t>UPI-T SHIVASHANKER-7989495557@AXL-PUNB0131310-208948883841-MILK AND CURD</t>
  </si>
  <si>
    <t>UPI-T SHIVASHANKER-7989495557@AXL-PUNB0131310-209057223095-PANEER</t>
  </si>
  <si>
    <t>ACH D- WEEKLY SIP-JYZZQWUP7OQ5</t>
  </si>
  <si>
    <t>BIL/BPAY/000221319556/FastagRecharge/FSTGRCH</t>
  </si>
  <si>
    <t>CMS/ CMS2170728774/ICICI PRUDENTIAL MUTUAL FUND</t>
  </si>
  <si>
    <t>CMS/000870436113/ICICIPRULIFEINS__24516375</t>
  </si>
  <si>
    <t>CMS/000873524001/ICICIPRULIFEINS__21130963</t>
  </si>
  <si>
    <t>BIL/000248845004/FASTAG IMOBILE/TS07FN9828</t>
  </si>
  <si>
    <t>CMS/ CMS2228469481/ICICI PRUDENTIAL MUTUAL FUND</t>
  </si>
  <si>
    <t>ACCT CLOSURE TRANSACTION 2132</t>
  </si>
  <si>
    <t>CMS/000886442346/ICICIPRULIFEINS__24516375</t>
  </si>
  <si>
    <t>ACH/AOSPS2188F-AY2021-22/CE21159960299</t>
  </si>
  <si>
    <t>DCardfee0770OCT21-SEP22+GST</t>
  </si>
  <si>
    <t>Ask what is this</t>
  </si>
  <si>
    <t>CMS/000889477118/ICICIPRULIFEINS__21130963</t>
  </si>
  <si>
    <t>GST ADJ TRAN FOR S10746290/29-11-2021</t>
  </si>
  <si>
    <t>Adjusted 706.82</t>
  </si>
  <si>
    <t>CHRG ADJ TRAN FOR S10746290/29-11-2021</t>
  </si>
  <si>
    <t>CMS/ CMS2276820336/ICICI PRUDENTIAL MUTUAL FUND</t>
  </si>
  <si>
    <t>TRF/BHAGYANAGAR GAS LIMITED/ICI</t>
  </si>
  <si>
    <t>CMS/000902195905/ICICIPRULIFEINS__24516375</t>
  </si>
  <si>
    <t>CMS/000905324317/ICICIPRULIFEINS__21130963</t>
  </si>
  <si>
    <t>008801013248:Int.Pd:30-09-2021 to 30-12-2021</t>
  </si>
  <si>
    <t>CMS/ CMS2331486537/ICICI PRUDENTIAL MUTUAL FUND</t>
  </si>
  <si>
    <t>BIL/BPAY/000303721673/FastagRecharge/FSTGRCH</t>
  </si>
  <si>
    <t>CMS/000918808828/ICICIPRULIFEINS__24516375</t>
  </si>
  <si>
    <t>CMS/000921722889/ICICIPRULIFEINS__21130963</t>
  </si>
  <si>
    <t>UPI/203774434171/Payment from Ph/8978821891@ybl/Canara Bank/YBLc40b080e88b94eabab6344aa60272da1</t>
  </si>
  <si>
    <t>BIL/ONL/000323655722/LIFEINSURA/202202082709311/LIC of india</t>
  </si>
  <si>
    <t>CMS/ CMS2388653335/ICICI PRUDENTIAL MUTUAL FUND</t>
  </si>
  <si>
    <t>CMS/000936202400/ICICIPRULIFEINS__24516375</t>
  </si>
  <si>
    <t>CMS/000940162011/ICICIPRULIFEINS__21130963</t>
  </si>
  <si>
    <t>CMS/ CMS2443528824/ICICI PRUDENTIAL MUTUAL FUND</t>
  </si>
  <si>
    <t>UPI/207242825468/Oid202203131758/paytm-59516457@/Paytm Payments /PTM9e6669780dd34237b9e9f8ba89b94c9b</t>
  </si>
  <si>
    <t>NEFT-ICMS220316000TOS-LIC P   GS UNIT 3 VILE PARLE MDO I-706200011102-0039102000037527-IBKL0000039</t>
  </si>
  <si>
    <t>CMS/000953097618/ICICIPRULIFEINS__24516375</t>
  </si>
  <si>
    <t>CMS/000957143514/ICICIPRULIFEINS__21130963</t>
  </si>
  <si>
    <t>008801013248:Int.Pd:31-12-2021 to 29-03-2022</t>
  </si>
  <si>
    <t>UPI/209105715797/NA/bigbasket1@payt/Paytm Payments /PTM93cb0a82c8114cd798b2e93e</t>
  </si>
  <si>
    <t xml:space="preserve">008825012808 RD clos 03-04-2022 VARSHA VINAY MAHA </t>
  </si>
  <si>
    <t xml:space="preserve">CMS/ CMS2504993538/ICICI PRUDENTIAL MUTUAL FUND   </t>
  </si>
  <si>
    <t>BIL/ONL/000379186775/Life Insur/LIC_WICI1095713/LI</t>
  </si>
  <si>
    <t>UPI/211147985739/self/varshanbhag@okh/HDFC BANK LTD/HDF4aeed253232841d29d262df7</t>
  </si>
  <si>
    <t>UPI/211145622599/veggies/shanthammafruit/ICICI Bank/ICI49333057afcd4e59aca4798e</t>
  </si>
  <si>
    <t xml:space="preserve">CMS/000970419712/ICICIPRULIFEINS__24516375        </t>
  </si>
  <si>
    <t>UPI/211265337978/self/varshanbhag@okh/HDFC BANK LTD/HDF6046daccfc8d4a65b117ab3a</t>
  </si>
  <si>
    <t>UPI/211241643714/veggies/paytmqr28100505/Paytm Payments /ICI9861af789c324a1c984</t>
  </si>
  <si>
    <t>UPI/211713756182/Lata gift/gargi24@okicici/ICICI Bank/ICIb2d4eb5de0fd4287bd0b07</t>
  </si>
  <si>
    <t>UPI/211874810971/self/varshanbhag@okh/HDFC BANK LTD/HDF03e1b8abab5d47b9a008cfe2</t>
  </si>
  <si>
    <t xml:space="preserve">CMS/000973462927/ICICIPRULIFEINS__21130963        </t>
  </si>
  <si>
    <t>UPI/212233510919/UPI/goog-payment@ok/Axis Bank Ltd./AXIb62b418bffb54b12b2b737bd</t>
  </si>
  <si>
    <t>UPI/212372502630/Goa/sacrules-1@okhd/HDFC BANK LTD/HDF3a5101f34ef642f2a5feaca42</t>
  </si>
  <si>
    <t xml:space="preserve">ACCT CLOSURE TRANSACTION 2219                     </t>
  </si>
  <si>
    <t>UPI/212699651417/Lakshmi loan/gargi24@okicici/ICICI Bank/ICI5dfe83d3bb7d48bd9d5</t>
  </si>
  <si>
    <t xml:space="preserve">Dr Tran For Funding iWish A/c 008824002696        </t>
  </si>
  <si>
    <t xml:space="preserve">CMS/ CMS2573111532/ICICI PRUDENTIAL MUTUAL FUND   </t>
  </si>
  <si>
    <t xml:space="preserve">CMS/000986437844/ICICIPRULIFEINS__24516375        </t>
  </si>
  <si>
    <t>MMT/IMPS/214917085649/Account Validat/CAMS      /H</t>
  </si>
  <si>
    <t xml:space="preserve">CMS/000989945252/ICICIPRULIFEINS__21130963        </t>
  </si>
  <si>
    <t>RTGS-HDFCR52022060372802344-ICICI PRUDENTIAL M F-0</t>
  </si>
  <si>
    <t xml:space="preserve">CMS/ CMS2630508109/ICICI PRUDENTIAL MUTUAL FUND   </t>
  </si>
  <si>
    <t xml:space="preserve">CMS/001004028511/ICICIPRULIFEINS__24516375        </t>
  </si>
  <si>
    <t xml:space="preserve">CMS/001007872601/ICICIPRULIFEINS__21130963        </t>
  </si>
  <si>
    <t xml:space="preserve">008801013248:Int.Pd:30-03-2022 to 29-06-2022      </t>
  </si>
  <si>
    <t xml:space="preserve">CMS/ CMS2689985354/ICICI PRUDENTIAL MUTUAL FUND   </t>
  </si>
  <si>
    <t xml:space="preserve">CMS/001022373526/ICICIPRULIFEINS__24516375        </t>
  </si>
  <si>
    <t>UPI/220669084788/self transfer/varshanbhag@okh/HDFC BANK LTD/HDFd69bac08fbb64c6</t>
  </si>
  <si>
    <t>UPI/220723314740/NA/VARSHA MAHAJAN/HDFC BANK LTD/PTM119eb57edf5f41fa9dc1547081a</t>
  </si>
  <si>
    <t>MMT/IMPS/220717399869/Test transactio/VARSHA MAH/H</t>
  </si>
  <si>
    <t>UPI/220802956465/NA/9703580263@payt/HDFC BANK LTD/PTM8929c8e966e4493199baa430e9</t>
  </si>
  <si>
    <t>UPI/220802962359/NA/9703580263@payt/HDFC BANK LTD/PTM618403258e9740e6965ff25d4d</t>
  </si>
  <si>
    <t>UPI/220802965997/NA/9703580263@payt/HDFC BANK LTD/PTM52d519514df14e5eb47ca19bd5</t>
  </si>
  <si>
    <t>MMT/IMPS/220909387296/Self transfer/VARSHA MAH/HDF</t>
  </si>
  <si>
    <t xml:space="preserve">CMS/001025833946/ICICIPRULIFEINS__21130963        </t>
  </si>
  <si>
    <t>UPI/221396079729/vegetables/shanthammafruit/ICICI Bank/ICI57b4d0a23fda42eeb643b</t>
  </si>
  <si>
    <t>UPI/221324808754/UPI/goog-payment@ok/Axis Bank Ltd./AXI7d630309fd744a188426988f</t>
  </si>
  <si>
    <t>NEFT-N213222059040222-VARSHA MAHAJAN-SELF TRANSFER</t>
  </si>
  <si>
    <t xml:space="preserve">CMS/ CMS2759207708/ICICI PRUDENTIAL MUTUAL FUND   </t>
  </si>
  <si>
    <t xml:space="preserve">CMS/001040179853/ICICIPRULIFEINS__24516375        </t>
  </si>
  <si>
    <t>MMT/IMPS/223914328926/Self transfer/VARSHA MAH/HDF</t>
  </si>
  <si>
    <t xml:space="preserve">CMS/001043761393/ICICIPRULIFEINS__21130963        </t>
  </si>
  <si>
    <t xml:space="preserve">CMS/ CMS2821830719/ICICI PRUDENTIAL MUTUAL FUND   </t>
  </si>
  <si>
    <t xml:space="preserve">CMS/001058621785/ICICIPRULIFEINS__24516375        </t>
  </si>
  <si>
    <t>MMT/IMPS/226610352316/Self transfer/VARSHA MAH/HDF</t>
  </si>
  <si>
    <t xml:space="preserve">CMS/001062200852/ICICIPRULIFEINS__21130963        </t>
  </si>
  <si>
    <t xml:space="preserve">008801013248:Int.Pd:30-06-2022 to 29-09-2022      </t>
  </si>
  <si>
    <t xml:space="preserve">CMS/ CMS2883853354/ICICI PRUDENTIAL MUTUAL FUND   </t>
  </si>
  <si>
    <t xml:space="preserve">CMS/001076957936/ICICIPRULIFEINS__24516375        </t>
  </si>
  <si>
    <t>MMT/IMPS/230008377356/Self transfer/VARSHA MAH/HDF</t>
  </si>
  <si>
    <t xml:space="preserve">CMS/001079960242/ICICIPRULIFEINS__21130963        </t>
  </si>
  <si>
    <t>UPI/231061938246/Payment from Ph/8125989594@ibl/HDFC BANK LTD/IBLe6ff96bf50064a</t>
  </si>
  <si>
    <t xml:space="preserve">CMS/ CMS2930595003/ICICI PRUDENTIAL MUTUAL FUND   </t>
  </si>
  <si>
    <t xml:space="preserve">TRF TO FD no. 008813038398                        </t>
  </si>
  <si>
    <t xml:space="preserve">CMS/001094947031/ICICIPRULIFEINS__24516375        </t>
  </si>
  <si>
    <t>MMT/IMPS/232907331373/Self transfer/VARSHA MAH/HDF</t>
  </si>
  <si>
    <t xml:space="preserve">CMS/001098474101/ICICIPRULIFEINS__21130963        </t>
  </si>
  <si>
    <t>UPI-BUKKA SRI HARI KUMAR-SHKTKD2123@OKHDFCBANK-HDFC0004886-209178992917-UPI</t>
  </si>
  <si>
    <t>UPI-G SRIKANT RAO-GINISRIKANTRAO@OKICICI-PUNB0479400-209179020664-UPI</t>
  </si>
  <si>
    <t>UPI-GOOGLEPAY-GOOG-PAYMENT@OKAXIS-UTIB0000553-209190579997-UPI</t>
  </si>
  <si>
    <t>UPI-GOOGLEPAY-GOOG-PAYMENT@OKAXIS-UTIB0000553-209190584345-UPI</t>
  </si>
  <si>
    <t>UPI-XXXXXX5813-CBIN0281615-209118676950-NA</t>
  </si>
  <si>
    <t>UPI-ATRAEYEE N PURKAIT-REVISEDIET@OKHDFCBANK-HDFC0004117-209191367655-UPI</t>
  </si>
  <si>
    <t>UPI-GARGI PAIGAONKAR-GARGI24@OKICICI-ICIC0000011-209192530146-MANGOES</t>
  </si>
  <si>
    <t>UPI-SACHIN VITHAL RAO BO-SACHIN.BOMANWAR@OKHDFCBANK-HDFC0009095-209210476315-BATASHA MALA</t>
  </si>
  <si>
    <t>UPI-MANJIRI J JOSHI-MANJIRISTAR@OKSBI-HDFC0009095-209335077018-SHYAMLA FAREWELL</t>
  </si>
  <si>
    <t>UPI-SHANTHAMMA FRUITS AN-SHANTHAMMAFRUITS@ICICI-ICIC0DC0099-209437165787-VEGGIES</t>
  </si>
  <si>
    <t>UPI-GOOGLEPAY-GOOG-PAYMENT@OKAXIS-UTIB0000553-209461260084-UPI</t>
  </si>
  <si>
    <t>UPI-BIGBASKET-BIGBASKET1@PAYTM-PYTM0123456-209445185613-BIG BASKET</t>
  </si>
  <si>
    <t>REV_INSTA ALERT CH JAN22-SMS(11) 280222-MIR2207057970228</t>
  </si>
  <si>
    <t>REV_INSTA ALERT CHG(FEB-22) - SMS 230322-MIR2208598704439</t>
  </si>
  <si>
    <t>ACH D- WEEKLY SIP-GRH67QDB2SW1</t>
  </si>
  <si>
    <t>UPI-ACT  BROADBAND-PAYTM-ACTHYD2@PAYTM-PYTM0123456-209732289365-OIDCWPGR13765806@A</t>
  </si>
  <si>
    <t>UPI-BIGTREE ENTERTAINMEN-BOOKMYSHOW1@AXISBANK-UTIB0000415-209704789191-UPI</t>
  </si>
  <si>
    <t>UPI-BIGTREE ENTERTAINMEN-BOOKMYSHOW1@AXISBANK-UTIB0000415-209710994368-UPI</t>
  </si>
  <si>
    <t>UPI-POOJA PANDEY TRIPATH-DRPOOJAPANDEY@OKICICI-ICIC0000002-209815687150-VARSHA MAHAJAN CON</t>
  </si>
  <si>
    <t>UPI-BHARTI AIRTEL LIMITE-BHARTIAIRTEL.RZP@SBI-SBIN0016209-210293396948-AIRTELDIRECTUPIPOS</t>
  </si>
  <si>
    <t>UPI-BHARTI AIRTEL LIMITE-BHARTIAIRTEL.RZP@SBI-SBIN0016209-210293411692-BHARTITELEMEDIALIM</t>
  </si>
  <si>
    <t>UPI-BIGTREE ENTERTAINMEN-BOOKMYSHOW1@AXISBANK-UTIB0000415-210306747684-UPI</t>
  </si>
  <si>
    <t>UPI-BIGTREE ENTERTAINMEN-BOOKMYSHOW1@AXISBANK-UTIB0000415-210306807419-UPI</t>
  </si>
  <si>
    <t>ACH D- WEEKLY SIP-NDYNQW6KTMM5</t>
  </si>
  <si>
    <t>UPI-MEDPLUS RAMKY TOWER-PAYTM-68434242@PAYTM-PYTM0123456-210428816693-HONEY TUS</t>
  </si>
  <si>
    <t>UPI-BIGTREE ENTERTAINMEN-BOOKMYSHOW1@AXISBANK-UTIB0000415-210433101561-UPI</t>
  </si>
  <si>
    <t>UPI-GARGI PAIGAONKAR-GARGI24@OKICICI-ICIC0000011-210589625503-UPI</t>
  </si>
  <si>
    <t>UPI-ZOMATO LTD-ZOMATO-ORDER@PAYTM-PYTM0123456-210800129256-ZOMATO PAYMENT</t>
  </si>
  <si>
    <t>UPI-SHANTHAMMA FRUITS AN-SHANTHAMMAFRUITS@ICICI-ICIC0DC0099-210805899046-VEGGIES</t>
  </si>
  <si>
    <t>UPI-ADD MONEY TO WALLET-ADD-MONEY@PAYTM-PYTM0123456-210881864824-NA</t>
  </si>
  <si>
    <t>UPI-BIGBASKET-BIGBASKET1@PAYTM-PYTM0123456-210973657438-NA</t>
  </si>
  <si>
    <t>UPI-VARSHA VINAY MAHAJAN-VARSHANBHAG@OKICICI-ICIC0000088-211147985739-SELF</t>
  </si>
  <si>
    <t>ACH D- WEEKLY SIP-44KYYZUC1HBW</t>
  </si>
  <si>
    <t>UPI-VARSHA VINAY MAHAJAN-VARSHANBHAG@OKICICI-ICIC0000088-211265337978-SELF</t>
  </si>
  <si>
    <t>50400265895462- RD INSTALLMENT-APR 2022</t>
  </si>
  <si>
    <t>UPI-BIGBASKET-BIGBASKET1@PAYTM-PYTM0123456-211318397941-NA</t>
  </si>
  <si>
    <t>UPI-JOHNI HEPSIBA BINDU -9966337427@YBL-SBIN0020120-211472053786-PAYMENT FROM PHONE</t>
  </si>
  <si>
    <t>50400251539337- RD INSTALLMENT-APR 2022</t>
  </si>
  <si>
    <t>NEFT DR-UTIB0CCH274-MKR EDUCATIONAL SOCIETY-NETBANK, MUM-N116221931192901-VYOM MAHAJAN X TB</t>
  </si>
  <si>
    <t>IMPS-211709150830-VINAY N MAHAJAN-ICIC-XXXXXXXX3279-VARSHA TRANSFER</t>
  </si>
  <si>
    <t>Vinay transfer</t>
  </si>
  <si>
    <t>ACH D- WEEKLY SIP-BDY7Q13KIXAH</t>
  </si>
  <si>
    <t>UPI-VARSHA VINAY MAHAJAN-VARSHANBHAG@OKICICI-ICIC0000088-211874810971-SELF</t>
  </si>
  <si>
    <t>UPI-ATRAEYEE N PURKAIT-REVISEDIET@OKHDFCBANK-HDFC0004117-212005403804-VARSHA MAHAJAN MAY</t>
  </si>
  <si>
    <t>UPI-MEENAKSHI SREENIVASA-MEENPRI8@OKICICI-ICIC0000020-212253301613-MAMAEARTH</t>
  </si>
  <si>
    <t>UPI-DAUD NOORMOHMED MIRZ-DAUDMIRZA928@OKSBI-SBIN0040534-212257160377-KAJU</t>
  </si>
  <si>
    <t>UPI-MR PRADIP KUMAR SAHO-PAYTMQR281005050101078MO2QHWILL@PAYTM-PYTM0123456-212263143841-BAA</t>
  </si>
  <si>
    <t>UPI-G SRIKANT RAO-GINISRIKANTRAO@OKICICI-PUNB0479400-212384868032-UPI</t>
  </si>
  <si>
    <t>UPI-BUKKA SRI HARI KUMAR-SHKTKD2123@OKHDFCBANK-HDFC0004886-212384873684-UPI</t>
  </si>
  <si>
    <t>UPI-XXXXXX5813-CBIN0281615-212388664583-NA</t>
  </si>
  <si>
    <t>ACH D- WEEKLY SIP-57ENFACZAYON</t>
  </si>
  <si>
    <t>UPI-ADD MONEY TO WALLET-ADD-MONEY@PAYTM-PYTM0123456-212757702719-OID202205073186369</t>
  </si>
  <si>
    <t>UPI-LICIOUS-LICIOUS.RZP@AXISBANK-UTIB0001507-212760341047-LICIOUS</t>
  </si>
  <si>
    <t>UPI-VIJAY CHANDRASEKHARA-SHYAM.SUBA80@OKICICI-ICIC0000008-212760649501-MANGOES</t>
  </si>
  <si>
    <t>UPI-GOOGLEPAY-GOOG-PAYMENT@OKAXIS-UTIB0000553-212874557048-UPI</t>
  </si>
  <si>
    <t>NEFT DR-UTIB0CCH274-MKR EDUCATIONAL SOCIETY-NETBANK, MUM-N129221950487825-VYOM M GRADE X FEE</t>
  </si>
  <si>
    <t>NEFT CR-YESB0000001-ZERODHA BROKING LIMITED NSE CLIENT-VARSHA VINAY MAHAJAN-N131221199765186</t>
  </si>
  <si>
    <t>UPI-ZERODHA BROKING LTD-ZERODHABROKING@HDFCBANK-HDFC0000523-213127536659-1956210148321382 Z</t>
  </si>
  <si>
    <t>UPI-BIGTREE ENTERTAINMEN-BOOKMYSHOW1@AXISBANK-UTIB0000415-213132981873-UPI</t>
  </si>
  <si>
    <t>UPI-RAMESH MOHANDAS BHAT-DRPOORNIMARAMESH@OKSBI-SBIN0018407-213136112370-CAKE</t>
  </si>
  <si>
    <t>ACH D- WEEKLY SIP-J4QIREW72RTV</t>
  </si>
  <si>
    <t>UPI-AKSHAY JAYANT PRABHU-VARADA.PRABHU6@OKICICI-ICIC0000409-213252562370-MANGOES</t>
  </si>
  <si>
    <t>UPI-BIGBASKET-BIGBASKET1@PAYTM-PYTM0123456-213615361443-BIG BASKET</t>
  </si>
  <si>
    <t>UPI-BIGBASKET-BIGBASKET1@PAYTM-PYTM0123456-213618522460-BIG BASKET</t>
  </si>
  <si>
    <t>UPI-MEENAKSHI SREENIVASA-MEENPRI8@OKICICI-ICIC0000020-213681686038-MANGOES</t>
  </si>
  <si>
    <t>UPI-AKSHAY JAYANT PRABHU-VARADA.PRABHU6@OKICICI-ICIC0000409-213665987444-REFUND FOR MANGOES</t>
  </si>
  <si>
    <t>UPI-ADD MONEY TO WALLET-ADD-MONEY@PAYTM-PYTM0123456-213757514253-OID202205173232669</t>
  </si>
  <si>
    <t>UPI-BIGBASKET-BIGBASKET1@PAYTM-PYTM0123456-213862022754-BIG BASKET</t>
  </si>
  <si>
    <t>WHDF1158104136/LIC OF INDIA</t>
  </si>
  <si>
    <t>ACH D- WEEKLY SIP-T3Q6WU3HWWF7</t>
  </si>
  <si>
    <t>UPI-INTERGLOBE AVIATION -GOINDIGO.RAZORPAY@HDFCBANK-HDFC0000499-214098299124-INDIGOANDROID</t>
  </si>
  <si>
    <t>UPI-SHAKUNTALA BALAL CHA-GET.MAHAKESAR@UPI-HDFC0000968-214108515318-UPI</t>
  </si>
  <si>
    <t>50400265895462- RD INSTALLMENT-MAY 2022</t>
  </si>
  <si>
    <t>UPI-SWIGGY-SWIGGYUPI@AXISBANK-UTIB0000000-214324730331-SWIGGY ORDER ID 13</t>
  </si>
  <si>
    <t>UPI-INTERMESH SHOPPING N-IGP.PAYU@HDFCBANK-HDFC0000499-214469231668-UPI</t>
  </si>
  <si>
    <t>UPI-AKSHAY JAYANT PRABHU-VARADA.PRABHU6@OKICICI-ICIC0000409-214403365878-RUCHI BDAY CONTRIB</t>
  </si>
  <si>
    <t>50400251539337- RD INSTALLMENT-MAY 2022</t>
  </si>
  <si>
    <t>UPI-SWIGGY-UPISWIGGY@ICICI-ICIC0DC0099-214654757891-PAYMENT FOR SWIGGY</t>
  </si>
  <si>
    <t>ACH D- WEEKLY SIP-CFAYDLPJNFV9</t>
  </si>
  <si>
    <t>NEFT CR-ICIC0SF0002-VINAY N MAHAJAN-VARSHA MAHAJAN-406364223</t>
  </si>
  <si>
    <t>UPI-BIGBASKET-BIGBASKET1@PAYTM-PYTM0123456-214830404741-BIG BASKET</t>
  </si>
  <si>
    <t>UPI-SHANTHAMMA FRUITS AN-SHANTHAMMAFRUITS@ICICI-ICIC0DC0099-214831278208-VEGGIES</t>
  </si>
  <si>
    <t>UPI-MEDPLUS RAMKY TOWER-PAYTM-68434242@PAYTM-PYTM0123456-214831326793-MEDICINE</t>
  </si>
  <si>
    <t>UPI-ASHVINI S NAVLEKAR-9573224662@ICICI-ICIC0000029-214858686466-UPI PAYMENT</t>
  </si>
  <si>
    <t>UPI-MANJIRI J JOSHI-MANJIRISTAR@OKSBI-HDFC0009095-214812108871-RUCHI PLANT</t>
  </si>
  <si>
    <t>UPI-GARGI PAIGAONKAR-GARGI24@OKICICI-ICIC0000011-214811347480-UPI</t>
  </si>
  <si>
    <t>UPI-NEELPARNA ASHUTOSH K-DRNEELPARNA@OKICICI-ICIC0000039-214890459104-RUCHI GIFT</t>
  </si>
  <si>
    <t>UPI-NARAYAN NATARAJAN JT-NNARAYAN1958-1@OKHDFCBANK-ICIC0000004-214948827300-FOR SHOES</t>
  </si>
  <si>
    <t>UPI-BIGTREE ENTERTAINMEN-BOOKMYSHOW1@AXISBANK-UTIB0000415-215066951310-UPI</t>
  </si>
  <si>
    <t>UPI-UP MARKET-Q84587001@YBL-YESB0YBLUPI-215070965936-BRACELET</t>
  </si>
  <si>
    <t>UPI-ATRAEYEE N PURKAIT-REVISEDIET@OKHDFCBANK-HDFC0004117-215077592166-VARSHA MAHAJAN JUN</t>
  </si>
  <si>
    <t>UPI-IRCTC WEB UPI-PAYTM-651536@PAYTM-PYTM0123456-215207103593-OID100003445908383</t>
  </si>
  <si>
    <t>UPI-IRCTC WEB UPI-PAYTM-651536@PAYTM-PYTM0123456-215207522309-OID100003445908439</t>
  </si>
  <si>
    <t>UPI-XXXXXX5813-CBIN0281615-215216402575-NA</t>
  </si>
  <si>
    <t>UPI-G SRIKANT RAO-GINISRIKANTRAO@OKICICI-PUNB0479400-215208021159-UPI</t>
  </si>
  <si>
    <t>UPI-BUKKA SRI HARI KUMAR-SHKTKD2123@OKHDFCBANK-HDFC0004886-215208091026-UPI</t>
  </si>
  <si>
    <t>UPI-MEDPLUS RAMKY TOWER-PAYTM-68434242@PAYTM-PYTM0123456-215216050516-FACE MASK</t>
  </si>
  <si>
    <t>UPI-KFC  HYDERABAD DOMES-Q98988614@YBL-YESB0YBLUPI-215329132794-KFC</t>
  </si>
  <si>
    <t>ACH D- WEEKLY SIP-R1L7MJKUI3QR</t>
  </si>
  <si>
    <t>UPI-GARGI PAIGAONKAR-GARGI24@OKICICI-ICIC0000011-215336467662-INDIGO REFUND</t>
  </si>
  <si>
    <t>UPI-SWIGGY-UPISWIGGY@ICICI-ICIC0DC0099-215576166063-PAYMENT FOR SWIGGY</t>
  </si>
  <si>
    <t>UPI-SWIGGY-SWIGGYUPI@AXISBANK-UTIB0000000-215511413220-SWIGGY ORDER ID 13</t>
  </si>
  <si>
    <t>UPI-MANJIRI J JOSHI-MANJIRISTAR@OKSBI-HDFC0009095-215694670794-CHENNAI TRIP</t>
  </si>
  <si>
    <t>UPI-NILIVETLA LAXMA REDD-NILAVETLALAXMAREDDY@OKAXIS-BARB0MAHESW-215600417466-CAB</t>
  </si>
  <si>
    <t>UPI-DECATHLON SPORTS-DECATHLONSPORTS.RZP@ICICI-ICIC0DC0099-215707172056-DECATHLONSPORTSIND</t>
  </si>
  <si>
    <t>UPI-BIGBASKET-BIGBASKET1@PAYTM-PYTM0123456-215713021506-BIG BASKET</t>
  </si>
  <si>
    <t>UPI-ACT  BROADBAND-PAYTM-ACTHYD2@PAYTM-PYTM0123456-215816912241-OIDCWPGR-14492589@</t>
  </si>
  <si>
    <t>UPI-MEDPLUS RAMKY TOWER-PAYTM-68434242@PAYTM-PYTM0123456-216187690938-MEDPLUS</t>
  </si>
  <si>
    <t>UPI-T SHIVASHANKER-TIRUMALASHIVASHANKER@OKAXIS-PUNB0131310-216208663808-MILK BILL MAY 2022</t>
  </si>
  <si>
    <t>UPI-GULZAR AHMAD AKHOON-AKHOONGULZAR63@OKHDFCBANK-HDFC0001256-216210204316-UPI</t>
  </si>
  <si>
    <t>UPI-GARGI PAIGAONKAR-GARGI24@OKICICI-ICIC0000011-216218324418-CHIPS</t>
  </si>
  <si>
    <t>UPI-PUNMA RAM DEWASI-Q517075643@YBL-YESB0YBLUPI-216332844074-UPI</t>
  </si>
  <si>
    <t>UPI-VIJAY CHANDRASEKHARA-SHYAM.SUBA80@OKICICI-ICIC0000008-216355616415-GOA TRIP</t>
  </si>
  <si>
    <t>UPI-URBAN COMPANY-URBANCOMPANY.RZP@ICICI-ICIC0DC0099-216449927439-UPI</t>
  </si>
  <si>
    <t>UPI-BHARTI AIRTEL LIMITE-AIRTEL121@HDFCBANK-HDFC0000053-216451240774-BHARTITELEMEDIALIM</t>
  </si>
  <si>
    <t>UPI-IRCTC WEB UPI-PAYTM-651536@PAYTM-PYTM0123456-216585268451-COLLECT</t>
  </si>
  <si>
    <t>UPI-IRCTC WEB UPI-PAYTM-651536@PAYTM-PYTM0123456-216585317286-COLLECT</t>
  </si>
  <si>
    <t>UPI-VINAY N MAHAJAN-MAHAJVI@OKICICI-ICIC0000004-216630978809-TEST</t>
  </si>
  <si>
    <t>ACH D- WEEKLY SIP-2C9RXLAWWX3O</t>
  </si>
  <si>
    <t>UPI-DECATHLON-DECATHLON@YBL-YESB0YBLUPI-216830730262-PAYMENT FOR 701046</t>
  </si>
  <si>
    <t>UPI-LICIOUS-LICIOUS.RZP@AXISBANK-UTIB0001507-216957179811-UPI INTENT</t>
  </si>
  <si>
    <t>UPI-MEENAKSHI SREENIVASA-MEENPRI8@OKICICI-ICIC0000020-217067206642-CAB FARE</t>
  </si>
  <si>
    <t>UPI-BIGBASKET-BIGBASKET1@PAYTM-PYTM0123456-217072906288-UPI</t>
  </si>
  <si>
    <t>UPI-ADD MONEY TO WALLET-ADD-MONEY@PAYTM-PYTM0123456-217276866150-OID202206213355998</t>
  </si>
  <si>
    <t>UPI-SWIGGY-SWIGGYUPI@AXISBANK-UTIB0000000-217218469731-SWIGGY ORDER ID 13</t>
  </si>
  <si>
    <t>UPI-BIGBASKET-BIGBASKET1@PAYTM-PYTM0123456-217335258132-BIG BASKET</t>
  </si>
  <si>
    <t>50400265895462- RD INSTALLMENT-JUN 2022</t>
  </si>
  <si>
    <t>ACH D- WEEKLY SIP-MOFJXGOTK7AS</t>
  </si>
  <si>
    <t>UPI-BIGBASKET-BIGBASKET1@PAYTM-PYTM0123456-217455851428-UPI</t>
  </si>
  <si>
    <t>UPI-SHANTHAMMA FRUITS AN-SHANTHAMMAFRUITS@ICICI-ICIC0DC0099-217678403293-VEGETABLE</t>
  </si>
  <si>
    <t>UPI-INDIGO-INDIGO@AXISBANK-UTIB0000000-217678791021-INDIGOANDROID</t>
  </si>
  <si>
    <t>UPI-ASKAR ALI MIRZA-BHARATPE09901546107@YESBANKLTD-YESB0YESUPI-217686962001-PAY TO ASKAR ALI M</t>
  </si>
  <si>
    <t>50400251539337- RD INSTALLMENT-JUN 2022</t>
  </si>
  <si>
    <t>UPI-SWIGGY-UPISWIGGY@ICICI-ICIC0DC0099-217733589051-PAYMENT FOR SWIGGY</t>
  </si>
  <si>
    <t>UPI-SWIGGY-SWIGGYUPI@AXISBANK-UTIB0000000-217716838310-SWIGGY ORDER ID 13</t>
  </si>
  <si>
    <t>UPI-BIGBASKET-BIGBASKET1@PAYTM-PYTM0123456-217819252295-BIG BASKET</t>
  </si>
  <si>
    <t>UPI-ATRAEYEE N PURKAIT-REVISEDIET@OKHDFCBANK-HDFC0004117-217931100874-NAVARATRI FAST VAR</t>
  </si>
  <si>
    <t>INSTA ALERT CHARGES(MAR-22) - SMS 050422-MIR2317540642915</t>
  </si>
  <si>
    <t>NEFT CR-ICIC0SF0002-VINAY N MAHAJAN-VARSHA MAHAJAN-430930953</t>
  </si>
  <si>
    <t>UPI-VADDE NAVEEN KUMAR-NAVEENVADDERAJ789@OKICICI-CNRB0000033-218054506320-COURIER</t>
  </si>
  <si>
    <t>UPI-ATRAEYEE N PURKAIT-REVISEDIET@OKHDFCBANK-HDFC0004117-218064384920-JULY LEVEL 1 VARSH</t>
  </si>
  <si>
    <t>ACH D- WEEKLY SIP-RUFXDZN22NNT</t>
  </si>
  <si>
    <t>UPI-BIGBASKET-BIGBASKET1@PAYTM-PYTM0123456-218182524604-BIG BASKET</t>
  </si>
  <si>
    <t>UPI-BIGBASKET-BIGBASKET1@PAYTM-PYTM0123456-218182589133-BIG BASKET</t>
  </si>
  <si>
    <t>UPI-YASMEEN  BEGUM-YASMEENVAJEED864@OKSBI-SBIN0022046-218289493337-URBAN COMPANY</t>
  </si>
  <si>
    <t>UPI-G SRIKANT RAO-GINISRIKANTRAO@OKICICI-PUNB0479400-218294302677-UPI</t>
  </si>
  <si>
    <t>UPI-BUKKA SRI HARI KUMAR-SHKTKD2123@OKHDFCBANK-HDFC0004886-218294346732-UPI</t>
  </si>
  <si>
    <t>UPI-XXXXXX5813-CBIN0281615-218246634001-NA</t>
  </si>
  <si>
    <t>UPI-VIACOM18 MEDIA PRIVA-VIACOM18MEDIAPRIVATELIMITED.RZP@ICICI-ICIC0DC0099-218244812674-PAY VIA RAZORPAY</t>
  </si>
  <si>
    <t>UPI-RAZORPAY-RAZORPAY.PAYOUTS@YESBANK-YESB0000022-218242526360-VIACOM18 REFUND JO</t>
  </si>
  <si>
    <t>REV_INSTA ALERT CHG(MAR-22) - SMS 050422-MIR2317540642915</t>
  </si>
  <si>
    <t>UPI-BIGBASKET-BIGBASKET1@PAYTM-PYTM0123456-218313050164-UPI</t>
  </si>
  <si>
    <t>UPI-AVATHAR-PAYTMQR281005050101CX21IR7EOQLU@PAYTM-PYTM0123456-218314280058-PHOTO</t>
  </si>
  <si>
    <t>UPI-BBDAILY-BBDAILY@PAYTM-PYTM0123456-218439522281-BIG BASKET</t>
  </si>
  <si>
    <t>UPI-SWATI JAISWAL-BHARATPE907720034075@YESBANKLTD-YESB0YESUPI-218440182685-PAY TO SUSHAN REKH</t>
  </si>
  <si>
    <t>UPI-MOHAMMED ATHER-MDNAYEEM0065@OKICICI-DBSS0IN0811-218441064970-TABLA BAG</t>
  </si>
  <si>
    <t>UPI-MOHAMMED KHADEER UDD-MDYSKHADEER007.AB-1@OKHDFCBANK-HDFC0003739-218564590783-BLOUSE</t>
  </si>
  <si>
    <t>UPI-ADD MONEY TO WALLET-ADD-MONEY@PAYTM-PYTM0123456-218585390744-OID202207043399473</t>
  </si>
  <si>
    <t>UPI-RAZORPAYBHARATQR-RAZORPAYBQR@ICICI-ICIC0DC0099-218790229333-NYKAA</t>
  </si>
  <si>
    <t>UPI-GOOGLEPAY-GOOG-PAYMENT@OKAXIS-UTIB0000553-218740012576-UPI</t>
  </si>
  <si>
    <t>UPI-BIGBASKET-BIGBASKET1@PAYTM-PYTM0123456-218701706796-UPI</t>
  </si>
  <si>
    <t>UPI-KASHISH   FATIMA-PEACEFATIMA3@OKAXIS-KKBK0007487-218810142543-PARLOUR</t>
  </si>
  <si>
    <t>UPI-GOOGLEPAY-GOOG-PAYMENT@OKAXIS-UTIB0000553-218860731582-UPI</t>
  </si>
  <si>
    <t>ACH D- WEEKLY SIP-WAD8QGRV86MQ</t>
  </si>
  <si>
    <t>UPI-MEDPLUS RAMKY TOWER-PAYTM-68434242@PAYTM-PYTM0123456-218938319910-MEDICINE</t>
  </si>
  <si>
    <t>UPI-GOOGLEPAY-GOOG-PAYMENT@OKAXIS-UTIB0000553-219134858685-UPI</t>
  </si>
  <si>
    <t>UPI-INDIANCLEARINGCORPOR-BSESTARMFRZP@ICICI-ICIC0DC0099-219164193824-ZERODHA BROKING LI</t>
  </si>
  <si>
    <t>UPI-PAYTMUSER-9849789761@PAYTM-PYTM0123456-219174255225-CAB</t>
  </si>
  <si>
    <t>REV-UPI-50100317164911-VARSHANBHAG@OKHDFCBANK-219174255225-CAB</t>
  </si>
  <si>
    <t>UPI-SHAILESH SADASHIVA S-SHAILSHETTY2000@OKAXIS-UTIB0000108-219200695656-SHANBHAG AND MAHAJ</t>
  </si>
  <si>
    <t>NEFT CR-YESB0000001-ZERODHA BROKING LIMITED NSE CLIENT-VARSHA VINAY MAHAJAN-YESB21936441010</t>
  </si>
  <si>
    <t>UPI-BIGBASKET-BIGBASKET1@PAYTM-PYTM0123456-219816503404-BIG BASKET</t>
  </si>
  <si>
    <t>UPI-INDIANCLEARINGCORPOR-BSESTARMFRZP@ICICI-ICIC0DC0099-219880982896-ZERODHA BROKING LI</t>
  </si>
  <si>
    <t>UPI-INDIANCLEARINGCORPOR-BSESTARMFRZP@ICICI-ICIC0DC0099-219880988639-ZERODHA BROKING LI</t>
  </si>
  <si>
    <t>UPI-BIGBASKET-BIGBASKET1@PAYTM-PYTM0123456-219822763468-BIG BASKET</t>
  </si>
  <si>
    <t>UPI-BIGBASKET-BIGBASKET1@PAYTM-PYTM0123456-219823293031-BIG BASKET</t>
  </si>
  <si>
    <t>UPI-BIGBASKET-BIGBASKET1@PAYTM-PYTM0123456-219926701889-BIG BASKET</t>
  </si>
  <si>
    <t>UPI-SHANTHAMMA FRUITS AN-PAYTMQR281005050101TL64FZNF7NS8@PAYTM-PYTM0123456-219926983538-VEGGIES</t>
  </si>
  <si>
    <t>UPI-SHAILESH SADASHIVA S-SHAILSHETTY2000@OKAXIS-UTIB0000108-219936721333-VINAY MAHAJAN CONS</t>
  </si>
  <si>
    <t>UPI-APOLLO PHARMACY-PAYTM-64646105@PAYTM-PYTM0123456-219942560314-PAYMENT TO APOLLO2</t>
  </si>
  <si>
    <t>UPI-INDIANCLEARINGCORPOR-BSESTARMFRZP@ICICI-ICIC0DC0099-220083821742-ZERODHA BROKING LI</t>
  </si>
  <si>
    <t>UPI-INDIANCLEARINGCORPOR-BSESTARMFRZP@ICICI-ICIC0DC0099-220083822359-ZERODHA BROKING LI</t>
  </si>
  <si>
    <t>UPI-INDIANCLEARINGCORPOR-BSESTARMFRZP@ICICI-ICIC0DC0099-220083822767-ZERODHA BROKING LI</t>
  </si>
  <si>
    <t>UPI-INDIANCLEARINGCORPOR-BSESTARMFRZP@ICICI-ICIC0DC0099-220185911492-ZERODHA BROKING LI</t>
  </si>
  <si>
    <t>UPI-INDIANCLEARINGCORPOR-BSESTARMFRZP@ICICI-ICIC0DC0099-220185912713-ZERODHA BROKING LI</t>
  </si>
  <si>
    <t>UPI-SHANTHAMMA FRUITS AN-PAYTMQR281005050101TL64FZNF7NS8@PAYTM-PYTM0123456-220167034123-VEGGIES</t>
  </si>
  <si>
    <t>UPI-XXXXXX5813-CBIN0281615-220152381682-NA</t>
  </si>
  <si>
    <t>UPI-RAMESH MOHANDAS BHAT-DRPOORNIMARAMESH@OKSBI-SBIN0018407-220183166696-VELA CAKE</t>
  </si>
  <si>
    <t>UPI-RAMESH MOHANDAS BHAT-DRPOORNIMARAMESH@OKSBI-SBIN0018407-220183179595-UPI</t>
  </si>
  <si>
    <t>UPI-INDIANCLEARINGCORPOR-BSESTARMFRZP@ICICI-ICIC0DC0099-220288046324-ZERODHA BROKING LI</t>
  </si>
  <si>
    <t>UPI-INDIANCLEARINGCORPOR-BSESTARMFRZP@ICICI-ICIC0DC0099-220288047881-ZERODHA BROKING LI</t>
  </si>
  <si>
    <t>UPI-INDIANCLEARINGCORPOR-BSESTARMFRZP@ICICI-ICIC0DC0099-220288049346-ZERODHA BROKING LI</t>
  </si>
  <si>
    <t>UPI-FERNS N PETALS PRIVA-FNP.PAYU@HDFCBANK-HDFC0000499-220287601991-UPI</t>
  </si>
  <si>
    <t>UPI-ADD MONEY TO WALLET-ADD-MONEY@PAYTM-PYTM0123456-220292260300-OID18647338828@PAY</t>
  </si>
  <si>
    <t>UPI-INDIANCLEARINGCORPOR-BSESTARMFRZP@ICICI-ICIC0DC0099-220390077243-ZERODHA BROKING LI</t>
  </si>
  <si>
    <t>UPI-VIKRAM DEEPAK JAIN-VVJJ83@OKHDFCBANK-HDFC0000368-220314610210-SAMOSA</t>
  </si>
  <si>
    <t>UPI-BIGTREE ENTERTAINMEN-BOOKMYSHOW1@AXISBANK-UTIB0000415-220319096352-UPI</t>
  </si>
  <si>
    <t>50400265895462- RD INSTALLMENT-JUL 2022</t>
  </si>
  <si>
    <t>UPI-MEENAKSHI SREENIVASA-MEENPRI8@OKICICI-ICIC0000020-220452564776-UPI</t>
  </si>
  <si>
    <t>UPI-SYED  AMEER-SYEDAMIR78610@OKSBI-SBIN0020070-220432273987-TEMPERED GLASS</t>
  </si>
  <si>
    <t>UPI-APOLLO HOSPITALS ENT-APOLLOHOSPITALSENTERPRISE.RZP@AXISBANK-UTIB0000100-220435019595-PAYMENT TO APOLLO2</t>
  </si>
  <si>
    <t>NEFT CR-CHAS0INBX01-SALARY FOR JUL-2022 JOHNSON   JOHNSON PRIVATE LIMI-VARSHA MAHAJAN-CHASN22203317114</t>
  </si>
  <si>
    <t>UPI-INDIANCLEARINGCORPOR-BSESTARMFRZP@ICICI-ICIC0DC0099-220697264300-ZERODHA BROKING LI</t>
  </si>
  <si>
    <t>UPI-VARSHA VINAY MAHAJAN-VARSHANBHAG@OKICICI-ICIC0000088-220669084788-SELF TRANSFER</t>
  </si>
  <si>
    <t>50400251539337- RD INSTALLMENT-JUL 2022</t>
  </si>
  <si>
    <t>UPI-INDIANCLEARINGCORPOR-BSESTARMFRZP@ICICI-ICIC0DC0099-220798968925-ZERODHA BROKING LI</t>
  </si>
  <si>
    <t>UPI-VARSHA VINAY MAHAJAN-9703580263@PAYTM-ICIC0000088-220723314740-NA</t>
  </si>
  <si>
    <t>IMPS-220717399869-VARSHA MAHAJAN-ICIC-XXXXXXXX3248-TEST TRANSACTIONS</t>
  </si>
  <si>
    <t>UPI-IGP-IGP.PAYU@AXISBANK-UTIB0000000-220797940248-UPI TRANSACTION</t>
  </si>
  <si>
    <t>UPI-GOOGLEPAY-GOOG-PAYMENT@OKAXIS-UTIB0000553-220797986455-UPI</t>
  </si>
  <si>
    <t>UPI-XXXXXX3248-ICIC0000088-220802956465-NA</t>
  </si>
  <si>
    <t>UPI-XXXXXX3248-ICIC0000088-220802962359-NA</t>
  </si>
  <si>
    <t>UPI-XXXXXX3248-ICIC0000088-220802965997-NA</t>
  </si>
  <si>
    <t>UPI-BIGBASKET-BIGBASKET1@PAYTM-PYTM0123456-220920056361-BIG BASKET</t>
  </si>
  <si>
    <t>UPI-INDIANCLEARINGCORPOR-BSESTARMFRZP@ICICI-ICIC0DC0099-220904327790-ZERODHA BROKING LI</t>
  </si>
  <si>
    <t>IMPS-220909387296-VARSHA MAHAJAN-ICIC-XXXXXXXX3248-SELF TRANSFER</t>
  </si>
  <si>
    <t>UPI-SHANTHAMMA FRUITS AN-SHANTHAMMAFRUITS@ICICI-ICIC0DC0099-220931288859-BANANAS</t>
  </si>
  <si>
    <t>UPI-MINKAN AGRO INDUSTRI-Q03988835@YBL-YESB0YBLUPI-221041411101-UPI</t>
  </si>
  <si>
    <t>UPI-MINKAN AGRO INDUSTRI-Q03988835@YBL-YESB0YBLUPI-221041801977-UPI</t>
  </si>
  <si>
    <t>UPI-NETFLIX COM-NETFLIXUPI.PAYU@HDFCBANK-HDFC0000499-221099946451-MONTHLY AUTOPAY. C</t>
  </si>
  <si>
    <t>UPI-IGP-PAYTM-8755902@PAYTM-PYTM0123456-221033725948-OID16599667@IGP</t>
  </si>
  <si>
    <t>UPI-SRI RAMULU ROUTHU-SRIRAMULUSRIRAM118@YBL-UTIB0000027-221241277555-PAYMENT FROM PHONE</t>
  </si>
  <si>
    <t>UPI-ATRAEYEE N PURKAIT-REVISEDIET@OKHDFCBANK-HDFC0004117-221289992616-VARSHA MAHAJAN AUG</t>
  </si>
  <si>
    <t>UPI-INDIANCLEARINGCORPOR-BSESTARMFRZP@ICICI-ICIC0DC0099-221316103518-ZERODHA BROKING LI</t>
  </si>
  <si>
    <t>UPI-INDIANCLEARINGCORPOR-BSESTARMFRZP@ICICI-ICIC0DC0099-221316128121-ZERODHA BROKING LI</t>
  </si>
  <si>
    <t>NEFT DR-ICIC0000088-VARSHA MAHAJAN-NETBANK, MUM-N213222059040222-SELF TRANSFER</t>
  </si>
  <si>
    <t>UPI-XXXXXX5813-CBIN0281615-221312771757-NA</t>
  </si>
  <si>
    <t>UPI-G SRIKANT RAO-GINISRIKANTRAO@OKICICI-PUNB0479400-221305122586-UPI</t>
  </si>
  <si>
    <t>UPI-BUKKA SRI HARI KUMAR-SHKTKD2123@OKHDFCBANK-HDFC0004886-221305167082-UPI</t>
  </si>
  <si>
    <t>UPI-ACT  BROADBAND-PAYTM-ACTHYD2@PAYTM-PYTM0123456-221417312929-OIDPT77480318@ACTB</t>
  </si>
  <si>
    <t>UPI-VIKRAM DEEPAK JAIN-VVJJ83@OKHDFCBANK-HDFC0000368-221437432290-UPI</t>
  </si>
  <si>
    <t>UPI-INDIANCLEARINGCORPOR-BSESTARMFRZP@ICICI-ICIC0DC0099-221625503717-ZERODHA BROKING LI</t>
  </si>
  <si>
    <t>UPI-INDIANCLEARINGCORPOR-BSESTARMFRZP@ICICI-ICIC0DC0099-221625508784-ZERODHA BROKING LI</t>
  </si>
  <si>
    <t>UPI-INDIANCLEARINGCORPOR-BSESTARMFRZP@ICICI-ICIC0DC0099-221625511128-ZERODHA BROKING LI</t>
  </si>
  <si>
    <t>UPI-INDIANCLEARINGCORPOR-BSESTARMFRZP@ICICI-ICIC0DC0099-221729388276-ZERODHA BROKING LI</t>
  </si>
  <si>
    <t>UPI-INDIANCLEARINGCORPOR-BSESTARMFRZP@ICICI-ICIC0DC0099-221729394039-ZERODHA BROKING LI</t>
  </si>
  <si>
    <t>UPI-INDIANCLEARINGCORPOR-BSESTARMFRZP@ICICI-ICIC0DC0099-222037866421-ZERODHA BROKING LI</t>
  </si>
  <si>
    <t>UPI-INDIANCLEARINGCORPOR-BSESTARMFRZP@ICICI-ICIC0DC0099-222037869951-ZERODHA BROKING LI</t>
  </si>
  <si>
    <t>UPI-GAMMA GAANA LIMITED-ASTROSPEAK.PAYU@HDFCBANK-HDFC0000499-222067037171-MERCH</t>
  </si>
  <si>
    <t>UPI-MANJIRI J JOSHI-MANJIRISTAR@OKSBI-HDFC0009095-222016169223-CAKE</t>
  </si>
  <si>
    <t>UPI-SHANTHAMMA FRUITS AN-SHANTHAMMAFRUITS@ICICI-ICIC0DC0099-222203955539-VEGGIES</t>
  </si>
  <si>
    <t>UPI-URBAN COMPANY-PAYTM-URBANCOMPANY@PAYTM-PYTM0123456-222229953912-OIDURBANCLAP506691</t>
  </si>
  <si>
    <t>57500000009262--VARSHA VINAY MAHAJA</t>
  </si>
  <si>
    <t>UPI-BIGBASKET-BIGBASKET1@PAYTM-PYTM0123456-222326297820-UPI</t>
  </si>
  <si>
    <t>NEFT CR-CHAS0INBX01-JOHNSON   JOHNSON PRIVATE LIMITED-VARSHA MAHAJAN-CHASN22222973193</t>
  </si>
  <si>
    <t>UPI-INDIANCLEARINGCORPOR-BSESTARMFRZP@ICICI-ICIC0DC0099-222346643066-ZERODHA BROKING LI</t>
  </si>
  <si>
    <t>UPI-INDIANCLEARINGCORPOR-BSESTARMFRZP@ICICI-ICIC0DC0099-222346646156-ZERODHA BROKING LI</t>
  </si>
  <si>
    <t>UPI-INDIANCLEARINGCORPOR-BSESTARMFRZP@ICICI-ICIC0DC0099-222346648323-ZERODHA BROKING LI</t>
  </si>
  <si>
    <t>UPI-BHARTI AIRTEL LIMITE-BHARTIAIRTEL.RZP@SBI-SBIN0016209-222456077950-BHARTITELEMEDIALIM</t>
  </si>
  <si>
    <t>UPI-PARMEET KAUR  SALUJA-DIMPLESALUJA1010@OKSBI-SBIN0011081-222461981442-FOOD DRIVE</t>
  </si>
  <si>
    <t>UPI-GOOGLEPAY-GOOG-PAYMENT@OKAXIS-UTIB0000553-222585427720-UPI</t>
  </si>
  <si>
    <t>UPI-MEDPLUS RAMKY TOWER-PAYTM-68434242@PAYTM-PYTM0123456-222579041526-MEDICINE</t>
  </si>
  <si>
    <t>UPI-INDIANCLEARINGCORPOR-BSESTARMFRZP@ICICI-ICIC0DC0099-222858826887-ZERODHA BROKING LI</t>
  </si>
  <si>
    <t>UPI-INDIANCLEARINGCORPOR-BSESTARMFRZP@ICICI-ICIC0DC0099-222858830589-ZERODHA BROKING LI</t>
  </si>
  <si>
    <t>UPI-INDIANCLEARINGCORPOR-BSESTARMFRZP@ICICI-ICIC0DC0099-222858833210-ZERODHA BROKING LI</t>
  </si>
  <si>
    <t>UPI-INDIANCLEARINGCORPOR-BSESTARMFRZP@ICICI-ICIC0DC0099-222858835811-ZERODHA BROKING LI</t>
  </si>
  <si>
    <t>UPI-INDIANCLEARINGCORPOR-BSESTARMFRZP@ICICI-ICIC0DC0099-222858838390-ZERODHA BROKING LI</t>
  </si>
  <si>
    <t>UPI-URBAN COMPANY-URBANCOMPANY.RZP@ICICI-ICIC0DC0099-222835776722-UPI</t>
  </si>
  <si>
    <t>UPI-BIGBASKET-BIGBASKET1@PAYTM-PYTM0123456-222950545105-BIG BASKET</t>
  </si>
  <si>
    <t>UPI-INDIANCLEARINGCORPOR-BSESTARMFRZP@ICICI-ICIC0DC0099-223166490839-ZERODHA BROKING LI</t>
  </si>
  <si>
    <t>UPI-INDIANCLEARINGCORPOR-BSESTARMFRZP@ICICI-ICIC0DC0099-223166492925-ZERODHA BROKING LI</t>
  </si>
  <si>
    <t>UPI-INDIANCLEARINGCORPOR-BSESTARMFRZP@ICICI-ICIC0DC0099-223268915860-ZERODHA BROKING LI</t>
  </si>
  <si>
    <t>UPI-VIKRAM DEEPAK JAIN-VVJJ83@OKHDFCBANK-HDFC0000368-223215638349-UPI</t>
  </si>
  <si>
    <t>UPI-VIKRAM DEEPAK JAIN-VVJJ83@OKHDFCBANK-HDFC0000368-223335361824-UPI</t>
  </si>
  <si>
    <t>UPI-INDIANCLEARINGCORPOR-BSESTARMFRZP@ICICI-ICIC0DC0099-223474727579-ZERODHA BROKING LI</t>
  </si>
  <si>
    <t>UPI-INDIANCLEARINGCORPOR-BSESTARMFRZP@ICICI-ICIC0DC0099-223474736504-ZERODHA BROKING LI</t>
  </si>
  <si>
    <t>50400265895462- RD INSTALLMENT-AUG 2022</t>
  </si>
  <si>
    <t>UPI-AMAZON PAY-AMAZONUPI@APL-UTIB0000100-223517848940-YOU ARE PAYING FOR</t>
  </si>
  <si>
    <t>UPI-ADD MONEY TO WALLET-ADD-MONEY@PAYTM-PYTM0123456-223593567662-OID18925087872@PAY</t>
  </si>
  <si>
    <t>UPI-INDIANCLEARINGCORPOR-BSESTARMFRZP@ICICI-ICIC0DC0099-223576875485-ZERODHA BROKING LI</t>
  </si>
  <si>
    <t>UPI-INDIANCLEARINGCORPOR-BSESTARMFRZP@ICICI-ICIC0DC0099-223679596564-ZERODHA BROKING LI</t>
  </si>
  <si>
    <t>NEFT CR-CHAS0INBX01-SALARY FOR AUG-2022 JOHNSON   JOHNSON PRIVATE LIMI-VARSHA MAHAJAN-CHASO22235120717</t>
  </si>
  <si>
    <t>50400251539337- RD INSTALLMENT-AUG 2022</t>
  </si>
  <si>
    <t>UPI-MANJIRI J JOSHI-MANJIRISTAR@OKSBI-HDFC0009095-223850026069-SHYAMALA GIFT</t>
  </si>
  <si>
    <t>IMPS-223914328926-VARSHA MAHAJAN-ICIC-XXXXXXXX3248-SELF TRANSFER</t>
  </si>
  <si>
    <t>UPI-NETFLIX COM-NETFLIXUPI.PAYU@HDFCBANK-HDFC0000499-224052091231-MONTHLY AUTOPAY. C</t>
  </si>
  <si>
    <t>UPI-INDIANCLEARINGCORPOR-BSESTARMFRZP@ICICI-ICIC0DC0099-224192427748-ZERODHA BROKING LI</t>
  </si>
  <si>
    <t>UPI-INDIANCLEARINGCORPOR-BSESTARMFRZP@ICICI-ICIC0DC0099-224192430566-ZERODHA BROKING LI</t>
  </si>
  <si>
    <t>UPI-AIRTEL-AIRTEL.RZP@MAIRTEL-AIRP0000001-224220385884-PAYVIARAZORPAY</t>
  </si>
  <si>
    <t>UPI-ANITA MARIA DESOUZA -ANITAMDD@OKICICI-ICIC0000008-224227771852-UPI</t>
  </si>
  <si>
    <t>UPI-INDIANCLEARINGCORPOR-BSESTARMFRZP@ICICI-ICIC0DC0099-224400190662-ZERODHA BROKING LI</t>
  </si>
  <si>
    <t>UPI-INDIANCLEARINGCORPOR-BSESTARMFRZP@ICICI-ICIC0DC0099-224400192662-ZERODHA BROKING LI</t>
  </si>
  <si>
    <t>UPI-G SRIKANT RAO-GINISRIKANTRAO@OKICICI-PUNB0479400-224474833139-UPI</t>
  </si>
  <si>
    <t>UPI-BUKKA SRI HARI KUMAR-SHKTKD2123@OKHDFCBANK-HDFC0004886-224474861917-UPI</t>
  </si>
  <si>
    <t>UPI-XXXXXX5813-CBIN0281615-224444209128-NA</t>
  </si>
  <si>
    <t>UPI-INDIANCLEARINGCORPOR-BSESTARMFRZP@ICICI-ICIC0DC0099-224503658802-ZERODHA BROKING LI</t>
  </si>
  <si>
    <t>UPI-ACT BROADBAND-PAYTM-ACTHYD2@PAYTM-PYTM0123456-224529599966-OIDCWPGR-15492405@</t>
  </si>
  <si>
    <t>UPI-BIGBASKET-BIGBASKET1@PAYTM-PYTM0123456-224500828843-UPI</t>
  </si>
  <si>
    <t>UPI-ATRAEYEE N PURKAIT-REVISEDIET@OKHDFCBANK-HDFC0004117-224502759241-VARSHA MAHAJAN SEP</t>
  </si>
  <si>
    <t>NEFT DR-UTIB0CCH274-MKR EDUCATIONAL SOCIETY-NETBANK, MUM-N245222102795273-VYOM VINAY MAHAJAN</t>
  </si>
  <si>
    <t>UPI-ZEPTONOW-CFZEPTONOW@ICICI-ICIC0DC0099-224772871814-NA</t>
  </si>
  <si>
    <t>UPI-INDIANCLEARINGCORPOR-BSESTARMFRZP@ICICI-ICIC0DC0099-224811060352-ZERODHA BROKING LI</t>
  </si>
  <si>
    <t>UPI-SARDAR PARMINDER SIN-PARAM2625@OKSBI-SBIN0003605-224874970041-UPI</t>
  </si>
  <si>
    <t>UPI-INDIANCLEARINGCORPOR-BSESTARMFRZP@ICICI-ICIC0DC0099-224913644122-ZERODHA BROKING LI</t>
  </si>
  <si>
    <t>UPI-INDIANCLEARINGCORPOR-BSESTARMFRZP@ICICI-ICIC0DC0099-224913646128-ZERODHA BROKING LI</t>
  </si>
  <si>
    <t>UPI-INDIANCLEARINGCORPOR-BSESTARMFRZP@ICICI-ICIC0DC0099-224913647897-ZERODHA BROKING LI</t>
  </si>
  <si>
    <t>UPI-INDIANCLEARINGCORPOR-BSESTARMFRZP@ICICI-ICIC0DC0099-224913649107-ZERODHA BROKING LI</t>
  </si>
  <si>
    <t>UPI-INDIANCLEARINGCORPOR-BSESTARMFRZP@ICICI-ICIC0DC0099-224913650256-ZERODHA BROKING LI</t>
  </si>
  <si>
    <t>UPI-MEDPLUS RAMKY TOWER-PAYTM-68434242@PAYTM-PYTM0123456-224992248554-MEDICAL</t>
  </si>
  <si>
    <t>UPI-INDIANCLEARINGCORPOR-BSESTARMFRZP@ICICI-ICIC0DC0099-225015778430-ZERODHA BROKING LI</t>
  </si>
  <si>
    <t>UPI-BBDAILY-BBDAILY@PAYTM-PYTM0123456-225246581831-BB DAILY</t>
  </si>
  <si>
    <t>UPI-INDIANCLEARINGCORPOR-BSESTARMFRZP@ICICI-ICIC0DC0099-225219748599-ZERODHA BROKING LI</t>
  </si>
  <si>
    <t>UPI-INDIANCLEARINGCORPOR-BSESTARMFRZP@ICICI-ICIC0DC0099-225219749589-ZERODHA BROKING LI</t>
  </si>
  <si>
    <t>UPI-INDIANCLEARINGCORPOR-BSESTARMFRZP@ICICI-ICIC0DC0099-225219750415-ZERODHA BROKING LI</t>
  </si>
  <si>
    <t>UPI-MEDPLUS RAMKY TOWER-PAYTM-68434242@PAYTM-PYTM0123456-225256978218-MEDICAL</t>
  </si>
  <si>
    <t>UPI-INDIANCLEARINGCORPOR-BSESTARMFRZP@ICICI-ICIC0DC0099-225526510248-ZERODHA BROKING LI</t>
  </si>
  <si>
    <t>UPI-INDIANCLEARINGCORPOR-BSESTARMFRZP@ICICI-ICIC0DC0099-225526511439-ZERODHA BROKING LI</t>
  </si>
  <si>
    <t>UPI-INDIANCLEARINGCORPOR-BSESTARMFRZP@ICICI-ICIC0DC0099-225526512494-ZERODHA BROKING LI</t>
  </si>
  <si>
    <t>UPI-ZEPTONOW-CFZEPTONOW@ICICI-ICIC0DC0099-225523709973-UPI</t>
  </si>
  <si>
    <t>UPI-INDIANCLEARINGCORPOR-BSESTARMFRZP@ICICI-ICIC0DC0099-225627739774-ZERODHA BROKING LI</t>
  </si>
  <si>
    <t>UPI-BIGBASKET-BIGBASKET1@PAYTM-PYTM0123456-225642983788-BIG BASKET</t>
  </si>
  <si>
    <t>UPI-BIGBASKET-BIGBASKET1@PAYTM-PYTM0123456-225651185722-BIG BASKET</t>
  </si>
  <si>
    <t>UPI-CHILVA KISHORE REDDY-CHILVERAR@OKHDFCBANK-KKBK0007529-225761271164-UPI</t>
  </si>
  <si>
    <t>UPI-URBAN COMPANY-PAYTM-URBANCOMPANY@PAYTM-PYTM0123456-226033133682-UPI</t>
  </si>
  <si>
    <t>UPI-DELHIVERY LIMITED-DELHIVERY2.PAYU@HDFCBANK-HDFC0000499-226152431148-DRESS</t>
  </si>
  <si>
    <t>UPI-ASHVINI S NAVLEKAR-9573224662@ICICI-ICIC0000029-226140508038-SEND OFF-UPI PAYME</t>
  </si>
  <si>
    <t>UPI-RUCHI D SANTOSHWAR J-7702222549@PAYTM-ICIC0000059-226170593808-VARADAS FAREWELL -</t>
  </si>
  <si>
    <t>UPI-GARGI PAIGAONKAR-GARGI24@OKICICI-ICIC0000011-226182332365-UPI</t>
  </si>
  <si>
    <t>UPI-KISHORE REDDY CH-Q20082480@YBL-YESB0YBLUPI-226272279984-VEGETABLES</t>
  </si>
  <si>
    <t>UPI-INDIANCLEARINGCORPOR-BSESTARMFRZP@ICICI-ICIC0DC0099-226240785831-ZERODHA BROKING LI</t>
  </si>
  <si>
    <t>UPI-INDIANCLEARINGCORPOR-BSESTARMFRZP@ICICI-ICIC0DC0099-226240786685-ZERODHA BROKING LI</t>
  </si>
  <si>
    <t>UPI-INDIANCLEARINGCORPOR-BSESTARMFRZP@ICICI-ICIC0DC0099-226240787553-ZERODHA BROKING LI</t>
  </si>
  <si>
    <t>UPI-INDIANCLEARINGCORPOR-BSESTARMFRZP@ICICI-ICIC0DC0099-226240788723-ZERODHA BROKING LI</t>
  </si>
  <si>
    <t>UPI-INDIANCLEARINGCORPOR-BSESTARMFRZP@ICICI-ICIC0DC0099-226240789520-ZERODHA BROKING LI</t>
  </si>
  <si>
    <t>UPI-INDIANCLEARINGCORPOR-BSESTARMFRZP@ICICI-ICIC0DC0099-226343188208-ZERODHA BROKING LI</t>
  </si>
  <si>
    <t>UPI-BIGBASKET-BIGBASKET1@PAYTM-PYTM0123456-226305282243-BIG BASKET</t>
  </si>
  <si>
    <t>UPI-INDIANCLEARINGCORPOR-BSESTARMFRZP@ICICI-ICIC0DC0099-226445976861-ZERODHA BROKING LI</t>
  </si>
  <si>
    <t>UPI-INDIANCLEARINGCORPOR-BSESTARMFRZP@ICICI-ICIC0DC0099-226445978772-ZERODHA BROKING LI</t>
  </si>
  <si>
    <t>UPI-UNDRU AYYAPPA-AYYAPPAUNDRU1@YBL-UBIN0921084-226428009996-GROCERY</t>
  </si>
  <si>
    <t>UPI-ATRAEYEE N PURKAIT-REVISEDIET@OKHDFCBANK-HDFC0004117-226434091877-NAVRATRI DIET</t>
  </si>
  <si>
    <t>UPI-INDIANCLEARINGCORPOR-BSESTARMFRZP@ICICI-ICIC0DC0099-226548090193-ZERODHA BROKING LI</t>
  </si>
  <si>
    <t>50400265895462- RD INSTALLMENT-SEP 2022</t>
  </si>
  <si>
    <t>NEFT CR-CHAS0INBX01-SALARY FOR SEP-2022 JOHNSON   JOHNSON PRIVATE LIMI-VARSHA MAHAJAN-CHASO22264855202</t>
  </si>
  <si>
    <t>UPI-BIGTREE ENTERTAINMEN-BOOKMYSHOW1@AXISBANK-UTIB0000415-226660789445-UPI</t>
  </si>
  <si>
    <t>UPI-KISHORE REDDY CH-Q20082480@YBL-YESB0YBLUPI-226661514644-VEGGIES</t>
  </si>
  <si>
    <t>IMPS-226610352316-VARSHA MAHAJAN-ICIC-XXXXXXXX3248-SELF TRANSFER</t>
  </si>
  <si>
    <t>UPI-INDIANCLEARINGCORPOR-BSESTARMFRZP@ICICI-ICIC0DC0099-226651667606-ZERODHA BROKING LI</t>
  </si>
  <si>
    <t>UPI-BUKKA SRI HARI KUMAR-SHKTKD2123@OKHDFCBANK-HDFC0004886-226674507395-UPI</t>
  </si>
  <si>
    <t>UPI-T SHIVASHANKER-Q732155297@YBL-PUNB0131310-226784703517-BREAD</t>
  </si>
  <si>
    <t>UPI-INDIANCLEARINGCORPOR-BSESTARMFRZP@ICICI-ICIC0DC0099-226855285719-ZERODHA BROKING LI</t>
  </si>
  <si>
    <t>50400251539337- RD INSTALLMENT-SEP 2022</t>
  </si>
  <si>
    <t>UPI-GARGI PAIGAONKAR-GARGI24@OKICICI-ICIC0000011-226975648942-UPI</t>
  </si>
  <si>
    <t>UPIRET-20220924-226784703517</t>
  </si>
  <si>
    <t>UPI-INDIANCLEARINGCORPOR-BSESTARMFRZP@ICICI-ICIC0DC0099-227059536040-ZERODHA BROKING LI</t>
  </si>
  <si>
    <t>UPI-INDIANCLEARINGCORPOR-BSESTARMFRZP@ICICI-ICIC0DC0099-227059536417-ZERODHA BROKING LI</t>
  </si>
  <si>
    <t>UPI-INDIANCLEARINGCORPOR-BSESTARMFRZP@ICICI-ICIC0DC0099-227161625999-ZERODHA BROKING LI</t>
  </si>
  <si>
    <t>UPI-NETFLIX COM-NETFLIXUPI.PAYU@HDFCBANK-HDFC0000499-227209110356-MONTHLY AUTOPAY. C</t>
  </si>
  <si>
    <t>UPI-DELHIVERY LIMITED-DELHIVERY2.PAYU@HDFCBANK-HDFC0000499-227299602220-CAPRIS</t>
  </si>
  <si>
    <t>UPI-MEDPLUS RAMKY TOWER-PAYTM-68434242@PAYTM-PYTM0123456-227211367183-MEDICINE</t>
  </si>
  <si>
    <t>ACH C- AOSPS2188F-AY2022-23-CE2220046171</t>
  </si>
  <si>
    <t>UPI-T SHIVASHANKER-Q576363734@YBL-PUNB0131310-227333876181-CURD</t>
  </si>
  <si>
    <t>UPI-T SHIVASHANKER-Q576363734@YBL-PUNB0131310-227333939774-BREAD</t>
  </si>
  <si>
    <t>UPI-XXXXXX5813-CBIN0281615-227502176291-NA</t>
  </si>
  <si>
    <t>UPI-G SRIKANT RAO-GINISRIKANTRAO@OKICICI-PUNB0479400-227569674252-UPI</t>
  </si>
  <si>
    <t>UPI-GOOGLEPAY-GOOG-PAYMENT@OKAXIS-UTIB0000553-227561853078-UPI</t>
  </si>
  <si>
    <t>UPI-BUKKA SRI HARI KUMAR-SHKTKD2123@OKHDFCBANK-HDFC0004886-227569712045-UPI</t>
  </si>
  <si>
    <t>UPI-ZEPTONOW-CASHFREEZEPTONOW@YESBANK-YESB0000022-227569977281-ZEPTO</t>
  </si>
  <si>
    <t>UPI-ACT BROADBAND-PAYTM-ACTHYD2@PAYTM-PYTM0123456-227586968610-OIDCWPGR-15831912@</t>
  </si>
  <si>
    <t>UPI-RAZORPAYBHARATQR-RAZORPAYBQR@ICICI-ICIC0DC0099-227582604230-DIVINE MATERIAL</t>
  </si>
  <si>
    <t>UPI-GOOGLEPAY-GOOG-PAYMENT@OKAXIS-UTIB0000553-227574381652-UPI</t>
  </si>
  <si>
    <t>UPI-INDIANCLEARINGCORPOR-BSESTARMFRZP@ICICI-ICIC0DC0099-227676437076-ZERODHA BROKING LI</t>
  </si>
  <si>
    <t>UPI-INDIANCLEARINGCORPOR-BSESTARMFRZP@ICICI-ICIC0DC0099-227676440551-ZERODHA BROKING LI</t>
  </si>
  <si>
    <t>UPI-INDIANCLEARINGCORPOR-BSESTARMFRZP@ICICI-ICIC0DC0099-227676442553-ZERODHA BROKING LI</t>
  </si>
  <si>
    <t>UPI-INDIANCLEARINGCORPOR-BSESTARMFRZP@ICICI-ICIC0DC0099-227676445819-ZERODHA BROKING LI</t>
  </si>
  <si>
    <t>UPI-INDIANCLEARINGCORPOR-BSESTARMFRZP@ICICI-ICIC0DC0099-227778440726-ZERODHA BROKING LI</t>
  </si>
  <si>
    <t>UPI-KISHORE REDDY CH-Q20082480@YBL-YESB0YBLUPI-227718844032-VEGETABLES</t>
  </si>
  <si>
    <t>UPI-MEDPLUS RAMKY TOWER-PAYTM-68434242@PAYTM-PYTM0123456-227720670256-UPI</t>
  </si>
  <si>
    <t>UPI-ZEPTO-ZEPTO.RZP@AXISBANK-UTIB0000100-227724423050-ZEPTO</t>
  </si>
  <si>
    <t>UPI-BBDAILY-BBDAILY@PAYTM-PYTM0123456-227751962019-UPI</t>
  </si>
  <si>
    <t>UPI-ATRAEYEE N PURKAIT-REVISEDIET@OKHDFCBANK-HDFC0004117-227847760010-VARSHA MAHAJAN OCT</t>
  </si>
  <si>
    <t>UPI-BIGBASKET-BIGBASKET1@PAYTM-PYTM0123456-227962846785-BIG BASKET</t>
  </si>
  <si>
    <t>UPI-INDIANCLEARINGCORPOR-BSESTARMFRZP@ICICI-ICIC0DC0099-227984056414-ZERODHA BROKING LI</t>
  </si>
  <si>
    <t>UPI-INDIANCLEARINGCORPOR-BSESTARMFRZP@ICICI-ICIC0DC0099-227984061525-ZERODHA BROKING LI</t>
  </si>
  <si>
    <t>UPI-INDIANCLEARINGCORPOR-BSESTARMFRZP@ICICI-ICIC0DC0099-227984064901-ZERODHA BROKING LI</t>
  </si>
  <si>
    <t>UPI-INDIANCLEARINGCORPOR-BSESTARMFRZP@ICICI-ICIC0DC0099-227985845379-ZERODHA BROKING LI</t>
  </si>
  <si>
    <t>UPI-INDIANCLEARINGCORPOR-BSESTARMFRZP@ICICI-ICIC0DC0099-228189921276-ZERODHA BROKING LI</t>
  </si>
  <si>
    <t>UPI-INDIANCLEARINGCORPOR-BSESTARMFRZP@ICICI-ICIC0DC0099-228497721010-ZERODHA BROKING LI</t>
  </si>
  <si>
    <t>UPI-INDIANCLEARINGCORPOR-BSESTARMFRZP@ICICI-ICIC0DC0099-228497723009-ZERODHA BROKING LI</t>
  </si>
  <si>
    <t>UPI-INDIANCLEARINGCORPOR-BSESTARMFRZP@ICICI-ICIC0DC0099-228497724760-ZERODHA BROKING LI</t>
  </si>
  <si>
    <t>UPI-INDIANCLEARINGCORPOR-BSESTARMFRZP@ICICI-ICIC0DC0099-228497725857-ZERODHA BROKING LI</t>
  </si>
  <si>
    <t>UPI-BIGBASKET-BIGBASKET1@PAYTM-PYTM0123456-228491393107-BIG BASKET</t>
  </si>
  <si>
    <t>UPI-GEDDIT CONVENIENCE P-PAYTM-66490784@PAYTM-PYTM0123456-228491488552-UPI</t>
  </si>
  <si>
    <t>UPI-RAJPATI RAMNATH YADA-RAJPATIMH9780@OKHDFCBANK-BARB0KURLAX-228505799957-AUTO</t>
  </si>
  <si>
    <t>UPI-LAXMI SUPER MARKET-Q242202418@YBL-YESB0YBLUPI-228508070833-GROCERY</t>
  </si>
  <si>
    <t>UPI-VIN R EYE CARE CENTR-VINREYECARECENTRE@ICICI-ICIC0DC0099-228514475346-EYE SURGERY</t>
  </si>
  <si>
    <t>UPI-INDIANCLEARINGCORPOR-BSESTARMFRZP@ICICI-ICIC0DC0099-228502510444-ZERODHA BROKING LI</t>
  </si>
  <si>
    <t>UPI-INDIANCLEARINGCORPOR-BSESTARMFRZP@ICICI-ICIC0DC0099-228502513711-ZERODHA BROKING LI</t>
  </si>
  <si>
    <t>UPI-RAMESH CHOUDHARY-PAYTMQR281005050101123M47XSPKX6@PAYTM-PYTM0123456-228632167668-SHAMPOO</t>
  </si>
  <si>
    <t>UPI-INDIANCLEARINGCORPOR-BSESTARMFRZP@ICICI-ICIC0DC0099-228706063862-ZERODHA BROKING LI</t>
  </si>
  <si>
    <t>UPI-AMAZING BOUTIQUE-MDYSKHADEER007.AB-1@OKHDFCBANK-HDFC0003739-228917539022-SAREE BLOUSE TOPS</t>
  </si>
  <si>
    <t>UPI-PARMEET KAUR  SALUJA-DIMPLESALUJA1010@OKSBI-SBIN0011081-229312057277-DIWALI LADDOOS VAR</t>
  </si>
  <si>
    <t>NEFT CR-CHAS0INBX01-SALARY FOR OCT-2022 JOHNSON   JOHNSON PRIVATE LIMI-VARSHA MAHAJAN-CHASP22292515532</t>
  </si>
  <si>
    <t>UPI-INDIANCLEARINGCORPOR-BSESTARMFRZP@ICICI-ICIC0DC0099-229424691979-ZERODHA BROKING LI</t>
  </si>
  <si>
    <t>UPI-INDIANCLEARINGCORPOR-BSESTARMFRZP@ICICI-ICIC0DC0099-229424694285-ZERODHA BROKING LI</t>
  </si>
  <si>
    <t>UPI-INDIANCLEARINGCORPOR-BSESTARMFRZP@ICICI-ICIC0DC0099-229424695796-ZERODHA BROKING LI</t>
  </si>
  <si>
    <t>UPI-INDIANCLEARINGCORPOR-BSESTARMFRZP@ICICI-ICIC0DC0099-229424697372-ZERODHA BROKING LI</t>
  </si>
  <si>
    <t>UPI-INDIANCLEARINGCORPOR-BSESTARMFRZP@ICICI-ICIC0DC0099-229424698934-ZERODHA BROKING LI</t>
  </si>
  <si>
    <t>UPI-INDIANCLEARINGCORPOR-BSESTARMFRZP@ICICI-ICIC0DC0099-229424700702-ZERODHA BROKING LI</t>
  </si>
  <si>
    <t>UPI-XXXXXX5813-CBIN0281615-229424776580-NA</t>
  </si>
  <si>
    <t>UPI-RAJBALI  UPADHYAY-JANMEJAY1978UPADHYAY@OKICICI-SBIN0015250-229428391711-CAB</t>
  </si>
  <si>
    <t>UPI-FOODYS  OUTLET 2-Q577844698@YBL-YESB0YBLUPI-229430693458-WATER</t>
  </si>
  <si>
    <t>UPI-SACHIN DESAI-SACRULES-1@OKHDFCBANK-HDFC0000015-229564073789-UPI</t>
  </si>
  <si>
    <t>50400265895462- RD INSTALLMENT-OCT 2022</t>
  </si>
  <si>
    <t>UPI-INDIANCLEARINGCORPOR-BSESTARMFRZP@ICICI-ICIC0DC0099-229835246092-ZERODHA BROKING LI</t>
  </si>
  <si>
    <t>50400251539337- RD INSTALLMENT-OCT 2022</t>
  </si>
  <si>
    <t>UPI-INDIANCLEARINGCORPOR-BSESTARMFRZP@ICICI-ICIC0DC0099-230037670975-ZERODHA BROKING LI</t>
  </si>
  <si>
    <t>UPI-INDIANCLEARINGCORPOR-BSESTARMFRZP@ICICI-ICIC0DC0099-230037672265-ZERODHA BROKING LI</t>
  </si>
  <si>
    <t>IMPS-230008377356-VARSHA MAHAJAN-ICIC-XXXXXXXX3248-SELF TRANSFER</t>
  </si>
  <si>
    <t>UPI-BIGBASKET-BIGBASKET1@PAYTM-PYTM0123456-230164918702-BIG BASKET</t>
  </si>
  <si>
    <t>UPI-NETFLIX COM-NETFLIXUPI.PAYU@HDFCBANK-HDFC0000499-230165031355-MONTHLY AUTOPAY. C</t>
  </si>
  <si>
    <t>UPI-PALLETI SHWETHA REDD-PALLETI.SHWETHA@OKICICI-KKBK0007466-230424781132-UPI</t>
  </si>
  <si>
    <t>UPI-URBANCLAP-URBANCLAP.RZP@AXISBANK-UTIB0001506-230429613749-UPI</t>
  </si>
  <si>
    <t>UPI-INDIANCLEARINGCORPOR-BSESTARMFRZP@ICICI-ICIC0DC0099-230448925569-ZERODHA BROKING LI</t>
  </si>
  <si>
    <t>UPI-BUKKA SRI HARI KUMAR-SHKTKD2123@OKHDFCBANK-HDFC0004886-230679998140-UPI</t>
  </si>
  <si>
    <t>UPI-G SRIKANT RAO-GINISRIKANTRAO@OKICICI-PUNB0479400-230680040985-UPI</t>
  </si>
  <si>
    <t>UPI-INDIANCLEARINGCORPOR-BSESTARMFRZP@ICICI-ICIC0DC0099-230653810080-ZERODHA BROKING LI</t>
  </si>
  <si>
    <t>UPI-INDIANCLEARINGCORPOR-BSESTARMFRZP@ICICI-ICIC0DC0099-230653833803-ZERODHA BROKING LI</t>
  </si>
  <si>
    <t>UPI-ACT BROADBAND-PAYTM-ACTHYD2@PAYTM-PYTM0123456-230698469830-OIDCWPGR-16222986@</t>
  </si>
  <si>
    <t>UPI-BIG BASKET-BIGBASKET.EBZ@HDFCBANK-HDFC0001794-230798767229-BIG BASKET</t>
  </si>
  <si>
    <t>UPI-INDIANCLEARINGCORPOR-BSESTARMFRZP@ICICI-ICIC0DC0099-230758379759-ZERODHA BROKING LI</t>
  </si>
  <si>
    <t>UPI-INDIANCLEARINGCORPOR-BSESTARMFRZP@ICICI-ICIC0DC0099-230758381596-ZERODHA BROKING LI</t>
  </si>
  <si>
    <t>UPI-INDIANCLEARINGCORPOR-BSESTARMFRZP@ICICI-ICIC0DC0099-230758382815-ZERODHA BROKING LI</t>
  </si>
  <si>
    <t>UPI-CHILVA KISHORE REDDY-CHILVERAR@OKSBI-KKBK0007529-230950820738-UPI</t>
  </si>
  <si>
    <t>UPI-GEDDIT CONVENIENCE P-GEDDITZEPTO.BDPG@ICICI-ICIC0DC0099-231073728787-UPI</t>
  </si>
  <si>
    <t>UPI-ATRAEYEE N PURKAIT-REVISEDIET@OKHDFCBANK-HDFC0004117-231078005792-VARSHA MAHAJAN NOV</t>
  </si>
  <si>
    <t>UPI-VANDITHA SHENOY U-VANDITHA.SHENOYU2000@OKHDFCBANK-HDFC0001299-231083324742-UPI</t>
  </si>
  <si>
    <t>UPI-SUBHA PRABHU-SUBHAPRABHU2014@OKAXIS-IBKL0000452-231011475223-SUBHA</t>
  </si>
  <si>
    <t>UPI-REEMA PARNAIK-8800896871@PAYTM-UBIN0535273-231031537479-NA</t>
  </si>
  <si>
    <t>UPI-MEENAKSHI SREENIVASA-MEENPRI8@OKICICI-ICIC0000020-231030754838-ISHA LUNCH</t>
  </si>
  <si>
    <t>UPI-JYOTSNA AVINASH-VAIDYAJONES@OKHDFCBANK-HDFC0002023-231085327002-COFFEE</t>
  </si>
  <si>
    <t>UPI-BBDAILY-BBDAILY@PAYTM-PYTM0123456-231113473393-BB DAIL</t>
  </si>
  <si>
    <t>UPI-INDIANCLEARINGCORPOR-BSESTARMFRZP@ICICI-ICIC0DC0099-231169125502-ZERODHA BROKING LI</t>
  </si>
  <si>
    <t>UPI-INDIANCLEARINGCORPOR-BSESTARMFRZP@ICICI-ICIC0DC0099-231169130647-ZERODHA BROKING LI</t>
  </si>
  <si>
    <t>UPI-INDIANCLEARINGCORPOR-BSESTARMFRZP@ICICI-ICIC0DC0099-231169134798-ZERODHA BROKING LI</t>
  </si>
  <si>
    <t>UPI-INDIANCLEARINGCORPOR-BSESTARMFRZP@ICICI-ICIC0DC0099-231169139288-ZERODHA BROKING LI</t>
  </si>
  <si>
    <t>UPI-URBAN COMPANY-URBANCOMPANY.RZP@AXISBANK-UTIB0000100-231229370789-UPI</t>
  </si>
  <si>
    <t>UPI REM 20221107-231169134798</t>
  </si>
  <si>
    <t>UPI-INDIANCLEARINGCORPOR-BSESTARMFRZP@ICICI-ICIC0DC0099-231476295123-ZERODHA BROKING LI</t>
  </si>
  <si>
    <t>UPI-INDIANCLEARINGCORPOR-BSESTARMFRZP@ICICI-ICIC0DC0099-231476297797-ZERODHA BROKING LI</t>
  </si>
  <si>
    <t>UPI-INDIANCLEARINGCORPOR-BSESTARMFRZP@ICICI-ICIC0DC0099-231476302506-ZERODHA BROKING LI</t>
  </si>
  <si>
    <t>UPI-INDIANCLEARINGCORPOR-BSESTARMFRZP@ICICI-ICIC0DC0099-231476308906-ZERODHA BROKING LI</t>
  </si>
  <si>
    <t>UPI-MEDPLUS RAMKY TOWER-PAYTM-68434242@PAYTM-PYTM0123456-231494926084-MEDICAL</t>
  </si>
  <si>
    <t>UPI-INDIANCLEARINGCORPOR-BSESTARMFRZP@ICICI-ICIC0DC0099-231580026725-ZERODHA BROKING LI</t>
  </si>
  <si>
    <t>UPI-MEDPLUS RAMKY TOWER-PAYTM-68434242@PAYTM-PYTM0123456-231519070233-MEDICAL</t>
  </si>
  <si>
    <t>UPI-INDIANCLEARINGCORPOR-BSESTARMFRZP@ICICI-ICIC0DC0099-231990362776-ZERODHA BROKING LI</t>
  </si>
  <si>
    <t>UPI-INDIANCLEARINGCORPOR-BSESTARMFRZP@ICICI-ICIC0DC0099-231990366362-ZERODHA BROKING LI</t>
  </si>
  <si>
    <t>UPI-INDIANCLEARINGCORPOR-BSESTARMFRZP@ICICI-ICIC0DC0099-231990368493-ZERODHA BROKING LI</t>
  </si>
  <si>
    <t>UPI-INDIANCLEARINGCORPOR-BSESTARMFRZP@ICICI-ICIC0DC0099-231990370917-ZERODHA BROKING LI</t>
  </si>
  <si>
    <t>UPI-INDIANCLEARINGCORPOR-BSESTARMFRZP@ICICI-ICIC0DC0099-231990375105-ZERODHA BROKING LI</t>
  </si>
  <si>
    <t>UPI-UNDRU AYYAPPA-AYYAPPAUNDRU1@YBL-UBIN0921084-232096940710-HIT</t>
  </si>
  <si>
    <t>UPI-INDIANCLEARINGCORPOR-BSESTARMFRZP@ICICI-ICIC0DC0099-232194941486-ZERODHA BROKING LI</t>
  </si>
  <si>
    <t>UPI-INDIANCLEARINGCORPOR-BSESTARMFRZP@ICICI-ICIC0DC0099-232297694830-ZERODHA BROKING LI</t>
  </si>
  <si>
    <t>UPI-RAZORPAYBHARATQR-RAZORPAYBQR@ICICI-ICIC0DC0099-232549412838-LEGGINGS</t>
  </si>
  <si>
    <t>UPI-GEDDIT CONVENIENCE P-GEDDITZEPTO.BDPG@ICICI-ICIC0DC0099-232666610253-ZEPTO</t>
  </si>
  <si>
    <t>UPI-DIVYA LAMBA-RECEPTION.CCS-1@OKHDFCBANK-HDFC0001562-232677451167-BINDING AND LAMINA</t>
  </si>
  <si>
    <t>UPI-INDIANCLEARINGCORPOR-BSESTARMFRZP@ICICI-ICIC0DC0099-232610967226-ZERODHA BROKING LI</t>
  </si>
  <si>
    <t>UPI-INDIANCLEARINGCORPOR-BSESTARMFRZP@ICICI-ICIC0DC0099-232610969976-ZERODHA BROKING LI</t>
  </si>
  <si>
    <t>UPI-INDIANCLEARINGCORPOR-BSESTARMFRZP@ICICI-ICIC0DC0099-232610972854-ZERODHA BROKING LI</t>
  </si>
  <si>
    <t>50400265895462- RD INSTALLMENT-NOV 2022</t>
  </si>
  <si>
    <t>UPI-GEDDIT CONVENIENCE P-PAYTM-66490784@PAYTM-PYTM0123456-232705357165-ZEPTO</t>
  </si>
  <si>
    <t>UPI-RAMESH MOHANDAS BHAT-DRPOORNIMARAMESH@OKSBI-SBIN0018407-232812290972-VELA AND GARGI CAK</t>
  </si>
  <si>
    <t>UPI-BIGBASKET-BIGBASKET1@PAYTM-PYTM0123456-232812432677-BIG BASKET</t>
  </si>
  <si>
    <t>NEFT CR-CHAS0INBX01-SALARY FOR NOV-2022 JOHNSON   JOHNSON PRIVATE LIMI-VARSHA MAHAJAN-CHASQ22327302109</t>
  </si>
  <si>
    <t>IMPS-232907331373-VARSHA MAHAJAN-ICIC-XXXXXXXX3248-SELF TRANSFER</t>
  </si>
  <si>
    <t>50400251539337- RD INSTALLMENT-NOV 2022</t>
  </si>
  <si>
    <t>UPI-INDIANCLEARINGCORPOR-BSESTARMFRZP@ICICI-ICIC0DC0099-233019350314-ZERODHA BROKING LI</t>
  </si>
  <si>
    <t>UPI-RAMESH MOHANDAS BHAT-DRPOORNIMARAMESH@OKSBI-SBIN0018407-233064268690-UPI</t>
  </si>
  <si>
    <t>UPI-ZEPTONOW-CFZEPTONOW@ICICI-ICIC0DC0099-233179987706-ZEPTO</t>
  </si>
  <si>
    <t>UPI-MAKEMYTRIP-MAKEMYTRIP@ICICI-ICIC0DC0099-233189856968-LATUR SAROVAR PORT</t>
  </si>
  <si>
    <t>UPI-NETFLIX COM-NETFLIXUPI.PAYU@HDFCBANK-HDFC0000499-233323388454-MONTHLY AUTOPAY. C</t>
  </si>
  <si>
    <t>UPI-INDIANCLEARINGCORPOR-BSESTARMFRZP@ICICI-ICIC0DC0099-233328328161-ZERODHA BROKING LI</t>
  </si>
  <si>
    <t>UPI-INDIANCLEARINGCORPOR-BSESTARMFRZP@ICICI-ICIC0DC0099-233328332372-ZERODHA BROKING LI</t>
  </si>
  <si>
    <t>UPI-ZEPTONOW-CFZEPTONOW@ICICI-ICIC0DC0099-233335721886-ZEPTO</t>
  </si>
  <si>
    <t>UPI-GEDDIT CONVENIENCE P-GEDDITZEPTO.BDPG@ICICI-ICIC0DC0099-233453600083-ZEPTO</t>
  </si>
  <si>
    <t xml:space="preserve">CMS/ CMS2986692977/ICICI PRUDENTIAL MUTUAL FUND   </t>
  </si>
  <si>
    <t>NEFT-FBLIC2235323786-LIC INDIA D092-//FAST-1775020</t>
  </si>
  <si>
    <t xml:space="preserve">CMS/001113465364/ICICIPRULIFEINS__24516375        </t>
  </si>
  <si>
    <t xml:space="preserve">BIL/BPAY/000567572932/FastagRecharge/FSTGRCH      </t>
  </si>
  <si>
    <t xml:space="preserve">CMS/001117249880/ICICIPRULIFEINS__21130963        </t>
  </si>
  <si>
    <t xml:space="preserve">008801013248:Int.Pd:30-09-2022 to 30-12-2022      </t>
  </si>
  <si>
    <t>UPI-XXXXXX5813-CBIN0281615-233548095613-NA</t>
  </si>
  <si>
    <t>UPI-G SRIKANT RAO-GINISRIKANTRAO@OKICICI-PUNB0479400-233586660699-UPI</t>
  </si>
  <si>
    <t>UPI-ACT BROADBAND-PAYTM-ACTHYD2@PAYTM-PYTM0123456-233694229461-OIDCWPGR-16563967@</t>
  </si>
  <si>
    <t>UPI-INDIANCLEARINGCORPOR-BSESTARMFRZP@ICICI-ICIC0DC0099-233740076383-ZERODHA BROKING LI</t>
  </si>
  <si>
    <t>UPI-INDIANCLEARINGCORPOR-BSESTARMFRZP@ICICI-ICIC0DC0099-233740077357-ZERODHA BROKING LI</t>
  </si>
  <si>
    <t>UPI-BHARTI AIRTEL LIMITE-AIRTELCOMMONPOOL@MAIRTEL-AIRP0000001-233718111338-PAYMENT FROM AIRTE</t>
  </si>
  <si>
    <t>UPI-ATRAEYEE N PURKAIT-REVISEDIET@OKHDFCBANK-HDFC0004117-233999582775-VARSHA MAHAJAN DEC</t>
  </si>
  <si>
    <t>UPI-GEDDIT CONVENIENCE P-PAYTM-66490784@PAYTM-PYTM0123456-234004524848-UPI</t>
  </si>
  <si>
    <t>UPI-INDIANCLEARINGCORPOR-BSESTARMFRZP@ICICI-ICIC0DC0099-234152264585-ZERODHA BROKING LI</t>
  </si>
  <si>
    <t>UPI-INDIANCLEARINGCORPOR-BSESTARMFRZP@ICICI-ICIC0DC0099-234152265524-ZERODHA BROKING LI</t>
  </si>
  <si>
    <t>UPI-INDIANCLEARINGCORPOR-BSESTARMFRZP@ICICI-ICIC0DC0099-234152266026-ZERODHA BROKING LI</t>
  </si>
  <si>
    <t>UPI-INDIANCLEARINGCORPOR-BSESTARMFRZP@ICICI-ICIC0DC0099-234152266469-ZERODHA BROKING LI</t>
  </si>
  <si>
    <t>UPI-INDIANCLEARINGCORPOR-BSESTARMFRZP@ICICI-ICIC0DC0099-234152266918-ZERODHA BROKING LI</t>
  </si>
  <si>
    <t>UPI-GEDDIT CONVENIENCE P-GEDDITCONVENIENCE.RZP@SBI-SBIN0016209-234255048380-ZEPTO</t>
  </si>
  <si>
    <t>UPI-INDIANCLEARINGCORPOR-BSESTARMFRZP@ICICI-ICIC0DC0099-234255553207-ZERODHA BROKING LI</t>
  </si>
  <si>
    <t>UPI-SHANTHAMMA FRUITS AN-SHANTHAMMAFRUITS@ICICI-ICIC0DC0099-234255834599-VEGETABLES</t>
  </si>
  <si>
    <t>UPI-MANJIRI J JOSHI-MANJIRISTAR@OKHDFCBANK-HDFC0009095-234382129922-UPI</t>
  </si>
  <si>
    <t>UPI-SACHIN VITHAL RAO BO-SACHIN.BOMANWAR@OKHDFCBANK-HDFC0009095-234383770638-RUCHI</t>
  </si>
  <si>
    <t>UPI-VARADA  PRABHU-VARADA.PRABHU6-1@OKHDFCBANK-SBIN0011081-234410236254-UPI</t>
  </si>
  <si>
    <t>UPI-SHAIK   RAHUL-7680091189@IBL-KKBK0007843-234541076599-APELLA</t>
  </si>
  <si>
    <t>UPI-M  BHASKER-9989241542@YBL-SBIN0021740-271117331296-PAYMENT FROM PHONE</t>
  </si>
  <si>
    <t>UPI-THULVA  RAMESH-RAVIK75901-1@OKSBI-SBIN0021830-234670711623-IGNIS SERVICE</t>
  </si>
  <si>
    <t>UPI-GEDDIT CONVENIENCE P-PAYTM-66490784@PAYTM-PYTM0123456-234676319957-ZEPTO</t>
  </si>
  <si>
    <t>UPI-GARGI PAIGAONKAR-GARGI24@OKICICI-ICIC0000011-234662155932-UPI</t>
  </si>
  <si>
    <t>UPI-VARADA PRABHU-VARADAPRABHU@ICICI-ICIC0DC0099-234790480115-KNIT WEAR</t>
  </si>
  <si>
    <t>UPI-INDIANCLEARINGCORPOR-BSESTARMFRZP@ICICI-ICIC0DC0099-234773130011-ZERODHA BROKING LI</t>
  </si>
  <si>
    <t>UPI-INDIANCLEARINGCORPOR-BSESTARMFRZP@ICICI-ICIC0DC0099-234773131608-ZERODHA BROKING LI</t>
  </si>
  <si>
    <t>UPI-INDIANCLEARINGCORPOR-BSESTARMFRZP@ICICI-ICIC0DC0099-234773132501-ZERODHA BROKING LI</t>
  </si>
  <si>
    <t>UPI-INDIANCLEARINGCORPOR-BSESTARMFRZP@ICICI-ICIC0DC0099-234773133315-ZERODHA BROKING LI</t>
  </si>
  <si>
    <t>UPI-MD  ABDUL KHALEEL-9502640086M@OKSBI-SBIN0003026-234853022037-HINDWARE VISIT AND</t>
  </si>
  <si>
    <t>UPI-RAZORPAYBHARATQR-RAZORPAYBQR@ICICI-ICIC0DC0099-234813529764-UPI</t>
  </si>
  <si>
    <t>UPI-GEDDIT CONVENIENCE P-GEDDITZEPTO.BDPG@ICICI-ICIC0DC0099-234820906123-ZEPTO</t>
  </si>
  <si>
    <t>UPI-KISHORE REDDY CH-Q20082480@YBL-YESB0YBLUPI-234926613960-VEGETABLES</t>
  </si>
  <si>
    <t>UPI-T SHIVASHANKER-Q576363734@YBL-PUNB0131310-234926623816-GHEE</t>
  </si>
  <si>
    <t>UPI-MAKE MY TRIP INDIA P-MAKEMYTRIP@HDFCBANK-HDFC0000499-234956207856-PAYMENT REQUEST FR</t>
  </si>
  <si>
    <t>UPI-VARADA PRABHU-VARADAPRABHU@ICICI-ICIC0DC0099-235042181073-RUFFLE SCARF</t>
  </si>
  <si>
    <t>UPI-GOOGLEPAY-GOOG-PAYMENT@OKAXIS-UTIB0000553-235017109616-UPI</t>
  </si>
  <si>
    <t>UPI-INDIANCLEARINGCORPOR-BSESTARMFRZP@ICICI-ICIC0DC0099-235182259412-ZERODHA BROKING LI</t>
  </si>
  <si>
    <t>UPI-INDIANCLEARINGCORPOR-BSESTARMFRZP@ICICI-ICIC0DC0099-235182262251-ZERODHA BROKING LI</t>
  </si>
  <si>
    <t>UPI-INDIANCLEARINGCORPOR-BSESTARMFRZP@ICICI-ICIC0DC0099-235182262056-ZERODHA BROKING LI</t>
  </si>
  <si>
    <t>UPI-INDIANCLEARINGCORPOR-BSESTARMFRZP@ICICI-ICIC0DC0099-235182261773-ZERODHA BROKING LI</t>
  </si>
  <si>
    <t>UPI-URBANCLAP-URBANCLAP.RZP@AXISBANK-UTIB0001506-235173823231-UPI</t>
  </si>
  <si>
    <t>UPI-INDIANCLEARINGCORPOR-BSESTARMFRZP@ICICI-ICIC0DC0099-235387870804-ZERODHA BROKING LI</t>
  </si>
  <si>
    <t>UPI-INDIANCLEARINGCORPOR-BSESTARMFRZP@ICICI-ICIC0DC0099-235387873113-ZERODHA BROKING LI</t>
  </si>
  <si>
    <t>ACH D- INDIAN CLEARING CORP-PH91ERU1V6WB</t>
  </si>
  <si>
    <t>ACH D- INDIAN CLEARING CORP-U3YYZU26C7NN</t>
  </si>
  <si>
    <t>ACH D- INDIAN CLEARING CORP-NCCIC8DBYGJS</t>
  </si>
  <si>
    <t>ACH D- INDIAN CLEARING CORP-KKZ6ECVR5O6N</t>
  </si>
  <si>
    <t>ACH D- INDIAN CLEARING CORP-1BI6DBLRFG74</t>
  </si>
  <si>
    <t>50400265895462- RD INSTALLMENT-DEC 2022</t>
  </si>
  <si>
    <t>NEFT CR-CHAS0INBX01-SALARY FOR DEC-2022 JOHNSON   JOHNSON PRIVATE LIMI-VARSHA MAHAJAN-CHASR22355058624</t>
  </si>
  <si>
    <t>ACH D- INDIAN CLEARING CORP-EDI4OI3XRXN4</t>
  </si>
  <si>
    <t>UPI-XXXXXX5813-CBIN0281615-235732481133-NA</t>
  </si>
  <si>
    <t>ACH D- INDIAN CLEARING CORP-LHLFUUFEQ7KQ</t>
  </si>
  <si>
    <t>UPI-URBANCLAP-URBANCLAP.RZP@AXISBANK-UTIB0001506-235831146769-UPI</t>
  </si>
  <si>
    <t>ACH D- INDIAN CLEARING CORP-LB2OX1UZ8932</t>
  </si>
  <si>
    <t>50400251539337- RD INSTALLMENT-DEC 2022</t>
  </si>
  <si>
    <t>ACH D- INDIAN CLEARING CORP-H5GYQ15HPK4G</t>
  </si>
  <si>
    <t>UPI-GUNI MAHESH-MAHIGUNIMAHI@OKICICI-HDFC0002068-236085067323-TIP</t>
  </si>
  <si>
    <t>ACH D- INDIAN CLEARING CORP-6X2933426Z1L</t>
  </si>
  <si>
    <t>ACH D- INDIAN CLEARING CORP-BL8TQC156JPO</t>
  </si>
  <si>
    <t>UPI-SHAIK   RAHUL-7680091189@IBL-KKBK0007843-236220977127-UPI</t>
  </si>
  <si>
    <t>00600310040071-2022221465647</t>
  </si>
  <si>
    <t>00600310040071-2022221465667</t>
  </si>
  <si>
    <t>UPI-NETFLIX COM-NETFLIXUPI.PAYU@HDFCBANK-HDFC0000499-236279462660-MONTHLY AUTOPAY. C</t>
  </si>
  <si>
    <t>UPI-MANJIRI J JOSHI-MANJIRISTAR@OKHDFCBANK-HDFC0009095-236594526061-UPI</t>
  </si>
  <si>
    <t>CMS/ CMS3047972663/ICICI PRUDENTIAL MUTUAL FUND</t>
  </si>
  <si>
    <t>CMS/001132640809/ICICIPRULIFEINS__24516375</t>
  </si>
  <si>
    <t>CMS/001136011507/ICICIPRULIFEINS__21130963</t>
  </si>
  <si>
    <t>UPI-BBDAILY-BBDAILY@PAYTM-PYTM0123456-300114086061-UPI</t>
  </si>
  <si>
    <t>ACH D- INDIAN CLEARING CORP-1CFIFZN31WND</t>
  </si>
  <si>
    <t>ACH D- INDIAN CLEARING CORP-OHJDEXQMU254</t>
  </si>
  <si>
    <t>ACH D- INDIAN CLEARING CORP-L3Q5V6VOA3LH</t>
  </si>
  <si>
    <t>ACH D- INDIAN CLEARING CORP-FGT521B9TUT1</t>
  </si>
  <si>
    <t>ACH D- INDIAN CLEARING CORP-RMSQ3UKNTUGR</t>
  </si>
  <si>
    <t>ACH D- INDIAN CLEARING CORP-YQYCQXWUSRNL</t>
  </si>
  <si>
    <t>00600310040071-2022221468586</t>
  </si>
  <si>
    <t>00600310040071-2022221468587</t>
  </si>
  <si>
    <t>00600310040071-2022221468684</t>
  </si>
  <si>
    <t>ACH D- INDIAN CLEARING CORP-2IY2KDVYMI3K</t>
  </si>
  <si>
    <t>UPI-G SRIKANT RAO-GINISRIKANTRAO@OKICICI-PUNB0479400-300409378944-UPI</t>
  </si>
  <si>
    <t>UPI-ACT BROADBAND-PAYTM-ACTHYD2@PAYTM-PYTM0123456-300492203320-OIDCWPGR-16926817@</t>
  </si>
  <si>
    <t>ACH D- INDIAN CLEARING CORP-AI5427ZJIKSZ</t>
  </si>
  <si>
    <t>ACH D- INDIAN CLEARING CORP-SMFGM55ZXVU8</t>
  </si>
  <si>
    <t>ACH D- INDIAN CLEARING CORP-4AT4NP1D22YW</t>
  </si>
  <si>
    <t>ACH D- INDIAN CLEARING CORP-NQZB3WLEM92K</t>
  </si>
  <si>
    <t>UPI-UNDRU AYYAPPA-AYYAPPAUNDRU1@YBL-UBIN0921084-300649110905-CHOCOLATE</t>
  </si>
  <si>
    <t>UPI-AMAZING BOUTIQUE-MDYSKHADEER007.AB-1@OKSBI-HDFC0003739-300663320004-TAILOR</t>
  </si>
  <si>
    <t>ACH D- INDIAN CLEARING CORP-U74MTOV1SIV2</t>
  </si>
  <si>
    <t>ACH D- INDIAN CLEARING CORP-9TXZNSPT83V3</t>
  </si>
  <si>
    <t>UPI-MOHAMMED MOINUDDIN-Q077996311@YBL-YESB0YBLUPI-337424636988-JUICE</t>
  </si>
  <si>
    <t>UPI-BIG BASKET-BIGBASKET.EBZ@HDFCBANK-HDFC0001794-300809289140-BIG BIG</t>
  </si>
  <si>
    <t>ACH D- INDIAN CLEARING CORP-GG5RF4QU35D5</t>
  </si>
  <si>
    <t>ACH D- INDIAN CLEARING CORP-JG9IF67ECISR</t>
  </si>
  <si>
    <t>ACH D- INDIAN CLEARING CORP-QFMG8CGQGU18</t>
  </si>
  <si>
    <t>ACH D- INDIAN CLEARING CORP-RW9U2H9SFFZ3</t>
  </si>
  <si>
    <t>UPI-ATRAEYEE N PURKAIT-REVISEDIET@OKHDFCBANK-HDFC0004117-300929222032-VARSHA MAHAJAN JAN</t>
  </si>
  <si>
    <t>ACH D- INDIAN CLEARING CORP-I7PPYGFHU4HL</t>
  </si>
  <si>
    <t>ACH D- INDIAN CLEARING CORP-8ONGKVAH6DVF</t>
  </si>
  <si>
    <t>ACH D- INDIAN CLEARING CORP-TYZTFZNHBUS6</t>
  </si>
  <si>
    <t>ACH D- INDIAN CLEARING CORP-4U7SY29I1V5R</t>
  </si>
  <si>
    <t>ACH D- INDIAN CLEARING CORP-U62NOPBZ2I6R</t>
  </si>
  <si>
    <t>ACH D- INDIAN CLEARING CORP-3RKAAGJ2WPSD</t>
  </si>
  <si>
    <t>ACH D- INDIAN CLEARING CORP-XEXW8H23492J</t>
  </si>
  <si>
    <t>UPI-KASHISH   FATIMA-PEACEFATIMA3@OKAXIS-KKBK0007487-301450450885-UPI</t>
  </si>
  <si>
    <t>ACH D- INDIAN CLEARING CORP-SRSICKA37GER</t>
  </si>
  <si>
    <t>ACH D- INDIAN CLEARING CORP-77BYHKUECTHL</t>
  </si>
  <si>
    <t>ACH D- INDIAN CLEARING CORP-ECJO276UH3ZC</t>
  </si>
  <si>
    <t>ACH D- INDIAN CLEARING CORP-NIJDBQMW6KP1</t>
  </si>
  <si>
    <t>ACH D- INDIAN CLEARING CORP-RSTO1WM34FEA</t>
  </si>
  <si>
    <t>UPI-KUBER HEALTHFOOD AND-BHARATPE907720039997@YESBANKLTD-YESB0YESUPI-301701754940-PAY TO KUBER HEALT</t>
  </si>
  <si>
    <t>ACH D- INDIAN CLEARING CORP-R7MGG7LO4JMW</t>
  </si>
  <si>
    <t>ACH D- INDIAN CLEARING CORP-OR9CLJDJHGBS</t>
  </si>
  <si>
    <t>ACH D- INDIAN CLEARING CORP-THSOHSPAS7LS</t>
  </si>
  <si>
    <t>UPI-SIDDHESH KASHIRAM RA-SIDDHESHKRAWOOL-1@OKICICI-KKBK0001363-301961780835-AUTO</t>
  </si>
  <si>
    <t>ACH D- INDIAN CLEARING CORP-7T24AD99Q5FJ</t>
  </si>
  <si>
    <t>ACH D- INDIAN CLEARING CORP-EO763CJZZ8YX</t>
  </si>
  <si>
    <t>ACH D- INDIAN CLEARING CORP-7FOE7V8XZ5R9</t>
  </si>
  <si>
    <t>UPI-NARESH   YADAV-7307623192@YBL-KKBK0001422-302104504067-AUTO</t>
  </si>
  <si>
    <t>UPI-LITE BITE TRAVEL FOO-Q323244995@YBL-YESB0YBLUPI-338722997688-PAYMENT FROM PHONE</t>
  </si>
  <si>
    <t>MATURED RD. TRANSFER CR 50400265895462</t>
  </si>
  <si>
    <t>ACH D- INDIAN CLEARING CORP-D3SEEEBNXDVQ</t>
  </si>
  <si>
    <t>UPI-G SRIKANT RAO-GINISRIKANTRAO@OKICICI-PUNB0479400-302238150955-UPI</t>
  </si>
  <si>
    <t>UPI-BIGBASKET-BIGBASKET1@PAYTM-PYTM0123456-302340139172-UPI</t>
  </si>
  <si>
    <t>ACH D- INDIAN CLEARING CORP-EPP7QUSMWYU4</t>
  </si>
  <si>
    <t>ACH D- INDIAN CLEARING CORP-39T2W6W1E84X</t>
  </si>
  <si>
    <t>ACH D- INDIAN CLEARING CORP-82FDO4C66K9X</t>
  </si>
  <si>
    <t>ACH D- INDIAN CLEARING CORP-FZ9JS16UCHSI</t>
  </si>
  <si>
    <t>NEFT CR-CHAS0INBX01-SALARY FOR JAN-2023 JOHNSON   JOHNSON PRIVATE LIMI-VARSHA MAHAJAN-CHASR23024788380</t>
  </si>
  <si>
    <t>50400251539337- RD INSTALLMENT-JAN 2023</t>
  </si>
  <si>
    <t>UPI-BBNOW-BBNOW.EBZ@HDFCBANK-HDFC0001794-302612406170-BB</t>
  </si>
  <si>
    <t>UPI-XXXXXX5813-CBIN0281615-302674454814-NA</t>
  </si>
  <si>
    <t>ACH D- INDIAN CLEARING CORP-ZHK5MVD5N5L7</t>
  </si>
  <si>
    <t>ACH D- INDIAN CLEARING CORP-VMNQLKXHMHH8</t>
  </si>
  <si>
    <t>ACH D- INDIAN CLEARING CORP-8GB1UHSGCOI6</t>
  </si>
  <si>
    <t>UPI-NETFLIX COM-NETFLIXUPI.PAYU@HDFCBANK-HDFC0000499-302938290063-MONTHLY AUTOPAY. C</t>
  </si>
  <si>
    <t>UPI-URBAN COMPANY-PAYTM-URBANCOMPANY@PAYTM-PYTM0123456-302974560108-UPI</t>
  </si>
  <si>
    <t>UPI-BIGBASKET-BIGBASKET1@PAYTM-PYTM0123456-303118905999-BIG BASKET</t>
  </si>
  <si>
    <t>CMS/ CMS3105851682/ICICI PRUDENTIAL MUTUAL FUND</t>
  </si>
  <si>
    <t>MMT/IMPS/304910480417/Shobha Ramakant/AV BALIGA /CNRB0010354</t>
  </si>
  <si>
    <t>BIL/ONL/000607199773/Life Insur/LIC_YICI1743326/SCO</t>
  </si>
  <si>
    <t>CMS/001151546587/ICICIPRULIFEINS__24516375</t>
  </si>
  <si>
    <t>CMS/001155728317/ICICIPRULIFEINS__21130963</t>
  </si>
  <si>
    <t>0000008260900412</t>
  </si>
  <si>
    <t>ACH D- INDIAN CLEARING CORP-DSHN1B6B94SC</t>
  </si>
  <si>
    <t>0000008260887201</t>
  </si>
  <si>
    <t>ACH D- INDIAN CLEARING CORP-73K7EVBVWI2O</t>
  </si>
  <si>
    <t>0000008290634414</t>
  </si>
  <si>
    <t>ACH D- INDIAN CLEARING CORP-MMVYSN2JKFKC</t>
  </si>
  <si>
    <t>0000008290634590</t>
  </si>
  <si>
    <t>ACH D- INDIAN CLEARING CORP-FUBTGAU9PG5R</t>
  </si>
  <si>
    <t>0000303382044981</t>
  </si>
  <si>
    <t>UPI-BIGBASKET-BIGBASKET1@PAYTM-PYTM0123456-303382044981-BIGG BASKET</t>
  </si>
  <si>
    <t>0000008356348265</t>
  </si>
  <si>
    <t>ACH D- INDIAN CLEARING CORP-BVX77R6CT3TC</t>
  </si>
  <si>
    <t>0000008356337232</t>
  </si>
  <si>
    <t>ACH D- INDIAN CLEARING CORP-5TD2UP61ZCR1</t>
  </si>
  <si>
    <t>0000008400312622</t>
  </si>
  <si>
    <t>ACH D- INDIAN CLEARING CORP-EAMV882U21WK</t>
  </si>
  <si>
    <t>0000303511100641</t>
  </si>
  <si>
    <t>UPI-G SRIKANT RAO-GINISRIKANTRAO@OKICICI-PUNB0479400-303511100641-UPI</t>
  </si>
  <si>
    <t>0000303552575295</t>
  </si>
  <si>
    <t>UPI-GOOGLEPAY-GOOG-PAYMENT@OKAXIS-UTIB0000553-303552575295-UPI</t>
  </si>
  <si>
    <t>0000000486933742</t>
  </si>
  <si>
    <t>0000303644702347</t>
  </si>
  <si>
    <t>UPI-SPAGO FOODS LLPHYD-Q572729780@YBL-YESB0YBLUPI-303644702347-BAKERY</t>
  </si>
  <si>
    <t>0000303649093561</t>
  </si>
  <si>
    <t>UPI-BOOKMYSHOW-BOOKMYSHOW@YESPAY-YESB0YESUPI-303649093561-UPI</t>
  </si>
  <si>
    <t>0000008503587302</t>
  </si>
  <si>
    <t>ACH D- INDIAN CLEARING CORP-AOWKFNLIP4LC</t>
  </si>
  <si>
    <t>0000008503591338</t>
  </si>
  <si>
    <t>ACH D- INDIAN CLEARING CORP-P46XE5QRJWPY</t>
  </si>
  <si>
    <t>0000008503590059</t>
  </si>
  <si>
    <t>ACH D- INDIAN CLEARING CORP-NK3OTOU6LIQB</t>
  </si>
  <si>
    <t>0000008503590221</t>
  </si>
  <si>
    <t>ACH D- INDIAN CLEARING CORP-8IRT9TAAZMDQ</t>
  </si>
  <si>
    <t>0000303764711597</t>
  </si>
  <si>
    <t>UPI-BB DAILY-EASEBUZZ.BBDAILY1@HDFCBANK-HDFC0001794-303764711597-BIG BASKET</t>
  </si>
  <si>
    <t>0000303798162428</t>
  </si>
  <si>
    <t>UPI-ACT BROADBAND-PAYTM-ACTHYD2@PAYTM-PYTM0123456-303798162428-OIDCWPGR-17267797@</t>
  </si>
  <si>
    <t>0000008531326897</t>
  </si>
  <si>
    <t>ACH D- INDIAN CLEARING CORP-SLG2QPWV1KCZ</t>
  </si>
  <si>
    <t>0000008565842125</t>
  </si>
  <si>
    <t>ACH D- INDIAN CLEARING CORP-6SPAI7HIXGNG</t>
  </si>
  <si>
    <t>0000008565852089</t>
  </si>
  <si>
    <t>ACH D- INDIAN CLEARING CORP-364IWU46S5NV</t>
  </si>
  <si>
    <t>0000304025617122</t>
  </si>
  <si>
    <t>UPI-BIG BASKET-BIGBASKET.EBZ@HDFCBANK-HDFC0001794-304025617122-UPI</t>
  </si>
  <si>
    <t>0000008590429685</t>
  </si>
  <si>
    <t>ACH D- INDIAN CLEARING CORP-XY1OI7UEA1FE</t>
  </si>
  <si>
    <t>0000008590282707</t>
  </si>
  <si>
    <t>ACH D- INDIAN CLEARING CORP-TWDWNNOZOTDC</t>
  </si>
  <si>
    <t>0000008590429839</t>
  </si>
  <si>
    <t>ACH D- INDIAN CLEARING CORP-8T948GXJF5WZ</t>
  </si>
  <si>
    <t>0000304032557998</t>
  </si>
  <si>
    <t>UPI-GOOGLEPAY-GOOG-PAYMENT@OKAXIS-UTIB0000553-304032557998-UPI</t>
  </si>
  <si>
    <t>0000304040796476</t>
  </si>
  <si>
    <t>UPI-BOOKMYSHOW-BOOKMYSHOW@YESPAY-YESB0YESUPI-304040796476-UPI</t>
  </si>
  <si>
    <t>0000304064726921</t>
  </si>
  <si>
    <t>UPI-BIG BASKET-BIGBASKET.EBZ@HDFCBANK-HDFC0001794-304064726921-TRANSACTION REFUND</t>
  </si>
  <si>
    <t>0000304038228511</t>
  </si>
  <si>
    <t>UPI-LETZCHANGE-LETZCHANGE.RAZ@AXISBANK-UTIB0001506-304038228511-GIVEDONATION</t>
  </si>
  <si>
    <t>0000008614593100</t>
  </si>
  <si>
    <t>ACH D- INDIAN CLEARING CORP-X6X3DM7JSJM5</t>
  </si>
  <si>
    <t>0000008648688441</t>
  </si>
  <si>
    <t>ACH D- INDIAN CLEARING CORP-U896E2WQX3OS</t>
  </si>
  <si>
    <t>0000008677828897</t>
  </si>
  <si>
    <t>ACH D- INDIAN CLEARING CORP-XXSFBHY26MTD</t>
  </si>
  <si>
    <t>0000008677829101</t>
  </si>
  <si>
    <t>ACH D- INDIAN CLEARING CORP-FW6QODTV2XX3</t>
  </si>
  <si>
    <t>0000008677825083</t>
  </si>
  <si>
    <t>ACH D- INDIAN CLEARING CORP-GXOKZGBUQT8G</t>
  </si>
  <si>
    <t>0000304430272345</t>
  </si>
  <si>
    <t>UPI-PAYU PAYMENTS PRIVAT-ZIM-APL1000642.ZITHARA.PAYU@INDUS-INDB0002201-304430272345-HAIRCUTS</t>
  </si>
  <si>
    <t>0000304432720328</t>
  </si>
  <si>
    <t>UPI-ATRAEYEE N PURKAIT-REVISEDIET@OKHDFCBANK-HDFC0004117-304432720328-VARSHA MAHAJAN FEB</t>
  </si>
  <si>
    <t>0000008707102386</t>
  </si>
  <si>
    <t>ACH D- INDIAN CLEARING CORP-BQATWR665EDZ</t>
  </si>
  <si>
    <t>0000008707102461</t>
  </si>
  <si>
    <t>ACH D- INDIAN CLEARING CORP-VJGEN7XRYUQN</t>
  </si>
  <si>
    <t>0000304548491460</t>
  </si>
  <si>
    <t>UPI-SWIGGYPAY-SWIGGYPAY@YESPAY-YESB0YESUPI-304548491460-PAY FOR MERCHANT</t>
  </si>
  <si>
    <t>0000008734852063</t>
  </si>
  <si>
    <t>ACH D- INDIAN CLEARING CORP-ZPLGRQ9QTA7G</t>
  </si>
  <si>
    <t>0000008734852396</t>
  </si>
  <si>
    <t>ACH D- INDIAN CLEARING CORP-BT2H7SHBZF52</t>
  </si>
  <si>
    <t>0000008734856397</t>
  </si>
  <si>
    <t>ACH D- INDIAN CLEARING CORP-HHWWC7527X8X</t>
  </si>
  <si>
    <t>0000008795935051</t>
  </si>
  <si>
    <t>ACH D- INDIAN CLEARING CORP-DWBGBFJYDGKH</t>
  </si>
  <si>
    <t>0000008829925540</t>
  </si>
  <si>
    <t>ACH D- INDIAN CLEARING CORP-6QRR1BT4KWZO</t>
  </si>
  <si>
    <t>0000304822650860</t>
  </si>
  <si>
    <t>UPI-SWIGGY-SWIGGY@YESPAY-YESB0YESUPI-304822650860-PAY FOR MERCHANT</t>
  </si>
  <si>
    <t>0000304822899047</t>
  </si>
  <si>
    <t>UPI-SWIGGY-SWIGGYUPI@AXISBANK-UTIB0000000-304822899047-SWIGGY ORDER ID 15</t>
  </si>
  <si>
    <t>0000304936293567</t>
  </si>
  <si>
    <t>UPI-SWIGGY-SWIGGY@YESPAY-YESB0YESUPI-304936293567-PAY FOR MERCHANT</t>
  </si>
  <si>
    <t>0000008864072058</t>
  </si>
  <si>
    <t>ACH D- INDIAN CLEARING CORP-1VP7DTQLIVDO</t>
  </si>
  <si>
    <t>0000008890819825</t>
  </si>
  <si>
    <t>ACH D- INDIAN CLEARING CORP-654JOVYOV65Y</t>
  </si>
  <si>
    <t>0000341684470436</t>
  </si>
  <si>
    <t>UPI-ADD MONEY TO WALLET-ADD-MONEY@PAYTM-PYTM0123456-341684470436-OID20417369255@PAY</t>
  </si>
  <si>
    <t>0000341631254727</t>
  </si>
  <si>
    <t>UPI-MUNEER KHAN-MUNEERKHAN9090@YBL-HDFC0000811-341631254727-PAYMENT FROM PHONE</t>
  </si>
  <si>
    <t>0000008918195080</t>
  </si>
  <si>
    <t>ACH D- INDIAN CLEARING CORP-49M241BYFJHW</t>
  </si>
  <si>
    <t>0000008918146916</t>
  </si>
  <si>
    <t>ACH D- INDIAN CLEARING CORP-JCRBI1XJDZT7</t>
  </si>
  <si>
    <t>0000305187988257</t>
  </si>
  <si>
    <t>UPI-MEDPLUS RAMKY TOWER-PAYTM-68434242@PAYTM-PYTM0123456-305187988257-UPI</t>
  </si>
  <si>
    <t>0000008939216478</t>
  </si>
  <si>
    <t>ACH D- INDIAN CLEARING CORP-8NYKYC6T5NGK</t>
  </si>
  <si>
    <t>0000008939227035</t>
  </si>
  <si>
    <t>ACH D- INDIAN CLEARING CORP-N6366BSMUSTU</t>
  </si>
  <si>
    <t>0000008939227036</t>
  </si>
  <si>
    <t>ACH D- INDIAN CLEARING CORP-PFZ1U7ECEAJT</t>
  </si>
  <si>
    <t>0000008974884448</t>
  </si>
  <si>
    <t>ACH D- INDIAN CLEARING CORP-6RJOCD5JT8KB</t>
  </si>
  <si>
    <t>0000305329105479</t>
  </si>
  <si>
    <t>UPI-RAZORPAYBHARATQR-RAZORPAYBQR@ICICI-ICIC0DC0099-305329105479-UPI</t>
  </si>
  <si>
    <t>0000009022637002</t>
  </si>
  <si>
    <t>ACH D- INDIAN CLEARING CORP-QEE4SE5JPDEY</t>
  </si>
  <si>
    <t>0000305457870985</t>
  </si>
  <si>
    <t>UPI-BIG BASKET-BIGBASKET.EBZ@HDFCBANK-HDFC0001794-305457870985-UPI</t>
  </si>
  <si>
    <t>0000009082368760</t>
  </si>
  <si>
    <t>ACH D- INDIAN CLEARING CORP-V7ATERMTUHK5</t>
  </si>
  <si>
    <t>CHASS23054499023</t>
  </si>
  <si>
    <t>NEFT CR-CHAS0INBX01-SALARY FOR FEB-2023 JOHNSON   JOHNSON PRIVATE LIMI-VARSHA MAHAJAN-CHASS23054499023</t>
  </si>
  <si>
    <t>0000305581498510</t>
  </si>
  <si>
    <t>UPI-MEDPLUS RAMKY TOWER-PAYTM-68434242@PAYTM-PYTM0123456-305581498510-UPI</t>
  </si>
  <si>
    <t>0000009124402926</t>
  </si>
  <si>
    <t>ACH D- INDIAN CLEARING CORP-JVTD9GSIDNCZ</t>
  </si>
  <si>
    <t>50400251539337- RD INSTALLMENT-FEB 2023</t>
  </si>
  <si>
    <t>0000305719535311</t>
  </si>
  <si>
    <t>UPI-MEDPLUS RAMKY TOWER-PAYTM-68434242@PAYTM-PYTM0123456-305719535311-UPI</t>
  </si>
  <si>
    <t>0000009204038991</t>
  </si>
  <si>
    <t>ACH D- INDIAN CLEARING CORP-ZVXH2M51WP95</t>
  </si>
  <si>
    <t>0000009204039600</t>
  </si>
  <si>
    <t>ACH D- INDIAN CLEARING CORP-LKGWT7YPAXYX</t>
  </si>
  <si>
    <t>0000305900987247</t>
  </si>
  <si>
    <t>UPI-NETFLIX COM-NETFLIXUPI.PAYU@HDFCBANK-HDFC0000499-305900987247-MONTHLY AUTOPAY. C</t>
  </si>
  <si>
    <t>0000305950054660</t>
  </si>
  <si>
    <t>UPI-BIGBASKET-BIGBASKET1@PAYTM-PYTM0123456-305950054660-UPI</t>
  </si>
  <si>
    <t>0000009210822173</t>
  </si>
  <si>
    <t>ACH D- INDIAN CLEARING CORP-MUP6S3RYPKK7</t>
  </si>
  <si>
    <t>0000305977424415</t>
  </si>
  <si>
    <t>UPI-XXXXXX5813-CBIN0281615-305977424415-NA</t>
  </si>
  <si>
    <t xml:space="preserve">CMS/ CMS3163187221/ICICI PRUDENTIAL MUTUAL FUND   </t>
  </si>
  <si>
    <t>NEFT-ICMS230316000CZ8-LIC P   GS UNIT 3 VILE PARLE MDO I-706200011102-003910200</t>
  </si>
  <si>
    <t xml:space="preserve">CMS/001169988895/ICICIPRULIFEINS__24516375        </t>
  </si>
  <si>
    <t xml:space="preserve">CMS/001173973560/ICICIPRULIFEINS__21130963        </t>
  </si>
  <si>
    <t xml:space="preserve">008801013248:Int.Pd:31-12-2022 to 29-03-2023      </t>
  </si>
  <si>
    <t>ACH D- INDIAN CLEARING CORP-2FF36QY5PUGG</t>
  </si>
  <si>
    <t>ACH D- INDIAN CLEARING CORP-TMH4YVE7R2QD</t>
  </si>
  <si>
    <t>ACH D- INDIAN CLEARING CORP-SZDKF2SXQ7GA</t>
  </si>
  <si>
    <t>ACH D- INDIAN CLEARING CORP-2V83A9P9RC4B</t>
  </si>
  <si>
    <t>ACH D- INDIAN CLEARING CORP-33HYWA5RZDDI</t>
  </si>
  <si>
    <t>ACH D- INDIAN CLEARING CORP-KLPVFTFECZRN</t>
  </si>
  <si>
    <t>UPI-URBAN COMPANY-URBANCOMPANY.RZP@AXISBANK-UTIB0000100-306228875639-UPI</t>
  </si>
  <si>
    <t>ACH D- INDIAN CLEARING CORP-R8KLMZGHQYDS</t>
  </si>
  <si>
    <t>UPI-BIGBASKET-BIGBASKET1@PAYTM-PYTM0123456-306307389455-UPI</t>
  </si>
  <si>
    <t>UPI-BIG BASKET-BIGBASKET.EBZ@HDFCBANK-HDFC0001794-306449912761-BIG BASKET</t>
  </si>
  <si>
    <t>ACH D- INDIAN CLEARING CORP-Y3FJ98LC2MRD</t>
  </si>
  <si>
    <t>ACH D- INDIAN CLEARING CORP-6Z5QKDG3H7R6</t>
  </si>
  <si>
    <t>ACH D- INDIAN CLEARING CORP-L577XNU3YF6S</t>
  </si>
  <si>
    <t>ACH D- INDIAN CLEARING CORP-K3R922POACEX</t>
  </si>
  <si>
    <t>UPI-G SRIKANT RAO-GINISRIKANTRAO@OKICICI-PUNB0479400-306511411695-UPI</t>
  </si>
  <si>
    <t>UPI-ACT BROADBAND-PAYTM-ACTHYD2@PAYTM-PYTM0123456-306596716991-OIDCWPGR-17594271@</t>
  </si>
  <si>
    <t>ACH D- INDIAN CLEARING CORP-OVRX1IMPX91D</t>
  </si>
  <si>
    <t>ACH D- INDIAN CLEARING CORP-HI5NVOV6NPDS</t>
  </si>
  <si>
    <t>ACH D- INDIAN CLEARING CORP-V5CSFUJEA9TO</t>
  </si>
  <si>
    <t>UPI-VIKRAM DEEPAK JAIN-VVJJ83-2@OKHDFCBANK-HDFC0000368-306729476099-UPI</t>
  </si>
  <si>
    <t>ACH D- INDIAN CLEARING CORP-S5OQHYSXJO6M</t>
  </si>
  <si>
    <t>ACH D- INDIAN CLEARING CORP-UE1CUUOKWSP4</t>
  </si>
  <si>
    <t>ACH D- INDIAN CLEARING CORP-A4VYR8VZR8D3</t>
  </si>
  <si>
    <t>ACH D- INDIAN CLEARING CORP-E8LU7B7G45RN</t>
  </si>
  <si>
    <t>ACH D- INDIAN CLEARING CORP-JFZ8KGTJOPYE</t>
  </si>
  <si>
    <t>UPI-VELA DESAI-VEL2582@OKICICI-ICIC0000004-343716505456-UPI</t>
  </si>
  <si>
    <t>UPI-VELA DESAI-VEL2582@OKICICI-ICIC0000004-307119218195-UPI</t>
  </si>
  <si>
    <t>ACH D- INDIAN CLEARING CORP-LDNMV69YHBNG</t>
  </si>
  <si>
    <t>ACH D- INDIAN CLEARING CORP-4A95AZ9RJ5IZ</t>
  </si>
  <si>
    <t>ACH D- INDIAN CLEARING CORP-P911ZTV7P76F</t>
  </si>
  <si>
    <t>ACH D- INDIAN CLEARING CORP-BG93RQN58X5T</t>
  </si>
  <si>
    <t>ACH D- INDIAN CLEARING CORP-XSH4ZII6UPHB</t>
  </si>
  <si>
    <t>UPI-ATRAEYEE N PURKAIT-REVISEDIET@OKHDFCBANK-HDFC0004117-307348690386-VARSHA MAHAJAN MAR</t>
  </si>
  <si>
    <t>ACH D- INDIAN CLEARING CORP-7GVQTNFM18AF</t>
  </si>
  <si>
    <t>ACH D- INDIAN CLEARING CORP-TU3O99JXK9KD</t>
  </si>
  <si>
    <t>ACH D- INDIAN CLEARING CORP-BEY9T1VYTRSC</t>
  </si>
  <si>
    <t>ACH D- INDIAN CLEARING CORP-HLQC6N2H2Z1M</t>
  </si>
  <si>
    <t>ACH D- INDIAN CLEARING CORP-W5JCN28ZMAPS</t>
  </si>
  <si>
    <t>ACH D- INDIAN CLEARING CORP-FQBYT3C8LBYW</t>
  </si>
  <si>
    <t>ACH D- INDIAN CLEARING CORP-1WL5XUYTHN3V</t>
  </si>
  <si>
    <t>UPI-ZEPTONOW-CF.ZEPTONOW@INDUS-INDB0000008-307857776699-UPI</t>
  </si>
  <si>
    <t>UPI-URBAN COMPANY-URBANCOMPANY.RZP@ICICI-ICIC0DC0099-307978271591-UPI</t>
  </si>
  <si>
    <t>ACH D- INDIAN CLEARING CORP-IX1RGXT7XJGI</t>
  </si>
  <si>
    <t>ACH D- INDIAN CLEARING CORP-VF7LRDTLKF73</t>
  </si>
  <si>
    <t>ACH D- INDIAN CLEARING CORP-X631JJJ6GJWO</t>
  </si>
  <si>
    <t>ACH D- INDIAN CLEARING CORP-HE3Z8GMBY3CV</t>
  </si>
  <si>
    <t>ACH D- INDIAN CLEARING CORP-STMZ11EB4A2D</t>
  </si>
  <si>
    <t>UPI-BB DAILY-EASEBUZZ.BBDAILY1@HDFCBANK-HDFC0001794-308120705689-UPI</t>
  </si>
  <si>
    <t>ACH D- INDIAN CLEARING CORP-ZZIAR14VIKBH</t>
  </si>
  <si>
    <t>ACH D- INDIAN CLEARING CORP-O7E4QHF9N6Z8</t>
  </si>
  <si>
    <t>ACH D- INDIAN CLEARING CORP-UUCEKUWMYPPN</t>
  </si>
  <si>
    <t>UPI-DELHIVERYPRIVATELIMI-DELHIVERYPVTLTD.RAZORPAY@ICICI-ICIC0DC0099-308365636325-PAYMENTTODELHIVERY</t>
  </si>
  <si>
    <t>UPI-GOOGLEPAY-GOOG-PAYMENT@OKAXIS-UTIB0000553-308425838661-UPI</t>
  </si>
  <si>
    <t>UPI-KASHISH   FATIMA-KASHISHF936@OKICICI-KKBK0007487-308485378146-PARLOUR</t>
  </si>
  <si>
    <t>ACH D- INDIAN CLEARING CORP-T9Y16TSJSVJX</t>
  </si>
  <si>
    <t>50400251539337- RD INSTALLMENT-MAR 2023</t>
  </si>
  <si>
    <t>ACH D- INDIAN CLEARING CORP-DCYBZ4QS6FO9</t>
  </si>
  <si>
    <t>ACH D- INDIAN CLEARING CORP-B9ZBTX31TIZ9</t>
  </si>
  <si>
    <t>UPI-ZEPTO-ZEPTO.RZP@AXISBANK-UTIB0000100-308749760788-UPI</t>
  </si>
  <si>
    <t>ACH D- INDIAN CLEARING CORP-3TZZPRVHFWUF</t>
  </si>
  <si>
    <t>UPI-NETFLIX COM-NETFLIXUPI.PAYU@HDFCBANK-HDFC0000499-308866810228-MONTHLY AUTOPAY. C</t>
  </si>
  <si>
    <t>UPI-APOLLO PHARMACY-APOLLOHOSPITALSENTER.41324172@HDFCBANK-HDFC0000001-308870957876-UPI</t>
  </si>
  <si>
    <t>UPI-DINESH SAW-9031445957@PAYTM-PYTM0123456-308875514155-UPI</t>
  </si>
  <si>
    <t>UPI-SONI EYE CARE CENTER-9790311672@OKBIZAXIS-UTIB0000000-308886103999-DOCTOR</t>
  </si>
  <si>
    <t>NEFT CR-CHAS0INBX01-SALARY FOR MAR-2023 JOHNSON   JOHNSON PRIVATE LIMI-VARSHA MAHAJAN-CHAST23088393069</t>
  </si>
  <si>
    <t>UPI-XXXXXX5813-CBIN0281615-308938972001-NA</t>
  </si>
  <si>
    <t>UPI-NIKITA ANIRUDDHA AGN-GNIKITA.NA@OKHDFCBANK-HDFC0000501-309024704836-UPI</t>
  </si>
  <si>
    <t>UPI-NIKITA ANIRUDDHA AGN-GNIKITA.NA@OKHDFCBANK-HDFC0000501-309024712987-UPI</t>
  </si>
  <si>
    <t>UPI-NIKITA ANIRUDDHA AGN-GNIKITA.NA@OKHDFCBANK-HDFC0000501-309024759458-UPI</t>
  </si>
  <si>
    <t>BIL/ONL/000638407865/Google Pla/GOOGLE_XICI1076/St</t>
  </si>
  <si>
    <t xml:space="preserve">CMS/ CMS3225011556/ICICI PRUDENTIAL MUTUAL FUND   </t>
  </si>
  <si>
    <t xml:space="preserve">CMS/001188596646/ICICIPRULIFEINS__24516375        </t>
  </si>
  <si>
    <t xml:space="preserve">CMS/001192139094/ICICIPRULIFEINS__21130963        </t>
  </si>
  <si>
    <t>UPI-MASALA TWIST  2 T2-PAYTMQR281005050101RTRYJ3H7BMD2@PAYTM-PYTM0123456-309140345211-WATER</t>
  </si>
  <si>
    <t>ACH D- INDIAN CLEARING CORP-X7BXO96YKJ8U</t>
  </si>
  <si>
    <t>UPI-MANOJ KUMAR DAS-MANOJDAS137@OKSBI-SBIN0010102-309154262273-TAP</t>
  </si>
  <si>
    <t>UPI-SWIGGY-SWIGGYUPI@AXISBANK-UTIB0000000-309155331113-SWIGGY ORDER ID 16</t>
  </si>
  <si>
    <t>ACH D- INDIAN CLEARING CORP-EFE3HPGKWGJC</t>
  </si>
  <si>
    <t>ACH D- INDIAN CLEARING CORP-H3TW3Q82B376</t>
  </si>
  <si>
    <t>UPI-G SRIKANT RAO-GINISRIKANTRAO@OKICICI-PUNB0479400-309269747495-UPI</t>
  </si>
  <si>
    <t>UPI-GOOGLEPAY-GOOG-PAYMENT@OKAXIS-UTIB0000553-309287998552-UPI</t>
  </si>
  <si>
    <t>UPI-BOOKMYSHOW-BOOKMYSHOW@YESPAY-YESB0YESUPI-309272564098-UPI</t>
  </si>
  <si>
    <t>UPI-MANOJ KUMAR DAS-MANOJDAS137@OKSBI-SBIN0010102-309275376773-UPI</t>
  </si>
  <si>
    <t>ACH D- INDIAN CLEARING CORP-MB3XYRGXC8CZ</t>
  </si>
  <si>
    <t>ACH D- INDIAN CLEARING CORP-9CS38AUZRF5S</t>
  </si>
  <si>
    <t>ACH D- INDIAN CLEARING CORP-K5H6L7BG54JV</t>
  </si>
  <si>
    <t>UPI-ACT BROADBAND-PAYTM-ACTHYD2@PAYTM-PYTM0123456-309488577323-OIDCWPGR-17888601@</t>
  </si>
  <si>
    <t>ACH D- INDIAN CLEARING CORP-V9AUJDADAB8J</t>
  </si>
  <si>
    <t>ACH D- INDIAN CLEARING CORP-TKA7L3UA1BBW</t>
  </si>
  <si>
    <t>ACH D- INDIAN CLEARING CORP-G9QIH96URLQB</t>
  </si>
  <si>
    <t>ACH D- INDIAN CLEARING CORP-3N6O4N8AQRZO</t>
  </si>
  <si>
    <t>ACH D- INDIAN CLEARING CORP-9ZETK64DSXFO</t>
  </si>
  <si>
    <t>UPI-ZERODHA BROKING LIMI-ZERODHA.BROKING@ICICI-ICIC0DC0099-309691347895-8248287401565787 Z</t>
  </si>
  <si>
    <t>NEFT CR-YESB0000001-ZERODHA BROKING LIMITED NSE CLIENT-VARSHA VINAY MAHAJAN-YESB30979846334</t>
  </si>
  <si>
    <t>ACH D- INDIAN CLEARING CORP-F9WFROGXNHQP</t>
  </si>
  <si>
    <t>UPI-DELHIVERYPRIVATELIMI-DELHIVERYPVTLTD.RAZORPAY@ICICI-ICIC0DC0099-309792981393-PAYMENTTODELHIVERY</t>
  </si>
  <si>
    <t>ACH D- INDIAN CLEARING CORP-WQBKE3X15LVL</t>
  </si>
  <si>
    <t>ACH D- INDIAN CLEARING CORP-FZ5UJAKSOY65</t>
  </si>
  <si>
    <t>ACH D- INDIAN CLEARING CORP-J56JRB3C6PJ5</t>
  </si>
  <si>
    <t>UPI-SHALINI YARAGATUPALL-SRIANVIMOM@OKHDFCBANK-HDFC0009095-309951904558-SRH</t>
  </si>
  <si>
    <t>ACH D- INDIAN CLEARING CORP-QOWHVDJO4O6P</t>
  </si>
  <si>
    <t>ACH D- INDIAN CLEARING CORP-PHR8BFHRHXH7</t>
  </si>
  <si>
    <t>ACH D- INDIAN CLEARING CORP-UGHLBXYYUDDS</t>
  </si>
  <si>
    <t>UPI-AMAZON INDIA-AMAZON@YAPL-YESB0APLUPI-310069525706-YOU ARE PAYING FOR</t>
  </si>
  <si>
    <t>UPI-URBANCLAP TECHNOLOGI-URBANCOMPANY1PAYTM@HDFCBANK-HDFC0000499-310189863657-UPI</t>
  </si>
  <si>
    <t>ACH D- INDIAN CLEARING CORP-XEDZ2UEPCX6V</t>
  </si>
  <si>
    <t>UPI-RAJENDRA SEERVI-Q932302488@YBL-YESB0YBLUPI-310197742021-ELECTRICITY</t>
  </si>
  <si>
    <t>ACH D- INDIAN CLEARING CORP-DVPCMBK48EJ3</t>
  </si>
  <si>
    <t>NEFT DR-UTIB0CCH274-MKR EDUCATIONAL SOCIETY-NETBANK, MUM-N102232415893444-VYOM M XI GRADEFEE</t>
  </si>
  <si>
    <t>ACH D- INDIAN CLEARING CORP-TGQ1JVJ6IF4S</t>
  </si>
  <si>
    <t>ACH D- INDIAN CLEARING CORP-YMQIJF5IF3UD</t>
  </si>
  <si>
    <t>UPI-ATRAEYEE N PURKAIT-REVISEDIET@OKHDFCBANK-HDFC0004117-310347154968-VARSHA MAHAJAN APR</t>
  </si>
  <si>
    <t>ACH D- INDIAN CLEARING CORP-Y8NEKMSB42GG</t>
  </si>
  <si>
    <t>ACH D- INDIAN CLEARING CORP-AVJ8N5KXJFL4</t>
  </si>
  <si>
    <t>UPI-KUMBALA RAMMOHAN-RAMMOHANK20001@IBL-HDFC0000545-310471050070-GAS PIPE</t>
  </si>
  <si>
    <t>UPI-VOGUE SALON AND BEAU-VOGUESALONANDBEAUTYS.63033108@HDFCBANK-HDFC0000001-310593056481-HAIR SPA</t>
  </si>
  <si>
    <t>UPI-GOOGLEPAY-GOOG-PAYMENT@OKAXIS-UTIB0000553-310556881786-UPI</t>
  </si>
  <si>
    <t>UPI-ZEE ENTERTAINMENT EN-ZEE5.PAYU@ICICI-ICIC0DC0099-310516330705-UPI TRANSACTION</t>
  </si>
  <si>
    <t>ACH D- INDIAN CLEARING CORP-JGHB3N5769MG</t>
  </si>
  <si>
    <t>UPI-ADD MONEY TO WALLET-ADD-MONEY@PAYTM-PYTM0123456-310664962734-NA</t>
  </si>
  <si>
    <t>UPI-SHALINI YARAGATUPALL-SRIANVIMOM@OKHDFCBANK-HDFC0009095-310632194498-UPI</t>
  </si>
  <si>
    <t>ACH D- INDIAN CLEARING CORP-6DQXUGVWQM1L</t>
  </si>
  <si>
    <t>ACH D- INDIAN CLEARING CORP-354VI65IIZ8R</t>
  </si>
  <si>
    <t>ACH D- INDIAN CLEARING CORP-9YUH4DPPQID3</t>
  </si>
  <si>
    <t>ACH D- INDIAN CLEARING CORP-BVB4JU9U4HW8</t>
  </si>
  <si>
    <t>ACH D- INDIAN CLEARING CORP-IJ2GUIH26KK2</t>
  </si>
  <si>
    <t>UPI-JINKALWAD  TATERAO-TATERAOJINKALWAD8@OKSBI-SBIN0005895-310869297303-UPI</t>
  </si>
  <si>
    <t>UPI-JINKALWAD  TATERAO-TATERAOJINKALWAD8@OKSBI-SBIN0005895-310869482733-PAINTER</t>
  </si>
  <si>
    <t>ACH D- INDIAN CLEARING CORP-CJJCEEISLI39</t>
  </si>
  <si>
    <t>ACH D- INDIAN CLEARING CORP-5AH2YSGX4Z1G</t>
  </si>
  <si>
    <t>UPI-JINKALWAD  TATERAO-TATERAOJINKALWAD8@OKSBI-SBIN0005895-310990590967-PAINTING UTILITY</t>
  </si>
  <si>
    <t>ACH D- INDIAN CLEARING CORP-FV67R78AGC1Q</t>
  </si>
  <si>
    <t>UPI-GEDDIT CONVENIENCE P-GEDDITZEPTO.BDPG@ICICI-ICIC0DC0099-311017827950-UPI</t>
  </si>
  <si>
    <t>ACH D- INDIAN CLEARING CORP-4W24J27YTM4U</t>
  </si>
  <si>
    <t>ACH D- INDIAN CLEARING CORP-GX9LQJZG3D2F</t>
  </si>
  <si>
    <t>ACH D- INDIAN CLEARING CORP-5D1XXFDV455M</t>
  </si>
  <si>
    <t>UPI-KASHISH   FATIMA-KASHISHF936@OKICICI-KKBK0007487-311129710974-PARLOUR</t>
  </si>
  <si>
    <t>UPI-MEDPLUS RAMKY TOWER-PAYTM-68434242@PAYTM-PYTM0123456-311139627182-MEDICAL BILL</t>
  </si>
  <si>
    <t>ACH D- INDIAN CLEARING CORP-Y7BKK2M8ZVHF</t>
  </si>
  <si>
    <t>UPI-GAPPE VAPPE-PAYTMQR28100505010118Z6VEOCY766@PAYTM-PYTM0123456-311260595291-ALMOND HOUSE</t>
  </si>
  <si>
    <t>UPI-MEDPLUS RAMKY TOWER-PAYTM-68434242@PAYTM-PYTM0123456-311271430167-UPI</t>
  </si>
  <si>
    <t>ACH D- INDIAN CLEARING CORP-KLFHJON2ZURJ</t>
  </si>
  <si>
    <t>ACH D- INDIAN CLEARING CORP-2JI2R6OW7X2S</t>
  </si>
  <si>
    <t>NEFT CR-CHAS0INBX01-SALARY FOR APR-2023 JOHNSON   JOHNSON PRIVATE LIMI-VARSHA MAHAJAN-CHAST23114933150</t>
  </si>
  <si>
    <t>UPI-XXXXXX5813-CBIN0281615-311503954267-NA</t>
  </si>
  <si>
    <t>ACH D- INDIAN CLEARING CORP-JTSTDWZK4HOD</t>
  </si>
  <si>
    <t>50400251539337- RD INSTALLMENT-APR 2023</t>
  </si>
  <si>
    <t>ACH D- INDIAN CLEARING CORP-FD2F657QQVJP</t>
  </si>
  <si>
    <t>ACH D- INDIAN CLEARING CORP-5YR46JQO5IV9</t>
  </si>
  <si>
    <t>ACH D- INDIAN CLEARING CORP-UBD29R3O2L2E</t>
  </si>
  <si>
    <t>UPI-BOOKMYSHOW-BOOKMYSHOW@YESPAY-YESB0YESUPI-311881431851-REFUND FOR SEVNHA5</t>
  </si>
  <si>
    <t>UPI-NETFLIX COM-NETFLIXUPI.PAYU@HDFCBANK-HDFC0000499-311834519597-MONTHLY AUTOPAY. C</t>
  </si>
  <si>
    <t xml:space="preserve">CMS/ CMS3275334236/ICICI PRUDENTIAL MUTUAL FUND   </t>
  </si>
  <si>
    <t xml:space="preserve">ACCT CLOSURE TRANSACTION 2696                     </t>
  </si>
  <si>
    <t>MMT/IMPS/313911082515/Test transfer/Sankella R/UTI</t>
  </si>
  <si>
    <t>MMT/IMPS/313912111150/Laxmi salary/Sankella R/UTIB</t>
  </si>
  <si>
    <t xml:space="preserve">CMS/001205600703/ICICIPRULIFEINS__24516375        </t>
  </si>
  <si>
    <t xml:space="preserve">CMS/001208908957/ICICIPRULIFEINS__21130963        </t>
  </si>
  <si>
    <t>ACH D- INDIAN CLEARING CORP-91CIWA2ALIG6</t>
  </si>
  <si>
    <t>ACH D- INDIAN CLEARING CORP-4D45JKD2UYO2</t>
  </si>
  <si>
    <t>ACH D- INDIAN CLEARING CORP-IDI7EVFNF8WL</t>
  </si>
  <si>
    <t>ACH D- INDIAN CLEARING CORP-QZDTFOWRP9SC</t>
  </si>
  <si>
    <t>ACH D- INDIAN CLEARING CORP-QUKDE7Z7YTF4</t>
  </si>
  <si>
    <t>ACH D- INDIAN CLEARING CORP-G74G2NHEU79X</t>
  </si>
  <si>
    <t>NEFT CR-CHAS0INBX01-JOHNSON   JOHNSON PRIVATE LIMITED-VARSHA MAHAJAN-CHASU23123275413</t>
  </si>
  <si>
    <t>ACH D- INDIAN CLEARING CORP-GHNPH3T2D9PH</t>
  </si>
  <si>
    <t>ACH D- INDIAN CLEARING CORP-TU2W1EULNHIW</t>
  </si>
  <si>
    <t>ACH D- INDIAN CLEARING CORP-3W89FN8HMBG3</t>
  </si>
  <si>
    <t>UPI-MUZBIHA  SULTANA-MUZBIHAS@OKAXIS-CNRB0000033-312500699527-UC</t>
  </si>
  <si>
    <t>ACH D- INDIAN CLEARING CORP-R4TSP7S518AQ</t>
  </si>
  <si>
    <t>ACH D- INDIAN CLEARING CORP-TTREQ44ADIAK</t>
  </si>
  <si>
    <t>UPI-G SRIKANT RAO-GINISRIKANTRAO@OKICICI-PUNB0479400-312629119666-UPI</t>
  </si>
  <si>
    <t>UPI-SWIGGY-SWIGGY@YESPAY-YESB0YESUPI-312632831908-PAY FOR MERCHANT</t>
  </si>
  <si>
    <t>UPI-SWIGGY-SWIGGY@YESPAY-YESB0YESUPI-312739574709-PAY FOR MERCHANT</t>
  </si>
  <si>
    <t>ACH D- INDIAN CLEARING CORP-J3PWTHQCB9XJ</t>
  </si>
  <si>
    <t>UPI-SMARTWASH SOLUTIONS-Q989648441@YBL-YESB0YBLUPI-312754261624-LAUNDRY</t>
  </si>
  <si>
    <t>UPI-ACT BROADBAND-PAYTM-ACTHYD2@PAYTM-PYTM0123456-349369033234-OIDCWPGR-18239786@</t>
  </si>
  <si>
    <t>ACH D- INDIAN CLEARING CORP-ODT3E4A2OCHW</t>
  </si>
  <si>
    <t>ACH D- INDIAN CLEARING CORP-9VYRSYKOKQ2J</t>
  </si>
  <si>
    <t>UPI-SWIGGY-SWIGGY@YESPAY-YESB0YESUPI-312992095608-PAY FOR MERCHANT</t>
  </si>
  <si>
    <t>ACH D- INDIAN CLEARING CORP-KSMNXKH7ETY2</t>
  </si>
  <si>
    <t>ACH D- INDIAN CLEARING CORP-FNUDVP9DZ9KD</t>
  </si>
  <si>
    <t>ACH D- INDIAN CLEARING CORP-VH49N3NPRZ35</t>
  </si>
  <si>
    <t>ACH D- INDIAN CLEARING CORP-MZ4VKSVCD3IE</t>
  </si>
  <si>
    <t>UPI-BIGTREE ENTERTAINMEN-BOOKMYSHOW@AXB-UTIB0000100-313045380568-UPI</t>
  </si>
  <si>
    <t>UPI-MANJIRI J JOSHI-MANJIRISTAR@OKSBI-HDFC0009095-313081538134-UPI</t>
  </si>
  <si>
    <t>UPI-SWIGGY-UPISWIGGY@ICICI-ICIC0DC0099-313146497917-UPI</t>
  </si>
  <si>
    <t>UPI-SWIGGY-UPISWIGGY@ICICI-ICIC0DC0099-313146507592-UPI</t>
  </si>
  <si>
    <t>ACH D- INDIAN CLEARING CORP-43SC315QLJ7E</t>
  </si>
  <si>
    <t>UPI-SWIGGY-UPISWIGGY@ICICI-ICIC0DC0099-313164172019-UPI</t>
  </si>
  <si>
    <t>ACH D- INDIAN CLEARING CORP-PIVYABHLELQ9</t>
  </si>
  <si>
    <t>UPI-MEDPLUS RAMKY TOWER-PAYTM-68434242@PAYTM-PYTM0123456-313284400344-UPI</t>
  </si>
  <si>
    <t>ACH D- INDIAN CLEARING CORP-4YVE36FB12YI</t>
  </si>
  <si>
    <t>ACH D- INDIAN CLEARING CORP-V6KS9694SYQ7</t>
  </si>
  <si>
    <t>UPI-AMAZING BOUTIQUE-MDYSKHADEER007.AB-1@OKAXIS-HDFC0003739-313322290505-UPI</t>
  </si>
  <si>
    <t>ACH D- INDIAN CLEARING CORP-WQXHCUTXRO6G</t>
  </si>
  <si>
    <t>ACH D- INDIAN CLEARING CORP-RID4U7Y8PC7M</t>
  </si>
  <si>
    <t>UPI-VOGUE SALON AND BEAU-VOGUESALONANDBEAUTYS.63033108@HDFCBANK-HDFC0000001-313435631648-HAIR SPA</t>
  </si>
  <si>
    <t>UPI-MEDPLUS RAMKY TOWER-PAYTM-68434242@PAYTM-PYTM0123456-313435936927-MEDICAL BILL</t>
  </si>
  <si>
    <t>UPI-MEENAKSHI SREENIVASA-MEENPRI8@OKICICI-ICIC0000020-350040036530-UPI</t>
  </si>
  <si>
    <t>UPI-GOOGLEPAY-GOOG-PAYMENT@OKAXIS-UTIB0000553-313444184718-UPI</t>
  </si>
  <si>
    <t>UPI-MEENAKSHI SREENIVASA-MEENPRI8@OKICICI-ICIC0000020-313439284091-UPI</t>
  </si>
  <si>
    <t>KQTH444FA56KFOO2CM/PAYUCISCE</t>
  </si>
  <si>
    <t>KQTH44EMAZZKLNGUDY/PAYUCISCE</t>
  </si>
  <si>
    <t>UPI-APOLLO PHARMACY-APOLLOHOSPITALSENTER.41324172@HDFCBANK-HDFC0000001-313550646369-UPI</t>
  </si>
  <si>
    <t>ACH D- INDIAN CLEARING CORP-FZJV1F96JIW9</t>
  </si>
  <si>
    <t>ACH D- INDIAN CLEARING CORP-11TKGRX8C35P</t>
  </si>
  <si>
    <t>ACH D- INDIAN CLEARING CORP-XQWN31WZXC34</t>
  </si>
  <si>
    <t>ACH D- INDIAN CLEARING CORP-SPPFJ8U9TBNI</t>
  </si>
  <si>
    <t>ACH D- INDIAN CLEARING CORP-ZBVEX6HK7OOK</t>
  </si>
  <si>
    <t>ACH D- INDIAN CLEARING CORP-RO9ZNDTR42U4</t>
  </si>
  <si>
    <t>UPI-MOHAMMAD  BASHIR-9945924267@YBL-SBIN0004928-313841207131-UPI</t>
  </si>
  <si>
    <t>UPI-ROADSTER HOSPITALITY-PAYTMQR2810050501013A9BP058QLEH@PAYTM-PYTM0123456-313848485815-FOOD</t>
  </si>
  <si>
    <t>ACH D- INDIAN CLEARING CORP-KEAX668EUY4A</t>
  </si>
  <si>
    <t>ACH D- INDIAN CLEARING CORP-BMM76QKZOFCG</t>
  </si>
  <si>
    <t>UPI-GEDDIT CONVENIENCE P-GEDDITZEPTO.BDPG@ICICI-ICIC0DC0099-313957503065-UPI</t>
  </si>
  <si>
    <t>UPI-MRS SUNITA RAVASAHEB-PATILHOUSE99@OKSBI-MAHB0000383-313972991909-UPI</t>
  </si>
  <si>
    <t>ACH D- INDIAN CLEARING CORP-MTRL1C796CUC</t>
  </si>
  <si>
    <t>ACH D- INDIAN CLEARING CORP-VL5CXT9C3WD3</t>
  </si>
  <si>
    <t>ACH D- INDIAN CLEARING CORP-U42IEYMHAUJA</t>
  </si>
  <si>
    <t>UPI-AMAZON INDIA-AMAZON@YAPL-YESB0APLUPI-350749310240-YOU ARE PAYING FOR</t>
  </si>
  <si>
    <t>UPI-SACHIN DESAI-SACRULES-1@OKHDFCBANK-HDFC0000015-314121226871-UPI</t>
  </si>
  <si>
    <t>ACH D- INDIAN CLEARING CORP-G8X1K3F4WNOD</t>
  </si>
  <si>
    <t>ACH D- INDIAN CLEARING CORP-QMADFCBPZ8BV</t>
  </si>
  <si>
    <t>UPI-PHYSICSWALLAH PRIVAT-PHYSICSWALLAHPRIVATELIMITED.PAYTM@HDFCBANK-HDFC0000499-314287818914-PAYMENT</t>
  </si>
  <si>
    <t>00600310040071-2023032368351</t>
  </si>
  <si>
    <t>00600310040071-2023032368354</t>
  </si>
  <si>
    <t>UPI-ATRAEYEE N PURKAIT-REVISEDIET@OKICICI-HDFC0004117-314252330250-VARSHA MAHAJAN</t>
  </si>
  <si>
    <t>ACH D- INDIAN CLEARING CORP-SLDFH4ROLVCP</t>
  </si>
  <si>
    <t>YHDF1902870161/LIC OF INDIA</t>
  </si>
  <si>
    <t>ACH D- INDIAN CLEARING CORP-L3D7LMQ3M9YQ</t>
  </si>
  <si>
    <t>UPI-BIGTREE ENTERTAINMEN-BOOKMYSHOW@AXB-UTIB0000100-351071735218-DEBIT MONEY USING</t>
  </si>
  <si>
    <t>UPI-ADD MONEY TO WALLET-ADD-MONEY@PAYTM-PYTM0123456-314469693749-OID21159587410@PAY</t>
  </si>
  <si>
    <t>UPI-AMAZING BOUTIQUE-MDYSKHADEER007.AB-1@OKAXIS-HDFC0003739-314405136626-SAREE BLOUSE</t>
  </si>
  <si>
    <t>UPI-ZEPTO-ZEPTO.RZP@AXISBANK-UTIB0000100-314507732732-UPI</t>
  </si>
  <si>
    <t>ACH D- INDIAN CLEARING CORP-2CTN6YJSWJPU</t>
  </si>
  <si>
    <t>NEFT CR-CHAS0INBX01-SALARY FOR MAY-2023 JOHNSON   JOHNSON PRIVATE LIMI-VARSHA MAHAJAN-CHASU23145473850</t>
  </si>
  <si>
    <t>50400251539337- RD INSTALLMENT-MAY 2023</t>
  </si>
  <si>
    <t>UPI-XXXXXX5813-CBIN0281615-314601457423-NA</t>
  </si>
  <si>
    <t>ACH D- INDIAN CLEARING CORP-PKRPXKA5XX42</t>
  </si>
  <si>
    <t>ACH D- INDIAN CLEARING CORP-CE3R3S5G2TFX</t>
  </si>
  <si>
    <t>UPI-ADD MONEY TO WALLET-ADD-MONEY@PAYTM-PYTM0123456-314755720372-OID21139695003@PAY</t>
  </si>
  <si>
    <t>UPI-ADD MONEY TO WALLET-ADD-MONEY@PAYTM-PYTM0123456-314856787434-OID21178362376@PAY</t>
  </si>
  <si>
    <t>ACH D- INDIAN CLEARING CORP-H9WUR42OWJRW</t>
  </si>
  <si>
    <t>UPI-ZEPTO-ZEPTO.RZP@AXISBANK-UTIB0000100-314892169319-UPI</t>
  </si>
  <si>
    <t>UPI-NETFLIX COM-NETFLIXUPI.PAYU@HDFCBANK-HDFC0000499-314802229118-MONTHLY AUTOPAY. C</t>
  </si>
  <si>
    <t>UPI-MRS SUNITA RAVASAHEB-PATILHOUSE99@OKSBI-MAHB0000383-314910646647-UPI</t>
  </si>
  <si>
    <t>UPI-BHARTI AIRTEL LIMITE-AIRTELCOMMONPOOL@MAIRTEL-AIRP0000001-315011714332-PAYMENT FROM AIRTE</t>
  </si>
  <si>
    <t>UPI-DEEPA MADHAV JOSHI-DEEPAMADHAVJOSHI@OKHDFCBANK-HDFC0004064-315036239734-UPI</t>
  </si>
  <si>
    <t>ACH D- INDIAN CLEARING CORP-4VXOTHN93K8N</t>
  </si>
  <si>
    <t>ACH D- INDIAN CLEARING CORP-TSNE4LCAJIEM</t>
  </si>
  <si>
    <t>UPI-ADD MONEY TO WALLET-ADD-MONEY@PAYTM-PYTM0123456-351865531796-OID21202087888@PAY</t>
  </si>
  <si>
    <t>ACH D- INDIAN CLEARING CORP-T2N3PYEB2MIR</t>
  </si>
  <si>
    <t>ACH D- INDIAN CLEARING CORP-NHTO9QGTO298</t>
  </si>
  <si>
    <t>UPI-HICARE-PAYTM-56098901@PAYTM-PYTM0123456-315434426628-PAYMENT FOR ORDER</t>
  </si>
  <si>
    <t>UPI-GOOGLEPAY-GOOG-PAYMENT@OKAXIS-UTIB0000553-315415081384-UPI</t>
  </si>
  <si>
    <t>UPI-RAKESH MUSTINA-PAYTMQR28100505010117JVSBOV7Y86@PAYTM-PYTM0123456-315447289759-MANGO</t>
  </si>
  <si>
    <t>ACH D- INDIAN CLEARING CORP-DSN8DLC5DN58</t>
  </si>
  <si>
    <t>UPI-SAI MANIKANTA SUPER -MAB0450001A0050006@YESBANK-YESB0000419-315563542758-WATER</t>
  </si>
  <si>
    <t>UPI-GOOGLE PLAY-PLAYSTORE@AXISBANK-UTIB0000553-315557131576-MANDATEEXECUTE</t>
  </si>
  <si>
    <t>UPI-G SRIKANT RAO-GINISRIKANTRAO@OKICICI-PUNB0479400-315571368924-UPI</t>
  </si>
  <si>
    <t>ACH D- INDIAN CLEARING CORP-JGQEORUVF8FL</t>
  </si>
  <si>
    <t>ACH D- INDIAN CLEARING CORP-LE7592P1XOMB</t>
  </si>
  <si>
    <t>UPI-ADD MONEY TO WALLET-ADD-MONEY@PAYTM-PYTM0123456-352258631918-OID21203891657@PAY</t>
  </si>
  <si>
    <t>ACH D- INDIAN CLEARING CORP-8QA48R9BTG3V</t>
  </si>
  <si>
    <t>ACH D- INDIAN CLEARING CORP-YBJWHZFXATRC</t>
  </si>
  <si>
    <t>ACH D- INDIAN CLEARING CORP-1DB8Z1SF26ZJ</t>
  </si>
  <si>
    <t>ACH D- INDIAN CLEARING CORP-6RP5LZN5R1GO</t>
  </si>
  <si>
    <t>ACH D- INDIAN CLEARING CORP-IKRFUV3LNTWY</t>
  </si>
  <si>
    <t>NEFT CR-CHAS0INBX01-JOHNSON   JOHNSON PRIVATE LIMITED-VARSHA MAHAJAN-CHASH15836379673</t>
  </si>
  <si>
    <t>UPI-ZEPTO-ZEPTO.PAYU@HDFCBANK-HDFC0000499-315963064635-UPI</t>
  </si>
  <si>
    <t>ACH D- INDIAN CLEARING CORP-MOQFGPYOLID4</t>
  </si>
  <si>
    <t>ACH D- INDIAN CLEARING CORP-K17X6ATW7LRT</t>
  </si>
  <si>
    <t>UPI-ZEPTONOW-ZEPTONOWCASHFREE@HDFCBANK-HDFC0004460-315967149346-UPI</t>
  </si>
  <si>
    <t>UPI-ACT BROADBAND-PAYTM-ACTHYD2@PAYTM-PYTM0123456-315961338673-OIDCWPGR-18584961@</t>
  </si>
  <si>
    <t>ACH D- INDIAN CLEARING CORP-CIOV7CG5OOM7</t>
  </si>
  <si>
    <t>ACH D- INDIAN CLEARING CORP-BZHD12JA6G48</t>
  </si>
  <si>
    <t>ACH D- INDIAN CLEARING CORP-GKT3IEGRCNLM</t>
  </si>
  <si>
    <t>UPI-AMAZON PAY GROCERIES-AMAZONPAYGROCERY@YAPL-YESB0APLUPI-316180752923-YOU ARE PAYING FOR</t>
  </si>
  <si>
    <t>UPI-URBAN COMPANY-PAYTM-URBANCOMPANY@PAYTM-PYTM0123456-316116596121-UPI</t>
  </si>
  <si>
    <t>UPI-VOGUE SALON AND BEAU-VOGUE.SALON@ICICI-ICIC0DC0099-316123848058-UPI</t>
  </si>
  <si>
    <t>UPI-VOGUE SALON AND BEAU-VOGUE.SALON@ICICI-ICIC0DC0099-316127882069-SALON</t>
  </si>
  <si>
    <t>UPI-ADD MONEY TO WALLET-ADD-MONEY@PAYTM-PYTM0123456-352764455016-OID21244302516@PAY</t>
  </si>
  <si>
    <t>ACH D- INDIAN CLEARING CORP-NE1CIJQAZZ1T</t>
  </si>
  <si>
    <t>UPI-ADD MONEY TO WALLET-ADD-MONEY@PAYTM-PYTM0123456-316265129239-OID21272511179@PAY</t>
  </si>
  <si>
    <t>ACH D- INDIAN CLEARING CORP-NJVIHYU25A88</t>
  </si>
  <si>
    <t>ACH D- INDIAN CLEARING CORP-QJSGW5CCS29T</t>
  </si>
  <si>
    <t>UPI-NAWAB  SUHEL-NAWABSUHEL@OKSBI-SBIN0000955-316386717217-UPI</t>
  </si>
  <si>
    <t>ACH D- INDIAN CLEARING CORP-PGSR6OV36IKZ</t>
  </si>
  <si>
    <t>ACH D- INDIAN CLEARING CORP-SWQIBTN2VA49</t>
  </si>
  <si>
    <t>UPI-SMARTWASH SOLUTIONS-Q989648441@YBL-YESB0YBLUPI-316497972194-IRONING</t>
  </si>
  <si>
    <t>UPI-SANKELLA  RAMPRASAD-NSRP770-2@OKHDFCBANK-IBKL0001951-316413711465-UPI</t>
  </si>
  <si>
    <t>ACH D- INDIAN CLEARING CORP-7EM9BHG77YKS</t>
  </si>
  <si>
    <t>ACH D- INDIAN CLEARING CORP-2BTWSP6IMCID</t>
  </si>
  <si>
    <t>UPI-GEDDIT CONVENIENCE P-PAYTM-66490784@PAYTM-PYTM0123456-316525802946-UPI</t>
  </si>
  <si>
    <t>ACH D- INDIAN CLEARING CORP-MXGG6FD7S1OU</t>
  </si>
  <si>
    <t>ACH D- INDIAN CLEARING CORP-S18DI7CR7W5O</t>
  </si>
  <si>
    <t>ACH D- INDIAN CLEARING CORP-RTTAPK1BYT3E</t>
  </si>
  <si>
    <t>UPI-AMAZON INDIA-AMAZON@YAPL-YESB0APLUPI-353311093301-YOU ARE PAYING FOR</t>
  </si>
  <si>
    <t>ACH D- INDIAN CLEARING CORP-B8F6CDX4T7Q3</t>
  </si>
  <si>
    <t>UPI-AMAZON INDIA-AMAZON.REFUNDS@YAPL-YESB0APLUPI-316710972490-REFUND FOR YOUR AM</t>
  </si>
  <si>
    <t>ACH D- INDIAN CLEARING CORP-OORXPG6Q9U9I</t>
  </si>
  <si>
    <t>UPI-GOOGLEPAY-GOOG-PAYMENT@OKAXIS-UTIB0000553-316810067404-UPI</t>
  </si>
  <si>
    <t>UPI-NAWAB  SUHEL-NAWABSUHEL@OKSBI-SBIN0000955-316808884321-UPI</t>
  </si>
  <si>
    <t>UPI-RAKESH MUSTINA-PAYTMQR28100505010117JVSBOV7Y86@PAYTM-PYTM0123456-316812539553-MANGO</t>
  </si>
  <si>
    <t>ACH D- INDIAN CLEARING CORP-ZIA6FJ3XX4D4</t>
  </si>
  <si>
    <t>UPI-WOW CHINA MADHAPUR C-PAYTMQR2810050501010U6TEG9545JW@PAYTM-PYTM0123456-316942865367-UPI</t>
  </si>
  <si>
    <t>ACH D- INDIAN CLEARING CORP-NCUAE7P8TCXG</t>
  </si>
  <si>
    <t>ACH D- INDIAN CLEARING CORP-W2YAITOBFWIC</t>
  </si>
  <si>
    <t>UPI-MOHAMMED OMER SIDDIQ-MDOMER330@OKICICI-KKBK0000555-317053373234-UPI</t>
  </si>
  <si>
    <t>ACH D- INDIAN CLEARING CORP-C1234X94P6SA</t>
  </si>
  <si>
    <t>ACH D- INDIAN CLEARING CORP-89441FL1EE9N</t>
  </si>
  <si>
    <t>ACH D- INDIAN CLEARING CORP-LMO5XMVWQIU6</t>
  </si>
  <si>
    <t>ACH D- INDIAN CLEARING CORP-2S7WEVYL1VR9</t>
  </si>
  <si>
    <t>UPI-BUKKA SRI HARI KUMAR-SHKTKD2123@OKHDFCBANK-HDFC0004886-317202000550-UPI</t>
  </si>
  <si>
    <t>ACH D- INDIAN CLEARING CORP-NKFXZJYL368A</t>
  </si>
  <si>
    <t>UPI-BIGTREE ENTERTAINMEN-BOOKMYSHOW@AXB-UTIB0000100-317329817762-UPI</t>
  </si>
  <si>
    <t>ACH D- INDIAN CLEARING CORP-4NAYU835FYFS</t>
  </si>
  <si>
    <t>NEFT CR-CHAS0INBX01-SALARY FOR JUN-2023 JOHNSON   JOHNSON PRIVATE LIMI-VARSHA MAHAJAN-CHASU23174996867</t>
  </si>
  <si>
    <t>UPI-XXXXXX5813-CBIN0281615-354026247938-AAI BAPPA</t>
  </si>
  <si>
    <t>UPI-ATRAEYEE N PURKAIT-REVISEDIET@OKICICI-HDFC0004117-317461947188-VARSHA MAHAJAN JUN</t>
  </si>
  <si>
    <t>ACH D- INDIAN CLEARING CORP-LVTYRSB5YCPX</t>
  </si>
  <si>
    <t>UPI-PHYSICSWALLAH PRIVAT-PHYSICSWALLAHPRIVATELIMITED.PAYTM@HDFCBANK-HDFC0000240-317569136573-REFUND</t>
  </si>
  <si>
    <t>ACH D- INDIAN CLEARING CORP-TH9YS3L48YSC</t>
  </si>
  <si>
    <t>UPI-HEMA HARSHITA BOOREL-HEMA.BOORELA@OKHDFCBANK-HDFC0003947-317601629186-UPI</t>
  </si>
  <si>
    <t>UPI-UNDRU AYYAPPA-AYYAPPAUNDRU1@YBL-UBIN0921084-317610332519-DOSA</t>
  </si>
  <si>
    <t>50400251539337- RD INSTALLMENT-JUN 2023</t>
  </si>
  <si>
    <t>ACH D- INDIAN CLEARING CORP-5Z1IQ9LLA43S</t>
  </si>
  <si>
    <t>UPI-UNDRU AYYAPPA-AYYAPPAUNDRU1@YBL-UBIN0921084-317735766968-SOUP</t>
  </si>
  <si>
    <t>ACH D- INDIAN CLEARING CORP-1T6XPP36XNRW</t>
  </si>
  <si>
    <t>UPI-ADD MONEY TO WALLET-ADD-MONEY@PAYTM-PYTM0123456-354465566479-OID21357457698@PAY</t>
  </si>
  <si>
    <t>UPI-BHARTI AIRTEL LIMITE-AIRTELCOMMONPOOL@MAIRTEL-AIRP0000001-317823243993-PAYMENT FROM AIRTE</t>
  </si>
  <si>
    <t>ACH D- INDIAN CLEARING CORP-BQ992MU4T1EJ</t>
  </si>
  <si>
    <t>UPI-PRABHAKAR GUPTA-PAYTMQR281005050101DNZOAB025WUS@PAYTM-PYTM0123456-317985110150-PANI PURI</t>
  </si>
  <si>
    <t>UPI-NETFLIX COM-NETFLIXUPI.PAYU@HDFCBANK-HDFC0000499-318080406830-MONTHLY AUTOPAY. C</t>
  </si>
  <si>
    <t>UPI-BIGBASKET-BIGBASKET1@PAYTM-PYTM0123456-318095474651-BIG BASKET</t>
  </si>
  <si>
    <t>UPI-BIGTREE ENTERTAINMEN-BOOKMYSHOW@AXB-UTIB0000100-318074986554-DEBIT MONEY USING</t>
  </si>
  <si>
    <t>UPI-SWIGGY-UPISWIGGY@ICICI-ICIC0DC0099-318134947397-UPI</t>
  </si>
  <si>
    <t xml:space="preserve">CMS/ CMS3330738494/ICICI PRUDENTIAL MUTUAL FUND   </t>
  </si>
  <si>
    <t xml:space="preserve">CMS/001223251541/ICICIPRULIFEINS__24516375        </t>
  </si>
  <si>
    <t xml:space="preserve">CMS/001226997326/ICICIPRULIFEINS__21130963        </t>
  </si>
  <si>
    <t xml:space="preserve">TRF/VYOM VINAY MAHAJAN /ICI                       </t>
  </si>
  <si>
    <t xml:space="preserve">008801013248:Int.Pd:30-03-2023 to 29-06-2023      </t>
  </si>
  <si>
    <t>********************************************************************************************************************************************************************************************</t>
  </si>
  <si>
    <t>day</t>
  </si>
  <si>
    <t>month</t>
  </si>
  <si>
    <t>year</t>
  </si>
  <si>
    <t>year4</t>
  </si>
  <si>
    <t>date4</t>
  </si>
  <si>
    <t>Narration</t>
  </si>
  <si>
    <t>Chq./Ref.No.</t>
  </si>
  <si>
    <t>Value Dt</t>
  </si>
  <si>
    <t>Withdrawal Amt.</t>
  </si>
  <si>
    <t>Deposit Amt.</t>
  </si>
  <si>
    <t>Closing Balance</t>
  </si>
  <si>
    <t>********</t>
  </si>
  <si>
    <t>**********************************</t>
  </si>
  <si>
    <t>************</t>
  </si>
  <si>
    <t>******************</t>
  </si>
  <si>
    <t>Year4</t>
  </si>
  <si>
    <t>Reformatted date</t>
  </si>
  <si>
    <t>01/03/23</t>
  </si>
  <si>
    <t>0000009319229066</t>
  </si>
  <si>
    <t>0000009319241826</t>
  </si>
  <si>
    <t>02/03/23</t>
  </si>
  <si>
    <t>0000009374940188</t>
  </si>
  <si>
    <t>0000009374942418</t>
  </si>
  <si>
    <t>03/03/23</t>
  </si>
  <si>
    <t>0000009418711065</t>
  </si>
  <si>
    <t>0000009418710104</t>
  </si>
  <si>
    <t>0000306228875639</t>
  </si>
  <si>
    <t>04/03/23</t>
  </si>
  <si>
    <t>0000009460486469</t>
  </si>
  <si>
    <t>0000306307389455</t>
  </si>
  <si>
    <t>05/03/23</t>
  </si>
  <si>
    <t>0000306449912761</t>
  </si>
  <si>
    <t>06/03/23</t>
  </si>
  <si>
    <t>0000009520995976</t>
  </si>
  <si>
    <t>0000009520996143</t>
  </si>
  <si>
    <t>0000009520984620</t>
  </si>
  <si>
    <t>0000009520985731</t>
  </si>
  <si>
    <t>0000306511411695</t>
  </si>
  <si>
    <t>0000306596716991</t>
  </si>
  <si>
    <t>07/03/23</t>
  </si>
  <si>
    <t>0000009552735449</t>
  </si>
  <si>
    <t>08/03/23</t>
  </si>
  <si>
    <t>0000000494288064</t>
  </si>
  <si>
    <t>0000009589273963</t>
  </si>
  <si>
    <t>0000009589276396</t>
  </si>
  <si>
    <t>0000306729476099</t>
  </si>
  <si>
    <t>09/03/23</t>
  </si>
  <si>
    <t>0000009610964665</t>
  </si>
  <si>
    <t>0000009611075706</t>
  </si>
  <si>
    <t>0000009610963263</t>
  </si>
  <si>
    <t>10/03/23</t>
  </si>
  <si>
    <t>0000009632047082</t>
  </si>
  <si>
    <t>11/03/23</t>
  </si>
  <si>
    <t>0000009689278414</t>
  </si>
  <si>
    <t>12/03/23</t>
  </si>
  <si>
    <t>0000343716505456</t>
  </si>
  <si>
    <t>0000307119218195</t>
  </si>
  <si>
    <t>13/03/23</t>
  </si>
  <si>
    <t>0000009725782788</t>
  </si>
  <si>
    <t>0000009725783224</t>
  </si>
  <si>
    <t>0000009725784936</t>
  </si>
  <si>
    <t>14/03/23</t>
  </si>
  <si>
    <t>0000009739772144</t>
  </si>
  <si>
    <t>0000009739772852</t>
  </si>
  <si>
    <t>0000307348690386</t>
  </si>
  <si>
    <t>15/03/23</t>
  </si>
  <si>
    <t>0000009776260992</t>
  </si>
  <si>
    <t>0000009776264143</t>
  </si>
  <si>
    <t>0000009776264133</t>
  </si>
  <si>
    <t>16/03/23</t>
  </si>
  <si>
    <t>0000009828823023</t>
  </si>
  <si>
    <t>17/03/23</t>
  </si>
  <si>
    <t>0000009868522024</t>
  </si>
  <si>
    <t>18/03/23</t>
  </si>
  <si>
    <t>0000009893148980</t>
  </si>
  <si>
    <t>19/03/23</t>
  </si>
  <si>
    <t>0000009915275842</t>
  </si>
  <si>
    <t>0000307857776699</t>
  </si>
  <si>
    <t>20/03/23</t>
  </si>
  <si>
    <t>0000307978271591</t>
  </si>
  <si>
    <t>0000009927725889</t>
  </si>
  <si>
    <t>0000009927743139</t>
  </si>
  <si>
    <t>21/03/23</t>
  </si>
  <si>
    <t>0000009947222932</t>
  </si>
  <si>
    <t>0000009947223139</t>
  </si>
  <si>
    <t>0000009947223140</t>
  </si>
  <si>
    <t>22/03/23</t>
  </si>
  <si>
    <t>0000308120705689</t>
  </si>
  <si>
    <t>0000009984409250</t>
  </si>
  <si>
    <t>23/03/23</t>
  </si>
  <si>
    <t>0000000005434205</t>
  </si>
  <si>
    <t>24/03/23</t>
  </si>
  <si>
    <t>0000000034794584</t>
  </si>
  <si>
    <t>0000308365636325</t>
  </si>
  <si>
    <t>25/03/23</t>
  </si>
  <si>
    <t>0000308425838661</t>
  </si>
  <si>
    <t>0000308485378146</t>
  </si>
  <si>
    <t>0000000066882504</t>
  </si>
  <si>
    <t>27/03/23</t>
  </si>
  <si>
    <t>0000000138071007</t>
  </si>
  <si>
    <t>0000000138005339</t>
  </si>
  <si>
    <t>28/03/23</t>
  </si>
  <si>
    <t>0000308749760788</t>
  </si>
  <si>
    <t>0000000153662760</t>
  </si>
  <si>
    <t>29/03/23</t>
  </si>
  <si>
    <t>0000308866810228</t>
  </si>
  <si>
    <t>0000308870957876</t>
  </si>
  <si>
    <t>0000308875514155</t>
  </si>
  <si>
    <t>0000308886103999</t>
  </si>
  <si>
    <t>30/03/23</t>
  </si>
  <si>
    <t>CHAST23088393069</t>
  </si>
  <si>
    <t>0000308938972001</t>
  </si>
  <si>
    <t>31/03/23</t>
  </si>
  <si>
    <t>0000309024704836</t>
  </si>
  <si>
    <t>0000309024712987</t>
  </si>
  <si>
    <t>0000309024759458</t>
  </si>
  <si>
    <t>01/04/23</t>
  </si>
  <si>
    <t>01/11/21</t>
  </si>
  <si>
    <t>02/11/21</t>
  </si>
  <si>
    <t>04/11/21</t>
  </si>
  <si>
    <t>05/11/21</t>
  </si>
  <si>
    <t>06/11/21</t>
  </si>
  <si>
    <t>07/11/21</t>
  </si>
  <si>
    <t>08/11/21</t>
  </si>
  <si>
    <t>09/11/21</t>
  </si>
  <si>
    <t>10/11/21</t>
  </si>
  <si>
    <t>11/11/21</t>
  </si>
  <si>
    <t>12/11/21</t>
  </si>
  <si>
    <t>13/11/21</t>
  </si>
  <si>
    <t>14/11/21</t>
  </si>
  <si>
    <t>16/11/21</t>
  </si>
  <si>
    <t>17/11/21</t>
  </si>
  <si>
    <t>18/11/21</t>
  </si>
  <si>
    <t>19/11/21</t>
  </si>
  <si>
    <t>20/11/21</t>
  </si>
  <si>
    <t>21/11/21</t>
  </si>
  <si>
    <t>22/11/21</t>
  </si>
  <si>
    <t>23/11/21</t>
  </si>
  <si>
    <t>25/11/21</t>
  </si>
  <si>
    <t>26/11/21</t>
  </si>
  <si>
    <t>27/11/21</t>
  </si>
  <si>
    <t>28/11/21</t>
  </si>
  <si>
    <t>01/12/21</t>
  </si>
  <si>
    <t>02/12/21</t>
  </si>
  <si>
    <t>06/12/21</t>
  </si>
  <si>
    <t>07/12/21</t>
  </si>
  <si>
    <t>08/12/21</t>
  </si>
  <si>
    <t>09/12/21</t>
  </si>
  <si>
    <t>11/12/21</t>
  </si>
  <si>
    <t>12/12/21</t>
  </si>
  <si>
    <t>14/12/21</t>
  </si>
  <si>
    <t>15/12/21</t>
  </si>
  <si>
    <t>16/12/21</t>
  </si>
  <si>
    <t>17/12/21</t>
  </si>
  <si>
    <t>18/12/21</t>
  </si>
  <si>
    <t>20/12/21</t>
  </si>
  <si>
    <t>21/12/21</t>
  </si>
  <si>
    <t>22/12/21</t>
  </si>
  <si>
    <t>23/12/21</t>
  </si>
  <si>
    <t>24/12/21</t>
  </si>
  <si>
    <t>25/12/21</t>
  </si>
  <si>
    <t>26/12/21</t>
  </si>
  <si>
    <t>30/12/21</t>
  </si>
  <si>
    <t>01/01/22</t>
  </si>
  <si>
    <t>02/01/22</t>
  </si>
  <si>
    <t>03/01/22</t>
  </si>
  <si>
    <t>04/01/22</t>
  </si>
  <si>
    <t>05/01/22</t>
  </si>
  <si>
    <t>06/01/22</t>
  </si>
  <si>
    <t>07/01/22</t>
  </si>
  <si>
    <t>08/01/22</t>
  </si>
  <si>
    <t>10/01/22</t>
  </si>
  <si>
    <t>13/01/22</t>
  </si>
  <si>
    <t>16/01/22</t>
  </si>
  <si>
    <t>17/01/22</t>
  </si>
  <si>
    <t>18/01/22</t>
  </si>
  <si>
    <t>19/01/22</t>
  </si>
  <si>
    <t>20/01/22</t>
  </si>
  <si>
    <t>21/01/22</t>
  </si>
  <si>
    <t>22/01/22</t>
  </si>
  <si>
    <t>25/01/22</t>
  </si>
  <si>
    <t>26/01/22</t>
  </si>
  <si>
    <t>27/01/22</t>
  </si>
  <si>
    <t>28/01/22</t>
  </si>
  <si>
    <t>29/01/22</t>
  </si>
  <si>
    <t>30/01/22</t>
  </si>
  <si>
    <t>31/01/22</t>
  </si>
  <si>
    <t>01/02/22</t>
  </si>
  <si>
    <t>03/02/22</t>
  </si>
  <si>
    <t>05/02/22</t>
  </si>
  <si>
    <t>08/02/22</t>
  </si>
  <si>
    <t>09/02/22</t>
  </si>
  <si>
    <t>10/02/22</t>
  </si>
  <si>
    <t>11/02/22</t>
  </si>
  <si>
    <t>13/02/22</t>
  </si>
  <si>
    <t>14/02/22</t>
  </si>
  <si>
    <t>15/02/22</t>
  </si>
  <si>
    <t>16/02/22</t>
  </si>
  <si>
    <t>17/02/22</t>
  </si>
  <si>
    <t>19/02/22</t>
  </si>
  <si>
    <t>20/02/22</t>
  </si>
  <si>
    <t>21/02/22</t>
  </si>
  <si>
    <t>22/02/22</t>
  </si>
  <si>
    <t>23/02/22</t>
  </si>
  <si>
    <t>24/02/22</t>
  </si>
  <si>
    <t>25/02/22</t>
  </si>
  <si>
    <t>26/02/22</t>
  </si>
  <si>
    <t>27/02/22</t>
  </si>
  <si>
    <t>02/03/22</t>
  </si>
  <si>
    <t>03/03/22</t>
  </si>
  <si>
    <t>05/03/22</t>
  </si>
  <si>
    <t>06/03/22</t>
  </si>
  <si>
    <t>08/03/22</t>
  </si>
  <si>
    <t>10/03/22</t>
  </si>
  <si>
    <t>12/03/22</t>
  </si>
  <si>
    <t>13/03/22</t>
  </si>
  <si>
    <t>15/03/22</t>
  </si>
  <si>
    <t>16/03/22</t>
  </si>
  <si>
    <t>17/03/22</t>
  </si>
  <si>
    <t>19/03/22</t>
  </si>
  <si>
    <t>21/03/22</t>
  </si>
  <si>
    <t>22/03/22</t>
  </si>
  <si>
    <t>24/03/22</t>
  </si>
  <si>
    <t>25/03/22</t>
  </si>
  <si>
    <t>26/03/22</t>
  </si>
  <si>
    <t>28/03/22</t>
  </si>
  <si>
    <t>30/03/22</t>
  </si>
  <si>
    <t>31/03/22</t>
  </si>
  <si>
    <t>01/04/22</t>
  </si>
  <si>
    <t>21-10-2021</t>
  </si>
  <si>
    <t>28-10-2021</t>
  </si>
  <si>
    <t>20-11-2021</t>
  </si>
  <si>
    <t>22-11-2021</t>
  </si>
  <si>
    <t>26-11-2021</t>
  </si>
  <si>
    <t>29-11-2021</t>
  </si>
  <si>
    <t>21-12-2021</t>
  </si>
  <si>
    <t>28-12-2021</t>
  </si>
  <si>
    <t>31-12-2021</t>
  </si>
  <si>
    <t>02/04/2022</t>
  </si>
  <si>
    <t>04/04/2022</t>
  </si>
  <si>
    <t>08/04/2022</t>
  </si>
  <si>
    <t>21/04/2022</t>
  </si>
  <si>
    <t>22/04/2022</t>
  </si>
  <si>
    <t>27/04/2022</t>
  </si>
  <si>
    <t>28/04/2022</t>
  </si>
  <si>
    <t>02/05/2022</t>
  </si>
  <si>
    <t>03/05/2022</t>
  </si>
  <si>
    <t>04/05/2022</t>
  </si>
  <si>
    <t>06/05/2022</t>
  </si>
  <si>
    <t>10/05/2022</t>
  </si>
  <si>
    <t>21/05/2022</t>
  </si>
  <si>
    <t>30/05/2022</t>
  </si>
  <si>
    <t>01/06/2022</t>
  </si>
  <si>
    <t>03/06/2022</t>
  </si>
  <si>
    <t>07/06/2022</t>
  </si>
  <si>
    <t>21/06/2022</t>
  </si>
  <si>
    <t>28/06/2022</t>
  </si>
  <si>
    <t>30/06/2022</t>
  </si>
  <si>
    <t>01/07/2022</t>
  </si>
  <si>
    <t>07/07/2022</t>
  </si>
  <si>
    <t>21/07/2022</t>
  </si>
  <si>
    <t>25/07/2022</t>
  </si>
  <si>
    <t>26/07/2022</t>
  </si>
  <si>
    <t>27/07/2022</t>
  </si>
  <si>
    <t>28/07/2022</t>
  </si>
  <si>
    <t>01/08/2022</t>
  </si>
  <si>
    <t>08/08/2022</t>
  </si>
  <si>
    <t>22/08/2022</t>
  </si>
  <si>
    <t>29/08/2022</t>
  </si>
  <si>
    <t>01/09/2022</t>
  </si>
  <si>
    <t>09/09/2022</t>
  </si>
  <si>
    <t>12/09/2022</t>
  </si>
  <si>
    <t>21/09/2022</t>
  </si>
  <si>
    <t>23/09/2022</t>
  </si>
  <si>
    <t>28/09/2022</t>
  </si>
  <si>
    <t>30/09/2022</t>
  </si>
  <si>
    <t>01/10/2022</t>
  </si>
  <si>
    <t>10/10/2022</t>
  </si>
  <si>
    <t>21/10/2022</t>
  </si>
  <si>
    <t>27/10/2022</t>
  </si>
  <si>
    <t>28/10/2022</t>
  </si>
  <si>
    <t>01/11/2022</t>
  </si>
  <si>
    <t>07/11/2022</t>
  </si>
  <si>
    <t>10/11/2022</t>
  </si>
  <si>
    <t>21/11/2022</t>
  </si>
  <si>
    <t>25/11/2022</t>
  </si>
  <si>
    <t>28/11/2022</t>
  </si>
  <si>
    <t>Year E Month B Day C</t>
  </si>
  <si>
    <t>02/04/22</t>
  </si>
  <si>
    <t>03/04/22</t>
  </si>
  <si>
    <t>04/04/22</t>
  </si>
  <si>
    <t>05/04/22</t>
  </si>
  <si>
    <t>06/04/22</t>
  </si>
  <si>
    <t>07/04/22</t>
  </si>
  <si>
    <t>08/04/22</t>
  </si>
  <si>
    <t>12/04/22</t>
  </si>
  <si>
    <t>13/04/22</t>
  </si>
  <si>
    <t>14/04/22</t>
  </si>
  <si>
    <t>15/04/22</t>
  </si>
  <si>
    <t>18/04/22</t>
  </si>
  <si>
    <t>19/04/22</t>
  </si>
  <si>
    <t>21/04/22</t>
  </si>
  <si>
    <t>22/04/22</t>
  </si>
  <si>
    <t>23/04/22</t>
  </si>
  <si>
    <t>24/04/22</t>
  </si>
  <si>
    <t>26/04/22</t>
  </si>
  <si>
    <t>27/04/22</t>
  </si>
  <si>
    <t>28/04/22</t>
  </si>
  <si>
    <t>30/04/22</t>
  </si>
  <si>
    <t>02/05/22</t>
  </si>
  <si>
    <t>03/05/22</t>
  </si>
  <si>
    <t>06/05/22</t>
  </si>
  <si>
    <t>07/05/22</t>
  </si>
  <si>
    <t>08/05/22</t>
  </si>
  <si>
    <t>09/05/22</t>
  </si>
  <si>
    <t>11/05/22</t>
  </si>
  <si>
    <t>12/05/22</t>
  </si>
  <si>
    <t>16/05/22</t>
  </si>
  <si>
    <t>17/05/22</t>
  </si>
  <si>
    <t>18/05/22</t>
  </si>
  <si>
    <t>20/05/22</t>
  </si>
  <si>
    <t>21/05/22</t>
  </si>
  <si>
    <t>22/05/22</t>
  </si>
  <si>
    <t>23/05/22</t>
  </si>
  <si>
    <t>24/05/22</t>
  </si>
  <si>
    <t>25/05/22</t>
  </si>
  <si>
    <t>26/05/22</t>
  </si>
  <si>
    <t>28/05/22</t>
  </si>
  <si>
    <t>29/05/22</t>
  </si>
  <si>
    <t>30/05/22</t>
  </si>
  <si>
    <t>01/06/22</t>
  </si>
  <si>
    <t>02/06/22</t>
  </si>
  <si>
    <t>04/06/22</t>
  </si>
  <si>
    <t>05/06/22</t>
  </si>
  <si>
    <t>06/06/22</t>
  </si>
  <si>
    <t>07/06/22</t>
  </si>
  <si>
    <t>10/06/22</t>
  </si>
  <si>
    <t>11/06/22</t>
  </si>
  <si>
    <t>12/06/22</t>
  </si>
  <si>
    <t>13/06/22</t>
  </si>
  <si>
    <t>14/06/22</t>
  </si>
  <si>
    <t>15/06/22</t>
  </si>
  <si>
    <t>16/06/22</t>
  </si>
  <si>
    <t>17/06/22</t>
  </si>
  <si>
    <t>18/06/22</t>
  </si>
  <si>
    <t>19/06/22</t>
  </si>
  <si>
    <t>21/06/22</t>
  </si>
  <si>
    <t>22/06/22</t>
  </si>
  <si>
    <t>23/06/22</t>
  </si>
  <si>
    <t>25/06/22</t>
  </si>
  <si>
    <t>26/06/22</t>
  </si>
  <si>
    <t>27/06/22</t>
  </si>
  <si>
    <t>28/06/22</t>
  </si>
  <si>
    <t>29/06/22</t>
  </si>
  <si>
    <t>30/06/22</t>
  </si>
  <si>
    <t>01/07/22</t>
  </si>
  <si>
    <t>02/07/22</t>
  </si>
  <si>
    <t>03/07/22</t>
  </si>
  <si>
    <t>04/07/22</t>
  </si>
  <si>
    <t>06/07/22</t>
  </si>
  <si>
    <t>07/07/22</t>
  </si>
  <si>
    <t>08/07/22</t>
  </si>
  <si>
    <t>10/07/22</t>
  </si>
  <si>
    <t>11/07/22</t>
  </si>
  <si>
    <t>12/07/22</t>
  </si>
  <si>
    <t>17/07/22</t>
  </si>
  <si>
    <t>18/07/22</t>
  </si>
  <si>
    <t>19/07/22</t>
  </si>
  <si>
    <t>20/07/22</t>
  </si>
  <si>
    <t>21/07/22</t>
  </si>
  <si>
    <t>22/07/22</t>
  </si>
  <si>
    <t>23/07/22</t>
  </si>
  <si>
    <t>25/07/22</t>
  </si>
  <si>
    <t>26/07/22</t>
  </si>
  <si>
    <t>27/07/22</t>
  </si>
  <si>
    <t>28/07/22</t>
  </si>
  <si>
    <t>29/07/22</t>
  </si>
  <si>
    <t>31/07/22</t>
  </si>
  <si>
    <t>01/08/22</t>
  </si>
  <si>
    <t>02/08/22</t>
  </si>
  <si>
    <t>04/08/22</t>
  </si>
  <si>
    <t>05/08/22</t>
  </si>
  <si>
    <t>08/08/22</t>
  </si>
  <si>
    <t>10/08/22</t>
  </si>
  <si>
    <t>11/08/22</t>
  </si>
  <si>
    <t>12/08/22</t>
  </si>
  <si>
    <t>13/08/22</t>
  </si>
  <si>
    <t>16/08/22</t>
  </si>
  <si>
    <t>17/08/22</t>
  </si>
  <si>
    <t>19/08/22</t>
  </si>
  <si>
    <t>20/08/22</t>
  </si>
  <si>
    <t>21/08/22</t>
  </si>
  <si>
    <t>22/08/22</t>
  </si>
  <si>
    <t>23/08/22</t>
  </si>
  <si>
    <t>24/08/22</t>
  </si>
  <si>
    <t>25/08/22</t>
  </si>
  <si>
    <t>26/08/22</t>
  </si>
  <si>
    <t>27/08/22</t>
  </si>
  <si>
    <t>28/08/22</t>
  </si>
  <si>
    <t>29/08/22</t>
  </si>
  <si>
    <t>30/08/22</t>
  </si>
  <si>
    <t>01/09/22</t>
  </si>
  <si>
    <t>02/09/22</t>
  </si>
  <si>
    <t>04/09/22</t>
  </si>
  <si>
    <t>05/09/22</t>
  </si>
  <si>
    <t>06/09/22</t>
  </si>
  <si>
    <t>07/09/22</t>
  </si>
  <si>
    <t>09/09/22</t>
  </si>
  <si>
    <t>12/09/22</t>
  </si>
  <si>
    <t>13/09/22</t>
  </si>
  <si>
    <t>14/09/22</t>
  </si>
  <si>
    <t>17/09/22</t>
  </si>
  <si>
    <t>18/09/22</t>
  </si>
  <si>
    <t>19/09/22</t>
  </si>
  <si>
    <t>20/09/22</t>
  </si>
  <si>
    <t>21/09/22</t>
  </si>
  <si>
    <t>22/09/22</t>
  </si>
  <si>
    <t>23/09/22</t>
  </si>
  <si>
    <t>24/09/22</t>
  </si>
  <si>
    <t>25/09/22</t>
  </si>
  <si>
    <t>26/09/22</t>
  </si>
  <si>
    <t>27/09/22</t>
  </si>
  <si>
    <t>28/09/22</t>
  </si>
  <si>
    <t>29/09/22</t>
  </si>
  <si>
    <t>30/09/22</t>
  </si>
  <si>
    <t>01/10/22</t>
  </si>
  <si>
    <t>02/10/22</t>
  </si>
  <si>
    <t>03/10/22</t>
  </si>
  <si>
    <t>04/10/22</t>
  </si>
  <si>
    <t>05/10/22</t>
  </si>
  <si>
    <t>06/10/22</t>
  </si>
  <si>
    <t>08/10/22</t>
  </si>
  <si>
    <t>11/10/22</t>
  </si>
  <si>
    <t>12/10/22</t>
  </si>
  <si>
    <t>13/10/22</t>
  </si>
  <si>
    <t>14/10/22</t>
  </si>
  <si>
    <t>16/10/22</t>
  </si>
  <si>
    <t>20/10/22</t>
  </si>
  <si>
    <t>21/10/22</t>
  </si>
  <si>
    <t>22/10/22</t>
  </si>
  <si>
    <t>23/10/22</t>
  </si>
  <si>
    <t>25/10/22</t>
  </si>
  <si>
    <t>27/10/22</t>
  </si>
  <si>
    <t>28/10/22</t>
  </si>
  <si>
    <t>31/10/22</t>
  </si>
  <si>
    <t>02/11/22</t>
  </si>
  <si>
    <t>03/11/22</t>
  </si>
  <si>
    <t>05/11/22</t>
  </si>
  <si>
    <t>06/11/22</t>
  </si>
  <si>
    <t>07/11/22</t>
  </si>
  <si>
    <t>08/11/22</t>
  </si>
  <si>
    <t>10/11/22</t>
  </si>
  <si>
    <t>11/11/22</t>
  </si>
  <si>
    <t>15/11/22</t>
  </si>
  <si>
    <t>16/11/22</t>
  </si>
  <si>
    <t>17/11/22</t>
  </si>
  <si>
    <t>18/11/22</t>
  </si>
  <si>
    <t>21/11/22</t>
  </si>
  <si>
    <t>22/11/22</t>
  </si>
  <si>
    <t>23/11/22</t>
  </si>
  <si>
    <t>24/11/22</t>
  </si>
  <si>
    <t>25/11/22</t>
  </si>
  <si>
    <t>26/11/22</t>
  </si>
  <si>
    <t>27/11/22</t>
  </si>
  <si>
    <t>29/11/22</t>
  </si>
  <si>
    <t>30/11/22</t>
  </si>
  <si>
    <t>01/12/2022</t>
  </si>
  <si>
    <t>05/12/2022</t>
  </si>
  <si>
    <t>19/12/2022</t>
  </si>
  <si>
    <t>21/12/2022</t>
  </si>
  <si>
    <t>28/12/2022</t>
  </si>
  <si>
    <t>31/12/2022</t>
  </si>
  <si>
    <t>13/12/2022</t>
  </si>
  <si>
    <t>14/12/2022</t>
  </si>
  <si>
    <t>15/12/2022</t>
  </si>
  <si>
    <t>16/12/2022</t>
  </si>
  <si>
    <t>17/12/2022</t>
  </si>
  <si>
    <t>20/12/2022</t>
  </si>
  <si>
    <t>22/12/2022</t>
  </si>
  <si>
    <t>23/12/2022</t>
  </si>
  <si>
    <t>24/12/2022</t>
  </si>
  <si>
    <t>25/12/2022</t>
  </si>
  <si>
    <t>26/12/2022</t>
  </si>
  <si>
    <t>27/12/2022</t>
  </si>
  <si>
    <t>17-04-2006</t>
  </si>
  <si>
    <t>19-04-2006</t>
  </si>
  <si>
    <t>20-04-2006</t>
  </si>
  <si>
    <t>29-04-2006</t>
  </si>
  <si>
    <t>25-05-2006</t>
  </si>
  <si>
    <t>26-05-2006</t>
  </si>
  <si>
    <t>30-05-2006</t>
  </si>
  <si>
    <t>26-06-2006</t>
  </si>
  <si>
    <t>27-06-2006</t>
  </si>
  <si>
    <t>29-06-2006</t>
  </si>
  <si>
    <t>15-07-2006</t>
  </si>
  <si>
    <t>18-07-2006</t>
  </si>
  <si>
    <t>20-07-2006</t>
  </si>
  <si>
    <t>27-07-2006</t>
  </si>
  <si>
    <t>23-08-2006</t>
  </si>
  <si>
    <t>24-08-2006</t>
  </si>
  <si>
    <t>25-08-2006</t>
  </si>
  <si>
    <t>26-08-2006</t>
  </si>
  <si>
    <t>13-10-2006</t>
  </si>
  <si>
    <t>16-10-2006</t>
  </si>
  <si>
    <t>20-10-2006</t>
  </si>
  <si>
    <t>21-10-2006</t>
  </si>
  <si>
    <t>31-10-2006</t>
  </si>
  <si>
    <t>16-11-2006</t>
  </si>
  <si>
    <t>27-11-2006</t>
  </si>
  <si>
    <t>29-11-2006</t>
  </si>
  <si>
    <t>18-12-2006</t>
  </si>
  <si>
    <t>23-12-2006</t>
  </si>
  <si>
    <t>27-12-2006</t>
  </si>
  <si>
    <t>15-01-2007</t>
  </si>
  <si>
    <t>24-01-2007</t>
  </si>
  <si>
    <t>25-01-2007</t>
  </si>
  <si>
    <t>27-01-2007</t>
  </si>
  <si>
    <t>29-01-2007</t>
  </si>
  <si>
    <t>13-02-2007</t>
  </si>
  <si>
    <t>14-02-2007</t>
  </si>
  <si>
    <t>22-02-2007</t>
  </si>
  <si>
    <t>26-02-2007</t>
  </si>
  <si>
    <t>15-03-2007</t>
  </si>
  <si>
    <t>16-03-2007</t>
  </si>
  <si>
    <t>23-03-2007</t>
  </si>
  <si>
    <t>26-03-2007</t>
  </si>
  <si>
    <t>30-03-2007</t>
  </si>
  <si>
    <t>31-03-2007</t>
  </si>
  <si>
    <t>14-08-2007</t>
  </si>
  <si>
    <t>27-08-2007</t>
  </si>
  <si>
    <t>29-08-2007</t>
  </si>
  <si>
    <t>31-08-2007</t>
  </si>
  <si>
    <t>19-10-2007</t>
  </si>
  <si>
    <t>26-10-2007</t>
  </si>
  <si>
    <t>29-10-2007</t>
  </si>
  <si>
    <t>19-11-2007</t>
  </si>
  <si>
    <t>22-11-2007</t>
  </si>
  <si>
    <t>26-11-2007</t>
  </si>
  <si>
    <t>28-11-2007</t>
  </si>
  <si>
    <t>14-01-2008</t>
  </si>
  <si>
    <t>16-01-2008</t>
  </si>
  <si>
    <t>19-01-2008</t>
  </si>
  <si>
    <t>28-01-2008</t>
  </si>
  <si>
    <t>30-01-2008</t>
  </si>
  <si>
    <t>15-03-2008</t>
  </si>
  <si>
    <t>21-03-2008</t>
  </si>
  <si>
    <t>25-03-2008</t>
  </si>
  <si>
    <t>26-03-2008</t>
  </si>
  <si>
    <t>28-03-2008</t>
  </si>
  <si>
    <t>31-03-2008</t>
  </si>
  <si>
    <t>21-04-2008</t>
  </si>
  <si>
    <t>25-04-2008</t>
  </si>
  <si>
    <t>28-04-2008</t>
  </si>
  <si>
    <t>29-04-2008</t>
  </si>
  <si>
    <t>05/04/2021</t>
  </si>
  <si>
    <t>26/04/2021</t>
  </si>
  <si>
    <t>27/04/2021</t>
  </si>
  <si>
    <t>29/04/2021</t>
  </si>
  <si>
    <t>10/05/2021</t>
  </si>
  <si>
    <t>11/05/2021</t>
  </si>
  <si>
    <t>17/05/2021</t>
  </si>
  <si>
    <t>18/05/2021</t>
  </si>
  <si>
    <t>25/05/2021</t>
  </si>
  <si>
    <t>28/05/2021</t>
  </si>
  <si>
    <t>31/05/2021</t>
  </si>
  <si>
    <t>01/06/2021</t>
  </si>
  <si>
    <t>07/06/2021</t>
  </si>
  <si>
    <t>10/06/2021</t>
  </si>
  <si>
    <t>14/06/2021</t>
  </si>
  <si>
    <t>18/06/2021</t>
  </si>
  <si>
    <t>19/06/2021</t>
  </si>
  <si>
    <t>22/06/2021</t>
  </si>
  <si>
    <t>23/06/2021</t>
  </si>
  <si>
    <t>25/06/2021</t>
  </si>
  <si>
    <t>01/07/2021</t>
  </si>
  <si>
    <t>06/07/2021</t>
  </si>
  <si>
    <t>09/07/2021</t>
  </si>
  <si>
    <t>15/07/2021</t>
  </si>
  <si>
    <t>19/07/2021</t>
  </si>
  <si>
    <t>04/08/2021</t>
  </si>
  <si>
    <t>09/08/2021</t>
  </si>
  <si>
    <t>12/08/2021</t>
  </si>
  <si>
    <t>16/08/2021</t>
  </si>
  <si>
    <t>23/08/2021</t>
  </si>
  <si>
    <t>25/08/2021</t>
  </si>
  <si>
    <t>26/08/2021</t>
  </si>
  <si>
    <t>04/09/2021</t>
  </si>
  <si>
    <t>06/09/2021</t>
  </si>
  <si>
    <t>08/09/2021</t>
  </si>
  <si>
    <t>09/09/2021</t>
  </si>
  <si>
    <t>13/09/2021</t>
  </si>
  <si>
    <t>17/09/2021</t>
  </si>
  <si>
    <t>18/09/2021</t>
  </si>
  <si>
    <t>20/09/2021</t>
  </si>
  <si>
    <t>24/09/2021</t>
  </si>
  <si>
    <t>27/09/2021</t>
  </si>
  <si>
    <t>13/09/16</t>
  </si>
  <si>
    <t>25/09/16</t>
  </si>
  <si>
    <t>29/09/16</t>
  </si>
  <si>
    <t>01/10/16</t>
  </si>
  <si>
    <t>13/10/16</t>
  </si>
  <si>
    <t>14/10/16</t>
  </si>
  <si>
    <t>15/10/16</t>
  </si>
  <si>
    <t>25/10/16</t>
  </si>
  <si>
    <t>29/10/16</t>
  </si>
  <si>
    <t>01/11/16</t>
  </si>
  <si>
    <t>05/11/16</t>
  </si>
  <si>
    <t>14/11/16</t>
  </si>
  <si>
    <t>29/11/16</t>
  </si>
  <si>
    <t>30/11/16</t>
  </si>
  <si>
    <t>14/12/16</t>
  </si>
  <si>
    <t>29/12/16</t>
  </si>
  <si>
    <t>01/01/17</t>
  </si>
  <si>
    <t>02/01/17</t>
  </si>
  <si>
    <t>13/01/17</t>
  </si>
  <si>
    <t>14/01/17</t>
  </si>
  <si>
    <t>21/01/17</t>
  </si>
  <si>
    <t>29/01/17</t>
  </si>
  <si>
    <t>31/01/17</t>
  </si>
  <si>
    <t>02/02/17</t>
  </si>
  <si>
    <t>13/02/17</t>
  </si>
  <si>
    <t>28/02/17</t>
  </si>
  <si>
    <t>13/03/17</t>
  </si>
  <si>
    <t>27/03/17</t>
  </si>
  <si>
    <t>30/03/17</t>
  </si>
  <si>
    <t>01/04/17</t>
  </si>
  <si>
    <t>14/04/17</t>
  </si>
  <si>
    <t>29/04/17</t>
  </si>
  <si>
    <t>13/05/17</t>
  </si>
  <si>
    <t>19/05/17</t>
  </si>
  <si>
    <t>29/05/17</t>
  </si>
  <si>
    <t>03/06/17</t>
  </si>
  <si>
    <t>13/06/17</t>
  </si>
  <si>
    <t>30/06/17</t>
  </si>
  <si>
    <t>01/07/17</t>
  </si>
  <si>
    <t>02/07/17</t>
  </si>
  <si>
    <t>13/07/17</t>
  </si>
  <si>
    <t>29/07/17</t>
  </si>
  <si>
    <t>13/08/17</t>
  </si>
  <si>
    <t>21/08/17</t>
  </si>
  <si>
    <t>29/08/17</t>
  </si>
  <si>
    <t>14/09/17</t>
  </si>
  <si>
    <t>29/09/17</t>
  </si>
  <si>
    <t>01/10/17</t>
  </si>
  <si>
    <t>03/10/17</t>
  </si>
  <si>
    <t>04/10/17</t>
  </si>
  <si>
    <t>13/10/17</t>
  </si>
  <si>
    <t>17/10/17</t>
  </si>
  <si>
    <t>21/10/17</t>
  </si>
  <si>
    <t>29/10/17</t>
  </si>
  <si>
    <t>02/11/17</t>
  </si>
  <si>
    <t>18/11/17</t>
  </si>
  <si>
    <t>22/11/17</t>
  </si>
  <si>
    <t>02/12/17</t>
  </si>
  <si>
    <t>17/12/17</t>
  </si>
  <si>
    <t>23/12/17</t>
  </si>
  <si>
    <t>31/12/17</t>
  </si>
  <si>
    <t>02/01/18</t>
  </si>
  <si>
    <t>04/01/18</t>
  </si>
  <si>
    <t>17/01/18</t>
  </si>
  <si>
    <t>18/01/18</t>
  </si>
  <si>
    <t>01/02/18</t>
  </si>
  <si>
    <t>18/02/18</t>
  </si>
  <si>
    <t>01/03/18</t>
  </si>
  <si>
    <t>18/03/18</t>
  </si>
  <si>
    <t>29/03/18</t>
  </si>
  <si>
    <t>30/03/18</t>
  </si>
  <si>
    <t>01/04/18</t>
  </si>
  <si>
    <t>02/04/18</t>
  </si>
  <si>
    <t>17/04/18</t>
  </si>
  <si>
    <t>02/05/18</t>
  </si>
  <si>
    <t>17/05/18</t>
  </si>
  <si>
    <t>02/06/18</t>
  </si>
  <si>
    <t>17/06/18</t>
  </si>
  <si>
    <t>29/06/18</t>
  </si>
  <si>
    <t>01/07/18</t>
  </si>
  <si>
    <t>18/07/18</t>
  </si>
  <si>
    <t>02/08/18</t>
  </si>
  <si>
    <t>17/08/18</t>
  </si>
  <si>
    <t>03/09/18</t>
  </si>
  <si>
    <t>17/09/18</t>
  </si>
  <si>
    <t>30/09/18</t>
  </si>
  <si>
    <t>02/10/18</t>
  </si>
  <si>
    <t>18/10/18</t>
  </si>
  <si>
    <t>31/10/18</t>
  </si>
  <si>
    <t>17/11/18</t>
  </si>
  <si>
    <t>03/12/18</t>
  </si>
  <si>
    <t>18/12/18</t>
  </si>
  <si>
    <t>26/12/18</t>
  </si>
  <si>
    <t>01/01/19</t>
  </si>
  <si>
    <t>17/01/19</t>
  </si>
  <si>
    <t>04/02/19</t>
  </si>
  <si>
    <t>07/02/19</t>
  </si>
  <si>
    <t>07/03/19</t>
  </si>
  <si>
    <t>08/03/19</t>
  </si>
  <si>
    <t>01/04/19</t>
  </si>
  <si>
    <t>04/04/19</t>
  </si>
  <si>
    <t>07/04/19</t>
  </si>
  <si>
    <t>05/05/19</t>
  </si>
  <si>
    <t>08/05/19</t>
  </si>
  <si>
    <t>04/06/19</t>
  </si>
  <si>
    <t>08/06/19</t>
  </si>
  <si>
    <t>30/06/19</t>
  </si>
  <si>
    <t>05/07/19</t>
  </si>
  <si>
    <t>07/07/19</t>
  </si>
  <si>
    <t>04/08/19</t>
  </si>
  <si>
    <t>08/08/19</t>
  </si>
  <si>
    <t>04/09/19</t>
  </si>
  <si>
    <t>07/09/19</t>
  </si>
  <si>
    <t>01/10/19</t>
  </si>
  <si>
    <t>05/10/19</t>
  </si>
  <si>
    <t>08/10/19</t>
  </si>
  <si>
    <t>04/11/19</t>
  </si>
  <si>
    <t>08/11/19</t>
  </si>
  <si>
    <t>05/12/19</t>
  </si>
  <si>
    <t>08/12/19</t>
  </si>
  <si>
    <t>01/01/20</t>
  </si>
  <si>
    <t>04/01/20</t>
  </si>
  <si>
    <t>08/01/20</t>
  </si>
  <si>
    <t>04/02/20</t>
  </si>
  <si>
    <t>08/02/20</t>
  </si>
  <si>
    <t>28/02/20</t>
  </si>
  <si>
    <t>06/03/20</t>
  </si>
  <si>
    <t>08/03/20</t>
  </si>
  <si>
    <t>01/04/20</t>
  </si>
  <si>
    <t>04/04/20</t>
  </si>
  <si>
    <t>08/04/20</t>
  </si>
  <si>
    <t>07/05/20</t>
  </si>
  <si>
    <t>09/05/20</t>
  </si>
  <si>
    <t>05/07/20</t>
  </si>
  <si>
    <t>04/09/20</t>
  </si>
  <si>
    <t>10/11/20</t>
  </si>
  <si>
    <t>05/12/20</t>
  </si>
  <si>
    <t>08/12/20</t>
  </si>
  <si>
    <t>10/12/20</t>
  </si>
  <si>
    <t>10/01/21</t>
  </si>
  <si>
    <t>04/02/21</t>
  </si>
  <si>
    <t>05/07/21</t>
  </si>
  <si>
    <t>04/09/21</t>
  </si>
  <si>
    <t>01/10/2021</t>
  </si>
  <si>
    <t>05/10/2021</t>
  </si>
  <si>
    <t>08/10/2021</t>
  </si>
  <si>
    <t>11/10/2021</t>
  </si>
  <si>
    <t>18/10/2021</t>
  </si>
  <si>
    <t>25/10/2021</t>
  </si>
  <si>
    <t>26/10/2021</t>
  </si>
  <si>
    <t>27/10/2021</t>
  </si>
  <si>
    <t>15-11-2021</t>
  </si>
  <si>
    <t>16-11-2021</t>
  </si>
  <si>
    <t>19-11-2021</t>
  </si>
  <si>
    <t>23-11-2021</t>
  </si>
  <si>
    <t>30-11-2021</t>
  </si>
  <si>
    <t>13-12-2021</t>
  </si>
  <si>
    <t>18-12-2021</t>
  </si>
  <si>
    <t>20-12-2021</t>
  </si>
  <si>
    <t>24-12-2021</t>
  </si>
  <si>
    <t>27-12-2021</t>
  </si>
  <si>
    <t>17-01-2022</t>
  </si>
  <si>
    <t>20-01-2022</t>
  </si>
  <si>
    <t>21-01-2022</t>
  </si>
  <si>
    <t>24-01-2022</t>
  </si>
  <si>
    <t>25-01-2022</t>
  </si>
  <si>
    <t>27-01-2022</t>
  </si>
  <si>
    <t>28-01-2022</t>
  </si>
  <si>
    <t>31-01-2022</t>
  </si>
  <si>
    <t>14-02-2022</t>
  </si>
  <si>
    <t>16-02-2022</t>
  </si>
  <si>
    <t>18-02-2022</t>
  </si>
  <si>
    <t>21-02-2022</t>
  </si>
  <si>
    <t>25-02-2022</t>
  </si>
  <si>
    <t>28-02-2022</t>
  </si>
  <si>
    <t>14-03-2022</t>
  </si>
  <si>
    <t>16-03-2022</t>
  </si>
  <si>
    <t>19-03-2022</t>
  </si>
  <si>
    <t>21-03-2022</t>
  </si>
  <si>
    <t>22-03-2022</t>
  </si>
  <si>
    <t>25-03-2022</t>
  </si>
  <si>
    <t>28-03-2022</t>
  </si>
  <si>
    <t>30-03-2022</t>
  </si>
  <si>
    <t>31-03-2022</t>
  </si>
  <si>
    <t>03/10/21</t>
  </si>
  <si>
    <t>03/11/21</t>
  </si>
  <si>
    <t>03/12/21</t>
  </si>
  <si>
    <t>05/12/21</t>
  </si>
  <si>
    <t>04/02/22</t>
  </si>
  <si>
    <t>07/03/22</t>
  </si>
  <si>
    <t>05/04/2022</t>
  </si>
  <si>
    <t>11/04/2022</t>
  </si>
  <si>
    <t>12/04/2022</t>
  </si>
  <si>
    <t>14/04/2022</t>
  </si>
  <si>
    <t>16/04/2022</t>
  </si>
  <si>
    <t>18/04/2022</t>
  </si>
  <si>
    <t>20/04/2022</t>
  </si>
  <si>
    <t>25/04/2022</t>
  </si>
  <si>
    <t>26/04/2022</t>
  </si>
  <si>
    <t>29/04/2022</t>
  </si>
  <si>
    <t>30/04/2022</t>
  </si>
  <si>
    <t>09/05/2022</t>
  </si>
  <si>
    <t>16/05/2022</t>
  </si>
  <si>
    <t>17/05/2022</t>
  </si>
  <si>
    <t>20/05/2022</t>
  </si>
  <si>
    <t>23/05/2022</t>
  </si>
  <si>
    <t>26/05/2022</t>
  </si>
  <si>
    <t>02/06/2022</t>
  </si>
  <si>
    <t>04/06/2022</t>
  </si>
  <si>
    <t>06/06/2022</t>
  </si>
  <si>
    <t>09/06/2022</t>
  </si>
  <si>
    <t>10/06/2022</t>
  </si>
  <si>
    <t>13/06/2022</t>
  </si>
  <si>
    <t>15/06/2022</t>
  </si>
  <si>
    <t>16/06/2022</t>
  </si>
  <si>
    <t>17/06/2022</t>
  </si>
  <si>
    <t>18/06/2022</t>
  </si>
  <si>
    <t>20/06/2022</t>
  </si>
  <si>
    <t>24/06/2022</t>
  </si>
  <si>
    <t>27/06/2022</t>
  </si>
  <si>
    <t>02/07/2022</t>
  </si>
  <si>
    <t>04/07/2022</t>
  </si>
  <si>
    <t>06/07/2022</t>
  </si>
  <si>
    <t>11/07/2022</t>
  </si>
  <si>
    <t>13/07/2022</t>
  </si>
  <si>
    <t>15/07/2022</t>
  </si>
  <si>
    <t>16/07/2022</t>
  </si>
  <si>
    <t>18/07/2022</t>
  </si>
  <si>
    <t>30/07/2022</t>
  </si>
  <si>
    <t>03/08/2022</t>
  </si>
  <si>
    <t>04/08/2022</t>
  </si>
  <si>
    <t>06/08/2022</t>
  </si>
  <si>
    <t>09/08/2022</t>
  </si>
  <si>
    <t>11/08/2022</t>
  </si>
  <si>
    <t>12/08/2022</t>
  </si>
  <si>
    <t>16/08/2022</t>
  </si>
  <si>
    <t>17/08/2022</t>
  </si>
  <si>
    <t>18/08/2022</t>
  </si>
  <si>
    <t>20/08/2022</t>
  </si>
  <si>
    <t>26/08/2022</t>
  </si>
  <si>
    <t>30/08/2022</t>
  </si>
  <si>
    <t>31/08/2022</t>
  </si>
  <si>
    <t>03/09/2022</t>
  </si>
  <si>
    <t>05/09/2022</t>
  </si>
  <si>
    <t>06/09/2022</t>
  </si>
  <si>
    <t>16/09/2022</t>
  </si>
  <si>
    <t>19/09/2022</t>
  </si>
  <si>
    <t>26/09/2022</t>
  </si>
  <si>
    <t>27/09/2022</t>
  </si>
  <si>
    <t>29/09/2022</t>
  </si>
  <si>
    <t>03/10/2022</t>
  </si>
  <si>
    <t>06/10/2022</t>
  </si>
  <si>
    <t>08/10/2022</t>
  </si>
  <si>
    <t>11/10/2022</t>
  </si>
  <si>
    <t>13/10/2022</t>
  </si>
  <si>
    <t>15/10/2022</t>
  </si>
  <si>
    <t>17/10/2022</t>
  </si>
  <si>
    <t>19/10/2022</t>
  </si>
  <si>
    <t>20/10/2022</t>
  </si>
  <si>
    <t>24/10/2022</t>
  </si>
  <si>
    <t>25/10/2022</t>
  </si>
  <si>
    <t>31/10/2022</t>
  </si>
  <si>
    <t>02/11/2022</t>
  </si>
  <si>
    <t>04/11/2022</t>
  </si>
  <si>
    <t>05/11/2022</t>
  </si>
  <si>
    <t>08/11/2022</t>
  </si>
  <si>
    <t>11/11/2022</t>
  </si>
  <si>
    <t>12/11/2022</t>
  </si>
  <si>
    <t>14/11/2022</t>
  </si>
  <si>
    <t>15/11/2022</t>
  </si>
  <si>
    <t>16/11/2022</t>
  </si>
  <si>
    <t>17/11/2022</t>
  </si>
  <si>
    <t>18/11/2022</t>
  </si>
  <si>
    <t>22/11/2022</t>
  </si>
  <si>
    <t>24/11/2022</t>
  </si>
  <si>
    <t>29/11/2022</t>
  </si>
  <si>
    <t>11/04/22</t>
  </si>
  <si>
    <t>05/07/22</t>
  </si>
  <si>
    <t>06/08/22</t>
  </si>
  <si>
    <t>03/09/22</t>
  </si>
  <si>
    <t>04/11/22</t>
  </si>
  <si>
    <t>02/12/2022</t>
  </si>
  <si>
    <t>03/12/2022</t>
  </si>
  <si>
    <t>06/12/2022</t>
  </si>
  <si>
    <t>08/12/2022</t>
  </si>
  <si>
    <t>09/12/2022</t>
  </si>
  <si>
    <t>12/12/2022</t>
  </si>
  <si>
    <t>29/12/2022</t>
  </si>
  <si>
    <t>16-01-2023</t>
  </si>
  <si>
    <t>18-01-2023</t>
  </si>
  <si>
    <t>19-01-2023</t>
  </si>
  <si>
    <t>20-01-2023</t>
  </si>
  <si>
    <t>21-01-2023</t>
  </si>
  <si>
    <t>23-01-2023</t>
  </si>
  <si>
    <t>25-01-2023</t>
  </si>
  <si>
    <t>27-01-2023</t>
  </si>
  <si>
    <t>28-01-2023</t>
  </si>
  <si>
    <t>30-01-2023</t>
  </si>
  <si>
    <t>From 2021: change of freq for ICICIPru</t>
  </si>
  <si>
    <t>SIP</t>
  </si>
  <si>
    <t>Vinay all</t>
  </si>
  <si>
    <t>SIP zerodha</t>
  </si>
  <si>
    <t>Varsha all</t>
  </si>
  <si>
    <t>Umang</t>
  </si>
  <si>
    <t>Vyom Umang</t>
  </si>
  <si>
    <t>New Jeevan Anand</t>
  </si>
  <si>
    <t>After ULIPs are done</t>
  </si>
  <si>
    <t>New Total</t>
  </si>
  <si>
    <t>Jeevan Labh</t>
  </si>
  <si>
    <t>One policy missing</t>
  </si>
  <si>
    <t>After 2024</t>
  </si>
  <si>
    <t>Monthly provision for premiums</t>
  </si>
  <si>
    <t>Policy</t>
  </si>
  <si>
    <t>Start date</t>
  </si>
  <si>
    <t>Sum assured</t>
  </si>
  <si>
    <t>Premium</t>
  </si>
  <si>
    <t>Name</t>
  </si>
  <si>
    <t>Plan number</t>
  </si>
  <si>
    <t>Payment</t>
  </si>
  <si>
    <t>Tenure</t>
  </si>
  <si>
    <t>Premium 
paying 
term</t>
  </si>
  <si>
    <t>Policy 
term</t>
  </si>
  <si>
    <t>Total outgo</t>
  </si>
  <si>
    <t>Returns</t>
  </si>
  <si>
    <t>In hand, if next installment 
is taken from earlier returns</t>
  </si>
  <si>
    <t>Monthly</t>
  </si>
  <si>
    <t>Extra</t>
  </si>
  <si>
    <t>Overall returns</t>
  </si>
  <si>
    <t>Annualized</t>
  </si>
  <si>
    <t>Varsha Mahajan</t>
  </si>
  <si>
    <t>Anand</t>
  </si>
  <si>
    <t>New Anand</t>
  </si>
  <si>
    <t>Vyom Mahajan</t>
  </si>
  <si>
    <t>Komal</t>
  </si>
  <si>
    <t>Child Future</t>
  </si>
  <si>
    <t>Pru Elite Life II</t>
  </si>
  <si>
    <t>Elite Life Super</t>
  </si>
  <si>
    <t>Zerodha SIP MF</t>
  </si>
  <si>
    <t>Yearly payments</t>
  </si>
  <si>
    <t>Cumulative payments for life to be paid</t>
  </si>
  <si>
    <t>Actual payment Out of pocket after maturity</t>
  </si>
  <si>
    <t>Total outgo Varsha + Vinay</t>
  </si>
  <si>
    <t>Total outgo Varsha + Vinay + PPF for both</t>
  </si>
  <si>
    <t>Total outgo Varsha + Vinay - actual payment out of pocket</t>
  </si>
  <si>
    <t>https://www.myinsuranceclub.com/life-insurance/companies/lic-of-india/jeevan-anand</t>
  </si>
  <si>
    <t>15 years completion</t>
  </si>
  <si>
    <t>Possible addition of 12 lacs for Vyom's Jeevan Umang</t>
  </si>
  <si>
    <t>Income and 4% increase</t>
  </si>
  <si>
    <t>Income post tax</t>
  </si>
  <si>
    <t>Vyom's MF:</t>
  </si>
  <si>
    <t xml:space="preserve">UTI Children Career Fund </t>
  </si>
  <si>
    <t>% of investment</t>
  </si>
  <si>
    <t>517205524732: 537.809 units</t>
  </si>
  <si>
    <t>Based on current investments %</t>
  </si>
  <si>
    <t>517205524742: 4302.465 units</t>
  </si>
  <si>
    <t>Retirement</t>
  </si>
  <si>
    <t>NAV: 31.6246 (22Dec2022)</t>
  </si>
  <si>
    <t>NAV: 33.2583 (4Jul2023)</t>
  </si>
  <si>
    <t>Policy number</t>
  </si>
  <si>
    <t>Jeevan Anand</t>
  </si>
  <si>
    <t>Jeevan Umang</t>
  </si>
  <si>
    <t>Jeevan Shree</t>
  </si>
  <si>
    <t>IProtect SMART</t>
  </si>
  <si>
    <t>https://www.insurance21.in/maturity-calculator-Jeevan-anand-plan-149.php</t>
  </si>
  <si>
    <t>Retirement 
age</t>
  </si>
  <si>
    <t>% increase
in salary</t>
  </si>
  <si>
    <t>NPS
contribution</t>
  </si>
  <si>
    <t>Tax rate</t>
  </si>
  <si>
    <t>PF contribution</t>
  </si>
  <si>
    <t>VPF</t>
  </si>
  <si>
    <t>PF amount as of today</t>
  </si>
  <si>
    <t>EPF 
interest rate</t>
  </si>
  <si>
    <t>NPS tax benefit</t>
  </si>
  <si>
    <t>Approx monthly contribution based on 
Start age, 
Retirement age and accumulation</t>
  </si>
  <si>
    <t>http://www.npstrust.org.in/content/pension-calculator</t>
  </si>
  <si>
    <t>Saving in bank</t>
  </si>
  <si>
    <t>% return</t>
  </si>
  <si>
    <t>Cumulative saving in bank w/o NPS till retirement</t>
  </si>
  <si>
    <t>Cumulative saving in bank with NPS till retirement</t>
  </si>
  <si>
    <t>% return on 
EPF amount</t>
  </si>
  <si>
    <t>Monthly expense
after retirement</t>
  </si>
  <si>
    <t>Yearly 
expense increase</t>
  </si>
  <si>
    <t>LIC + PPF till retirement</t>
  </si>
  <si>
    <t>NPS</t>
  </si>
  <si>
    <t>Compounding of EPF with different rates</t>
  </si>
  <si>
    <t>Compounding 
of EPF with a fixed rate</t>
  </si>
  <si>
    <t>Annuity lumpsum</t>
  </si>
  <si>
    <t>Annuity return</t>
  </si>
  <si>
    <t>Yearly annuity</t>
  </si>
  <si>
    <t>NPS 
times
returns</t>
  </si>
  <si>
    <t>Total NPS</t>
  </si>
  <si>
    <t>Yearly NPS annuity</t>
  </si>
  <si>
    <t>This number could be used to get the compounding returns (looks like NPS calculator uses it)</t>
  </si>
  <si>
    <t>Replace column AK to see both contributions</t>
  </si>
  <si>
    <t>Corrected column</t>
  </si>
  <si>
    <t>Basic/month</t>
  </si>
  <si>
    <t>Basic/yearly</t>
  </si>
  <si>
    <t>NPS contribution yearly</t>
  </si>
  <si>
    <t>Taxable income 
CTC 
- NPS contribution 
- NPS tax benefit(50K)</t>
  </si>
  <si>
    <t>Income tax
w/o NPS</t>
  </si>
  <si>
    <t>Income tax with contribution to NPS</t>
  </si>
  <si>
    <t>Difference in tax
(saving)</t>
  </si>
  <si>
    <t>Total yearly 
NPS contribution</t>
  </si>
  <si>
    <t>Total yearly 
tax saving</t>
  </si>
  <si>
    <t>Tax + NPS saving</t>
  </si>
  <si>
    <t>Cumulative NPS contributions</t>
  </si>
  <si>
    <t>NPS contribution % CTC</t>
  </si>
  <si>
    <t>PF 
contribution</t>
  </si>
  <si>
    <t>PF Employer
contribution</t>
  </si>
  <si>
    <t>VPF 
contribution</t>
  </si>
  <si>
    <t>Total cuts
w/o NPS</t>
  </si>
  <si>
    <t>Total cuts 
% of CTC w/o NPS</t>
  </si>
  <si>
    <t>Total cuts
with NPS</t>
  </si>
  <si>
    <t>Total cuts 
% of CTC with NPS</t>
  </si>
  <si>
    <t>Your contribution 
to PF (PF+VPF)</t>
  </si>
  <si>
    <t>Cumulative 
Your contribution 
to PF (PF+VPF)</t>
  </si>
  <si>
    <t>Total PF</t>
  </si>
  <si>
    <t>% EPF</t>
  </si>
  <si>
    <t>Compounding 
of EPF with a fixed rate J2 column</t>
  </si>
  <si>
    <t>Cumulative earning from EPF
excluding own contribution</t>
  </si>
  <si>
    <t>AB / Y</t>
  </si>
  <si>
    <t>Saving w/o NPS</t>
  </si>
  <si>
    <t>Cumulative savings in bank
w/o NPS</t>
  </si>
  <si>
    <t>Saving with NPS</t>
  </si>
  <si>
    <t>Cumulative savings in bank with NPS</t>
  </si>
  <si>
    <t>LIC + PPF returns including Vinay and Varsha
+ ICICI Pru Life</t>
  </si>
  <si>
    <t>Cumulative LIC + PPF + ICICI Pru Life returns</t>
  </si>
  <si>
    <t>Cumulative LIC + PPF + ICICI Pru Life returns
After the retirement</t>
  </si>
  <si>
    <t>NPS contribution 
at retirement</t>
  </si>
  <si>
    <t>EPF different rate
contribution 
at retirement</t>
  </si>
  <si>
    <t>EPF fixed rate
contribution 
at retirement</t>
  </si>
  <si>
    <t>Corpus left different rate EPF rate</t>
  </si>
  <si>
    <t>Corpus left 
fixed EPF rate</t>
  </si>
  <si>
    <t>Monthly expense from EPF + 
Annuity +
NPS +
LIC +
Banking</t>
  </si>
  <si>
    <t>Yearly expense
from EPF +
Annuity +
NPS +
LIC +
Banking</t>
  </si>
  <si>
    <t>Cumulative yearly expenses</t>
  </si>
  <si>
    <t>Earning from remaining EPF
fixed rates +
EPF Annuity +
NPS Annuity +
LIC +
Bank savings</t>
  </si>
  <si>
    <t>Earning from remaining EPF
different rates +
EPF Annuity +
NPS Annuity +
LIC +
Bank savings</t>
  </si>
  <si>
    <t>LIC + PPF returns</t>
  </si>
  <si>
    <t>.No.</t>
  </si>
  <si>
    <t>Paid Premium</t>
  </si>
  <si>
    <t>Yearly Bonus (Approx.)</t>
  </si>
  <si>
    <t>FAB (Approx.)</t>
  </si>
  <si>
    <t>Normal Life Cover (Approx.)</t>
  </si>
  <si>
    <t>Return (Approx.)</t>
  </si>
  <si>
    <t>Vyom's age</t>
  </si>
  <si>
    <t>Vinay's age</t>
  </si>
  <si>
    <t>Varsha's age</t>
  </si>
  <si>
    <t>Lump sum</t>
  </si>
  <si>
    <t>Yearly income
tax free</t>
  </si>
  <si>
    <t>Assuming 
30% tax</t>
  </si>
  <si>
    <t>Assuming 
20% tax</t>
  </si>
  <si>
    <t>Assuming 
10% tax</t>
  </si>
  <si>
    <t>Cumulative</t>
  </si>
  <si>
    <t>https://www.insurance21.in/maturity-calculator/lic-jeevan-umang-plan-945.html</t>
  </si>
  <si>
    <t>Age at entry</t>
  </si>
  <si>
    <t>Premium paying term</t>
  </si>
  <si>
    <t>Such 12 policies</t>
  </si>
  <si>
    <t>Yearly premium</t>
  </si>
  <si>
    <t>Total paid</t>
  </si>
  <si>
    <t>Times</t>
  </si>
  <si>
    <t>% returns</t>
  </si>
  <si>
    <t>Yearly %</t>
  </si>
  <si>
    <t>Tax free</t>
  </si>
  <si>
    <t>30% tax</t>
  </si>
  <si>
    <t>20% tax</t>
  </si>
  <si>
    <t>10% tax</t>
  </si>
  <si>
    <t>Jeevan Child future</t>
  </si>
  <si>
    <t>ICICI Pru</t>
  </si>
  <si>
    <t>Jeevan Komal</t>
  </si>
  <si>
    <t>Average per 4 year block</t>
  </si>
  <si>
    <t>Endowment policy</t>
  </si>
  <si>
    <t>--</t>
  </si>
  <si>
    <t>V/V</t>
  </si>
  <si>
    <t>Vyom</t>
  </si>
  <si>
    <t>Vyom's
class</t>
  </si>
  <si>
    <t>Overall</t>
  </si>
  <si>
    <t>Additional 
Vyom 
Umang</t>
  </si>
  <si>
    <t>New overall</t>
  </si>
  <si>
    <t>#</t>
  </si>
  <si>
    <t>Income</t>
  </si>
  <si>
    <t>ICICI Pru life</t>
  </si>
  <si>
    <t>Policy for Vyom</t>
  </si>
  <si>
    <t>Completion</t>
  </si>
  <si>
    <t>Child future</t>
  </si>
  <si>
    <t>We may decide to withdraw after 40</t>
  </si>
  <si>
    <t>Increase 
in salary</t>
  </si>
  <si>
    <t>Monthly in-hand</t>
  </si>
  <si>
    <t>Bonus</t>
  </si>
  <si>
    <t>Investment Outgo</t>
  </si>
  <si>
    <t>Yearly
Expenses</t>
  </si>
  <si>
    <t>Difference</t>
  </si>
  <si>
    <t>Total cash
Feb 2021</t>
  </si>
  <si>
    <t>Cash remaining in hand
with 3% increase</t>
  </si>
  <si>
    <t>Cash component not added, Feb 2021</t>
  </si>
  <si>
    <t>Total Sept 2021</t>
  </si>
  <si>
    <t>Vinay ICICI</t>
  </si>
  <si>
    <t>Varsha ICICI</t>
  </si>
  <si>
    <t>Vinay HDFC</t>
  </si>
  <si>
    <t>Vyom's 12th</t>
  </si>
  <si>
    <t>Varsha HDFC</t>
  </si>
  <si>
    <t>Admissions</t>
  </si>
  <si>
    <t>Vinay MF</t>
  </si>
  <si>
    <t>Varsha MF</t>
  </si>
  <si>
    <t>Total money not considered</t>
  </si>
  <si>
    <t>Varsha PF</t>
  </si>
  <si>
    <t>Vinay PF</t>
  </si>
  <si>
    <t>Monthly VPF</t>
  </si>
  <si>
    <t># months</t>
  </si>
  <si>
    <t>Total VPF</t>
  </si>
  <si>
    <t>New rule limit</t>
  </si>
  <si>
    <t>VPF - 2.5</t>
  </si>
  <si>
    <t>Int rate</t>
  </si>
  <si>
    <t>30% Tax</t>
  </si>
  <si>
    <t>After tax</t>
  </si>
  <si>
    <t>Int of 2.5</t>
  </si>
  <si>
    <t>Overall interest</t>
  </si>
  <si>
    <t>Earlier interest 
w/o 2.5lac cap</t>
  </si>
  <si>
    <t>Diff between
interest earned</t>
  </si>
  <si>
    <t>% reduction</t>
  </si>
  <si>
    <t>Paid</t>
  </si>
  <si>
    <t>Total charges</t>
  </si>
  <si>
    <t>Charges</t>
  </si>
  <si>
    <t>Present value</t>
  </si>
  <si>
    <t>Returns on total investment</t>
  </si>
  <si>
    <t>Returns on after charges</t>
  </si>
  <si>
    <t>As on 4th June 2020</t>
  </si>
  <si>
    <t>As on 4th June 2020 - Total</t>
  </si>
  <si>
    <t>As of 16th April 2021</t>
  </si>
  <si>
    <t>https://www.iciciprulife.com/content/dam/icicipru/brochures/Elite_Life_Super_brochure.pdf</t>
  </si>
  <si>
    <t>3 different Funds with units through these policieis</t>
  </si>
  <si>
    <t>For the simplicity of the calculations, average NAV is taken</t>
  </si>
  <si>
    <t>For the simplicity of the calculations, total number of units is taken</t>
  </si>
  <si>
    <t>Assume</t>
  </si>
  <si>
    <t>increase</t>
  </si>
  <si>
    <t>Policy (premium term)</t>
  </si>
  <si>
    <t>Current value</t>
  </si>
  <si>
    <t>Booster</t>
  </si>
  <si>
    <t>Units</t>
  </si>
  <si>
    <t>Total value</t>
  </si>
  <si>
    <t>Avg NAV</t>
  </si>
  <si>
    <t>Current + Total value</t>
  </si>
  <si>
    <t>Investment</t>
  </si>
  <si>
    <t>Total returns</t>
  </si>
  <si>
    <t>YoY returns</t>
  </si>
  <si>
    <t>Elite Life Super (7 years)</t>
  </si>
  <si>
    <t>10th year additional booster</t>
  </si>
  <si>
    <t>https://www.iciciprulife.com/content/dam/icicipru/brochures/ICICI%20Pru%20Elite%20Life%20II.pdf</t>
  </si>
  <si>
    <t>Elite Life II</t>
  </si>
  <si>
    <t>As of 15th Sept 2021</t>
  </si>
  <si>
    <t>Number</t>
  </si>
  <si>
    <t>Avg units</t>
  </si>
  <si>
    <t>Product value</t>
  </si>
  <si>
    <t>Avg value / unit</t>
  </si>
  <si>
    <t>Loyalty addition</t>
  </si>
  <si>
    <t>Addition</t>
  </si>
  <si>
    <t>Yearly returns</t>
  </si>
  <si>
    <t>30% more as taxes are not cut</t>
  </si>
  <si>
    <t>Start</t>
  </si>
  <si>
    <t>Elite Life II (5 years)</t>
  </si>
  <si>
    <t>End</t>
  </si>
  <si>
    <t>Money invested so far</t>
  </si>
  <si>
    <t>Units so far</t>
  </si>
  <si>
    <t>This is an approximation</t>
  </si>
  <si>
    <t>If we hold till 2033</t>
  </si>
  <si>
    <t>Considering this is non taxable</t>
  </si>
  <si>
    <t>Loyalty</t>
  </si>
  <si>
    <t>Wealth boster</t>
  </si>
  <si>
    <t>Elite Life Super Varsha</t>
  </si>
  <si>
    <t>Opportunities fund</t>
  </si>
  <si>
    <t>Sectoral fund</t>
  </si>
  <si>
    <t>Sr. No.</t>
  </si>
  <si>
    <t>3*5 = 15 lac</t>
  </si>
  <si>
    <t>3*7 = 21 lac</t>
  </si>
  <si>
    <t>4*7 = 28 lac</t>
  </si>
  <si>
    <t>5*7 = 35 lac</t>
  </si>
  <si>
    <t>Multi Cap Growth Fund</t>
  </si>
  <si>
    <t>Bluechip Fund</t>
  </si>
  <si>
    <t>Maximiser V</t>
  </si>
  <si>
    <t>Multi Cap Balanced Fund</t>
  </si>
  <si>
    <t>Get from the existing MFs</t>
  </si>
  <si>
    <t>Pay till 2020 Vinay</t>
  </si>
  <si>
    <t>Income Fund</t>
  </si>
  <si>
    <t>Withdraw stepwise</t>
  </si>
  <si>
    <t>0.3% *fund value</t>
  </si>
  <si>
    <t>0.25% * fund if premium is paid</t>
  </si>
  <si>
    <t>Premium after 2020:</t>
  </si>
  <si>
    <t>42-43 lacs</t>
  </si>
  <si>
    <t>Money Market Fund</t>
  </si>
  <si>
    <t>Debt</t>
  </si>
  <si>
    <t>0.1% * fund value</t>
  </si>
  <si>
    <t>Value Enhancer Fund</t>
  </si>
  <si>
    <t>Available</t>
  </si>
  <si>
    <t>Get it from Pru Elite Life II</t>
  </si>
  <si>
    <t>Focus 50 Fund</t>
  </si>
  <si>
    <t>Pay till 2020 Varsha</t>
  </si>
  <si>
    <t>India Growth Fund</t>
  </si>
  <si>
    <t>0.3% + 0.5% * fund value</t>
  </si>
  <si>
    <t>0.1% +1% * fund value</t>
  </si>
  <si>
    <t>Premium after 2020 (Varsha):</t>
  </si>
  <si>
    <t>44 lacs</t>
  </si>
  <si>
    <t>Maximise India Fund</t>
  </si>
  <si>
    <t>Active Asset Allocation Balanced Fund</t>
  </si>
  <si>
    <t>Secure Opportunities Fund</t>
  </si>
  <si>
    <t>1.5% after 10th year</t>
  </si>
  <si>
    <t>1.5% 2 times</t>
  </si>
  <si>
    <t>Premium allocation</t>
  </si>
  <si>
    <t>Lump sum or regular payout</t>
  </si>
  <si>
    <t>Fund management</t>
  </si>
  <si>
    <t>Policy administration</t>
  </si>
  <si>
    <t>Mortality charges</t>
  </si>
  <si>
    <t>Approx. charges</t>
  </si>
  <si>
    <t>per year</t>
  </si>
  <si>
    <t>5 years</t>
  </si>
  <si>
    <t>% of yearly premium as charges</t>
  </si>
  <si>
    <t>Charges paid so far</t>
  </si>
  <si>
    <t>Vinay (2, 3, 4 years)</t>
  </si>
  <si>
    <t>Varsha (2, 3, 4 years)</t>
  </si>
  <si>
    <t>Overall premium</t>
  </si>
  <si>
    <t>% of premium as charges</t>
  </si>
  <si>
    <t>Vinay Total</t>
  </si>
  <si>
    <t>Varsha Total</t>
  </si>
  <si>
    <t>LIC GST 1st year</t>
  </si>
  <si>
    <t>Xcent</t>
  </si>
  <si>
    <t>Ignis</t>
  </si>
  <si>
    <t>Car key battery change</t>
  </si>
  <si>
    <t>KM</t>
  </si>
  <si>
    <t>Money</t>
  </si>
  <si>
    <t>Battery changed</t>
  </si>
  <si>
    <t>Nov-2021 for both</t>
  </si>
  <si>
    <t>Insurance</t>
  </si>
  <si>
    <t>Cell in car key changed</t>
  </si>
  <si>
    <t>Servicing</t>
  </si>
  <si>
    <t>Car battery change</t>
  </si>
  <si>
    <t>Guruanteed / 1000</t>
  </si>
  <si>
    <t>Unclear bonus, could be upto 55</t>
  </si>
  <si>
    <t>Not mentioned on the website</t>
  </si>
  <si>
    <t>http://www.mybengaluru.com/attachments/Resources/2452-5533-Komal-Jeevan.pdf</t>
  </si>
  <si>
    <t>https://liclifeplus.co.in/images/BI%20(23).pdf</t>
  </si>
  <si>
    <t>https://licindia.in/Customer-Services/Bonus-Information.aspx</t>
  </si>
  <si>
    <t>Bonus / 1000</t>
  </si>
  <si>
    <t>Yearly</t>
  </si>
  <si>
    <t>Monthly 2021</t>
  </si>
  <si>
    <t>Monthly after a few years</t>
  </si>
  <si>
    <t>Maid</t>
  </si>
  <si>
    <t>Travel plan</t>
  </si>
  <si>
    <t>Maintenance</t>
  </si>
  <si>
    <t>LIC premium +
Car premium</t>
  </si>
  <si>
    <t>Tax 30%</t>
  </si>
  <si>
    <t>Milk</t>
  </si>
  <si>
    <t>Effective salary</t>
  </si>
  <si>
    <t>Car wash</t>
  </si>
  <si>
    <t>Phone</t>
  </si>
  <si>
    <t>Bank balance</t>
  </si>
  <si>
    <t>Cable</t>
  </si>
  <si>
    <t>Overall savings</t>
  </si>
  <si>
    <t>Paper</t>
  </si>
  <si>
    <t>20% reduction</t>
  </si>
  <si>
    <t>Taekwandoo</t>
  </si>
  <si>
    <t>Daycare</t>
  </si>
  <si>
    <t>Petrol</t>
  </si>
  <si>
    <t>Grocery</t>
  </si>
  <si>
    <t>Drawing class</t>
  </si>
  <si>
    <t>Car maintenance</t>
  </si>
  <si>
    <t>Parlour</t>
  </si>
  <si>
    <t>School</t>
  </si>
  <si>
    <t>Misc</t>
  </si>
  <si>
    <t>Health insurance</t>
  </si>
  <si>
    <t>Premiums</t>
  </si>
  <si>
    <t>Provision for trips</t>
  </si>
  <si>
    <t>Mulund house</t>
  </si>
  <si>
    <t>Total expenditure</t>
  </si>
  <si>
    <t>Launch date</t>
  </si>
  <si>
    <t>HDFC HOF Series 1 1140D November 2017 (1) Reg-D</t>
  </si>
  <si>
    <t>Closed ended</t>
  </si>
  <si>
    <t>ICICI Pru Balanced Advantage-G</t>
  </si>
  <si>
    <t>Open ended</t>
  </si>
  <si>
    <t>Redeem</t>
  </si>
  <si>
    <t>Do not touch</t>
  </si>
  <si>
    <t>ICICI Pru Equity Debt-DM Dividend</t>
  </si>
  <si>
    <t xml:space="preserve">ICICI Pru Equity &amp; Debt-G </t>
  </si>
  <si>
    <t>ICICI Pru Large &amp; Mid Cap-G</t>
  </si>
  <si>
    <t>ICICI Pru Manufacture In India Fund-D</t>
  </si>
  <si>
    <t>ICICI Pru Pharma Healthcare And Diagnostics (PHD) Fund Reg-G</t>
  </si>
  <si>
    <t>ICICI Pru Value Fund - Series 12-D</t>
  </si>
  <si>
    <t>ICICI Pru Value Fund - Series 16-G</t>
  </si>
  <si>
    <t>Kotak Equity Savings Reg-G</t>
  </si>
  <si>
    <t>Reliance Equity Hybrid-DM</t>
  </si>
  <si>
    <t>Tata Equity PE Reg-G</t>
  </si>
  <si>
    <t>ICICI Pru Capital Protection Oriented Fund Series XIV Plan A 1275 Days Reg-G</t>
  </si>
  <si>
    <t>Reliance Dual Advantage FTF XI - Plan A Reg-G</t>
  </si>
  <si>
    <t>UTI Dual Advantage Fixed Term Fund Series IV-III (1279 Days) Reg-G</t>
  </si>
  <si>
    <t>Deposits</t>
  </si>
  <si>
    <t>Withdrawals</t>
  </si>
  <si>
    <t>Particulars</t>
  </si>
  <si>
    <t>Chq.No.</t>
  </si>
  <si>
    <t>Autosweep</t>
  </si>
  <si>
    <t>Reverse Sweep</t>
  </si>
  <si>
    <t>Balance(Rs.)</t>
  </si>
  <si>
    <t>Mode</t>
  </si>
  <si>
    <t>Balance</t>
  </si>
  <si>
    <t>16-03-2006</t>
  </si>
  <si>
    <t>18-03-2006</t>
  </si>
  <si>
    <t>24-03-2006</t>
  </si>
  <si>
    <t>27-03-2006</t>
  </si>
  <si>
    <t>28-03-2006</t>
  </si>
  <si>
    <t>29-03-2006</t>
  </si>
  <si>
    <t>1,00,914.00</t>
  </si>
  <si>
    <t>27-09-2006</t>
  </si>
  <si>
    <t>29-09-2006</t>
  </si>
  <si>
    <t>1,02,245.00</t>
  </si>
  <si>
    <t>28-04-2007</t>
  </si>
  <si>
    <t>30-04-2007</t>
  </si>
  <si>
    <t>2,01,763.00</t>
  </si>
  <si>
    <t>28-05-2007</t>
  </si>
  <si>
    <t>29-05-2007</t>
  </si>
  <si>
    <t>25-06-2007</t>
  </si>
  <si>
    <t>26-06-2007</t>
  </si>
  <si>
    <t>23-07-2007</t>
  </si>
  <si>
    <t>31-07-2007</t>
  </si>
  <si>
    <t>3,06,499.00</t>
  </si>
  <si>
    <t>2,00,000.00</t>
  </si>
  <si>
    <t>3,00,000.00</t>
  </si>
  <si>
    <t>26-09-2007</t>
  </si>
  <si>
    <t>1,60,844.00</t>
  </si>
  <si>
    <t>28-09-2007</t>
  </si>
  <si>
    <t>26-12-2007</t>
  </si>
  <si>
    <t>5,86,335.12Cr</t>
  </si>
  <si>
    <t>27-12-2007</t>
  </si>
  <si>
    <t>21-02-2008</t>
  </si>
  <si>
    <t>27-02-2008</t>
  </si>
  <si>
    <t>2,10,654.00</t>
  </si>
  <si>
    <t>Month-Year</t>
  </si>
  <si>
    <t>Month-Year2</t>
  </si>
  <si>
    <t>01/05/11</t>
  </si>
  <si>
    <t>IB BILLPAY DR-HDFCSG-4181362000481579</t>
  </si>
  <si>
    <t>02/05/11</t>
  </si>
  <si>
    <t>02/06/11</t>
  </si>
  <si>
    <t>09/06/11</t>
  </si>
  <si>
    <t>CHQ PAID-MICR INW CL-ICICI LOMBARD GIC L</t>
  </si>
  <si>
    <t>0000000000161381</t>
  </si>
  <si>
    <t>04/07/11</t>
  </si>
  <si>
    <t>21/07/11</t>
  </si>
  <si>
    <t>CHQ PAID-MICR INW CL-SATNAV PRESCHOOLS P</t>
  </si>
  <si>
    <t>0000000000161382</t>
  </si>
  <si>
    <t>03/08/11</t>
  </si>
  <si>
    <t>CHQ PAID-MICR INW CL-SURESH BABU PRUDHI</t>
  </si>
  <si>
    <t>0000000000161383</t>
  </si>
  <si>
    <t>19/08/11</t>
  </si>
  <si>
    <t>CHQ PAID-MICR INW CL-KHAJA ISMAIL AHMED</t>
  </si>
  <si>
    <t>0000000000161385</t>
  </si>
  <si>
    <t>20/08/11</t>
  </si>
  <si>
    <t>0000000000161384</t>
  </si>
  <si>
    <t>27/08/11</t>
  </si>
  <si>
    <t>FT-03641050074014-M L V CHANDRA SEKHAR</t>
  </si>
  <si>
    <t>0000000000161386</t>
  </si>
  <si>
    <t>30/08/11</t>
  </si>
  <si>
    <t>05/09/11</t>
  </si>
  <si>
    <t>0000000000161387</t>
  </si>
  <si>
    <t>08/09/11</t>
  </si>
  <si>
    <t>CHQ PAID-MICR INW CL-SATNAW PRESCHOVLS P</t>
  </si>
  <si>
    <t>0000000000161389</t>
  </si>
  <si>
    <t>05/10/11</t>
  </si>
  <si>
    <t>CHQ PAID-INWARD TRAN-BEAM TELECOM PVT LT</t>
  </si>
  <si>
    <t>0000000000161390</t>
  </si>
  <si>
    <t>07/10/11</t>
  </si>
  <si>
    <t>FT-00812000016705-GOLDEN LIQUID SOLUTION</t>
  </si>
  <si>
    <t>0000000000161391</t>
  </si>
  <si>
    <t>13/10/11</t>
  </si>
  <si>
    <t>FT-09681530001092-MEENA PATEL</t>
  </si>
  <si>
    <t>0000000000161392</t>
  </si>
  <si>
    <t>19/10/11</t>
  </si>
  <si>
    <t>CHQ PAID-MICR INW CL-DAMRO FURNITURE PVT</t>
  </si>
  <si>
    <t>0000000000161393</t>
  </si>
  <si>
    <t>27/10/11</t>
  </si>
  <si>
    <t>MC ISSUED - HYDERABAD - H - 054512033388</t>
  </si>
  <si>
    <t>0000000000161394</t>
  </si>
  <si>
    <t>CHQ-161394 AMT-565675/- - 054512033389</t>
  </si>
  <si>
    <t>02/11/11</t>
  </si>
  <si>
    <t>12/11/11</t>
  </si>
  <si>
    <t>MC CHARGES INCL SER TAX &amp; CESS 271011</t>
  </si>
  <si>
    <t>24/11/11</t>
  </si>
  <si>
    <t>CHQ PAID-MICR INW CLG-HYDERABAD</t>
  </si>
  <si>
    <t>0000000000161397</t>
  </si>
  <si>
    <t>01/12/11</t>
  </si>
  <si>
    <t>0000000000161398</t>
  </si>
  <si>
    <t>02/12/11</t>
  </si>
  <si>
    <t>03/01/12</t>
  </si>
  <si>
    <t>01/02/12</t>
  </si>
  <si>
    <t>02/03/12</t>
  </si>
  <si>
    <t>09/03/12</t>
  </si>
  <si>
    <t>CHQ PAID-MICR INW CL-STANAV PRESCHOOLS P</t>
  </si>
  <si>
    <t>0000000000161399</t>
  </si>
  <si>
    <t>02/04/12</t>
  </si>
  <si>
    <t>03/05/12</t>
  </si>
  <si>
    <t>01/06/12</t>
  </si>
  <si>
    <t>12/06/12</t>
  </si>
  <si>
    <t>CHQ PAID-MICR INW CL-ICICI LOMBARD GENER</t>
  </si>
  <si>
    <t>0000000000325237</t>
  </si>
  <si>
    <t>23/06/12</t>
  </si>
  <si>
    <t>CHQ PAID-MICR INW CL-KUONI BUSINESS TRAV</t>
  </si>
  <si>
    <t>0000000000325239</t>
  </si>
  <si>
    <t>29/06/12</t>
  </si>
  <si>
    <t>CHQ PAID-MICR CTS-NE-HELPAGE INDIA</t>
  </si>
  <si>
    <t>0000000000325236</t>
  </si>
  <si>
    <t>02/07/12</t>
  </si>
  <si>
    <t>09/07/12</t>
  </si>
  <si>
    <t>CHQ PAID-MICR INW CL-FCM TRAVEL SOLUTION</t>
  </si>
  <si>
    <t>0000000000325240</t>
  </si>
  <si>
    <t>02/08/12</t>
  </si>
  <si>
    <t>01/09/12</t>
  </si>
  <si>
    <t>06/09/12</t>
  </si>
  <si>
    <t>CHQ PAID-MICR INW CL-FALCON BUSINESS RES</t>
  </si>
  <si>
    <t>0000000000325242</t>
  </si>
  <si>
    <t>15/09/12</t>
  </si>
  <si>
    <t>CHQ PAID-MICR CTS-CH-SATNAV RPESCHOOLS P</t>
  </si>
  <si>
    <t>0000000000325243</t>
  </si>
  <si>
    <t>01/10/12</t>
  </si>
  <si>
    <t>02/11/12</t>
  </si>
  <si>
    <t>02/12/12</t>
  </si>
  <si>
    <t>01/01/13</t>
  </si>
  <si>
    <t>21/01/13</t>
  </si>
  <si>
    <t>02/03/13</t>
  </si>
  <si>
    <t>22/04/13</t>
  </si>
  <si>
    <t>22/05/13</t>
  </si>
  <si>
    <t>CHQ PAID-MICR CTS-CH-SATNAV  PRESCHOOLS</t>
  </si>
  <si>
    <t>0000000000325244</t>
  </si>
  <si>
    <t>01/06/13</t>
  </si>
  <si>
    <t>14/06/13</t>
  </si>
  <si>
    <t>CHQ PAID-MICR CTS-R -SATNAV PRE SCHOOLS</t>
  </si>
  <si>
    <t>0000000000325245</t>
  </si>
  <si>
    <t>01/07/13</t>
  </si>
  <si>
    <t>IB BILLPAY DR-HDFCES-4617877100032976</t>
  </si>
  <si>
    <t>05/07/13</t>
  </si>
  <si>
    <t>CHQ PAID-MICR CTS-R -CHQ PAID IN CTS INW</t>
  </si>
  <si>
    <t>0000000000325246</t>
  </si>
  <si>
    <t>11/07/13</t>
  </si>
  <si>
    <t>CHQ PAID-MICR CTS-R -ICICI LOMBARD GIC L</t>
  </si>
  <si>
    <t>0000000000325247</t>
  </si>
  <si>
    <t>27/07/13</t>
  </si>
  <si>
    <t>29/08/13</t>
  </si>
  <si>
    <t>CHQ PAID-MICR CTS-R -RANKY TOWERS LTD</t>
  </si>
  <si>
    <t>0000000000325248</t>
  </si>
  <si>
    <t>02/09/13</t>
  </si>
  <si>
    <t>26/09/13</t>
  </si>
  <si>
    <t>CHQ PAID-MICR CTS-R -FALCON BUSINESS RES</t>
  </si>
  <si>
    <t>0000000000325250</t>
  </si>
  <si>
    <t>21/10/13</t>
  </si>
  <si>
    <t>0000000000325249</t>
  </si>
  <si>
    <t>02/11/13</t>
  </si>
  <si>
    <t>25/11/13</t>
  </si>
  <si>
    <t>03/01/14</t>
  </si>
  <si>
    <t>25/01/14</t>
  </si>
  <si>
    <t>02/02/14</t>
  </si>
  <si>
    <t>01/03/14</t>
  </si>
  <si>
    <t>02/04/14</t>
  </si>
  <si>
    <t>03/05/14</t>
  </si>
  <si>
    <t>31/05/14</t>
  </si>
  <si>
    <t>03/07/14</t>
  </si>
  <si>
    <t>03/08/14</t>
  </si>
  <si>
    <t>31/08/14</t>
  </si>
  <si>
    <t>22/09/14</t>
  </si>
  <si>
    <t>03/11/14</t>
  </si>
  <si>
    <t>01/12/14</t>
  </si>
  <si>
    <t>01/01/15</t>
  </si>
  <si>
    <t>31/01/15</t>
  </si>
  <si>
    <t>04/02/15</t>
  </si>
  <si>
    <t>CHQ PAID-MICR CTS-CH-HICARE SERVICE PVT</t>
  </si>
  <si>
    <t>0000000000325252</t>
  </si>
  <si>
    <t>25/02/15</t>
  </si>
  <si>
    <t>01/04/15</t>
  </si>
  <si>
    <t>08/04/15</t>
  </si>
  <si>
    <t>09301140023610  -TPT-MAY 2015 TRIP</t>
  </si>
  <si>
    <t>00000103460110A1</t>
  </si>
  <si>
    <t>29/04/15</t>
  </si>
  <si>
    <t>05/05/15</t>
  </si>
  <si>
    <t>09687630000512  -TPT-RAMKY C305 MAY 2015</t>
  </si>
  <si>
    <t>00000278544952A1</t>
  </si>
  <si>
    <t>31/05/15</t>
  </si>
  <si>
    <t>25/06/15</t>
  </si>
  <si>
    <t>30/07/15</t>
  </si>
  <si>
    <t>22/08/15</t>
  </si>
  <si>
    <t>09301140023610  -TPT-LAPTOP</t>
  </si>
  <si>
    <t>00000040943950A1</t>
  </si>
  <si>
    <t>02/09/15</t>
  </si>
  <si>
    <t>01/10/15</t>
  </si>
  <si>
    <t>01/11/15</t>
  </si>
  <si>
    <t>IB BILLPAY DR-HDFCES-461787XXXXXX2976</t>
  </si>
  <si>
    <t>02/12/15</t>
  </si>
  <si>
    <t>26/12/15</t>
  </si>
  <si>
    <t>31/01/16</t>
  </si>
  <si>
    <t>29/02/16</t>
  </si>
  <si>
    <t>23/03/16</t>
  </si>
  <si>
    <t>28/03/16</t>
  </si>
  <si>
    <t>PROGRAMMANAGEMENT FEE JAN-MAR16 230316</t>
  </si>
  <si>
    <t>26/04/16</t>
  </si>
  <si>
    <t>25/05/11</t>
  </si>
  <si>
    <t>ECS DR HDFC LTD EMI DEBITS-2002633907</t>
  </si>
  <si>
    <t>0000002002633907</t>
  </si>
  <si>
    <t>03/06/11</t>
  </si>
  <si>
    <t>NEFT-229529391-VINAY N MAHAJAN - NARA</t>
  </si>
  <si>
    <t>00000ICIC0SF0002</t>
  </si>
  <si>
    <t>NEFT-229621995-VARSHA VINAY MAHAJAN-R</t>
  </si>
  <si>
    <t>07/06/11</t>
  </si>
  <si>
    <t>CHQ PAID-MICR INW CL-LAUD CLINIC</t>
  </si>
  <si>
    <t>0000000000161380</t>
  </si>
  <si>
    <t>25/06/11</t>
  </si>
  <si>
    <t>ECS DR HDFC LTD EMI DEBITS-2003285561</t>
  </si>
  <si>
    <t>0000002003285561</t>
  </si>
  <si>
    <t>25/07/11</t>
  </si>
  <si>
    <t>ECS DR HDFC LTD EMI DEBITS-2003960999</t>
  </si>
  <si>
    <t>0000002003960999</t>
  </si>
  <si>
    <t>NEFT-240847678-VINAY N MAHAJAN - NARA</t>
  </si>
  <si>
    <t>04/08/11</t>
  </si>
  <si>
    <t>NEFT-243709572-VARSHA VINAY MAHAJAN-R</t>
  </si>
  <si>
    <t>05/08/11</t>
  </si>
  <si>
    <t>NEFT-243951232-VINAY N MAHAJAN - NARA</t>
  </si>
  <si>
    <t>08/08/11</t>
  </si>
  <si>
    <t>NEFT-244732280-VARSHA VINAY MAHAJAN-R</t>
  </si>
  <si>
    <t>24/08/11</t>
  </si>
  <si>
    <t>NEFT-247879575-VARSHA VINAY MAHAJAN-R</t>
  </si>
  <si>
    <t>25/08/11</t>
  </si>
  <si>
    <t>ECS DR HDFC LTD EMI DEBITS-2004666863</t>
  </si>
  <si>
    <t>0000002004666863</t>
  </si>
  <si>
    <t>26/09/11</t>
  </si>
  <si>
    <t>ECS DR HDFC LTD EMI DEBITS-2005366767</t>
  </si>
  <si>
    <t>0000002005366767</t>
  </si>
  <si>
    <t>01/10/11</t>
  </si>
  <si>
    <t>CREDIT INTEREST CAPITALIZED</t>
  </si>
  <si>
    <t>30/09/11</t>
  </si>
  <si>
    <t>17/10/11</t>
  </si>
  <si>
    <t>NEFT-261124327-VARSHA VINAY MAHAJAN-R</t>
  </si>
  <si>
    <t>25/10/11</t>
  </si>
  <si>
    <t>ECS DR HDFC LTD EMI DEBITS-2006136604</t>
  </si>
  <si>
    <t>0000002006136604</t>
  </si>
  <si>
    <t>10/11/11</t>
  </si>
  <si>
    <t>NEFT-267051546-VINAY N MAHAJAN - NARA</t>
  </si>
  <si>
    <t>25/11/11</t>
  </si>
  <si>
    <t>ECS DR HDFC LTD EMI DEBITS-2006876265</t>
  </si>
  <si>
    <t>0000002006876265</t>
  </si>
  <si>
    <t>03/12/11</t>
  </si>
  <si>
    <t>NEFT-272680751-VINAY N MAHAJAN - NARA</t>
  </si>
  <si>
    <t>09/12/11</t>
  </si>
  <si>
    <t>NEFT-274553077-VARSHA VINAY MAHAJAN-R</t>
  </si>
  <si>
    <t>26/12/11</t>
  </si>
  <si>
    <t>ECS DR HDFC LTD EMI DEBITS-2007653954</t>
  </si>
  <si>
    <t>0000002007653954</t>
  </si>
  <si>
    <t>16/01/12</t>
  </si>
  <si>
    <t>NEFT-284472844-VARSHA VINAY MAHAJAN-R</t>
  </si>
  <si>
    <t>25/01/12</t>
  </si>
  <si>
    <t>ECS DR HDFC LTD EMI DEBITS-2008461444</t>
  </si>
  <si>
    <t>0000002008461444</t>
  </si>
  <si>
    <t>22/02/12</t>
  </si>
  <si>
    <t>NEFT-294360455-VINAY N MAHAJAN - NARA</t>
  </si>
  <si>
    <t>25/02/12</t>
  </si>
  <si>
    <t>ECS DR HDFC LTD EMI DEBITS-2009312432</t>
  </si>
  <si>
    <t>0000002009312432</t>
  </si>
  <si>
    <t>26/03/12</t>
  </si>
  <si>
    <t>ECS DR HDFC LTD EMI DEBITS-2010218750</t>
  </si>
  <si>
    <t>0000002010218750</t>
  </si>
  <si>
    <t>01/04/12</t>
  </si>
  <si>
    <t>31/03/12</t>
  </si>
  <si>
    <t>03/04/12</t>
  </si>
  <si>
    <t>NEFT-306148137-VINAY N MAHAJAN - NARA</t>
  </si>
  <si>
    <t>13/04/12</t>
  </si>
  <si>
    <t>NEFT-309326497-VARSHA VINAY MAHAJAN-R</t>
  </si>
  <si>
    <t>25/04/12</t>
  </si>
  <si>
    <t>ECS DR HDFC LTD EMI DEBITS-2011044579</t>
  </si>
  <si>
    <t>0000002011044579</t>
  </si>
  <si>
    <t>28/04/12</t>
  </si>
  <si>
    <t>NEFT CR-312842455-VINAY N MAHAJAN - NARA</t>
  </si>
  <si>
    <t>RTGS CR-ICICH12124082594-VARSHA</t>
  </si>
  <si>
    <t>00000ICIC0000088</t>
  </si>
  <si>
    <t>04/05/12</t>
  </si>
  <si>
    <t>NEFT CR-314986670-VINAY N MAHAJAN - NARA</t>
  </si>
  <si>
    <t>09/05/12</t>
  </si>
  <si>
    <t>CHQ PAID-INWARD TRAN-HDFC LTD</t>
  </si>
  <si>
    <t>0000000000161400</t>
  </si>
  <si>
    <t>I/W CHQ RET-AMOUNTS IN WORDS AND FIGURES</t>
  </si>
  <si>
    <t>17/05/12</t>
  </si>
  <si>
    <t>NEFT CR-318942186-VARSHA VINAY MAHAJAN-R</t>
  </si>
  <si>
    <t>25/05/12</t>
  </si>
  <si>
    <t>ECS DR HDFC LTD EMI DEBITS-2011897010</t>
  </si>
  <si>
    <t>0000002011897010</t>
  </si>
  <si>
    <t>NEFT CR-322983072-VARSHA VINAY MAHAJAN-R</t>
  </si>
  <si>
    <t>04/06/12</t>
  </si>
  <si>
    <t>NEFT CR-323755971-VARSHA VINAY MAHAJAN-R</t>
  </si>
  <si>
    <t>13/06/12</t>
  </si>
  <si>
    <t>0000000000325238</t>
  </si>
  <si>
    <t>25/06/12</t>
  </si>
  <si>
    <t>ECS DR HDFC LTD EMI DEBITS-2012774392</t>
  </si>
  <si>
    <t>0000002012774392</t>
  </si>
  <si>
    <t>06/07/12</t>
  </si>
  <si>
    <t>NEFT CR-333140487-VINAY N MAHAJAN - NARA</t>
  </si>
  <si>
    <t>25/07/12</t>
  </si>
  <si>
    <t>ECS DR HDFC LTD EMI DEBITS-2022251207</t>
  </si>
  <si>
    <t>0000002022251207</t>
  </si>
  <si>
    <t>13/08/12</t>
  </si>
  <si>
    <t>NEFT CR-344918258-VARSHA VINAY MAHAJAN-R</t>
  </si>
  <si>
    <t>NEFT CR-344917291-VINAY N MAHAJAN - NARA</t>
  </si>
  <si>
    <t>18/08/12</t>
  </si>
  <si>
    <t>FT-20192320000137-KUN UNITED CARTRAX PVT</t>
  </si>
  <si>
    <t>0000000000325241</t>
  </si>
  <si>
    <t>25/08/12</t>
  </si>
  <si>
    <t>ECS DR HDFC LTD EMI DEBITS-2003574238</t>
  </si>
  <si>
    <t>0000002003574238</t>
  </si>
  <si>
    <t>31/08/12</t>
  </si>
  <si>
    <t>NEFT CR-349773393-VINAY N MAHAJAN - NARA</t>
  </si>
  <si>
    <t>26/09/12</t>
  </si>
  <si>
    <t>ECS DR HDFC LTD EMI DEBITS-2000463270</t>
  </si>
  <si>
    <t>0000002000463270</t>
  </si>
  <si>
    <t>28/09/12</t>
  </si>
  <si>
    <t>NEFT CR-358617117-VINAY N MAHAJAN - NARA</t>
  </si>
  <si>
    <t>30/09/12</t>
  </si>
  <si>
    <t>25/10/12</t>
  </si>
  <si>
    <t>ECS DR HDFC LTD EMI DEBITS-2050462299</t>
  </si>
  <si>
    <t>0000002050462299</t>
  </si>
  <si>
    <t>26/11/12</t>
  </si>
  <si>
    <t>ECS DR HDFC LTD EMI DEBITS-2006200331</t>
  </si>
  <si>
    <t>0000002006200331</t>
  </si>
  <si>
    <t>26/12/12</t>
  </si>
  <si>
    <t>ECS D-HDFC LTD EMI DEBITS-0003090311059</t>
  </si>
  <si>
    <t>0000002021204361</t>
  </si>
  <si>
    <t>NEFT CR-390174811-VINAY N MAHAJAN - NARA</t>
  </si>
  <si>
    <t>28/01/13</t>
  </si>
  <si>
    <t>0000002014572028</t>
  </si>
  <si>
    <t>25/02/13</t>
  </si>
  <si>
    <t>0000002035549056</t>
  </si>
  <si>
    <t>25/03/13</t>
  </si>
  <si>
    <t>0000002060017084</t>
  </si>
  <si>
    <t>01/04/13</t>
  </si>
  <si>
    <t>31/03/13</t>
  </si>
  <si>
    <t>05/04/13</t>
  </si>
  <si>
    <t>NEW RD VINAY NARAYAN MAHAJAN 05/04-0652</t>
  </si>
  <si>
    <t>NEW RD VINAY NARAYAN MAHAJAN  05/04-0652</t>
  </si>
  <si>
    <t>25/04/13</t>
  </si>
  <si>
    <t>0000002040523115</t>
  </si>
  <si>
    <t>05/05/13</t>
  </si>
  <si>
    <t>06527850009346 - RD DRAWDOWN DEBIT</t>
  </si>
  <si>
    <t>06527850009353 - RD DRAWDOWN DEBIT</t>
  </si>
  <si>
    <t>06527850009363 - RD DRAWDOWN DEBIT</t>
  </si>
  <si>
    <t>06527850009370 - RD DRAWDOWN DEBIT</t>
  </si>
  <si>
    <t>20/05/13</t>
  </si>
  <si>
    <t>NEFT CR-441193337-VINAY N MAHAJAN - NARA</t>
  </si>
  <si>
    <t>25/05/13</t>
  </si>
  <si>
    <t>0000002012874145</t>
  </si>
  <si>
    <t>06/06/13</t>
  </si>
  <si>
    <t>05/06/13</t>
  </si>
  <si>
    <t>06527850009346  -RD DRAWDOWN DEBIT</t>
  </si>
  <si>
    <t>06527850009353  -RD DRAWDOWN DEBIT</t>
  </si>
  <si>
    <t>06527850009363  -RD DRAWDOWN DEBIT</t>
  </si>
  <si>
    <t>06527850009370  -RD DRAWDOWN DEBIT</t>
  </si>
  <si>
    <t>06/08/13</t>
  </si>
  <si>
    <t>05/08/13</t>
  </si>
  <si>
    <t>NEFT CR-ICIC0SF0002-VINAY N MAHAJAN - NARAYAN L MAHAJAN-VINAY NARAYAN MAHAJAN-481801369</t>
  </si>
  <si>
    <t>0000000481801369</t>
  </si>
  <si>
    <t>06/09/13</t>
  </si>
  <si>
    <t>05/09/13</t>
  </si>
  <si>
    <t>01/10/13</t>
  </si>
  <si>
    <t>30/09/13</t>
  </si>
  <si>
    <t>04/10/13</t>
  </si>
  <si>
    <t>NEFT CR-ICIC0SF0002-VARSHA VINAY MAHAJAN-REIM-VINAY NARAYAN MAHAJAN-495227311</t>
  </si>
  <si>
    <t>0000000495227311</t>
  </si>
  <si>
    <t>05/10/13</t>
  </si>
  <si>
    <t>05/11/13</t>
  </si>
  <si>
    <t>06527850009346- RD INSTALLMENT-NOV 2013</t>
  </si>
  <si>
    <t>06527850009353- RD INSTALLMENT-NOV 2013</t>
  </si>
  <si>
    <t>06527850009363- RD INSTALLMENT-NOV 2013</t>
  </si>
  <si>
    <t>06527850009370- RD INSTALLMENT-NOV 2013</t>
  </si>
  <si>
    <t>05/12/13</t>
  </si>
  <si>
    <t>06527850009346- RD INSTALLMENT-DEC 2013</t>
  </si>
  <si>
    <t>06527850009353- RD INSTALLMENT-DEC 2013</t>
  </si>
  <si>
    <t>06527850009363- RD INSTALLMENT-DEC 2013</t>
  </si>
  <si>
    <t>06527850009370- RD INSTALLMENT-DEC 2013</t>
  </si>
  <si>
    <t>05/01/14</t>
  </si>
  <si>
    <t>06527850009346- RD INSTALLMENT-JAN 2014</t>
  </si>
  <si>
    <t>06527850009353- RD INSTALLMENT-JAN 2014</t>
  </si>
  <si>
    <t>06527850009363- RD INSTALLMENT-JAN 2014</t>
  </si>
  <si>
    <t>06527850009370- RD INSTALLMENT-JAN 2014</t>
  </si>
  <si>
    <t>IMPS-P2A-402513517139-919966999523-HDFC</t>
  </si>
  <si>
    <t>0000402513517139</t>
  </si>
  <si>
    <t>05/02/14</t>
  </si>
  <si>
    <t>06527850009346- RD INSTALLMENT-FEB 2014</t>
  </si>
  <si>
    <t>06527850009353- RD INSTALLMENT-FEB 2014</t>
  </si>
  <si>
    <t>06527850009363- RD INSTALLMENT-FEB 2014</t>
  </si>
  <si>
    <t>06527850009370- RD INSTALLMENT-FEB 2014</t>
  </si>
  <si>
    <t>05/03/14</t>
  </si>
  <si>
    <t>06527850009346- RD INSTALLMENT-MAR 2014</t>
  </si>
  <si>
    <t>06527850009353- RD INSTALLMENT-MAR 2014</t>
  </si>
  <si>
    <t>06527850009363- RD INSTALLMENT-MAR 2014</t>
  </si>
  <si>
    <t>06527850009370- RD INSTALLMENT-MAR 2014</t>
  </si>
  <si>
    <t>24/03/14</t>
  </si>
  <si>
    <t>NEFT CR-ICIC0SF0002-VINAY N MAHAJAN - NARAYAN L MAHAJAN-VINAY NARAYAN MAHAJAN-567016304</t>
  </si>
  <si>
    <t>0000000567016304</t>
  </si>
  <si>
    <t>01/04/14</t>
  </si>
  <si>
    <t>31/03/14</t>
  </si>
  <si>
    <t>06/04/14</t>
  </si>
  <si>
    <t>06527850009346- RD INSTALLMENT-APR 2014</t>
  </si>
  <si>
    <t>05/04/14</t>
  </si>
  <si>
    <t>06527850009353- RD INSTALLMENT-APR 2014</t>
  </si>
  <si>
    <t>06527850009363- RD INSTALLMENT-APR 2014</t>
  </si>
  <si>
    <t>06527850009370- RD INSTALLMENT-APR 2014</t>
  </si>
  <si>
    <t>19/04/14</t>
  </si>
  <si>
    <t>NEFT CR-ICIC0SF0002-GARGI S PAIGAONKAR - SATCHIDANAND M P-VINAY NARAYAN MAHAJAN-578899753</t>
  </si>
  <si>
    <t>0000000578899753</t>
  </si>
  <si>
    <t>05/05/14</t>
  </si>
  <si>
    <t>06527850009346- RD INSTALLMENT-MAY 2014</t>
  </si>
  <si>
    <t>06527850009353- RD INSTALLMENT-MAY 2014</t>
  </si>
  <si>
    <t>06527850009363- RD INSTALLMENT-MAY 2014</t>
  </si>
  <si>
    <t>06527850009370- RD INSTALLMENT-MAY 2014</t>
  </si>
  <si>
    <t>12/05/14</t>
  </si>
  <si>
    <t>NEFT CR-ICIC0SF0002-GARGI S PAIGAONKAR - SATCHIDANAND M P-VINAY NARAYAN MAHAJAN-589305140</t>
  </si>
  <si>
    <t>0000000589305140</t>
  </si>
  <si>
    <t>23/05/14</t>
  </si>
  <si>
    <t>NEFT CR-ICIC0SF0002-VINAY N MAHAJAN - NARAYAN L MAHAJAN-VINAY NARAYAN MAHAJAN-594074576</t>
  </si>
  <si>
    <t>0000000594074576</t>
  </si>
  <si>
    <t>05/06/14</t>
  </si>
  <si>
    <t>06527850009346- RD INSTALLMENT-JUN 2014</t>
  </si>
  <si>
    <t>06527850009353- RD INSTALLMENT-JUN 2014</t>
  </si>
  <si>
    <t>06527850009363- RD INSTALLMENT-JUN 2014</t>
  </si>
  <si>
    <t>06527850009370- RD INSTALLMENT-JUN 2014</t>
  </si>
  <si>
    <t>16/06/14</t>
  </si>
  <si>
    <t>CHQ PAID-MICR CTS-R -ICICI LOMBARD GI</t>
  </si>
  <si>
    <t>0000000000325251</t>
  </si>
  <si>
    <t>05/07/14</t>
  </si>
  <si>
    <t>MATURED RD. TRANSFER CR 06527850009346</t>
  </si>
  <si>
    <t>MATURED RD. TRANSFER CR 06527850009353</t>
  </si>
  <si>
    <t>MATURED RD. TRANSFER CR 06527850009363</t>
  </si>
  <si>
    <t>MATURED RD. TRANSFER CR 06527850009370</t>
  </si>
  <si>
    <t>15/08/14</t>
  </si>
  <si>
    <t>00011140014747  -TPT-TRIP</t>
  </si>
  <si>
    <t>00000618422118A1</t>
  </si>
  <si>
    <t>00000619153879A1</t>
  </si>
  <si>
    <t>29/08/14</t>
  </si>
  <si>
    <t>00000692349507A1</t>
  </si>
  <si>
    <t>01/10/14</t>
  </si>
  <si>
    <t>30/09/14</t>
  </si>
  <si>
    <t>02/11/14</t>
  </si>
  <si>
    <t>00000080386554A1</t>
  </si>
  <si>
    <t>06/11/14</t>
  </si>
  <si>
    <t>00000112667220A1</t>
  </si>
  <si>
    <t>10/11/14</t>
  </si>
  <si>
    <t>NEFT CR-ICIC0SF0002-BHUSHAN ARVIND VALANJU-VINAY NARAYAN MAHAJAN-675317246</t>
  </si>
  <si>
    <t>0000000675317246</t>
  </si>
  <si>
    <t>NEFT CR-ICIC0SF0002-BHUSHAN ARVIND VALANJU-VINAY NARAYAN MAHAJAN-675381771</t>
  </si>
  <si>
    <t>0000000675381771</t>
  </si>
  <si>
    <t>11/11/14</t>
  </si>
  <si>
    <t>NEFT CR-ICIC0SF0002-BHUSHAN ARVIND VALANJU-VINAY NARAYAN MAHAJAN-675882595</t>
  </si>
  <si>
    <t>0000000675882595</t>
  </si>
  <si>
    <t>IB RD OPENING DR-50400042003486</t>
  </si>
  <si>
    <t>13/03/15</t>
  </si>
  <si>
    <t>00600350013967-398204665</t>
  </si>
  <si>
    <t>0000503137421405</t>
  </si>
  <si>
    <t>25/03/15</t>
  </si>
  <si>
    <t>50400042003486- RD INSTALLMENT-MAR 2015</t>
  </si>
  <si>
    <t>31/03/15</t>
  </si>
  <si>
    <t>02/04/15</t>
  </si>
  <si>
    <t>NEFT CR-ICIC0SF0002-VINAY N MAHAJAN-VINAY NARAYAN MAHAJAN-745831893</t>
  </si>
  <si>
    <t>0000000745831893</t>
  </si>
  <si>
    <t>06/04/15</t>
  </si>
  <si>
    <t>IB RD OPENING DR-50400045129350</t>
  </si>
  <si>
    <t>NEFT CR-ICIC0SF0002-VARSHA VINAY MAHAJAN-REIM-VINAY NARAYAN MAHAJAN-748448257</t>
  </si>
  <si>
    <t>0000000748448257</t>
  </si>
  <si>
    <t>18/04/15</t>
  </si>
  <si>
    <t>CHQ PAID-INWARD TRAN-MATRIX CELLULAR INT</t>
  </si>
  <si>
    <t>0000000000325253</t>
  </si>
  <si>
    <t>26/04/15</t>
  </si>
  <si>
    <t>50400042003486- RD INSTALLMENT-APR 2015</t>
  </si>
  <si>
    <t>25/04/15</t>
  </si>
  <si>
    <t>07/05/15</t>
  </si>
  <si>
    <t>50400045129350- RD INSTALLMENT-MAY 2015</t>
  </si>
  <si>
    <t>06/05/15</t>
  </si>
  <si>
    <t>26/05/15</t>
  </si>
  <si>
    <t>50400042003486- RD INSTALLMENT-MAY 2015</t>
  </si>
  <si>
    <t>25/05/15</t>
  </si>
  <si>
    <t>07/06/15</t>
  </si>
  <si>
    <t>50400045129350- RD INSTALLMENT-JUN 2015</t>
  </si>
  <si>
    <t>06/06/15</t>
  </si>
  <si>
    <t>26/06/15</t>
  </si>
  <si>
    <t>50400042003486- RD INSTALLMENT-JUN 2015</t>
  </si>
  <si>
    <t>06/07/15</t>
  </si>
  <si>
    <t>50400045129350- RD INSTALLMENT-JUL 2015</t>
  </si>
  <si>
    <t>24/07/15</t>
  </si>
  <si>
    <t>NEFT CR-ICIC0SF0002-GARGI S PAIGAONKAR - SATCHIDANAND M P-VINAY NARAYAN MAHAJAN-805087566</t>
  </si>
  <si>
    <t>0000000805087566</t>
  </si>
  <si>
    <t>25/07/15</t>
  </si>
  <si>
    <t>IB RD OPENING DR-50400053242578</t>
  </si>
  <si>
    <t>NEFT CR-ICIC0SF0002-VINAY N MAHAJAN-VINAY NARAYAN MAHAJAN-805604820</t>
  </si>
  <si>
    <t>0000000805604820</t>
  </si>
  <si>
    <t>NEFT CR-ICIC0SF0002-VARSHA VINAY MAHAJAN-REIM-VINAY NARAYAN MAHAJAN-805605331</t>
  </si>
  <si>
    <t>0000000805605331</t>
  </si>
  <si>
    <t>26/07/15</t>
  </si>
  <si>
    <t>50400042003486- RD INSTALLMENT-JUL 2015</t>
  </si>
  <si>
    <t>06/08/15</t>
  </si>
  <si>
    <t>50400045129350- RD INSTALLMENT-AUG 2015</t>
  </si>
  <si>
    <t>CHQ PAID-MICR CTS-CH-ICICI SECURITIES LT</t>
  </si>
  <si>
    <t>0000000000325254</t>
  </si>
  <si>
    <t>25/08/15</t>
  </si>
  <si>
    <t>50400042003486- RD INSTALLMENT-AUG 2015</t>
  </si>
  <si>
    <t>50400053242578- RD INSTALLMENT-AUG 2015</t>
  </si>
  <si>
    <t>06/09/15</t>
  </si>
  <si>
    <t>50400045129350- RD INSTALLMENT-SEP 2015</t>
  </si>
  <si>
    <t>26/09/15</t>
  </si>
  <si>
    <t>50400042003486- RD INSTALLMENT-SEP 2015</t>
  </si>
  <si>
    <t>25/09/15</t>
  </si>
  <si>
    <t>50400053242578- RD INSTALLMENT-SEP 2015</t>
  </si>
  <si>
    <t>30/09/15</t>
  </si>
  <si>
    <t>06/10/15</t>
  </si>
  <si>
    <t>50400045129350- RD INSTALLMENT-OCT 2015</t>
  </si>
  <si>
    <t>25/10/15</t>
  </si>
  <si>
    <t>50400042003486- RD INSTALLMENT-OCT 2015</t>
  </si>
  <si>
    <t>50400053242578- RD INSTALLMENT-OCT 2015</t>
  </si>
  <si>
    <t>06/11/15</t>
  </si>
  <si>
    <t>50400045129350- RD INSTALLMENT-NOV 2015</t>
  </si>
  <si>
    <t>15/11/15</t>
  </si>
  <si>
    <t>IMPS-P2A-531913440147-919966999523-</t>
  </si>
  <si>
    <t>0000531913440147</t>
  </si>
  <si>
    <t>25/11/15</t>
  </si>
  <si>
    <t>TAX RECOVERY FOR RD A/C 50400042003486</t>
  </si>
  <si>
    <t>CHBATCH504000420</t>
  </si>
  <si>
    <t>TAX RECOVERY FOR RD A/C 50400045129350</t>
  </si>
  <si>
    <t>3304220151125192</t>
  </si>
  <si>
    <t>50400042003486- RD INSTALLMENT-NOV 2015</t>
  </si>
  <si>
    <t>50400053242578- RD INSTALLMENT-NOV 2015</t>
  </si>
  <si>
    <t>06/12/15</t>
  </si>
  <si>
    <t>50400045129350- RD INSTALLMENT-DEC 2015</t>
  </si>
  <si>
    <t>14/12/15</t>
  </si>
  <si>
    <t>CHQ PAID-INWARD TRAN-SOS CHILDRENS VILLA</t>
  </si>
  <si>
    <t>0000000000325255</t>
  </si>
  <si>
    <t>25/12/15</t>
  </si>
  <si>
    <t>50400042003486- RD INSTALLMENT-DEC 2015</t>
  </si>
  <si>
    <t>50400053242578- RD INSTALLMENT-DEC 2015</t>
  </si>
  <si>
    <t>04/01/16</t>
  </si>
  <si>
    <t>NEFT CR-ICIC0SF0002-VINAY N MAHAJAN-VINAY NARAYAN MAHAJAN-893496816</t>
  </si>
  <si>
    <t>0000000893496816</t>
  </si>
  <si>
    <t>06/01/16</t>
  </si>
  <si>
    <t>CHBATCH504000451</t>
  </si>
  <si>
    <t>07/01/16</t>
  </si>
  <si>
    <t>50400045129350- RD INSTALLMENT-JAN 2016</t>
  </si>
  <si>
    <t>25/01/16</t>
  </si>
  <si>
    <t>CHBATCH504000532</t>
  </si>
  <si>
    <t>26/01/16</t>
  </si>
  <si>
    <t>50400042003486- RD INSTALLMENT-JAN 2016</t>
  </si>
  <si>
    <t>50400053242578- RD INSTALLMENT-JAN 2016</t>
  </si>
  <si>
    <t>07/02/16</t>
  </si>
  <si>
    <t>50400045129350- RD INSTALLMENT-FEB 2016</t>
  </si>
  <si>
    <t>06/02/16</t>
  </si>
  <si>
    <t>16/02/16</t>
  </si>
  <si>
    <t>IMPS-P2A-604716619650-919703580263-</t>
  </si>
  <si>
    <t>0000604716619650</t>
  </si>
  <si>
    <t>25/02/16</t>
  </si>
  <si>
    <t>50400042003486- RD INSTALLMENT-FEB 2016</t>
  </si>
  <si>
    <t>50400053242578- RD INSTALLMENT-FEB 2016</t>
  </si>
  <si>
    <t>06/03/16</t>
  </si>
  <si>
    <t>50400045129350- RD INSTALLMENT-MAR 2016</t>
  </si>
  <si>
    <t>22/03/16</t>
  </si>
  <si>
    <t>NEFT CR-ICIC0SF0002-VARSHA VINAY MAHAJAN-REIM-VINAY NARAYAN MAHAJAN-937918659</t>
  </si>
  <si>
    <t>0000000937918659</t>
  </si>
  <si>
    <t>25/03/16</t>
  </si>
  <si>
    <t>50400042003486- RD INSTALLMENT-MAR 2016</t>
  </si>
  <si>
    <t>50400053242578- RD INSTALLMENT-MAR 2016</t>
  </si>
  <si>
    <t>01/04/16</t>
  </si>
  <si>
    <t>3304220160331192</t>
  </si>
  <si>
    <t>31/03/16</t>
  </si>
  <si>
    <t>06/04/16</t>
  </si>
  <si>
    <t>50400045129350- RD INSTALLMENT-APR 2016</t>
  </si>
  <si>
    <t>25/04/16</t>
  </si>
  <si>
    <t>50400042003486- RD INSTALLMENT-APR 2016</t>
  </si>
  <si>
    <t>50400053242578- RD INSTALLMENT-APR 2016</t>
  </si>
  <si>
    <t>S No.</t>
  </si>
  <si>
    <t>Value Date</t>
  </si>
  <si>
    <t>Transaction Date</t>
  </si>
  <si>
    <t>Cheque Number</t>
  </si>
  <si>
    <t>Transaction Remarks</t>
  </si>
  <si>
    <t>Withdrawal Amount (INR )</t>
  </si>
  <si>
    <t>Deposit Amount (INR )</t>
  </si>
  <si>
    <t>Balance (INR )</t>
  </si>
  <si>
    <t>15/04/2015</t>
  </si>
  <si>
    <t>24/04/2015</t>
  </si>
  <si>
    <t>27/04/2015</t>
  </si>
  <si>
    <t>28/04/2015</t>
  </si>
  <si>
    <t>30/04/2015</t>
  </si>
  <si>
    <t>15/05/2015</t>
  </si>
  <si>
    <t>18/05/2015</t>
  </si>
  <si>
    <t>22/05/2015</t>
  </si>
  <si>
    <t>23/05/2015</t>
  </si>
  <si>
    <t>24/05/2015</t>
  </si>
  <si>
    <t>25/05/2015</t>
  </si>
  <si>
    <t>26/05/2015</t>
  </si>
  <si>
    <t>27/05/2015</t>
  </si>
  <si>
    <t>28/05/2015</t>
  </si>
  <si>
    <t>15/06/2015</t>
  </si>
  <si>
    <t>26/06/2015</t>
  </si>
  <si>
    <t>27/06/2015</t>
  </si>
  <si>
    <t>29/06/2015</t>
  </si>
  <si>
    <t>30/06/2015</t>
  </si>
  <si>
    <t>15/07/2015</t>
  </si>
  <si>
    <t>24/07/2015</t>
  </si>
  <si>
    <t>25/07/2015</t>
  </si>
  <si>
    <t>27/07/2015</t>
  </si>
  <si>
    <t>28/07/2015</t>
  </si>
  <si>
    <t>31/07/2015</t>
  </si>
  <si>
    <t>13/08/2015</t>
  </si>
  <si>
    <t>16/08/2015</t>
  </si>
  <si>
    <t>17/08/2015</t>
  </si>
  <si>
    <t>24/08/2015</t>
  </si>
  <si>
    <t>25/08/2015</t>
  </si>
  <si>
    <t>26/08/2015</t>
  </si>
  <si>
    <t>27/08/2015</t>
  </si>
  <si>
    <t>28/08/2015</t>
  </si>
  <si>
    <t>15/09/2015</t>
  </si>
  <si>
    <t>23/09/2015</t>
  </si>
  <si>
    <t>25/09/2015</t>
  </si>
  <si>
    <t>28/09/2015</t>
  </si>
  <si>
    <t>15/10/2015</t>
  </si>
  <si>
    <t>20/10/2015</t>
  </si>
  <si>
    <t>26/10/2015</t>
  </si>
  <si>
    <t>27/10/2015</t>
  </si>
  <si>
    <t>28/10/2015</t>
  </si>
  <si>
    <t>13/11/2015</t>
  </si>
  <si>
    <t>15/11/2015</t>
  </si>
  <si>
    <t>16/11/2015</t>
  </si>
  <si>
    <t>20/11/2015</t>
  </si>
  <si>
    <t>22/11/2015</t>
  </si>
  <si>
    <t>23/11/2015</t>
  </si>
  <si>
    <t>26/11/2015</t>
  </si>
  <si>
    <t>30/11/2015</t>
  </si>
  <si>
    <t>15/12/2015</t>
  </si>
  <si>
    <t>22/12/2015</t>
  </si>
  <si>
    <t>24/12/2015</t>
  </si>
  <si>
    <t>28/12/2015</t>
  </si>
  <si>
    <t>29/12/2015</t>
  </si>
  <si>
    <t>31/12/2015</t>
  </si>
  <si>
    <t>15/01/2016</t>
  </si>
  <si>
    <t>25/01/2016</t>
  </si>
  <si>
    <t>28/01/2016</t>
  </si>
  <si>
    <t>13/02/2016</t>
  </si>
  <si>
    <t>15/02/2016</t>
  </si>
  <si>
    <t>17/02/2016</t>
  </si>
  <si>
    <t>25/02/2016</t>
  </si>
  <si>
    <t>26/02/2016</t>
  </si>
  <si>
    <t>29/02/2016</t>
  </si>
  <si>
    <t>14/03/2016</t>
  </si>
  <si>
    <t>15/03/2016</t>
  </si>
  <si>
    <t>26/03/2016</t>
  </si>
  <si>
    <t>28/03/2016</t>
  </si>
  <si>
    <t>30/03/2016</t>
  </si>
  <si>
    <t>2</t>
  </si>
  <si>
    <t>14/04/2009</t>
  </si>
  <si>
    <t>15/04/2009</t>
  </si>
  <si>
    <t>3</t>
  </si>
  <si>
    <t>4</t>
  </si>
  <si>
    <t>5</t>
  </si>
  <si>
    <t>18/04/2009</t>
  </si>
  <si>
    <t>897960</t>
  </si>
  <si>
    <t>7</t>
  </si>
  <si>
    <t>06/05/2009</t>
  </si>
  <si>
    <t>9</t>
  </si>
  <si>
    <t>4864093103224004</t>
  </si>
  <si>
    <t>12</t>
  </si>
  <si>
    <t>25/05/2009</t>
  </si>
  <si>
    <t>897961</t>
  </si>
  <si>
    <t>16</t>
  </si>
  <si>
    <t>05/06/2009</t>
  </si>
  <si>
    <t>18</t>
  </si>
  <si>
    <t>22/06/2009</t>
  </si>
  <si>
    <t>23</t>
  </si>
  <si>
    <t>07/07/2009</t>
  </si>
  <si>
    <t>26</t>
  </si>
  <si>
    <t>22/07/2009</t>
  </si>
  <si>
    <t>897966</t>
  </si>
  <si>
    <t>29</t>
  </si>
  <si>
    <t>05/08/2009</t>
  </si>
  <si>
    <t>30</t>
  </si>
  <si>
    <t>897967</t>
  </si>
  <si>
    <t>31</t>
  </si>
  <si>
    <t>10/08/2009</t>
  </si>
  <si>
    <t>897968</t>
  </si>
  <si>
    <t>32</t>
  </si>
  <si>
    <t>19/08/2009</t>
  </si>
  <si>
    <t>33</t>
  </si>
  <si>
    <t>35</t>
  </si>
  <si>
    <t>20/08/2009</t>
  </si>
  <si>
    <t>40</t>
  </si>
  <si>
    <t>03/09/2009</t>
  </si>
  <si>
    <t>41</t>
  </si>
  <si>
    <t>42</t>
  </si>
  <si>
    <t>44</t>
  </si>
  <si>
    <t>07/09/2009</t>
  </si>
  <si>
    <t>47</t>
  </si>
  <si>
    <t>10/09/2009</t>
  </si>
  <si>
    <t>897970</t>
  </si>
  <si>
    <t>49</t>
  </si>
  <si>
    <t>15/09/2009</t>
  </si>
  <si>
    <t>51</t>
  </si>
  <si>
    <t>23/09/2009</t>
  </si>
  <si>
    <t>52</t>
  </si>
  <si>
    <t>56</t>
  </si>
  <si>
    <t>03/10/2009</t>
  </si>
  <si>
    <t>928828</t>
  </si>
  <si>
    <t>58</t>
  </si>
  <si>
    <t>06/10/2009</t>
  </si>
  <si>
    <t>61</t>
  </si>
  <si>
    <t>14/10/2009</t>
  </si>
  <si>
    <t>928829</t>
  </si>
  <si>
    <t>65</t>
  </si>
  <si>
    <t>05/11/2009</t>
  </si>
  <si>
    <t>66</t>
  </si>
  <si>
    <t>09/11/2009</t>
  </si>
  <si>
    <t>928830</t>
  </si>
  <si>
    <t>69</t>
  </si>
  <si>
    <t>22/11/2009</t>
  </si>
  <si>
    <t>23/11/2009</t>
  </si>
  <si>
    <t>73</t>
  </si>
  <si>
    <t>04/12/2009</t>
  </si>
  <si>
    <t>928831</t>
  </si>
  <si>
    <t>74</t>
  </si>
  <si>
    <t>07/12/2009</t>
  </si>
  <si>
    <t>75</t>
  </si>
  <si>
    <t>09/12/2009</t>
  </si>
  <si>
    <t>81</t>
  </si>
  <si>
    <t>05/01/2010</t>
  </si>
  <si>
    <t>82</t>
  </si>
  <si>
    <t>08/01/2010</t>
  </si>
  <si>
    <t>07/01/2010</t>
  </si>
  <si>
    <t>85</t>
  </si>
  <si>
    <t>22/01/2010</t>
  </si>
  <si>
    <t>86</t>
  </si>
  <si>
    <t>25/01/2010</t>
  </si>
  <si>
    <t>87</t>
  </si>
  <si>
    <t>27/01/2010</t>
  </si>
  <si>
    <t>88</t>
  </si>
  <si>
    <t>93</t>
  </si>
  <si>
    <t>05/02/2010</t>
  </si>
  <si>
    <t>94</t>
  </si>
  <si>
    <t>12/02/2010</t>
  </si>
  <si>
    <t>96</t>
  </si>
  <si>
    <t>15/02/2010</t>
  </si>
  <si>
    <t>97</t>
  </si>
  <si>
    <t>98</t>
  </si>
  <si>
    <t>99</t>
  </si>
  <si>
    <t>100</t>
  </si>
  <si>
    <t>16/02/2010</t>
  </si>
  <si>
    <t>236731</t>
  </si>
  <si>
    <t>106</t>
  </si>
  <si>
    <t>03/03/2010</t>
  </si>
  <si>
    <t>109</t>
  </si>
  <si>
    <t>12/03/2010</t>
  </si>
  <si>
    <t>110</t>
  </si>
  <si>
    <t>111</t>
  </si>
  <si>
    <t>113</t>
  </si>
  <si>
    <t>16/03/2010</t>
  </si>
  <si>
    <t>1</t>
  </si>
  <si>
    <t>06/04/2010</t>
  </si>
  <si>
    <t>13/04/2010</t>
  </si>
  <si>
    <t>8</t>
  </si>
  <si>
    <t>03/05/2010</t>
  </si>
  <si>
    <t>06/05/2010</t>
  </si>
  <si>
    <t>10</t>
  </si>
  <si>
    <t>07/05/2010</t>
  </si>
  <si>
    <t>11</t>
  </si>
  <si>
    <t>08/05/2010</t>
  </si>
  <si>
    <t>236735</t>
  </si>
  <si>
    <t>15</t>
  </si>
  <si>
    <t>16/05/2010</t>
  </si>
  <si>
    <t>17/05/2010</t>
  </si>
  <si>
    <t>18/05/2010</t>
  </si>
  <si>
    <t>21</t>
  </si>
  <si>
    <t>29/05/2010</t>
  </si>
  <si>
    <t>22</t>
  </si>
  <si>
    <t>07/06/2010</t>
  </si>
  <si>
    <t>14/06/2010</t>
  </si>
  <si>
    <t>24</t>
  </si>
  <si>
    <t>25</t>
  </si>
  <si>
    <t>19/06/2010</t>
  </si>
  <si>
    <t>236740</t>
  </si>
  <si>
    <t>02/07/2010</t>
  </si>
  <si>
    <t>06/07/2010</t>
  </si>
  <si>
    <t>14/07/2010</t>
  </si>
  <si>
    <t>37</t>
  </si>
  <si>
    <t>15/07/2010</t>
  </si>
  <si>
    <t>928835</t>
  </si>
  <si>
    <t>38</t>
  </si>
  <si>
    <t>25/07/2010</t>
  </si>
  <si>
    <t>26/07/2010</t>
  </si>
  <si>
    <t>39</t>
  </si>
  <si>
    <t>05/08/2010</t>
  </si>
  <si>
    <t>43</t>
  </si>
  <si>
    <t>15/08/2010</t>
  </si>
  <si>
    <t>16/08/2010</t>
  </si>
  <si>
    <t>19/08/2010</t>
  </si>
  <si>
    <t>45</t>
  </si>
  <si>
    <t>05/09/2010</t>
  </si>
  <si>
    <t>06/09/2010</t>
  </si>
  <si>
    <t>14/09/2010</t>
  </si>
  <si>
    <t>928836</t>
  </si>
  <si>
    <t>15/09/2010</t>
  </si>
  <si>
    <t>53</t>
  </si>
  <si>
    <t>21/09/2010</t>
  </si>
  <si>
    <t>928837</t>
  </si>
  <si>
    <t>54</t>
  </si>
  <si>
    <t>23/09/2010</t>
  </si>
  <si>
    <t>55</t>
  </si>
  <si>
    <t>06/10/2010</t>
  </si>
  <si>
    <t>60</t>
  </si>
  <si>
    <t>12/10/2010</t>
  </si>
  <si>
    <t>62</t>
  </si>
  <si>
    <t>24/10/2010</t>
  </si>
  <si>
    <t>25/10/2010</t>
  </si>
  <si>
    <t>63</t>
  </si>
  <si>
    <t>26/10/2010</t>
  </si>
  <si>
    <t>28/10/2010</t>
  </si>
  <si>
    <t>68</t>
  </si>
  <si>
    <t>04/11/2010</t>
  </si>
  <si>
    <t>05/11/2010</t>
  </si>
  <si>
    <t>70</t>
  </si>
  <si>
    <t>15/11/2010</t>
  </si>
  <si>
    <t>71</t>
  </si>
  <si>
    <t>72</t>
  </si>
  <si>
    <t>18/11/2010</t>
  </si>
  <si>
    <t>25/11/2010</t>
  </si>
  <si>
    <t>76</t>
  </si>
  <si>
    <t>07/12/2010</t>
  </si>
  <si>
    <t>78</t>
  </si>
  <si>
    <t>15/12/2010</t>
  </si>
  <si>
    <t>79</t>
  </si>
  <si>
    <t>83</t>
  </si>
  <si>
    <t>30/12/2010</t>
  </si>
  <si>
    <t>05/01/2011</t>
  </si>
  <si>
    <t>19/01/2011</t>
  </si>
  <si>
    <t>20/01/2011</t>
  </si>
  <si>
    <t>89</t>
  </si>
  <si>
    <t>24/01/2011</t>
  </si>
  <si>
    <t>90</t>
  </si>
  <si>
    <t>95</t>
  </si>
  <si>
    <t>07/02/2011</t>
  </si>
  <si>
    <t>09/02/2011</t>
  </si>
  <si>
    <t>22/02/2011</t>
  </si>
  <si>
    <t>25/02/2011</t>
  </si>
  <si>
    <t>07/03/2011</t>
  </si>
  <si>
    <t>108</t>
  </si>
  <si>
    <t>25/03/2011</t>
  </si>
  <si>
    <t>30/03/2011</t>
  </si>
  <si>
    <t>04/04/2011</t>
  </si>
  <si>
    <t>17/04/2011</t>
  </si>
  <si>
    <t>18/04/2011</t>
  </si>
  <si>
    <t>6</t>
  </si>
  <si>
    <t>21/04/2011</t>
  </si>
  <si>
    <t>26/04/2011</t>
  </si>
  <si>
    <t>28/04/2011</t>
  </si>
  <si>
    <t>30/04/2011</t>
  </si>
  <si>
    <t>04/05/2011</t>
  </si>
  <si>
    <t>03/06/2011</t>
  </si>
  <si>
    <t>19</t>
  </si>
  <si>
    <t>13/06/2011</t>
  </si>
  <si>
    <t>03/07/2011</t>
  </si>
  <si>
    <t>04/07/2011</t>
  </si>
  <si>
    <t>06/07/2011</t>
  </si>
  <si>
    <t>08/07/2011</t>
  </si>
  <si>
    <t>27</t>
  </si>
  <si>
    <t>18/07/2011</t>
  </si>
  <si>
    <t>28</t>
  </si>
  <si>
    <t>19/07/2011</t>
  </si>
  <si>
    <t>04/08/2011</t>
  </si>
  <si>
    <t>26/08/2011</t>
  </si>
  <si>
    <t>30/08/2011</t>
  </si>
  <si>
    <t>05/09/2011</t>
  </si>
  <si>
    <t>07/09/2011</t>
  </si>
  <si>
    <t>46</t>
  </si>
  <si>
    <t>10/09/2011</t>
  </si>
  <si>
    <t>48</t>
  </si>
  <si>
    <t>21/09/2011</t>
  </si>
  <si>
    <t>928841</t>
  </si>
  <si>
    <t>928840</t>
  </si>
  <si>
    <t>24/09/2011</t>
  </si>
  <si>
    <t>02/10/2011</t>
  </si>
  <si>
    <t>03/10/2011</t>
  </si>
  <si>
    <t>08/10/2011</t>
  </si>
  <si>
    <t>57</t>
  </si>
  <si>
    <t>12/10/2011</t>
  </si>
  <si>
    <t>19/10/2011</t>
  </si>
  <si>
    <t>29/10/2011</t>
  </si>
  <si>
    <t>64</t>
  </si>
  <si>
    <t>02/11/2011</t>
  </si>
  <si>
    <t>67</t>
  </si>
  <si>
    <t>04/11/2011</t>
  </si>
  <si>
    <t>08/11/2011</t>
  </si>
  <si>
    <t>02/12/2011</t>
  </si>
  <si>
    <t>05/12/2011</t>
  </si>
  <si>
    <t>20/12/2011</t>
  </si>
  <si>
    <t>84</t>
  </si>
  <si>
    <t>25/01/2012</t>
  </si>
  <si>
    <t>03/02/2012</t>
  </si>
  <si>
    <t>06/02/2012</t>
  </si>
  <si>
    <t>22/02/2012</t>
  </si>
  <si>
    <t>928842</t>
  </si>
  <si>
    <t>05/03/2012</t>
  </si>
  <si>
    <t>02/04/2012</t>
  </si>
  <si>
    <t>03/04/2012</t>
  </si>
  <si>
    <t>17/04/2012</t>
  </si>
  <si>
    <t>928843</t>
  </si>
  <si>
    <t>22/04/2012</t>
  </si>
  <si>
    <t>23/04/2012</t>
  </si>
  <si>
    <t>03/05/2012</t>
  </si>
  <si>
    <t>08/05/2012</t>
  </si>
  <si>
    <t>928845</t>
  </si>
  <si>
    <t>13</t>
  </si>
  <si>
    <t>18/05/2012</t>
  </si>
  <si>
    <t>23/05/2012</t>
  </si>
  <si>
    <t>01/06/2012</t>
  </si>
  <si>
    <t>04/06/2012</t>
  </si>
  <si>
    <t>05/06/2012</t>
  </si>
  <si>
    <t>928846</t>
  </si>
  <si>
    <t>06/06/2012</t>
  </si>
  <si>
    <t>08/06/2012</t>
  </si>
  <si>
    <t>15/06/2012</t>
  </si>
  <si>
    <t>03/07/2012</t>
  </si>
  <si>
    <t>04/07/2012</t>
  </si>
  <si>
    <t>29/07/2012</t>
  </si>
  <si>
    <t>30/07/2012</t>
  </si>
  <si>
    <t>03/08/2012</t>
  </si>
  <si>
    <t>05/08/2012</t>
  </si>
  <si>
    <t>06/08/2012</t>
  </si>
  <si>
    <t>03/09/2012</t>
  </si>
  <si>
    <t>04/09/2012</t>
  </si>
  <si>
    <t>23/09/2012</t>
  </si>
  <si>
    <t>24/09/2012</t>
  </si>
  <si>
    <t>01/10/2012</t>
  </si>
  <si>
    <t>04/10/2012</t>
  </si>
  <si>
    <t>80</t>
  </si>
  <si>
    <t>01/11/2012</t>
  </si>
  <si>
    <t>928867</t>
  </si>
  <si>
    <t>05/11/2012</t>
  </si>
  <si>
    <t>08/11/2012</t>
  </si>
  <si>
    <t>22/11/2012</t>
  </si>
  <si>
    <t>02/12/2012</t>
  </si>
  <si>
    <t>03/12/2012</t>
  </si>
  <si>
    <t>91</t>
  </si>
  <si>
    <t>92</t>
  </si>
  <si>
    <t>04/12/2012</t>
  </si>
  <si>
    <t>105</t>
  </si>
  <si>
    <t>02/01/2013</t>
  </si>
  <si>
    <t>03/01/2013</t>
  </si>
  <si>
    <t>107</t>
  </si>
  <si>
    <t>11/01/2013</t>
  </si>
  <si>
    <t>25/01/2013</t>
  </si>
  <si>
    <t>28/01/2013</t>
  </si>
  <si>
    <t>114</t>
  </si>
  <si>
    <t>04/02/2013</t>
  </si>
  <si>
    <t>115</t>
  </si>
  <si>
    <t>05/02/2013</t>
  </si>
  <si>
    <t xml:space="preserve">BIL/000402561081/VOdafone </t>
  </si>
  <si>
    <t>120</t>
  </si>
  <si>
    <t>01/03/2013</t>
  </si>
  <si>
    <t>121</t>
  </si>
  <si>
    <t>122</t>
  </si>
  <si>
    <t>02/03/2013</t>
  </si>
  <si>
    <t>123</t>
  </si>
  <si>
    <t>124</t>
  </si>
  <si>
    <t>125</t>
  </si>
  <si>
    <t>05/03/2013</t>
  </si>
  <si>
    <t>03/04/2013</t>
  </si>
  <si>
    <t>04/04/2013</t>
  </si>
  <si>
    <t>08/04/2013</t>
  </si>
  <si>
    <t>12/04/2013</t>
  </si>
  <si>
    <t>236742</t>
  </si>
  <si>
    <t>22/04/2013</t>
  </si>
  <si>
    <t>02/05/2013</t>
  </si>
  <si>
    <t>04/05/2013</t>
  </si>
  <si>
    <t>06/05/2013</t>
  </si>
  <si>
    <t>07/05/2013</t>
  </si>
  <si>
    <t>14/05/2013</t>
  </si>
  <si>
    <t>14</t>
  </si>
  <si>
    <t>16/05/2013</t>
  </si>
  <si>
    <t>347478</t>
  </si>
  <si>
    <t>20</t>
  </si>
  <si>
    <t>01/06/2013</t>
  </si>
  <si>
    <t>03/06/2013</t>
  </si>
  <si>
    <t>04/06/2013</t>
  </si>
  <si>
    <t>01/07/2013</t>
  </si>
  <si>
    <t>04/07/2013</t>
  </si>
  <si>
    <t>07/07/2013</t>
  </si>
  <si>
    <t>08/07/2013</t>
  </si>
  <si>
    <t>09/07/2013</t>
  </si>
  <si>
    <t>24/07/2013</t>
  </si>
  <si>
    <t>05/08/2013</t>
  </si>
  <si>
    <t>34</t>
  </si>
  <si>
    <t>08/08/2013</t>
  </si>
  <si>
    <t>12/08/2013</t>
  </si>
  <si>
    <t>36</t>
  </si>
  <si>
    <t>14/08/2013</t>
  </si>
  <si>
    <t>928868</t>
  </si>
  <si>
    <t>30/08/2013</t>
  </si>
  <si>
    <t>03/09/2013</t>
  </si>
  <si>
    <t>04/09/2013</t>
  </si>
  <si>
    <t>11/09/2013</t>
  </si>
  <si>
    <t>23/09/2013</t>
  </si>
  <si>
    <t>25/09/2013</t>
  </si>
  <si>
    <t>50</t>
  </si>
  <si>
    <t>01/10/2013</t>
  </si>
  <si>
    <t>04/10/2013</t>
  </si>
  <si>
    <t>23/10/2013</t>
  </si>
  <si>
    <t>928869</t>
  </si>
  <si>
    <t>59</t>
  </si>
  <si>
    <t>30/10/2013</t>
  </si>
  <si>
    <t>04/11/2013</t>
  </si>
  <si>
    <t>05/11/2013</t>
  </si>
  <si>
    <t>07/11/2013</t>
  </si>
  <si>
    <t>30/11/2013</t>
  </si>
  <si>
    <t>03/12/2013</t>
  </si>
  <si>
    <t>04/12/2013</t>
  </si>
  <si>
    <t>21/12/2013</t>
  </si>
  <si>
    <t>27/12/2013</t>
  </si>
  <si>
    <t>28/12/2013</t>
  </si>
  <si>
    <t>03/01/2014</t>
  </si>
  <si>
    <t>06/01/2014</t>
  </si>
  <si>
    <t>19/01/2014</t>
  </si>
  <si>
    <t>20/01/2014</t>
  </si>
  <si>
    <t>02/02/2014</t>
  </si>
  <si>
    <t>03/02/2014</t>
  </si>
  <si>
    <t>04/02/2014</t>
  </si>
  <si>
    <t>19/02/2014</t>
  </si>
  <si>
    <t>01/03/2014</t>
  </si>
  <si>
    <t>04/03/2014</t>
  </si>
  <si>
    <t>928870</t>
  </si>
  <si>
    <t>10/03/2014</t>
  </si>
  <si>
    <t>928871</t>
  </si>
  <si>
    <t>21/03/2014</t>
  </si>
  <si>
    <t>26/03/2014</t>
  </si>
  <si>
    <t>03/04/2014</t>
  </si>
  <si>
    <t>04/04/2014</t>
  </si>
  <si>
    <t>10/04/2014</t>
  </si>
  <si>
    <t>30/04/2014</t>
  </si>
  <si>
    <t>04/05/2014</t>
  </si>
  <si>
    <t>05/05/2014</t>
  </si>
  <si>
    <t>06/05/2014</t>
  </si>
  <si>
    <t>08/05/2014</t>
  </si>
  <si>
    <t>347482</t>
  </si>
  <si>
    <t>13/05/2014</t>
  </si>
  <si>
    <t>347483</t>
  </si>
  <si>
    <t>24/05/2014</t>
  </si>
  <si>
    <t>26/05/2014</t>
  </si>
  <si>
    <t>01/06/2014</t>
  </si>
  <si>
    <t>02/06/2014</t>
  </si>
  <si>
    <t>03/06/2014</t>
  </si>
  <si>
    <t>07/06/2014</t>
  </si>
  <si>
    <t>347485</t>
  </si>
  <si>
    <t>08/06/2014</t>
  </si>
  <si>
    <t>09/06/2014</t>
  </si>
  <si>
    <t>23/06/2014</t>
  </si>
  <si>
    <t>26/06/2014</t>
  </si>
  <si>
    <t>02/07/2014</t>
  </si>
  <si>
    <t>03/07/2014</t>
  </si>
  <si>
    <t>04/07/2014</t>
  </si>
  <si>
    <t>07/07/2014</t>
  </si>
  <si>
    <t>08/07/2014</t>
  </si>
  <si>
    <t>928850</t>
  </si>
  <si>
    <t>11/07/2014</t>
  </si>
  <si>
    <t>13/07/2014</t>
  </si>
  <si>
    <t>14/07/2014</t>
  </si>
  <si>
    <t>30/07/2014</t>
  </si>
  <si>
    <t>04/08/2014</t>
  </si>
  <si>
    <t>06/08/2014</t>
  </si>
  <si>
    <t>17/08/2014</t>
  </si>
  <si>
    <t>18/08/2014</t>
  </si>
  <si>
    <t>03/09/2014</t>
  </si>
  <si>
    <t>04/09/2014</t>
  </si>
  <si>
    <t>16/09/2014</t>
  </si>
  <si>
    <t>02/10/2014</t>
  </si>
  <si>
    <t>03/10/2014</t>
  </si>
  <si>
    <t>04/10/2014</t>
  </si>
  <si>
    <t>06/10/2014</t>
  </si>
  <si>
    <t>16/10/2014</t>
  </si>
  <si>
    <t>04/11/2014</t>
  </si>
  <si>
    <t>04/12/2014</t>
  </si>
  <si>
    <t>05/12/2014</t>
  </si>
  <si>
    <t>24/12/2014</t>
  </si>
  <si>
    <t>05/01/2015</t>
  </si>
  <si>
    <t>20/01/2015</t>
  </si>
  <si>
    <t>01/02/2015</t>
  </si>
  <si>
    <t>02/02/2015</t>
  </si>
  <si>
    <t>03/02/2015</t>
  </si>
  <si>
    <t>04/02/2015</t>
  </si>
  <si>
    <t>15/02/2015</t>
  </si>
  <si>
    <t>16/02/2015</t>
  </si>
  <si>
    <t>01/03/2015</t>
  </si>
  <si>
    <t>02/03/2015</t>
  </si>
  <si>
    <t>04/03/2015</t>
  </si>
  <si>
    <t>05/03/2015</t>
  </si>
  <si>
    <t>06/03/2015</t>
  </si>
  <si>
    <t>104</t>
  </si>
  <si>
    <t>13/03/2015</t>
  </si>
  <si>
    <t>15/03/2015</t>
  </si>
  <si>
    <t>16/03/2015</t>
  </si>
  <si>
    <t>31/03/2015</t>
  </si>
  <si>
    <t>02/04/2015</t>
  </si>
  <si>
    <t>03/04/2015</t>
  </si>
  <si>
    <t>04/05/2015</t>
  </si>
  <si>
    <t>06/05/2015</t>
  </si>
  <si>
    <t>08/05/2015</t>
  </si>
  <si>
    <t>17</t>
  </si>
  <si>
    <t>17/05/2015</t>
  </si>
  <si>
    <t>30/05/2015</t>
  </si>
  <si>
    <t>01/06/2015</t>
  </si>
  <si>
    <t>03/06/2015</t>
  </si>
  <si>
    <t>04/06/2015</t>
  </si>
  <si>
    <t>11/06/2015</t>
  </si>
  <si>
    <t>18/06/2015</t>
  </si>
  <si>
    <t>28/06/2015</t>
  </si>
  <si>
    <t>05/07/2015</t>
  </si>
  <si>
    <t>06/07/2015</t>
  </si>
  <si>
    <t>10/07/2015</t>
  </si>
  <si>
    <t>20/07/2015</t>
  </si>
  <si>
    <t>03/08/2015</t>
  </si>
  <si>
    <t>04/08/2015</t>
  </si>
  <si>
    <t>14/08/2015</t>
  </si>
  <si>
    <t>03/09/2015</t>
  </si>
  <si>
    <t>04/09/2015</t>
  </si>
  <si>
    <t>05/09/2015</t>
  </si>
  <si>
    <t>03/10/2015</t>
  </si>
  <si>
    <t>05/10/2015</t>
  </si>
  <si>
    <t>13/10/2015</t>
  </si>
  <si>
    <t>30/10/2015</t>
  </si>
  <si>
    <t>03/11/2015</t>
  </si>
  <si>
    <t>12/11/2015</t>
  </si>
  <si>
    <t>19/11/2015</t>
  </si>
  <si>
    <t>04/12/2015</t>
  </si>
  <si>
    <t>07/12/2015</t>
  </si>
  <si>
    <t>09/12/2015</t>
  </si>
  <si>
    <t>10/12/2015</t>
  </si>
  <si>
    <t>20/12/2015</t>
  </si>
  <si>
    <t>21/12/2015</t>
  </si>
  <si>
    <t>26/12/2015</t>
  </si>
  <si>
    <t>101</t>
  </si>
  <si>
    <t>30/12/2015</t>
  </si>
  <si>
    <t>102</t>
  </si>
  <si>
    <t>02/01/2016</t>
  </si>
  <si>
    <t>112</t>
  </si>
  <si>
    <t>04/01/2016</t>
  </si>
  <si>
    <t>07/01/2016</t>
  </si>
  <si>
    <t>118</t>
  </si>
  <si>
    <t>10/01/2016</t>
  </si>
  <si>
    <t>11/01/2016</t>
  </si>
  <si>
    <t>21/01/2016</t>
  </si>
  <si>
    <t>126</t>
  </si>
  <si>
    <t>29/01/2016</t>
  </si>
  <si>
    <t>131</t>
  </si>
  <si>
    <t>03/02/2016</t>
  </si>
  <si>
    <t>132</t>
  </si>
  <si>
    <t>136</t>
  </si>
  <si>
    <t>09/02/2016</t>
  </si>
  <si>
    <t>08/02/2016</t>
  </si>
  <si>
    <t>137</t>
  </si>
  <si>
    <t>14/02/2016</t>
  </si>
  <si>
    <t>141</t>
  </si>
  <si>
    <t>24/02/2016</t>
  </si>
  <si>
    <t>142</t>
  </si>
  <si>
    <t>143</t>
  </si>
  <si>
    <t>147</t>
  </si>
  <si>
    <t>04/03/2016</t>
  </si>
  <si>
    <t>148</t>
  </si>
  <si>
    <t>150</t>
  </si>
  <si>
    <t>05/03/2016</t>
  </si>
  <si>
    <t>152</t>
  </si>
  <si>
    <t>153</t>
  </si>
  <si>
    <t>07/03/2016</t>
  </si>
  <si>
    <t>154</t>
  </si>
  <si>
    <t>08/03/2016</t>
  </si>
  <si>
    <t xml:space="preserve">MIN/Goibibo    </t>
  </si>
  <si>
    <t>156</t>
  </si>
  <si>
    <t>11/03/2016</t>
  </si>
  <si>
    <t>157</t>
  </si>
  <si>
    <t>159</t>
  </si>
  <si>
    <t>19/03/2016</t>
  </si>
  <si>
    <t>694821</t>
  </si>
  <si>
    <t>163</t>
  </si>
  <si>
    <t>01/04/2016</t>
  </si>
  <si>
    <t>02/04/2016</t>
  </si>
  <si>
    <t>04/04/2016</t>
  </si>
  <si>
    <t>06/04/2016</t>
  </si>
  <si>
    <t>694823</t>
  </si>
  <si>
    <t>11/04/2016</t>
  </si>
  <si>
    <t>15/04/2016</t>
  </si>
  <si>
    <t>27/04/2016</t>
  </si>
  <si>
    <t>06/04/2009</t>
  </si>
  <si>
    <t>752620</t>
  </si>
  <si>
    <t>29/04/2009</t>
  </si>
  <si>
    <t>12/05/2009</t>
  </si>
  <si>
    <t>21/05/2009</t>
  </si>
  <si>
    <t>26/05/2009</t>
  </si>
  <si>
    <t>897962</t>
  </si>
  <si>
    <t>28/05/2009</t>
  </si>
  <si>
    <t>02/06/2009</t>
  </si>
  <si>
    <t>09/06/2009</t>
  </si>
  <si>
    <t>897963</t>
  </si>
  <si>
    <t>897964</t>
  </si>
  <si>
    <t>29/06/2009</t>
  </si>
  <si>
    <t>03/07/2009</t>
  </si>
  <si>
    <t>21/07/2009</t>
  </si>
  <si>
    <t>0897965</t>
  </si>
  <si>
    <t>28/07/2009</t>
  </si>
  <si>
    <t>30/07/2009</t>
  </si>
  <si>
    <t>27/08/2009</t>
  </si>
  <si>
    <t>897969</t>
  </si>
  <si>
    <t>28/08/2009</t>
  </si>
  <si>
    <t>29/08/2009</t>
  </si>
  <si>
    <t>31/08/2009</t>
  </si>
  <si>
    <t>04/09/2009</t>
  </si>
  <si>
    <t>08/09/2009</t>
  </si>
  <si>
    <t>11/09/2009</t>
  </si>
  <si>
    <t>22/09/2009</t>
  </si>
  <si>
    <t>897971</t>
  </si>
  <si>
    <t>25/09/2009</t>
  </si>
  <si>
    <t>29/09/2009</t>
  </si>
  <si>
    <t>928826</t>
  </si>
  <si>
    <t>928827</t>
  </si>
  <si>
    <t>07/10/2009</t>
  </si>
  <si>
    <t>20/10/2009</t>
  </si>
  <si>
    <t>28/10/2009</t>
  </si>
  <si>
    <t>29/10/2009</t>
  </si>
  <si>
    <t>11/11/2009</t>
  </si>
  <si>
    <t>18/11/2009</t>
  </si>
  <si>
    <t>25/11/2009</t>
  </si>
  <si>
    <t>928832</t>
  </si>
  <si>
    <t>27/11/2009</t>
  </si>
  <si>
    <t>17/12/2009</t>
  </si>
  <si>
    <t>77</t>
  </si>
  <si>
    <t>24/12/2009</t>
  </si>
  <si>
    <t>27/12/2009</t>
  </si>
  <si>
    <t>28/12/2009</t>
  </si>
  <si>
    <t>928833</t>
  </si>
  <si>
    <t>13/01/2010</t>
  </si>
  <si>
    <t>17/01/2010</t>
  </si>
  <si>
    <t>18/01/2010</t>
  </si>
  <si>
    <t>28/01/2010</t>
  </si>
  <si>
    <t>01/02/2010</t>
  </si>
  <si>
    <t>897972</t>
  </si>
  <si>
    <t>897973</t>
  </si>
  <si>
    <t>03/02/2010</t>
  </si>
  <si>
    <t>19/02/2010</t>
  </si>
  <si>
    <t>897975</t>
  </si>
  <si>
    <t>25/02/2010</t>
  </si>
  <si>
    <t>103</t>
  </si>
  <si>
    <t>26/02/2010</t>
  </si>
  <si>
    <t>01/03/2010</t>
  </si>
  <si>
    <t>05/03/2010</t>
  </si>
  <si>
    <t>11/03/2010</t>
  </si>
  <si>
    <t>23/03/2010</t>
  </si>
  <si>
    <t>116</t>
  </si>
  <si>
    <t>24/03/2010</t>
  </si>
  <si>
    <t>117</t>
  </si>
  <si>
    <t>26/03/2010</t>
  </si>
  <si>
    <t>30/03/2010</t>
  </si>
  <si>
    <t>07/04/2010</t>
  </si>
  <si>
    <t>236732</t>
  </si>
  <si>
    <t>19/04/2010</t>
  </si>
  <si>
    <t>21/04/2010</t>
  </si>
  <si>
    <t>29/04/2010</t>
  </si>
  <si>
    <t>10/05/2010</t>
  </si>
  <si>
    <t>236734</t>
  </si>
  <si>
    <t>11/05/2010</t>
  </si>
  <si>
    <t>236736</t>
  </si>
  <si>
    <t>25/05/2010</t>
  </si>
  <si>
    <t>236738</t>
  </si>
  <si>
    <t>28/05/2010</t>
  </si>
  <si>
    <t>23/06/2010</t>
  </si>
  <si>
    <t>24/06/2010</t>
  </si>
  <si>
    <t>236739</t>
  </si>
  <si>
    <t>28/06/2010</t>
  </si>
  <si>
    <t>29/06/2010</t>
  </si>
  <si>
    <t>13/07/2010</t>
  </si>
  <si>
    <t>928834</t>
  </si>
  <si>
    <t>29/07/2010</t>
  </si>
  <si>
    <t>12/08/2010</t>
  </si>
  <si>
    <t>30/08/2010</t>
  </si>
  <si>
    <t>03/09/2010</t>
  </si>
  <si>
    <t>01/09/2010</t>
  </si>
  <si>
    <t>04/09/2010</t>
  </si>
  <si>
    <t>09/09/2010</t>
  </si>
  <si>
    <t>29/09/2010</t>
  </si>
  <si>
    <t>02/10/2010</t>
  </si>
  <si>
    <t>04/10/2010</t>
  </si>
  <si>
    <t>08/10/2010</t>
  </si>
  <si>
    <t>02/11/2010</t>
  </si>
  <si>
    <t>29/11/2010</t>
  </si>
  <si>
    <t>03/12/2010</t>
  </si>
  <si>
    <t>11/12/2010</t>
  </si>
  <si>
    <t>19/12/2010</t>
  </si>
  <si>
    <t>20/12/2010</t>
  </si>
  <si>
    <t>28/12/2010</t>
  </si>
  <si>
    <t>03/01/2011</t>
  </si>
  <si>
    <t>07/01/2011</t>
  </si>
  <si>
    <t>27/01/2011</t>
  </si>
  <si>
    <t>28/01/2011</t>
  </si>
  <si>
    <t>01/02/2011</t>
  </si>
  <si>
    <t>05/02/2011</t>
  </si>
  <si>
    <t>928838</t>
  </si>
  <si>
    <t>08/02/2011</t>
  </si>
  <si>
    <t>26/02/2011</t>
  </si>
  <si>
    <t>28/02/2011</t>
  </si>
  <si>
    <t>03/03/2011</t>
  </si>
  <si>
    <t>04/03/2011</t>
  </si>
  <si>
    <t>05/03/2011</t>
  </si>
  <si>
    <t>24/03/2011</t>
  </si>
  <si>
    <t>27/03/2011</t>
  </si>
  <si>
    <t>28/03/2011</t>
  </si>
  <si>
    <t>05/04/2011</t>
  </si>
  <si>
    <t>07/04/2011</t>
  </si>
  <si>
    <t>30/05/2011</t>
  </si>
  <si>
    <t>01/06/2011</t>
  </si>
  <si>
    <t>10/06/2011</t>
  </si>
  <si>
    <t>16/06/2011</t>
  </si>
  <si>
    <t>928839</t>
  </si>
  <si>
    <t>29/06/2011</t>
  </si>
  <si>
    <t>01/07/2011</t>
  </si>
  <si>
    <t>28/07/2011</t>
  </si>
  <si>
    <t>29/07/2011</t>
  </si>
  <si>
    <t>01/08/2011</t>
  </si>
  <si>
    <t>05/08/2011</t>
  </si>
  <si>
    <t>08/08/2011</t>
  </si>
  <si>
    <t>09/08/2011</t>
  </si>
  <si>
    <t>10/08/2011</t>
  </si>
  <si>
    <t>13/08/2011</t>
  </si>
  <si>
    <t>24/08/2011</t>
  </si>
  <si>
    <t>29/08/2011</t>
  </si>
  <si>
    <t>01/09/2011</t>
  </si>
  <si>
    <t>26/09/2011</t>
  </si>
  <si>
    <t>29/09/2011</t>
  </si>
  <si>
    <t>17/10/2011</t>
  </si>
  <si>
    <t>28/10/2011</t>
  </si>
  <si>
    <t>03/11/2011</t>
  </si>
  <si>
    <t>29/11/2011</t>
  </si>
  <si>
    <t>09/12/2011</t>
  </si>
  <si>
    <t>17/12/2011</t>
  </si>
  <si>
    <t>26/12/2011</t>
  </si>
  <si>
    <t>29/12/2011</t>
  </si>
  <si>
    <t>06/01/2012</t>
  </si>
  <si>
    <t>16/01/2012</t>
  </si>
  <si>
    <t>27/01/2012</t>
  </si>
  <si>
    <t>30/01/2012</t>
  </si>
  <si>
    <t>18/02/2012</t>
  </si>
  <si>
    <t>27/02/2012</t>
  </si>
  <si>
    <t>28/02/2012</t>
  </si>
  <si>
    <t>01/03/2012</t>
  </si>
  <si>
    <t>15/03/2012</t>
  </si>
  <si>
    <t>27/03/2012</t>
  </si>
  <si>
    <t>28/03/2012</t>
  </si>
  <si>
    <t>29/03/2012</t>
  </si>
  <si>
    <t>13/04/2012</t>
  </si>
  <si>
    <t>27/04/2012</t>
  </si>
  <si>
    <t>28/04/2012</t>
  </si>
  <si>
    <t>17/05/2012</t>
  </si>
  <si>
    <t>21/05/2012</t>
  </si>
  <si>
    <t>30/05/2012</t>
  </si>
  <si>
    <t>27/06/2012</t>
  </si>
  <si>
    <t>28/06/2012</t>
  </si>
  <si>
    <t>30/06/2012</t>
  </si>
  <si>
    <t>05/07/2012</t>
  </si>
  <si>
    <t>928847</t>
  </si>
  <si>
    <t>09/07/2012</t>
  </si>
  <si>
    <t>928848</t>
  </si>
  <si>
    <t>10/08/2012</t>
  </si>
  <si>
    <t>13/08/2012</t>
  </si>
  <si>
    <t>21/08/2012</t>
  </si>
  <si>
    <t>22/08/2012</t>
  </si>
  <si>
    <t>28/08/2012</t>
  </si>
  <si>
    <t>29/08/2012</t>
  </si>
  <si>
    <t>928849</t>
  </si>
  <si>
    <t>30/08/2012</t>
  </si>
  <si>
    <t>01/09/2012</t>
  </si>
  <si>
    <t>15/09/2012</t>
  </si>
  <si>
    <t>27/09/2012</t>
  </si>
  <si>
    <t>12/10/2012</t>
  </si>
  <si>
    <t xml:space="preserve">CMS/000061019608/ REDEMPTION </t>
  </si>
  <si>
    <t>29/04/2013</t>
  </si>
  <si>
    <t>20/05/2013</t>
  </si>
  <si>
    <t>22/05/2013</t>
  </si>
  <si>
    <t>27/05/2013</t>
  </si>
  <si>
    <t>28/05/2013</t>
  </si>
  <si>
    <t>347479</t>
  </si>
  <si>
    <t>29/05/2013</t>
  </si>
  <si>
    <t>06/06/2013</t>
  </si>
  <si>
    <t>347480</t>
  </si>
  <si>
    <t>13/06/2013</t>
  </si>
  <si>
    <t>26/06/2013</t>
  </si>
  <si>
    <t>03/07/2013</t>
  </si>
  <si>
    <t>26/07/2013</t>
  </si>
  <si>
    <t>25/08/2013</t>
  </si>
  <si>
    <t>26/08/2013</t>
  </si>
  <si>
    <t>27/08/2013</t>
  </si>
  <si>
    <t>02/09/2013</t>
  </si>
  <si>
    <t>26/09/2013</t>
  </si>
  <si>
    <t>07/10/2013</t>
  </si>
  <si>
    <t>24/10/2013</t>
  </si>
  <si>
    <t>28/10/2013</t>
  </si>
  <si>
    <t>16/11/2013</t>
  </si>
  <si>
    <t>26/11/2013</t>
  </si>
  <si>
    <t>05/12/2013</t>
  </si>
  <si>
    <t>30/12/2013</t>
  </si>
  <si>
    <t>31/12/2013</t>
  </si>
  <si>
    <t>347481</t>
  </si>
  <si>
    <t>01/01/2014</t>
  </si>
  <si>
    <t>10/01/2014</t>
  </si>
  <si>
    <t>27/01/2014</t>
  </si>
  <si>
    <t>18/02/2014</t>
  </si>
  <si>
    <t>26/02/2014</t>
  </si>
  <si>
    <t>05/03/2014</t>
  </si>
  <si>
    <t>17/03/2014</t>
  </si>
  <si>
    <t>15/04/2014</t>
  </si>
  <si>
    <t>17/04/2014</t>
  </si>
  <si>
    <t>28/04/2014</t>
  </si>
  <si>
    <t>19/05/2014</t>
  </si>
  <si>
    <t>347484</t>
  </si>
  <si>
    <t>30/06/2014</t>
  </si>
  <si>
    <t>12/07/2014</t>
  </si>
  <si>
    <t>347486</t>
  </si>
  <si>
    <t>28/07/2014</t>
  </si>
  <si>
    <t>31/07/2014</t>
  </si>
  <si>
    <t>21/08/2014</t>
  </si>
  <si>
    <t>26/08/2014</t>
  </si>
  <si>
    <t>11/09/2014</t>
  </si>
  <si>
    <t>15/09/2014</t>
  </si>
  <si>
    <t>26/09/2014</t>
  </si>
  <si>
    <t>22/10/2014</t>
  </si>
  <si>
    <t>14/11/2014</t>
  </si>
  <si>
    <t>26/11/2014</t>
  </si>
  <si>
    <t>28/11/2014</t>
  </si>
  <si>
    <t>08/12/2014</t>
  </si>
  <si>
    <t>19/12/2014</t>
  </si>
  <si>
    <t>26/12/2014</t>
  </si>
  <si>
    <t>31/12/2014</t>
  </si>
  <si>
    <t>23/01/2015</t>
  </si>
  <si>
    <t>28/01/2015</t>
  </si>
  <si>
    <t>17/02/2015</t>
  </si>
  <si>
    <t>20/02/2015</t>
  </si>
  <si>
    <t>23/02/2015</t>
  </si>
  <si>
    <t>27/02/2015</t>
  </si>
  <si>
    <t>03/03/2015</t>
  </si>
  <si>
    <t>09/03/2015</t>
  </si>
  <si>
    <t>10/03/2015</t>
  </si>
  <si>
    <t>26/03/2015</t>
  </si>
  <si>
    <t>30/03/2015</t>
  </si>
  <si>
    <t>01/04/2015</t>
  </si>
  <si>
    <t>06/04/2015</t>
  </si>
  <si>
    <t>29/04/2015</t>
  </si>
  <si>
    <t>01/05/2015</t>
  </si>
  <si>
    <t>02/06/2015</t>
  </si>
  <si>
    <t>01/07/2015</t>
  </si>
  <si>
    <t>07/07/2015</t>
  </si>
  <si>
    <t>01/08/2015</t>
  </si>
  <si>
    <t>06/08/2015</t>
  </si>
  <si>
    <t>15/08/2015</t>
  </si>
  <si>
    <t>01/09/2015</t>
  </si>
  <si>
    <t>14/09/2015</t>
  </si>
  <si>
    <t>29/09/2015</t>
  </si>
  <si>
    <t>30/09/2015</t>
  </si>
  <si>
    <t>01/10/2015</t>
  </si>
  <si>
    <t>01/11/2015</t>
  </si>
  <si>
    <t>02/11/2015</t>
  </si>
  <si>
    <t>06/11/2015</t>
  </si>
  <si>
    <t>09/11/2015</t>
  </si>
  <si>
    <t>17/11/2015</t>
  </si>
  <si>
    <t>694819</t>
  </si>
  <si>
    <t>01/12/2015</t>
  </si>
  <si>
    <t>02/12/2015</t>
  </si>
  <si>
    <t>11/12/2015</t>
  </si>
  <si>
    <t>694820</t>
  </si>
  <si>
    <t>17/12/2015</t>
  </si>
  <si>
    <t>01/01/2016</t>
  </si>
  <si>
    <t>CMS/ GESS_1217152_13001_115_599358</t>
  </si>
  <si>
    <t>2/GE</t>
  </si>
  <si>
    <t>119</t>
  </si>
  <si>
    <t>13/01/2016</t>
  </si>
  <si>
    <t>18/01/2016</t>
  </si>
  <si>
    <t>22/01/2016</t>
  </si>
  <si>
    <t>27/01/2016</t>
  </si>
  <si>
    <t>694818</t>
  </si>
  <si>
    <t>127</t>
  </si>
  <si>
    <t>01/02/2016</t>
  </si>
  <si>
    <t>128</t>
  </si>
  <si>
    <t>129</t>
  </si>
  <si>
    <t>130</t>
  </si>
  <si>
    <t>02/02/2016</t>
  </si>
  <si>
    <t>133</t>
  </si>
  <si>
    <t>04/02/2016</t>
  </si>
  <si>
    <t>134</t>
  </si>
  <si>
    <t>135</t>
  </si>
  <si>
    <t>05/02/2016</t>
  </si>
  <si>
    <t>138</t>
  </si>
  <si>
    <t>139</t>
  </si>
  <si>
    <t>16/02/2016</t>
  </si>
  <si>
    <t>140</t>
  </si>
  <si>
    <t>144</t>
  </si>
  <si>
    <t>145</t>
  </si>
  <si>
    <t>01/03/2016</t>
  </si>
  <si>
    <t>146</t>
  </si>
  <si>
    <t>149</t>
  </si>
  <si>
    <t>151</t>
  </si>
  <si>
    <t>/20160308144818/0</t>
  </si>
  <si>
    <t>155</t>
  </si>
  <si>
    <t>10/03/2016</t>
  </si>
  <si>
    <t>158</t>
  </si>
  <si>
    <t>160</t>
  </si>
  <si>
    <t>22/03/2016</t>
  </si>
  <si>
    <t>161</t>
  </si>
  <si>
    <t>162</t>
  </si>
  <si>
    <t>164</t>
  </si>
  <si>
    <t>31/03/2016</t>
  </si>
  <si>
    <t>165</t>
  </si>
  <si>
    <t>07/04/2016</t>
  </si>
  <si>
    <t>12/04/2016</t>
  </si>
  <si>
    <t>13/04/2016</t>
  </si>
  <si>
    <t>18/04/2016</t>
  </si>
  <si>
    <t>25/04/2016</t>
  </si>
  <si>
    <t>29/04/2016</t>
  </si>
  <si>
    <t>01/05/2016</t>
  </si>
  <si>
    <t>02/05/2016</t>
  </si>
  <si>
    <t>Added Motilal Oswal mircocap 250 index fund on 14th July2023</t>
  </si>
  <si>
    <t>4k / month for both</t>
  </si>
  <si>
    <t>5, 10, 15, 20 for Varsha</t>
  </si>
  <si>
    <t>7, 15, 22, 28 for Vinay</t>
  </si>
  <si>
    <t>Varsha extra tax</t>
  </si>
  <si>
    <t>Vyom UTI MF - returns ICICI Vyom's a/c</t>
  </si>
  <si>
    <t>approx, need to be shown in next year's tax</t>
  </si>
  <si>
    <t>BIL/NEFT/HS92318207493824/HDFC0000652/VYOM VINAY M</t>
  </si>
  <si>
    <t>UPI/354911134570/c305 car wash J/nareshvemula749/State Bank Of I/ICI21fea5b4394</t>
  </si>
  <si>
    <t>UPI/354929042400/solid disk driv/vyapar.16708736/HDFC BANK LTD/ICI4499bdd21c114</t>
  </si>
  <si>
    <t xml:space="preserve">BIL/NSP/CG36446282/ICIC0SF0002/VINAYSIP           </t>
  </si>
  <si>
    <t>MMT/IMPS/318509544134/C305 July2023/RTABOWA - /HDF</t>
  </si>
  <si>
    <t>BIL/NEFT/HS92318708429717/HDFC0000652/Vinay Naraya</t>
  </si>
  <si>
    <t xml:space="preserve">ACH/LIC OF INDIA/9298151230723                    </t>
  </si>
  <si>
    <t>UPI/355457911164/c305 milk may a/7989495557@axl/Punjab National/ICI7de1b3af8b48</t>
  </si>
  <si>
    <t>UPI/355409134319/bread/ayyappaundru1@y/Union Bank of I/ICI2885f396152644adba302</t>
  </si>
  <si>
    <t>UPI/355595866998/tabla Vyom/vijayavel-2@oki/ICICI Bank/ICI513ed31e0024422382287</t>
  </si>
  <si>
    <t xml:space="preserve">BIL/NSP/CGE8426643/ICIC0SF0002/VINAYSIP           </t>
  </si>
  <si>
    <t>MMT/IMPS/319418498386/C305CommonElect/RTABOWA - /H</t>
  </si>
  <si>
    <t>BIL/INFT/CGI9414209/Quick Pay FT/Work/004005026038</t>
  </si>
  <si>
    <t>UPI/319561253489/medicines/paytm-68434242@/Paytm Payments /ICIf6f67b088da948388</t>
  </si>
  <si>
    <t>UPI/356247964799/haircut/aasifalishaik54/Union Bank of I/ICId50fd42fae7741e78c0</t>
  </si>
  <si>
    <t>UPI/319666666710/hair cut/vogue.salon@ici/ICICI Bank/ICIb9cc1f66221a4b4b85c4d46</t>
  </si>
  <si>
    <t>UPI/319612890285/medicines/paytm-68434242@/Paytm Payments /ICIccff9508281f4255a</t>
  </si>
  <si>
    <t>UPI/356380133835/cookies/mab.03734504828/Axis Bank Ltd./ICId151a070f2084ba88ab8</t>
  </si>
  <si>
    <t>UPI/319764837763/vegetables/ayyappaundru1@y/Union Bank of I/ICIb4da2857a0694098</t>
  </si>
  <si>
    <t xml:space="preserve">BIL/NSP/CGL9929366/ICIC0SF0002/VINAY MAHAJA       </t>
  </si>
  <si>
    <t xml:space="preserve">CMS/001241077809/ICICIPRULIFEINS__32141601        </t>
  </si>
  <si>
    <t xml:space="preserve">GIB/002003285342/DTAX      /23072000279838ICIC    </t>
  </si>
  <si>
    <t xml:space="preserve">CMS/001243609393/ICICIPRULIFEINS__24511656        </t>
  </si>
  <si>
    <t>UPI/357035449052/Pay to BharatPe/bharatpe9072741/Yes Bank Ltd/ICI34fc0014609e46</t>
  </si>
  <si>
    <t>UPI/320453940514/vegetables/paytmqr28100505/Paytm Payments /ICI67052079d0344901</t>
  </si>
  <si>
    <t>UPI/320494349699/vegetables/paytmqr9lvqz9ml/Paytm Payments /ICIbe7e039d48b74c68</t>
  </si>
  <si>
    <t>UPI/320420545446/vegetables/q654609896@ybl/Yes Bank Ltd/ICI23f599b1414048e89302</t>
  </si>
  <si>
    <t>UPI/357019464349/petrol/q444270161@ybl/Yes Bank Ltd/ICI98ddb20e2c994e95bd148036</t>
  </si>
  <si>
    <t xml:space="preserve">BIL/NSP/CGS1191505/ICIC0SF0002/VINAY MAHAJA       </t>
  </si>
  <si>
    <t xml:space="preserve">MMT/IMPS/320515609851/ to VINAY N MA              </t>
  </si>
  <si>
    <t>UPI/320706729631/vegetables/q20082480@ybl/Yes Bank Ltd/ICIfd024e290cbd4180a6238</t>
  </si>
  <si>
    <t xml:space="preserve">NEFT-CITIN23397661119-NOVARTIS HEALTHCARE PRIVATE LIMITED-SALARY FOR THE MONTH </t>
  </si>
  <si>
    <t xml:space="preserve">CMS/001247116599/BF-IC__40491262475               </t>
  </si>
  <si>
    <t>UPI/357535507663/medicine/nawabsuhel-2@ok/HDFC BANK LTD/ICI6af950138366426a88e5</t>
  </si>
  <si>
    <t xml:space="preserve">CMS/001247770966/ICICIPRULIFEINS__21131016        </t>
  </si>
  <si>
    <t>UPI/357691130626/vegetables/q20082480@ybl/Yes Bank Ltd/ICI0e179cfc56014febb96b9</t>
  </si>
  <si>
    <t>UPI/357754370364/Pay to BharatPe/bharatpe9072679/Yes Bank Ltd/ICI14536c027c1448</t>
  </si>
  <si>
    <t>UPI/357705167366/Pay to BharatPe/bharatpe9072636/Yes Bank Ltd/ICId89fdc37b5b44a</t>
  </si>
  <si>
    <t xml:space="preserve">ATM/SACWN659/CASH WDL/30-07-23                    </t>
  </si>
  <si>
    <t xml:space="preserve">BIL/NSP/CGZ2562455/ICIC0SF0002/VINAY MAHAJA       </t>
  </si>
  <si>
    <t xml:space="preserve">CMS/ CMS3395693296/ICICI PRUDENTIAL MUTUAL FUND   </t>
  </si>
  <si>
    <t xml:space="preserve">CMS/001243609415/ICICIPRULIFEINS__24516375        </t>
  </si>
  <si>
    <t>UPI/320966719979/self pay/varshanbhag@okh/HDFC BANK LTD/HDF0e86bb00b9bb4c31b982</t>
  </si>
  <si>
    <t xml:space="preserve">CMS/001247770964/ICICIPRULIFEINS__21130963        </t>
  </si>
  <si>
    <t>UPI/321096811766/eyIwIjoiMDFuMGh/netflix2.payu@i/ICICI Bank/ICI19351fa46c92491e</t>
  </si>
  <si>
    <t>UPI/357661168943/Payment from Ph/8125989594@axl/HDFC BANK LTD/AXL8712366d8dd546</t>
  </si>
  <si>
    <t>50400300750551- RD INSTALLMENT-JUL 2023</t>
  </si>
  <si>
    <t>NEFT CR-ICIC0SF0002-VINAY N MAHAJAN-VINAY NARAYAN MAHAJAN-HS92318708429717</t>
  </si>
  <si>
    <t>ACH D- INDIAN CLEARING CORP-DO5KD2IVYZJQ</t>
  </si>
  <si>
    <t>UPI-MYNTRA-PAYTM-950206@PAYTM-PYTM0123456-318221449436-OID1317325AAF7E469</t>
  </si>
  <si>
    <t>ACH D- INDIAN CLEARING CORP-5B7YCED4TXUS</t>
  </si>
  <si>
    <t>ACH D- INDIAN CLEARING CORP-BNLJUVUQ1UNU</t>
  </si>
  <si>
    <t>UPI-BIGBASKET-BIGBASKET1@PAYTM-PYTM0123456-318387003176-UPI</t>
  </si>
  <si>
    <t>UPI-BBDAILY-BBDAILY@PAYTM-PYTM0123456-318392717076-UPI</t>
  </si>
  <si>
    <t>UPI-VIJAYAVEL  KUMARSWAM-VIJAYAVEL@OKHDFCBANK-SBIN0006866-318394371914-FROM VYOM MAHAJAN</t>
  </si>
  <si>
    <t>ACH D- INDIAN CLEARING CORP-6MH9GXRLNBGH</t>
  </si>
  <si>
    <t>ACH D- INDIAN CLEARING CORP-TWN7C1LUATU9</t>
  </si>
  <si>
    <t>ACH D- INDIAN CLEARING CORP-K1BS1MRHF9DN</t>
  </si>
  <si>
    <t>UPI-UNDRU AYYAPPA-AYYAPPAUNDRU1@YBL-UBIN0921084-318416995906-UPI</t>
  </si>
  <si>
    <t>ACH D- INDIAN CLEARING CORP-YU9HV5W3EPCX</t>
  </si>
  <si>
    <t>ACH D- INDIAN CLEARING CORP-885BADUP632Y</t>
  </si>
  <si>
    <t>ACH D- INDIAN CLEARING CORP-P7UXSIXU78I7</t>
  </si>
  <si>
    <t>UPI-ACT BROADBAND-PAYTM-ACTHYD2@PAYTM-PYTM0123456-318664778946-OIDCWPGR-18873416@</t>
  </si>
  <si>
    <t>UPI-ADD MONEY TO WALLET-ADD-MONEY@PAYTM-PYTM0123456-355262545813-OID21420513913@PAY</t>
  </si>
  <si>
    <t>ACH D- INDIAN CLEARING CORP-433N2WBVLVY3</t>
  </si>
  <si>
    <t>ACH D- INDIAN CLEARING CORP-VZB4QPBQK7RA</t>
  </si>
  <si>
    <t>REF-PAYUCIS-KQTH444FA56KFOO2CM-14/5/23</t>
  </si>
  <si>
    <t>UPI-VOGUE SALON AND BEAU-VOGUE.SALON@ICICI-ICIC0DC0099-318701964603-UPI</t>
  </si>
  <si>
    <t>ACH D- INDIAN CLEARING CORP-KADXKK777ROW</t>
  </si>
  <si>
    <t>UPI-MANJIRI J JOSHI-MANJIRISTAR@OKSBI-HDFC0009095-318812883107-MOVIE</t>
  </si>
  <si>
    <t>UPI-UNDRU AYYAPPA-AYYAPPAUNDRU1@YBL-UBIN0921084-318815205795-DAIRY MILK</t>
  </si>
  <si>
    <t>UPI-PARMEET KAUR  SALUJA-DIMPLESALUJA1010@OKSBI-SBIN0011081-318819920416-VOLUNTEER</t>
  </si>
  <si>
    <t>UPI-UMA NARSIMHA NARIGAD-UMANARSIMHA143SDA-1@OKHDFCBANK-BARB0MALKAJ-318821734423-UPI</t>
  </si>
  <si>
    <t>UPI-UMA NARSIMHA NARIGAD-UMANARSIMHA143SDA-1@OKHDFCBANK-BARB0MALKAJ-318821741515-UPI</t>
  </si>
  <si>
    <t>UPI-G SRIKANT RAO-GINISRIKANTRAO@OKICICI-PUNB0479400-318825242365-UPI</t>
  </si>
  <si>
    <t>UPI-BUKKA SRI HARI KUMAR-SHKTKD2123@OKHDFCBANK-HDFC0004886-318825348794-VYOM TAEKWONDO JUL</t>
  </si>
  <si>
    <t>ACH D- INDIAN CLEARING CORP-RPWCR8ZGASY1</t>
  </si>
  <si>
    <t>UPI-YASHODA CLINICS-YASHODACLINICS.42381292@HDFCBANK-HDFC0000001-318941104137-UPI</t>
  </si>
  <si>
    <t>UPI-CH VENUGOPAL RAO-CHVENU0110@OKHDFCBANK-HDFC0000317-318953775786-HONITUS</t>
  </si>
  <si>
    <t>ACH D- INDIAN CLEARING CORP-QMQ5F2CNYCBA</t>
  </si>
  <si>
    <t>ACH D- INDIAN CLEARING CORP-CDLDT8BDRMBY</t>
  </si>
  <si>
    <t>UPI-OLA POSTPAID-OLAMONEY1.PAYU@HDFCBANK-HDFC0000499-319073409104-CAB</t>
  </si>
  <si>
    <t>UPI-OLAMONEY1-OLAMONEY1.RAZORPAY@HDFCBANK-HDFC0000053-319078437927-CAB</t>
  </si>
  <si>
    <t>ACH D- INDIAN CLEARING CORP-OA6UQV5GCL5B</t>
  </si>
  <si>
    <t>ACH D- INDIAN CLEARING CORP-FYBKQVLAWGGB</t>
  </si>
  <si>
    <t>ACH D- INDIAN CLEARING CORP-LML9ED32A22Q</t>
  </si>
  <si>
    <t>UPI-BONAM  YESU PRASAD-9505514482@YBL-SBIN0021182-355779922435-PAYMENT FROM PHONE</t>
  </si>
  <si>
    <t>UPI-LICIOUS-DELIGHTFULGOURMETPRIVATELTD.RAZORPAY@ICICI-ICIC0DC0099-319109249567-UPI INTENT</t>
  </si>
  <si>
    <t>ACH D- INDIAN CLEARING CORP-HAH41JZKQC7L</t>
  </si>
  <si>
    <t>UPI-UMA NARSIMHA NARIGAD-UMANARSIMHA143SDA-1@OKHDFCBANK-BARB0MALKAJ-319229266774-C305 VIDYA</t>
  </si>
  <si>
    <t>ACH D- INDIAN CLEARING CORP-2VM42LB9X6AK</t>
  </si>
  <si>
    <t>UPI-SIMPL-SIMPL@AXB-UTIB0000100-319347547254-UPI INTENT</t>
  </si>
  <si>
    <t>ACH D- INDIAN CLEARING CORP-5LIWTVIOZYV2</t>
  </si>
  <si>
    <t>ACH D- INDIAN CLEARING CORP-84HYMEH2MLG5</t>
  </si>
  <si>
    <t>UPI-BBNOW-BBNOW.EBZ@HDFCBANK-HDFC0001794-319482345154-UPI</t>
  </si>
  <si>
    <t>UPI-VEERAMACHANENI JAYES-JAYESHVEERAMACHANANI@OKHDFCBANK-HDFC0009095-319483968986-UPI</t>
  </si>
  <si>
    <t>ACH D- INDIAN CLEARING CORP-BF4M17NEQVJ1</t>
  </si>
  <si>
    <t>ACH D- INDIAN CLEARING CORP-NU4FE5QKA5NN</t>
  </si>
  <si>
    <t>UPI-NAWAB SUHEL-NAWABSUHEL-2@OKHDFCBANK-HDFC0009015-319509719456-UPI</t>
  </si>
  <si>
    <t>UPI-G SANGEETHA-Q303504892@YBL-YESB0YBLUPI-319640575868-UPI</t>
  </si>
  <si>
    <t>ACH D- INDIAN CLEARING CORP-VM9TLR2HSWU2</t>
  </si>
  <si>
    <t>UPI-SWIGGYDINER-SWIGGYDINER@YESPAY-YESB0YESUPI-319761592941-PAY FOR MERCHANT</t>
  </si>
  <si>
    <t>UPI-CHAKALI VEERESH-CHAKALIVEERESHVEERESH7-1@OKAXIS-IOBA0003390-319744015624-UPI</t>
  </si>
  <si>
    <t>ACH D- INDIAN CLEARING CORP-D337EQWQNBZ1</t>
  </si>
  <si>
    <t>ACH D- INDIAN CLEARING CORP-EJIGA3Q1PHPZ</t>
  </si>
  <si>
    <t>ACH D- INDIAN CLEARING CORP-V988POSH5DGD</t>
  </si>
  <si>
    <t>ACH D- INDIAN CLEARING CORP-YFFCCI7KF7PX</t>
  </si>
  <si>
    <t>UPI-MR MOHAMMED OMER SID-MDOMER330-2@OKSBI-IDIB000T601-319885826858-FOR THE MOTOR</t>
  </si>
  <si>
    <t>UPI-URBAN COMPANY-PAYTM-URBANCOMPANY@PAYTM-PYTM0123456-319887106602-UPI</t>
  </si>
  <si>
    <t>UPI-MR MOHAMMED OMER SID-MDOMER330-2@OKSBI-IDIB000T601-319887165323-UPI</t>
  </si>
  <si>
    <t>UPI-NAWAB SUHEL-NAWABSUHEL-2@OKHDFCBANK-HDFC0009015-319891266746-UPI</t>
  </si>
  <si>
    <t>ACH D- INDIAN CLEARING CORP-XHJC6AQSM3JT</t>
  </si>
  <si>
    <t>CBDT/BANK REFERENCE NO:K2319905221396/CIN NO:23071800261115HDFC/ONLINE</t>
  </si>
  <si>
    <t>ACH D- INDIAN CLEARING CORP-2WKWJ2K1HC5T</t>
  </si>
  <si>
    <t>ACH D- INDIAN CLEARING CORP-W3FAGV9LRUZM</t>
  </si>
  <si>
    <t>ACH D- INDIAN CLEARING CORP-DT9D4WI7NOYU</t>
  </si>
  <si>
    <t>ACH D- INDIAN CLEARING CORP-D1WR2YASMPQT</t>
  </si>
  <si>
    <t>UPI-UNDRU AYYAPPA-AYYAPPAUNDRU1@YBL-UBIN0921084-320168466789-UPI</t>
  </si>
  <si>
    <t>UPI-NAWAB SUHEL-NAWABSUHEL-2@OKHDFCBANK-HDFC0009015-320170295151-UPI</t>
  </si>
  <si>
    <t>ACH D- INDIAN CLEARING CORP-QJF9JTOCLV7D</t>
  </si>
  <si>
    <t>ACH D- INDIAN CLEARING CORP-29RLU3TRO11R</t>
  </si>
  <si>
    <t>ACH D- INDIAN CLEARING CORP-UYUDZYCJAGZ5</t>
  </si>
  <si>
    <t>UPI-UMA NARSIMHA NARIGAD-UMANARSIMHA143SDA-1@OKHDFCBANK-BARB0MALKAJ-320294322030-UPI</t>
  </si>
  <si>
    <t>00600310040071-200720247112</t>
  </si>
  <si>
    <t>UPI-BIGBASKET-BIGBASKET1@PAYTM-PYTM0123456-320310072919-BIG BASKET</t>
  </si>
  <si>
    <t>ACH D- INDIAN CLEARING CORP-SG7Z9C9H87T4</t>
  </si>
  <si>
    <t>UPI-MR SAHABUDDIN JUMAI -SABUDDINKHAN604@OKSBI-IDIB000K536-320313551587-UPI</t>
  </si>
  <si>
    <t>ACH D- INDIAN CLEARING CORP-BB1DSLRX4X6U</t>
  </si>
  <si>
    <t>UPI-LAXMA REDDY  GADDAM-BHARATPE90726793539@YESBANKLTD-YESB0YESUPI-320437995643-PAY TO BHARATPE ME</t>
  </si>
  <si>
    <t>UPI-MR  PATLOLA  ASHOK R-BHARATPE90726363975@YESBANKLTD-YESB0YESUPI-320438030252-PAY TO BHARATPE ME</t>
  </si>
  <si>
    <t>UPI-MR  PATLOLA  ASHOK R-BHARATPE90726363975@YESBANKLTD-YESB0YESUPI-320438063165-PAY TO BHARATPE ME</t>
  </si>
  <si>
    <t>UPI-ADD MONEY TO WALLET-ADD-MONEY@PAYTM-PYTM0123456-320469742491-OID21560792143@PAY</t>
  </si>
  <si>
    <t>ACH D- INDIAN CLEARING CORP-WD3QAQC9RM7B</t>
  </si>
  <si>
    <t>UPI-BIGBASKET-BIGBASKET1@PAYTM-PYTM0123456-320686770016-UPI</t>
  </si>
  <si>
    <t>ACH D- INDIAN CLEARING CORP-LPKYN5M1566I</t>
  </si>
  <si>
    <t>NEFT CR-CHAS0INBX01-SALARY FOR JUL-2023 JOHNSON   JOHNSON PRIVATE LIMI-VARSHA MAHAJAN-CHASH20639024785</t>
  </si>
  <si>
    <t>UPI-XXXXXX5813-CBIN0281615-357209631068-NA</t>
  </si>
  <si>
    <t>50400251539337- RD INSTALLMENT-JUL 2023</t>
  </si>
  <si>
    <t>ACH D- INDIAN CLEARING CORP-YPWMUC1RXU9L</t>
  </si>
  <si>
    <t>UPI-BLUE DART EXPRESS LT-BLUEDARTEXPRESSLTD.RZP@ICICI-ICIC0DC0099-320716641312-PAYMENTTOBLUEDARTE</t>
  </si>
  <si>
    <t>ACH D- INDIAN CLEARING CORP-78OERF9U8YR7</t>
  </si>
  <si>
    <t>ACH D- INDIAN CLEARING CORP-O5N4TD7BT1CA</t>
  </si>
  <si>
    <t>UPI-VARSHA VINAY MAHAJAN-VARSHANBHAG-2@OKHDFCBANK-ICIC0000088-320966719979-SELF PAY</t>
  </si>
  <si>
    <t>UPI-ZERODHA-ZERODHA.RAZORPAY@ICICI-ICIC0DC0099-320994961048-3066816412366612</t>
  </si>
  <si>
    <t>00600310040071-2023032492790</t>
  </si>
  <si>
    <t>UPI-SUBHA PRABHU-SUBHAPRABHU2014@OKAXIS-IBKL0000452-321097170598-UPI</t>
  </si>
  <si>
    <t>UPI-REEMA PARNAIK-8800896871@PAYTM-UBIN0535273-321024834624-NA</t>
  </si>
  <si>
    <t>UPI-INDIGO-INDIGO@AXISBANK-UTIB0000000-321250538840-UPI INTENT</t>
  </si>
  <si>
    <t>Aai Bappa tickets</t>
  </si>
  <si>
    <t>Only 2 policies were surrendered</t>
  </si>
  <si>
    <t>Master bedroom flush</t>
  </si>
  <si>
    <t>Vyom trip Leh Ladhak</t>
  </si>
  <si>
    <t>Agaro Juicer</t>
  </si>
  <si>
    <t>Varsha received 1.17lac back for vacation</t>
  </si>
  <si>
    <t>Donation 1 year fess - Everest Karthee</t>
  </si>
  <si>
    <t>Vyom shoes 10,000 + clothes for trip + Varsha clothes</t>
  </si>
  <si>
    <t>Vinay PhD Viva travel</t>
  </si>
  <si>
    <t>HDFC MF login</t>
  </si>
  <si>
    <t>Pan card</t>
  </si>
  <si>
    <t>AOSPS2188F</t>
  </si>
  <si>
    <t>Folio number</t>
  </si>
  <si>
    <t>Amount invested</t>
  </si>
  <si>
    <t>Value as of 31Aug2023</t>
  </si>
  <si>
    <t>HDFC Children's Gift Fund - regular plan</t>
  </si>
  <si>
    <t>Date of purchase</t>
  </si>
  <si>
    <t>CMS/ CMS3480865944/ICICI PRUDENTIAL MUTUAL FUND</t>
  </si>
  <si>
    <t>CMS/001262611269/ICICIPRULIFEINS__24516375</t>
  </si>
  <si>
    <t>CMS/001266482324/ICICIPRULIFEINS__21130963</t>
  </si>
  <si>
    <t>UPI/324085721974/eyIwIjoiMDFuMGh/netflix2.payu@i/ICICI Bank/ICI14f1e69396c7411aaa7497f47ee07e7e/</t>
  </si>
  <si>
    <t>ACH D- INDIAN CLEARING CORP-6GWNFGWHPRRP</t>
  </si>
  <si>
    <t>ACH D- INDIAN CLEARING CORP-9KZY5M1XR4RW</t>
  </si>
  <si>
    <t>ACH D- INDIAN CLEARING CORP-5CM7CYVE9LUZ</t>
  </si>
  <si>
    <t>ACH D- INDIAN CLEARING CORP-J5LRDDDOZI11</t>
  </si>
  <si>
    <t>UPI-ATRAEYEE N PURKAIT-REVISEDIET@OKICICI-HDFC0004117-321407336233-VARSHA MAHAJAN AUG</t>
  </si>
  <si>
    <t>UPI-BUKKA SRI HARI KUMAR-SHKTKD2123@OKHDFCBANK-HDFC0004886-321530456475-UPI</t>
  </si>
  <si>
    <t>UPI-G SRIKANT RAO-GINISRIKANTRAO@OKICICI-PUNB0479400-321530476558-UPI</t>
  </si>
  <si>
    <t>ACH D- INDIAN CLEARING CORP-ZA4UKV18UEHW</t>
  </si>
  <si>
    <t>ACH D- INDIAN CLEARING CORP-8P7G2M5PQ7A2</t>
  </si>
  <si>
    <t>UPI-BIGTREE ENTERTAINMEN-BOOKMYSHOW@AXB-UTIB0000100-321533079143-UPI</t>
  </si>
  <si>
    <t>UPI-ZEPTO-ZEPTO.PAYU@HDFCBANK-HDFC0000499-321535238075-UPI</t>
  </si>
  <si>
    <t>ACH D- INDIAN CLEARING CORP-BRWA23LR82WG</t>
  </si>
  <si>
    <t>UPI-EAZYDINER-PAYTM-8747182@PAYTM-PYTM0123456-321684401743-KOBES</t>
  </si>
  <si>
    <t>UPI-DEEPA MADHAV JOSHI-DEEPAMADHAVJOSHI@OKHDFCBANK-HDFC0004064-321684779665-MOVIE TICKET</t>
  </si>
  <si>
    <t>UPI-MANJIRI J JOSHI-MANJIRISTAR@OKSBI-HDFC0009095-321663283221-UPI</t>
  </si>
  <si>
    <t>UPI-MANJIRI J JOSHI-MANJIRISTAR@OKSBI-HDFC0009095-321688000178-AUTO</t>
  </si>
  <si>
    <t>UPI-VOGUE SALON AND BEAU-VOGUE.SALON@ICICI-ICIC0DC0099-321789700411-SALON</t>
  </si>
  <si>
    <t>UPI-GOOGLEPAY-GOOG-PAYMENT@OKAXIS-UTIB0000553-321789729767-UPI</t>
  </si>
  <si>
    <t>UPI-MEENAKSHI SREENIVASA-MEENPRI8@OKICICI-ICIC0000020-358316516266-UPI</t>
  </si>
  <si>
    <t>ACH D- INDIAN CLEARING CORP-G42M1GA9RCJI</t>
  </si>
  <si>
    <t>ACH D- INDIAN CLEARING CORP-1OV228QSYET9</t>
  </si>
  <si>
    <t>UPI-GARGI PAIGAONKAR-GARGI24@OKICICI-ICIC0000011-321854969446-FRIDAY DINNER CONT</t>
  </si>
  <si>
    <t>ACH D- INDIAN CLEARING CORP-MZB3YYDROLLI</t>
  </si>
  <si>
    <t>ACH D- INDIAN CLEARING CORP-TG25RXKD2HJM</t>
  </si>
  <si>
    <t>ACH D- INDIAN CLEARING CORP-YOAAODZWY9Z6</t>
  </si>
  <si>
    <t>ACH D- INDIAN CLEARING CORP-8BB5X5YRW2I2</t>
  </si>
  <si>
    <t>UPI-ACT BROADBAND-PAYTM-ACTHYD2@PAYTM-PYTM0123456-321965815957-OIDCWPGR-19209440@</t>
  </si>
  <si>
    <t>ACH D- INDIAN CLEARING CORP-HDTIQP4IKQLA</t>
  </si>
  <si>
    <t>ACH D- INDIAN CLEARING CORP-9MLGIZJA7QFZ</t>
  </si>
  <si>
    <t>UPI-PARMEET KAUR  SALUJA-DIMPLESALUJA1010@OKSBI-SBIN0011081-322082407704-UPI</t>
  </si>
  <si>
    <t>ACH D- INDIAN CLEARING CORP-MNG5ZGF7XBAU</t>
  </si>
  <si>
    <t>ACH D- INDIAN CLEARING CORP-VAG9SJIUAWEU</t>
  </si>
  <si>
    <t>ACH D- INDIAN CLEARING CORP-NJNW1QSGDZYO</t>
  </si>
  <si>
    <t>UPI-NAWAB SUHEL-NAWABSUHEL-2@OKHDFCBANK-HDFC0009015-322116420082-UPI</t>
  </si>
  <si>
    <t>ACH D- INDIAN CLEARING CORP-MZ2PCQDHWF7G</t>
  </si>
  <si>
    <t>ACH D- INDIAN CLEARING CORP-R1TI14MK6886</t>
  </si>
  <si>
    <t>UPI-ZEPTO-ZEPTO.PAYU@HDFCBANK-HDFC0000499-322367401847-UPI</t>
  </si>
  <si>
    <t>UPI-BBNOW-BBNOW.EBZ@HDFCBANK-HDFC0001794-322367399098-UPI</t>
  </si>
  <si>
    <t>UPI-KASHISH   FATIMA-KASHISHF936@OKICICI-KKBK0007487-322368719774-UPI</t>
  </si>
  <si>
    <t>ACH D- INDIAN CLEARING CORP-9X6M94YBN1UE</t>
  </si>
  <si>
    <t>UPI-MUZBIHA  SULTANA-MUZBIHAS@OKSBI-CNRB0000033-322379035558-UPI</t>
  </si>
  <si>
    <t>ACH D- INDIAN CLEARING CORP-CDR7W3I9V1AM</t>
  </si>
  <si>
    <t>ACH D- INDIAN CLEARING CORP-7RW5M3KYLSQ4</t>
  </si>
  <si>
    <t>UPI-MYNTRACOM-MYNTRA.PAYU@AXISBANK-UTIB0000000-322536140353-UPI</t>
  </si>
  <si>
    <t>ACH D- INDIAN CLEARING CORP-XWU5LA4QVT3S</t>
  </si>
  <si>
    <t>ACH D- INDIAN CLEARING CORP-XEWDS4XICGC5</t>
  </si>
  <si>
    <t>ACH D- INDIAN CLEARING CORP-PYB6KMN1V7Q6</t>
  </si>
  <si>
    <t>UPI-MYNTRA-MYNLOGISTICS@YBL-YESB0YBLUPI-322664485741-PAYMENT FOR ML1493</t>
  </si>
  <si>
    <t>UPI-SHAIK AMJAD-PAYTMQR2810050501011NRYB5CN8E5I@PAYTM-PYTM0123456-322798536423-GO CARTING</t>
  </si>
  <si>
    <t>ACH D- INDIAN CLEARING CORP-UPU5U2KLAPH8</t>
  </si>
  <si>
    <t>ACH D- INDIAN CLEARING CORP-RW3CDQ4XV19R</t>
  </si>
  <si>
    <t>ACH D- INDIAN CLEARING CORP-SULEGWHCX9BR</t>
  </si>
  <si>
    <t>ACH D- INDIAN CLEARING CORP-VFW9GDDGYYVK</t>
  </si>
  <si>
    <t>ACH D- INDIAN CLEARING CORP-SCEOQWHOY63H</t>
  </si>
  <si>
    <t>UPI-SWIGGY-SWIGGY@YESPAY-YESB0YESUPI-322821589861-PAY FOR MERCHANT</t>
  </si>
  <si>
    <t>UPI-KASHISH   FATIMA-KASHISHF936@OKICICI-KKBK0007487-322823149063-FACIAL</t>
  </si>
  <si>
    <t>UPI-SWIGGY-SWIGGYUPI@AXISBANK-UTIB0000000-322827727880-SWIGGY ORDER ID 17</t>
  </si>
  <si>
    <t>ACH D- INDIAN CLEARING CORP-REU5DVJPRCN8</t>
  </si>
  <si>
    <t>UPI-WONDER WAFFLES-PAYTMQR281005050101M60L1IUN2KDX@PAYTM-PYTM0123456-322961577176-UPI</t>
  </si>
  <si>
    <t>ACH D- INDIAN CLEARING CORP-FZPJITYHA7CF</t>
  </si>
  <si>
    <t>UPI-SWIGGY-UPISWIGGY@ICICI-ICIC0DC0099-323085907788-UPI</t>
  </si>
  <si>
    <t>UPI-SWIGGY-SWIGGY@YESPAY-YESB0YESUPI-323088408337-PAY FOR MERCHANT</t>
  </si>
  <si>
    <t>ACH D- INDIAN CLEARING CORP-XZAWYRQHJIBF</t>
  </si>
  <si>
    <t>UPI-ZEPTO-ZEPTO.RZP@AXISBANK-UTIB0000100-323103363055-UPI</t>
  </si>
  <si>
    <t>UPI-MYNTRA-MYNLOGISTICS@YBL-YESB0YBLUPI-323108824991-PAYMENT FOR ML1494</t>
  </si>
  <si>
    <t>IMPS-323112300105-MYNTRA DESIGNS PRIVA-HSBC-XXXXXXXX9002-RU2PEFJNM7</t>
  </si>
  <si>
    <t>ACH D- INDIAN CLEARING CORP-ZGR3HFQ8MD74</t>
  </si>
  <si>
    <t>UPI-MANJIRI J JOSHI-MANJIRISTAR@OKSBI-HDFC0009095-323250775366-MOVIE TICKETS</t>
  </si>
  <si>
    <t>ACH D- INDIAN CLEARING CORP-KBXVBEMESKVU</t>
  </si>
  <si>
    <t>ACH D- INDIAN CLEARING CORP-B7VYLQ6HFAMM</t>
  </si>
  <si>
    <t>ACH D- INDIAN CLEARING CORP-VCLPANQ1LIZ2</t>
  </si>
  <si>
    <t>ACH D- INDIAN CLEARING CORP-A37NNNEKO8WF</t>
  </si>
  <si>
    <t>ACH D- INDIAN CLEARING CORP-9BPHTQ5HTMTL</t>
  </si>
  <si>
    <t>UPI-MYNTRA-MYNLOGISTICS@YBL-YESB0YBLUPI-323367188028-PAYMENT FOR ML1497</t>
  </si>
  <si>
    <t>UPI-MYNTRA-MYNLOGISTICS@YBL-YESB0YBLUPI-323367205654-PAYMENT FOR ML1493</t>
  </si>
  <si>
    <t>UPI-MYNTRA-MYNLOGISTICS@YBL-YESB0YBLUPI-323367215857-PAYMENT FOR ML1497</t>
  </si>
  <si>
    <t>IMPS-323312083367-MYNTRA DESIGNS PRIVA-HSBC-XXXXXXXX9002-WJZSUHPNPF</t>
  </si>
  <si>
    <t>UPI-GEDDIT CONVENIENCE P-PAYTM-66490784@PAYTM-PYTM0123456-323376102599-UPI</t>
  </si>
  <si>
    <t>ACH D- INDIAN CLEARING CORP-AJKGIMRZ6ZKC</t>
  </si>
  <si>
    <t>UPI-TEAM EVEREST-TEAMEVEREST49.RZP@ICICI-ICIC0DC0099-323494800893-PAYVIARAZORPAY</t>
  </si>
  <si>
    <t>UPI-MEDPLUS RAMKY TOWER-PAYTM-68434242@PAYTM-PYTM0123456-323403508507-UPI</t>
  </si>
  <si>
    <t>UPI-BIGBASKET-BIGBASKET1@PAYTM-PYTM0123456-323515953428-UPI</t>
  </si>
  <si>
    <t>ACH D- INDIAN CLEARING CORP-ZG9UPY1HIH95</t>
  </si>
  <si>
    <t>ACH D- INDIAN CLEARING CORP-X1SYTG1E5TMY</t>
  </si>
  <si>
    <t>UPI-BIGBASKET-BIGBASKET1@PAYTM-PYTM0123456-323651126468-BIG BASKET</t>
  </si>
  <si>
    <t>UPI-MYNTRA-MYNLOGISTICS@YBL-YESB0YBLUPI-323651317834-PAYMENT FOR ML1498</t>
  </si>
  <si>
    <t>UPI-BHARTI AIRTEL LIMITE-AIRTEL.PAYU@HDFCBANK-HDFC0000622-323672116033-UPITRANSACTIONFORP</t>
  </si>
  <si>
    <t>NEFT CR-CHAS0INBX01-SALARY FOR AUG-2023 JOHNSON   JOHNSON PRIVATE LIMI-VARSHA MAHAJAN-CHASH23600171724</t>
  </si>
  <si>
    <t>ACH D- INDIAN CLEARING CORP-SSYL4BEANKN9</t>
  </si>
  <si>
    <t>50400251539337- RD INSTALLMENT-AUG 2023</t>
  </si>
  <si>
    <t>UPI-BIGBASKET-BIGBASKET1@PAYTM-PYTM0123456-323813092359-UPI</t>
  </si>
  <si>
    <t>UPI-MANJIRI J JOSHI-MANJIRISTAR@OKSBI-HDFC0009095-323828088664-BOUQUET</t>
  </si>
  <si>
    <t>UPI-GARGI PAIGAONKAR-GARGI24@OKICICI-ICIC0000011-323829099717-ANUP BIRTHDAY</t>
  </si>
  <si>
    <t>UPI-XXXXXX5813-CBIN0281615-323909614654-NA</t>
  </si>
  <si>
    <t>ACH D- INDIAN CLEARING CORP-J3Q2DT6LTJC4</t>
  </si>
  <si>
    <t>UPI-KANDIVALASA RAJESWAR-BHARATPE.0104633560@INDUS-INDB0001006-323935918625-LAUNDRY</t>
  </si>
  <si>
    <t>UPI-DELHIVERY LTD-RZPDELHIVERYLT@YESBANK-YESB0000022-323936467638-PAYMENTTODELHIVERY</t>
  </si>
  <si>
    <t>UPI-BBNOW-BBNOW.EBZ@HDFCBANK-HDFC0001794-323951159340-UPI</t>
  </si>
  <si>
    <t>ACH D- INDIAN CLEARING CORP-ESOWUUSFGAES</t>
  </si>
  <si>
    <t>ACH D- INDIAN CLEARING CORP-ZOWJJWMG4JFT</t>
  </si>
  <si>
    <t>IMPS-324015114145-MYNTRA DESIGNS PRIVA-HSBC-XXXXXXXX9002-OWV3NBZST9</t>
  </si>
  <si>
    <t>NEFT CR-YESB0000001-ZERODHA BROKING LTD-DSCNB A/C-VARSHA VINAY MAHAJAN-YESB32418521873</t>
  </si>
  <si>
    <t>UPI-FERNS N PETALS PRIVA-FNP.PAYU@HDFCBANK-HDFC0000499-324193301649-UPI</t>
  </si>
  <si>
    <t>Charity</t>
  </si>
  <si>
    <t>BIL/NSP/CH13002721/ICIC0SF0002/VYOM VINAY M VYOM VINAY MAHA</t>
  </si>
  <si>
    <t>BIL/NEFT/HS92321310999131/HDFC0000652/VYOM VINAY M</t>
  </si>
  <si>
    <t>UPI/357908753513/c305 aug2023 ca/nareshvemula749/State Bank Of I/ICIe32b6e3316cd4f1ea30d42e652afdeae</t>
  </si>
  <si>
    <t>BIL/NEFT/HS92321511513528/C305 Aug2023/RTABOWA - /HDFC0000968</t>
  </si>
  <si>
    <t>UPI/321562119915/grocery/q439928216@ybl/Yes Bank Ltd/ICI4bb412a30e55495186e2b86039904ed7/</t>
  </si>
  <si>
    <t>UPI/321586132336/flush repair/akhaykumarsahoo/Bank of India/ICIe0986489ba7948f88dbbc7c0fad8b397/</t>
  </si>
  <si>
    <t>UPI/321599213602/UPI/goog-payment@ok/Axis Bank Ltd./AXId200d26d70814e46a9fd86ab0d99347a</t>
  </si>
  <si>
    <t>UPI/321611171020/PaymenttoBlueDa/bluedartexpress/ICICI Bank/ICI87ad698d3e0b4b4fb4b292a7a5595815/</t>
  </si>
  <si>
    <t>BIL/NEFT/HS92321811951143/HDFC0000652/Vinay Naraya</t>
  </si>
  <si>
    <t>UPI/321889153375/washroom fix ch/akhaykumarsahoo/Bank of India/ICI129beba98c744f7e8c02141436b26e8e/</t>
  </si>
  <si>
    <t>BIL/NSP/CHB4981293/ICIC0SF0002/VINAY MAHAJA VINAY NARAYAN M</t>
  </si>
  <si>
    <t>ACH/LIC OF INDIA/9298151240823</t>
  </si>
  <si>
    <t>NEFT-ICMS2308070039WU-LIC MDO1 VI MGMT PMT-LIC INDIA D091 -0004102000041496-IBKL0000004</t>
  </si>
  <si>
    <t>UPI/322463405978/vegetables/50459201@ubin/Union Bank of I/ICI3574b1e3886b4f85948f4317596ab78f/</t>
  </si>
  <si>
    <t>UPI/359170350671/fruits/balaswamybandag/Union Bank of I/ICIadf2b6342dc14df99987f5587fd74c2a/</t>
  </si>
  <si>
    <t>ATM/SACWN659/CASH WDL/13-08-23</t>
  </si>
  <si>
    <t>UPI/322556975944/food/paytmqr28100505/Paytm Payments /ICI898ecc50eb01489c914622596cdab567/</t>
  </si>
  <si>
    <t>BIL/NSP/CHI6592284/ICIC0SF0002/VINAY MAHAJA VINAY NARAYAN M</t>
  </si>
  <si>
    <t>UPI/322619683790/vegetables/q20082480@ybl/Yes Bank Ltd/ICI434714490bf342fd8a836c46101b75a7/</t>
  </si>
  <si>
    <t>UPI/359297677812/UPI/paytm-64413820@/Paytm Payments /PYTM3081422962063612937/</t>
  </si>
  <si>
    <t>UPI/359233982033/fruits/q20082480@ybl/Yes Bank Ltd/ICIb8ebca7ae5cd46c395778c8f75d4ecb7/</t>
  </si>
  <si>
    <t>UPI/322613692344/jaggery/50459201@ubin/Union Bankof I/ICI5195f9a09def4b8b962dbcff5b7fe274/</t>
  </si>
  <si>
    <t>UPI/359379123049/Payment for ML1/mynlogistics@yb/Yes Bank Ltd/ICId51a7343312441be8893b50b4ef7ef74/</t>
  </si>
  <si>
    <t>UPI/359316925956/go cart/thewildernessre/ICICI Bank/ICIe355d71edd2b4c5a9830a2f573ca1d40/</t>
  </si>
  <si>
    <t>UPI/359372632892/UPI/amazonsellerser/HDFC BANK LTD/ICIbc211493d10a49b0ae0c484c54f83c33/</t>
  </si>
  <si>
    <t>CMS/001259814234/ICICIPRULIFEINS__32141601</t>
  </si>
  <si>
    <t>UPI/322842266463/UPI/amazonsellerser/HDFC BANK LTD/ICI34d4a78ed495467489add05685b92243/</t>
  </si>
  <si>
    <t>UPI/359581382020/vegetables/q20082480@ybl/Yes Bank Ltd/ICIaead2b23c011413fadcd6b12307813bc/</t>
  </si>
  <si>
    <t>UPI/322935585272/Payment for ML1/mynlogistics@yb/Yes Bank Ltd/ICI6f372dddfa2f43789446785c3feac3fc/</t>
  </si>
  <si>
    <t>UPI/359592612428/medicines/paytm-68434242@/Paytm Payments /ICI903b04473fe8457abcc2be95beddedc7/</t>
  </si>
  <si>
    <t>UPI/323030329106/c305 milk July2/7989495557@axl/Punjab National/ICIa2111d663be44dc48cfe5387c69848ff/</t>
  </si>
  <si>
    <t>UPI/323242984090/fruits/balaswamybandag/Union Bank of I/ICIaf7201de6b2946568a9c4ffdb690132d/</t>
  </si>
  <si>
    <t>BIL/NSP/CHP7861130/ICIC0SF0002/VINAY MAHAJA VINAY NARAYAN M</t>
  </si>
  <si>
    <t>CMS/001262611253/ICICIPRULIFEINS__24511656</t>
  </si>
  <si>
    <t>UPI/323744746173/vegetables/q20082480@ybl/Yes Bank Ltd/ICI4add9f870b81494b9a6533638e1126fd/</t>
  </si>
  <si>
    <t>NEFT-CITIN23412700990-NOVARTIS HEALTHCARE PRIVATELIMITED-SALARY FOR THE MONTH OF AUG2023-000987704</t>
  </si>
  <si>
    <t>UPI/360339565244/Pay to BharatPe/bharatpe.900664/Federal Bank/ICId8397f153f184e66a6f262cf3819c3e6/</t>
  </si>
  <si>
    <t>UPI/323952815784/fruits/balaswamybandag/Union Bank of I/ICI9b4563c696894093ac2bc29dd8b20352/</t>
  </si>
  <si>
    <t>CMS/001266076517/BF-IC__40491262475</t>
  </si>
  <si>
    <t>BIL/NSP/CHW9117024/ICIC0SF0002/VINAY MAHAJA VINAY NARAYAN M</t>
  </si>
  <si>
    <t>CMS/001266482326/ICICIPRULIFEINS__21131016</t>
  </si>
  <si>
    <t>UPI/360602966156/UPI/sarmistharoyste/ICICI Bank/ICI1dcac69b67d047af88e206d78de6f03e/</t>
  </si>
  <si>
    <t>50400300750551- RD INSTALLMENT-AUG 2023</t>
  </si>
  <si>
    <t>NEFT CR-ICIC0SF0002-VINAY N MAHAJAN-VINAY NARAYAN MAHAJAN-HS92321811951143</t>
  </si>
  <si>
    <t>CASH DEPOSIT BY - SELF - MEENAKSHI BAMBOOS - 2000 rupee notes</t>
  </si>
  <si>
    <t>LIC returns are due to eNACH facility where they charge extra amount</t>
  </si>
  <si>
    <t>After resigning for JJ, this money will be taken back</t>
  </si>
  <si>
    <t xml:space="preserve">BIL/NSP/CI10188417/ICIC0SF0002/VYOM VINAY M       </t>
  </si>
  <si>
    <t>BIL/NEFT/HS92324414439200/HDFC0000652/VYOM VINAY M</t>
  </si>
  <si>
    <t>UPI/324430406104/UPI/paytm-68434242@/Paytm Payments /ICIe82e77f2e92f404bb15f97d</t>
  </si>
  <si>
    <t>UPI/324440297215/vegetables/q20082480@ybl/Yes Bank Ltd/ICI3c36a3d4f63d476b99209</t>
  </si>
  <si>
    <t>UPI/361088898575/vegetables/q20082480@ybl/Yes Bank Ltd/ICIad9d773f4c5842848b2e4</t>
  </si>
  <si>
    <t>UPI/324483699963/c305 sept2023/nareshvemula749/State Bank Of I/ICIc9be607803f84</t>
  </si>
  <si>
    <t>UPI/361017399798/PaymenttoDelhiv/rzpdelhiverylt@/Yes Bank Ltd/ICI5a49d96b69cd49</t>
  </si>
  <si>
    <t>MMT/IMPS/324511861897/C305 Sept2023/RTABOWA - /HDF</t>
  </si>
  <si>
    <t xml:space="preserve">NFS/S1ANHY29/CASH WDL/03-09-23                    </t>
  </si>
  <si>
    <t xml:space="preserve">BIL/NSP/CI41229484/ICIC0SF0002/VINAY MAHAJA       </t>
  </si>
  <si>
    <t>UPI/324791824792/snacks/ashwinisudatta-/HDFC BANK LTD/ICIb2cf89d29a754f338e84f1</t>
  </si>
  <si>
    <t>UPI/324816554150/breakfast/q772556127@ybl/Yes Bank Ltd/ICIda9e8092c8114c09ae88e</t>
  </si>
  <si>
    <t>UPI/324837862968/hostel charges/100021070200017/IDBI Bank Limit/ICI3594c95c6d4d</t>
  </si>
  <si>
    <t>UPI/361435968420/taxi/q696476711@ybl/Yes Bank Ltd/ICI2fb0e27d24994044b52d537017</t>
  </si>
  <si>
    <t>UPI/324875792502/puncture/q97600019@ybl/Paytm Payments /ICIde60e405b523448baf20</t>
  </si>
  <si>
    <t>BIL/NEFT/HS92324915358867/HDFC0000652/Vinay Naraya</t>
  </si>
  <si>
    <t>UPI/361560098287/vegetables/q20082480@ybl/Yes Bank Ltd/ICI09cbbac90d764ff6a853b</t>
  </si>
  <si>
    <t xml:space="preserve">ACH/LIC OF INDIA/9298151250923                    </t>
  </si>
  <si>
    <t>UPI/325027646120/Payment for MYE/ekart@ybl/Yes Bank Ltd/ICIa6049b7ffed0404d8c40</t>
  </si>
  <si>
    <t>UPI/361745696006/snacks/50459201@ubin/Union Bank of I/ICIae143afbc7c341d2917b8a</t>
  </si>
  <si>
    <t xml:space="preserve">UPI/325260526257/Flowers/7702274124@axl/State Bank Of </t>
  </si>
  <si>
    <t>UPI/325378444838/fruits/balaswamybandag/Union Bank of I/ICIfacbd5b08200436e9b16</t>
  </si>
  <si>
    <t>UPI/325392363078/PaymenttoDelhiv/rzpdelhiverylt@/Yes Bank Ltd/ICIe9acfa602e864f</t>
  </si>
  <si>
    <t xml:space="preserve">BIL/NSP/CIF3077090/ICIC0SF0002/VINAY MAHAJA       </t>
  </si>
  <si>
    <t>UPI/325862173849/UPI/paytm-64413820@/Paytm Payment</t>
  </si>
  <si>
    <t>UPI/362425667735/paneer/q031609182@ybl/Yes Bank Ltd/ICI63f3fbd1715a4a8a8b136578</t>
  </si>
  <si>
    <t>UPI/362486899825/UPI/amazonsellerser/HDFC BANK LTD/ICIc3e774b599dc47628b1d89e27</t>
  </si>
  <si>
    <t xml:space="preserve">CMS/001280593824/ICICIPRULIFEINS__32141601        </t>
  </si>
  <si>
    <t>UPI/362655075055/hair cut/vogue.salon@ici/ICICI Bank/ICI2874c517877a46a6afcf40c</t>
  </si>
  <si>
    <t>UPI/326065072323/hair cut/rohitattary@oki/Yes Bank Ltd/ICIaee5f254ce514adeb60b6</t>
  </si>
  <si>
    <t xml:space="preserve">BIL/NSP/CIM4496853/ICIC0SF0002/VINAY MAHAJA       </t>
  </si>
  <si>
    <t>UPI/362752595661/vegetables/q20082480@ybl/Yes Bank Ltd/ICI7a5819f2c9db45efafe92</t>
  </si>
  <si>
    <t xml:space="preserve">CMS/001282850983/ICICIPRULIFEINS__24511656        </t>
  </si>
  <si>
    <t xml:space="preserve">BIL/NSP/CIT5668493/ICIC0SF0002/VINAY MAHAJA       </t>
  </si>
  <si>
    <t xml:space="preserve">NEFT-CITIN23428104219-NOVARTIS HEALTHCARE PRIVATE LIMITED-SALARY FOR THE MONTH </t>
  </si>
  <si>
    <t xml:space="preserve">CMS/001286396016/BF-IC__40491262475               </t>
  </si>
  <si>
    <t xml:space="preserve">CMS/001286711225/ICICIPRULIFEINS__21131016        </t>
  </si>
  <si>
    <t>UPI/327139928470/c305 aug2023 mi/7989495557@axl/Punjab National/ICIdd15cf80ac04</t>
  </si>
  <si>
    <t xml:space="preserve">000401043279:Int.Pd:30-06-2023 to 29-09-2023      </t>
  </si>
  <si>
    <t>UPI/327315274119/passport photo/bhagyaphotostud/HDFC BANK LTD/ICI5698b1f9ee6c4d</t>
  </si>
  <si>
    <t>UPI/327319691669/DTDC parcel/q907433922@ybl/Yes Bank Ltd/ICIc5b20c334f5540df8a3</t>
  </si>
  <si>
    <t>50400300750551- RD INSTALLMENT-SEP 2023</t>
  </si>
  <si>
    <t>NEFT CR-ICIC0SF0002-VINAY N MAHAJAN-VINAY NARAYAN MAHAJAN-HS92324915358867</t>
  </si>
  <si>
    <t xml:space="preserve">CMS/ CMS3553946406/ICICI PRUDENTIAL MUTUAL FUND   </t>
  </si>
  <si>
    <t>UPI/361993969525/UPI/bbdaily@paytm/Paytm Payments /ICI30ee86155f0a479a92046607b</t>
  </si>
  <si>
    <t xml:space="preserve">CMS/001282850988/ICICIPRULIFEINS__24516375        </t>
  </si>
  <si>
    <t xml:space="preserve">CMS/001286711223/ICICIPRULIFEINS__21130963        </t>
  </si>
  <si>
    <t>UPI/327180815474/eyIwIjoiMDFuMGh/netflix2.payu@i/ICICI Bank/ICI86f9174373cb4ba6</t>
  </si>
  <si>
    <t xml:space="preserve">008801013248:Int.Pd:30-06-2023 to 29-09-2023      </t>
  </si>
  <si>
    <t>ACH D- INDIAN CLEARING CORP-GR9KKDFNN88F</t>
  </si>
  <si>
    <t>ACH D- INDIAN CLEARING CORP-9JYAON4E4ZEI</t>
  </si>
  <si>
    <t>UPI-G SRIKANT RAO-GINISRIKANTRAO@OKICICI-PUNB0479400-324484431124-VYOM TABLA FEES SE</t>
  </si>
  <si>
    <t>UPI-BUKKA SRI HARI KUMAR-SHKTKD2123@OKHDFCBANK-HDFC0004886-324484496785-UPI</t>
  </si>
  <si>
    <t>UPI-RAMKY TOWERS APARTME-RAMKYTOWERSAPARTMENT.99753840@HDFCBANK-HDFC0000001-324491952934-BLOCK C305 MAHAJAN</t>
  </si>
  <si>
    <t>ACH D- INDIAN CLEARING CORP-QU6AIHC9726G</t>
  </si>
  <si>
    <t>UPI-URBAN COMPANY-PAYTM-URBANCOMPANY@PAYTM-PYTM0123456-324517593918-UPI</t>
  </si>
  <si>
    <t>UPI-AMAZING BOUTIQUE-MDYSKHADEER007.AB-1@OKAXIS-HDFC0003739-324541663361-UPI</t>
  </si>
  <si>
    <t>UPI-ATRAEYEE N PURKAIT-REVISEDIET@OKICICI-HDFC0004117-324643067151-VARSHA MAHAJAN SEP</t>
  </si>
  <si>
    <t>ATW-416021XXXXXX0984-S1ANHY29-RANGAREDDY</t>
  </si>
  <si>
    <t>UPI-ZEPTO-ZEPTO.PAYU@HDFCBANK-HDFC0000499-324668480182-UPI</t>
  </si>
  <si>
    <t>ACH D- INDIAN CLEARING CORP-XOBG8BTQO5VU</t>
  </si>
  <si>
    <t>ACH D- INDIAN CLEARING CORP-OVKXRNFAFAHK</t>
  </si>
  <si>
    <t>ACH D- INDIAN CLEARING CORP-GOJB7C32GW2S</t>
  </si>
  <si>
    <t>ACH D- INDIAN CLEARING CORP-FW9VC3XXF1EI</t>
  </si>
  <si>
    <t>ACH D- INDIAN CLEARING CORP-32OGZZ8TOGKI</t>
  </si>
  <si>
    <t>ACH D- INDIAN CLEARING CORP-2MPJDOJY67XM</t>
  </si>
  <si>
    <t>ACH D- INDIAN CLEARING CORP-X8IHI9FUOQQE</t>
  </si>
  <si>
    <t>UPI-KANDIVALASA RAJESWAR-BHARATPE.0104633560@INDUS-INDB0001006-324818157705-IRONING</t>
  </si>
  <si>
    <t>ACH D- INDIAN CLEARING CORP-QT8NF3OMRE65</t>
  </si>
  <si>
    <t>ACH D- INDIAN CLEARING CORP-I2EX4VWN1BQ8</t>
  </si>
  <si>
    <t>UPI-GEDDIT CONVENIENCE P-PAYTM-66490784@PAYTM-PYTM0123456-324941529012-UPI</t>
  </si>
  <si>
    <t>UPI-MYNTRA-MYNLOGISTICS@YBL-YESB0YBLUPI-324943519778-PAYMENT FOR ML1505</t>
  </si>
  <si>
    <t>ACH D- INDIAN CLEARING CORP-F9L47NHMEQHF</t>
  </si>
  <si>
    <t>UPI-KAVYA MANAM-DRMANAM@OKICICI-ICIC0002494-325075481594-VYOM MEDICINE</t>
  </si>
  <si>
    <t>UPI-MEDPLUS RAMKY TOWER-PAYTM-68434242@PAYTM-PYTM0123456-325079327489-MEDICAL BILL</t>
  </si>
  <si>
    <t>UPI-ACT BROADBAND-PAYTM-ACTHYD2@PAYTM-PYTM0123456-325063641701-OIDCWPGR-19509111@</t>
  </si>
  <si>
    <t>ACH D- INDIAN CLEARING CORP-DPWP758DQAA4</t>
  </si>
  <si>
    <t>ACH D- INDIAN CLEARING CORP-35SMR7QI1VME</t>
  </si>
  <si>
    <t>UPI-AMAZON SELLER SERVIC-AMAZONSELLERSERVICES.98397377@HDFCBANK-HDFC0000499-325101202710-UPI</t>
  </si>
  <si>
    <t>UPI-VISTARA AIRLINES-VISTARAAIR.BD@ICICI-ICIC0DC0099-325119559563-COLLECT-PAY-REQUES</t>
  </si>
  <si>
    <t>IMPS-325117322663-MYNTRA DESIGNS PRIVA-HSBC-XXXXXXXX9002-M3C8UVCXOZ</t>
  </si>
  <si>
    <t>UPI-MEDPLUS RAMKY TOWER-PAYTM-68434242@PAYTM-PYTM0123456-325112327205-MEDICINES</t>
  </si>
  <si>
    <t>UPI-ZEPTONOW-CFZEPTONOW@ICICI-ICIC0DC0099-325113422454-UPI</t>
  </si>
  <si>
    <t>UPI-BIGBASKET-BIGBASKET1@PAYTM-PYTM0123456-325228320835-UPI</t>
  </si>
  <si>
    <t>ACH D- INDIAN CLEARING CORP-Q4UM36339XCN</t>
  </si>
  <si>
    <t>UPI-AMAZON PAY GROCERIES-AMAZONPAYGROCERY@YAPL-YESB0APLUPI-325276121809-YOU ARE PAYING FOR</t>
  </si>
  <si>
    <t>UPI-MANJIRI J JOSHI-MANJIRISTAR@OKSBI-HDFC0009095-325322096617-UPI</t>
  </si>
  <si>
    <t>UPI-HOTSTAR-HOTSTAR.RZP@AXISBANK-UTIB0001507-325459911034-PAY VIA RAZORPAY</t>
  </si>
  <si>
    <t>ACH D- INDIAN CLEARING CORP-C8E6ILZS72BO</t>
  </si>
  <si>
    <t>ACH D- INDIAN CLEARING CORP-LNU8UZU92U24</t>
  </si>
  <si>
    <t>ACH D- INDIAN CLEARING CORP-XFKEGSS2KZCF</t>
  </si>
  <si>
    <t>ACH D- INDIAN CLEARING CORP-JAC3DY7MBNZ7</t>
  </si>
  <si>
    <t>ACH D- INDIAN CLEARING CORP-QB9LJBDQHHKS</t>
  </si>
  <si>
    <t>UPI-MYNTRACOM-MYNTRA.PAYU@AXISBANK-UTIB0000000-325403624200-UPI</t>
  </si>
  <si>
    <t>ACH D- INDIAN CLEARING CORP-3BMRAEFYJ4HK</t>
  </si>
  <si>
    <t>UPI-BBNOW-BBNOW.EBZ@HDFCBANK-HDFC0001794-325642065386-UPI</t>
  </si>
  <si>
    <t>ACH D- INDIAN CLEARING CORP-BLETYUTGZLB5</t>
  </si>
  <si>
    <t>ACH D- INDIAN CLEARING CORP-IFHPKCE8QKWF</t>
  </si>
  <si>
    <t>ACH D- INDIAN CLEARING CORP-296ZKH716L9P</t>
  </si>
  <si>
    <t>ACH D- INDIAN CLEARING CORP-VGWEHG8YU1TK</t>
  </si>
  <si>
    <t>UPI-KANDIVALASA RAJESWAR-BHARATPE.0104633560@INDUS-INDB0001006-325788274893-IRONING</t>
  </si>
  <si>
    <t>ACH D- INDIAN CLEARING CORP-IVMEYNEENL7B</t>
  </si>
  <si>
    <t>ACH D- INDIAN CLEARING CORP-FC9K8WASCE6G</t>
  </si>
  <si>
    <t>ACH D- INDIAN CLEARING CORP-CBU7MZSO5QS2</t>
  </si>
  <si>
    <t>ACH D- INDIAN CLEARING CORP-SL9AJYI94SEO</t>
  </si>
  <si>
    <t>ACH D- INDIAN CLEARING CORP-IINXMASJ5FU1</t>
  </si>
  <si>
    <t>UPI-ZEPTONOW-ZEPTONOWCASHFREE@HDFCBANK-HDFC0004460-326068354990-UPI</t>
  </si>
  <si>
    <t>ACH D- INDIAN CLEARING CORP-BTIQJI1S41P8</t>
  </si>
  <si>
    <t>UPI-VOGUE SALON AND BEAU-VOGUE.SALON@ICICI-ICIC0DC0099-326022044593-PARLOUR</t>
  </si>
  <si>
    <t>ACH D- INDIAN CLEARING CORP-T4384I4X71S4</t>
  </si>
  <si>
    <t>UPI-SAMALA NAGARAJU-NAGARAJUMADHU1997@OKICICI-ICIC0000076-326199823108-2D ECHO VINAY MAHA</t>
  </si>
  <si>
    <t>UPI-MEDPLUS RAMKY TOWER-PAYTM-68434242@PAYTM-PYTM0123456-326107639805-MEDICAL BILL</t>
  </si>
  <si>
    <t>UPI-BBNOW-BBNOW.EBZ@HDFCBANK-HDFC0001794-326116561089-UPI</t>
  </si>
  <si>
    <t>ACH D- INDIAN CLEARING CORP-39DXEME3F14O</t>
  </si>
  <si>
    <t>ACH D- INDIAN CLEARING CORP-VMGWQ2CQSR52</t>
  </si>
  <si>
    <t>ACH D- INDIAN CLEARING CORP-9ZGP1ESVU3ST</t>
  </si>
  <si>
    <t>ACH D- INDIAN CLEARING CORP-Z1D5MEUG9P2O</t>
  </si>
  <si>
    <t>ACH D- INDIAN CLEARING CORP-QPFLXDS1LYKL</t>
  </si>
  <si>
    <t>ACH D- INDIAN CLEARING CORP-PZQV84AVUTT7</t>
  </si>
  <si>
    <t>ACH D- INDIAN CLEARING CORP-9FSOZ1OLF6JG</t>
  </si>
  <si>
    <t>UPI-BIGBASKET-BIGBASKET1@PAYTM-PYTM0123456-326493699125-BIG BASKET</t>
  </si>
  <si>
    <t>UPI-NAKKA SATTI-MURALIKRISHANNAKKA-1@OKHDFCBANK-IBKL0001721-326411996223-UPI</t>
  </si>
  <si>
    <t>ACH D- INDIAN CLEARING CORP-WM5AS9O94XZQ</t>
  </si>
  <si>
    <t>ACH D- INDIAN CLEARING CORP-XT8ZJBS5K5NI</t>
  </si>
  <si>
    <t>UPI-BHARTI AIRTEL LIMITE-AIRTELCOMMONPOOL@MAIRTEL-AIRP0000001-326707579687-PAYMENT FROM AIRTE</t>
  </si>
  <si>
    <t>ACH D- INDIAN CLEARING CORP-1OPKOFDIMRT7</t>
  </si>
  <si>
    <t>ACH D- INDIAN CLEARING CORP-RL1S7HGJR7AH</t>
  </si>
  <si>
    <t>UPI-SMARTWASH SOLUTIONS-Q960622993@YBL-YESB0YBLUPI-326820819283-UPI</t>
  </si>
  <si>
    <t>UPI-URBAN COMPANY-PAYTM-URBANCOMPANY@PAYTM-PYTM0123456-326826867010-UPI</t>
  </si>
  <si>
    <t>UPI-GEDDIT CONVENIENCE P-PAYTM-66490784@PAYTM-PYTM0123456-326837369923-UPI</t>
  </si>
  <si>
    <t>50400251539337- RD INSTALLMENT-SEP 2023</t>
  </si>
  <si>
    <t>ACH D- INDIAN CLEARING CORP-PNX49GRC3WBH</t>
  </si>
  <si>
    <t>UPI-TIFFIN EXPRESS DOM  -Q39615612@YBL-YESB0YBLUPI-326950817920-FOOD</t>
  </si>
  <si>
    <t>UPI-SHREE SAI RENT A CAR-SHREESAIRENTACAR.63074829@HDFCBANK-HDFC0000001-326957394232-UPI</t>
  </si>
  <si>
    <t>UPI-SONI EYE CARE CENTER-9790311672@OKBIZAXIS-UTIB0000000-326965068514-DOCTOR</t>
  </si>
  <si>
    <t>ACH D- INDIAN CLEARING CORP-1IQ3IJVP7ULP</t>
  </si>
  <si>
    <t>UPI-ASHOK SHRINIWAS CHAN-ASHOKCHNDN@OKHDFCBANK-BCBM0000095-327078680621-TRIP PUNE</t>
  </si>
  <si>
    <t>UPI-MYNTRACOM-MYNTRA.PAYU@AXISBANK-UTIB0000000-327099436632-UPI</t>
  </si>
  <si>
    <t>ACH D- INDIAN CLEARING CORP-6HMNRYRK7FH4</t>
  </si>
  <si>
    <t>UPI-BHARTI AIRTEL LIMITE-AIRTELCOMMONPOOL@MAIRTEL-AIRP0000001-327310745497-PAYMENT FROM AIRTE</t>
  </si>
  <si>
    <t>UPI-LICIOUS-LICIOUS.RZP@AXISBANK-UTIB0001507-327395113739-UPI INTENT</t>
  </si>
  <si>
    <t>UPI-SAMALA NAGARAJU-NAGARAJUMADHU1997@OKICICI-ICIC0000076-327322124499-SONO MAMMOGRAPHY V</t>
  </si>
  <si>
    <t>Various medical (Vinay ECG, Vyom right hand, Varsha mammography)</t>
  </si>
  <si>
    <t>PhD party</t>
  </si>
  <si>
    <t>Additional 103 shares from Sandoz split approx. 2.39 lacs got added Oct2023 (1:5 ratio of spin off)</t>
  </si>
  <si>
    <t>Aai - hospitalization tickets</t>
  </si>
  <si>
    <t>Aai - hospitalization tickets Varsha</t>
  </si>
  <si>
    <t>Aai - hospitalization tickets Varsha/Vyom</t>
  </si>
  <si>
    <t>BIL/NSP/CJ17101880/ICIC0SF0002/VYOM VINAY M VYOM VINAY MAHA</t>
  </si>
  <si>
    <t>BIL/NEFT/HS92327417762734/HDFC0000652/VYOM VINAY M</t>
  </si>
  <si>
    <t>UPI/364004634983/curd/q031609182@ybl/Yes Bank Ltd/ICIb2bd2c5e69ee4977bdc5b7b6ef3d4949/</t>
  </si>
  <si>
    <t>UPI/327455151368/c305 oct2023 ca/nareshvemula749/State Bank Of I/ICIaf97bf4138c14617b4ab807215320b06</t>
  </si>
  <si>
    <t>BIL/NSP/CJ27442445/ICIC0SF0002/VINAY MAHAJA VINAY NARAYAN M</t>
  </si>
  <si>
    <t>UPI/327544460157/PaymenttoDelhiv/delhiverypvtltd/ICICI Bank/ICI3e149c7609834aca83622262e2c43888/</t>
  </si>
  <si>
    <t>UPI/327568279722/bread/ayyappaundru1@y/Union Bankof I/ICIe76174cdceaf4090ae594179d88db334/</t>
  </si>
  <si>
    <t>UPI/327732557307/vegetables/q20082480@ybl/Yes Bank Ltd/ICI82a1219832a347d8aaa7fe379f35b468/</t>
  </si>
  <si>
    <t>MMT/IMPS/327718406649/C305 Oct2023/RTABOWA - /HDFC0000968</t>
  </si>
  <si>
    <t>BIL/NEFT/HS92327918674320/HDFC0000652/Vinay Naraya</t>
  </si>
  <si>
    <t>NFS/CASH WDL/327909003138/S1ANWB27/KV RANGAR/06-10-230931</t>
  </si>
  <si>
    <t>UPI/327989337806/UPI/paytm-982129991/Paytm Payments /ICIdb5aab283e054ba49eb0d0f5e5e0c61b/</t>
  </si>
  <si>
    <t>ACH/LIC OF INDIA/ICIC7010805230001963/9298151261023</t>
  </si>
  <si>
    <t>UPI/328014983049/paav/q031609182@ybl/Yes Bank Ltd/ICI4ae62b4b4b7a4d56943ca2e2ad1e1a3e/</t>
  </si>
  <si>
    <t>BIL/NSP/CJD9520848/ICIC0SF0002/VINAY MAHAJA VINAY NARAYAN M</t>
  </si>
  <si>
    <t>UPI/328207381303/vegetables/q20082480@ybl/Yes Bank Ltd/ICI00aabdbdb3714959b9d689b435dc3a00/</t>
  </si>
  <si>
    <t>UPI/328591020246/urad dal/ayyappaundru1@y/Union Bank of I/ICI20eb83353f894f79985714e2e7b83749/</t>
  </si>
  <si>
    <t>BIL/ONL/000738343848/Indigo Air/wwwgoindigoin18/Mumbai ticketICICI BANK NODA</t>
  </si>
  <si>
    <t>UPI/365387720744/phone bill/airtel121@hdfcb/HDFC BANK LTD/ICIc0ca4d547ff6443ab2eb750fac8fa8cb/</t>
  </si>
  <si>
    <t>UPI/365340719429/taxi/q678033378@ybl/Canara Bank/ICI550b37a2a3504431826677b35d0f928c/</t>
  </si>
  <si>
    <t>UPI/365387656698/lunch/q008463920@ybl/Yes Bank Ltd/ICI0254f128889f4bec8330a0c10c54bb13/</t>
  </si>
  <si>
    <t>BIL/NSP/CJK1055490/ICIC0SF0002/VINAY MAHAJA VINAY NARAYAN M</t>
  </si>
  <si>
    <t>CMS/001299654661/ICICIPRULIFEINS__32141601</t>
  </si>
  <si>
    <t>UPI/365684745223/dabeli/paytmqr17lpqy4p/Paytm Payments /ICI604cdb71f64f4e40b11d73b7d9205eaf/</t>
  </si>
  <si>
    <t>UPI/365733382961/Dahi puri/paytmqrx5yjj5hc/Paytm Payments /ICI581e1e46d7b3435696f45a1e3f7418f3/</t>
  </si>
  <si>
    <t>UPI/365771981392/pav bhaji/paytmqr28100505/Paytm Payments /ICI33c5ec6fe3c941979a4d66cfc47c90f3/</t>
  </si>
  <si>
    <t>UPI/365761083554/dabeli/paytmqr1qjryo64/Paytm Payments /ICIcce1a2b02871426ab9c72b5367768309/</t>
  </si>
  <si>
    <t>BIL/ONL/000740730022/Indigo Air/wwwgoindigoin18/Vyom ticketICICI BANK NODA</t>
  </si>
  <si>
    <t>BIL/ONL/000740731933/Indigo Air/wwwgoindigoin18/Vyom ticketICICI BANK NODA</t>
  </si>
  <si>
    <t>UPI/365905873444/vada pav/gpay-1117811285/Axis Bank Ltd./ICI2c95d18a4d6a499faa6916db95e4d937/</t>
  </si>
  <si>
    <t>CMS/001303205936/ICICIPRULIFEINS__24511656</t>
  </si>
  <si>
    <t>UPI/329417203911/lunch/mswipe.14001708/Kotak Mahindra /ICIb652a327581744a2b8b05351e36f5970/</t>
  </si>
  <si>
    <t>UPI/329512164861/paper bill/nainaryadavar@o/Federal Bank/ICI986e5011b5e24cc0bd1aef85ed9375c9/</t>
  </si>
  <si>
    <t>BIL/NSP/CJR2352891/ICIC0SF0002/VINAY MAHAJA VINAY NARAYAN M</t>
  </si>
  <si>
    <t>UPI/366457732418/rice/paytmqr28100505/Paytm Payments /ICIc8ddbdb93b4d487b80ce49797a9c5318/</t>
  </si>
  <si>
    <t>UPI/366462529615/sandwich/paytmqr1sdk23qg/Paytm Payments /ICIeb5405be3d5b41989ce24b0b82e0a79a/</t>
  </si>
  <si>
    <t>NEFT-CITIN23442409513-NOVARTIS HEALTHCARE PRIVATELIMITED-SALARY FOR THE MONTH OF OCT2023-000987704</t>
  </si>
  <si>
    <t>UPI/330188830212/medicines/paytmqr28100505/Paytm Payments /ICI416eb9bd0c054cb59fbc96685a79f65d/</t>
  </si>
  <si>
    <t>CMS/001306423937/ICICIPRULIFEINS__21131016</t>
  </si>
  <si>
    <t>CMS/001306412350/BF-IC__40491262475</t>
  </si>
  <si>
    <t>BIL/NSP/CJY3569058/ICIC0SF0002/VINAY MAHAJA VINAY NARAYAN M</t>
  </si>
  <si>
    <t>50400300750551- RD INSTALLMENT-OCT 2023</t>
  </si>
  <si>
    <t>NEFT CR-ICIC0SF0002-VINAY N MAHAJAN-VINAY NARAYAN MAHAJAN-HS92327918674320</t>
  </si>
  <si>
    <t xml:space="preserve">CMS/ CMS3637730612/ICICI PRUDENTIAL MUTUAL FUND   </t>
  </si>
  <si>
    <t xml:space="preserve">CMS/001303205941/ICICIPRULIFEINS__24516375        </t>
  </si>
  <si>
    <t>UPI/330177366711/eyIwIjoiMDFuMGh/netflix2.payu@i/ICICI Bank/ICI3483bca2fc364a86</t>
  </si>
  <si>
    <t xml:space="preserve">CMS/001306423935/ICICIPRULIFEINS__21130963        </t>
  </si>
  <si>
    <t>ACH D- INDIAN CLEARING CORP-A5J2L2L84D24</t>
  </si>
  <si>
    <t>UPI-PRABHAKAR GUPTA-PAYTMQR7QF6DQLBF7@PAYTM-PYTM0123456-327428601930-FOOD</t>
  </si>
  <si>
    <t>UPI-GOOGLEPAY-GOOG-PAYMENT@OKAXIS-UTIB0000553-327425738142-UPI</t>
  </si>
  <si>
    <t>ACH D- INDIAN CLEARING CORP-48DTIF2ZJGV2</t>
  </si>
  <si>
    <t>UPI-MYNTRACOM-MYNTRA.PAYU@AXISBANK-UTIB0000000-327558572787-RRRPHJW3BSQSMSSWFA</t>
  </si>
  <si>
    <t>UPI-M S MANAM PHARMACY-MANAMPHARMACY@ICICI-ICIC0DC0099-327561353961-MEDICINES</t>
  </si>
  <si>
    <t>UPI-MANAM HEALTH CARE AN-PAYTMQR2810050501011QW816WJ7I8D@PAYTM-PYTM0123456-327559135144-MEDICAL BILL</t>
  </si>
  <si>
    <t>UPI-ATRAEYEE N PURKAIT-REVISEDIET@OKICICI-HDFC0004117-327585529344-MEDITATION VARSHA</t>
  </si>
  <si>
    <t>ACH D- INDIAN CLEARING CORP-PW369QTD6C6D</t>
  </si>
  <si>
    <t>ACH D- INDIAN CLEARING CORP-L8B7CPLX5EME</t>
  </si>
  <si>
    <t>ACH D- INDIAN CLEARING CORP-EWMRI55BXTO2</t>
  </si>
  <si>
    <t>ACH D- INDIAN CLEARING CORP-J9X7TURNA3IP</t>
  </si>
  <si>
    <t>UPI-ZEPTONOW-ZEPTONOWCASHFREE@HDFCBANK-HDFC0004460-327698910206-UPI</t>
  </si>
  <si>
    <t>ACH D- INDIAN CLEARING CORP-7Q8FNURWDVL3</t>
  </si>
  <si>
    <t>ACH D- INDIAN CLEARING CORP-QDGAO92Q2BNG</t>
  </si>
  <si>
    <t>ACH D- INDIAN CLEARING CORP-1GM1HFVTSVKE</t>
  </si>
  <si>
    <t>ACH D- INDIAN CLEARING CORP-3GLQCPS7E4JG</t>
  </si>
  <si>
    <t>UPI-MYNTRACOM-MYNTRA.PAYU@AXISBANK-UTIB0000000-327870565816-UPI</t>
  </si>
  <si>
    <t>ACH D- INDIAN CLEARING CORP-OVTH2YJKK7ZV</t>
  </si>
  <si>
    <t>ACH D- INDIAN CLEARING CORP-W1NZBT7PXCBV</t>
  </si>
  <si>
    <t>UPI-G SRIKANT RAO-GINISRIKANTRAO@OKICICI-PUNB0479400-327992042333-UPI</t>
  </si>
  <si>
    <t>UPI-GOOGLEPAY-GOOG-PAYMENT@OKAXIS-UTIB0000553-327943455361-UPI</t>
  </si>
  <si>
    <t>UPI-BUKKA SRI HARI KUMAR-SHKTKD2123@OKHDFCBANK-HDFC0004886-327992083775-UPI</t>
  </si>
  <si>
    <t>ACH D- INDIAN CLEARING CORP-XSHTN5ABWIW4</t>
  </si>
  <si>
    <t>UPI-ACT  BROADBAND-PAYTM-ACTHYD2@PAYTM-PYTM0123456-328021945187-UPI</t>
  </si>
  <si>
    <t>ACH D- INDIAN CLEARING CORP-NQM5NH1PE1JB</t>
  </si>
  <si>
    <t>UPI-PRANAV  KUMAR-PRANAVSHARMA410@OKSBI-SBIN0008960-328162443788-TIP</t>
  </si>
  <si>
    <t>ACH D- INDIAN CLEARING CORP-9S2T2XYYIIJS</t>
  </si>
  <si>
    <t>ACH D- INDIAN CLEARING CORP-Q97DZ59A43EI</t>
  </si>
  <si>
    <t>ACH D- INDIAN CLEARING CORP-IG5298S9XWU3</t>
  </si>
  <si>
    <t>ACH D- INDIAN CLEARING CORP-R1KYKZXO135J</t>
  </si>
  <si>
    <t>UPI-KARREWAR VITTAL-DPRAKASHRAJ0861@AXL-PYTM0123456-328205686571-UPI</t>
  </si>
  <si>
    <t>ACH D- INDIAN CLEARING CORP-OU97UQMBA3G7</t>
  </si>
  <si>
    <t>ACH D- INDIAN CLEARING CORP-8PVJHMAGT51Y</t>
  </si>
  <si>
    <t>ACH D- INDIAN CLEARING CORP-BBN1OKGMZSXN</t>
  </si>
  <si>
    <t>ACH D- INDIAN CLEARING CORP-C45LT7SD9I7X</t>
  </si>
  <si>
    <t>UPI-BBDAILY-BBDAILY@PAYTM-PYTM0123456-328590193575-BB DAILY</t>
  </si>
  <si>
    <t>UPI-BLUE DART COURIER SE-GPAY-11214388569@OKBIZAXIS-UTIB0000000-328504231921-UPI</t>
  </si>
  <si>
    <t>ACH D- INDIAN CLEARING CORP-UGUC4RR6WZ5X</t>
  </si>
  <si>
    <t>ACH D- INDIAN CLEARING CORP-YOJ2YY2UXHJT</t>
  </si>
  <si>
    <t>UPI-VARADA PRABHU-VARADAPRABHU@ICICI-ICIC0DC0099-328624247546-SCARVES</t>
  </si>
  <si>
    <t>NEFT CR-CHAS0INBX01-FNF SALARY FOR OCT-2 JOHNSON   JOHNSON PRIVATE LIM-VARSHA MAHAJAN-CHASH28644900534</t>
  </si>
  <si>
    <t>UPI-RAMKY TOWER-RAMKYTOWER.60983462@HDFCBANK-HDFC0000001-328634670781-MEDICINE</t>
  </si>
  <si>
    <t>UPI-SWIGGY-UPISWIGGY@ICICI-ICIC0DC0099-328651120705-UPI</t>
  </si>
  <si>
    <t>UPI-SWIGGY-SWIGGYUPI@AXISBANK-UTIB0000000-328756511059-SWIGGY ORDER ID 15</t>
  </si>
  <si>
    <t>ACH D- INDIAN CLEARING CORP-YZALAFZB8BXJ</t>
  </si>
  <si>
    <t>UPI-KASHISH   FATIMA-KASHISHF936@OKICICI-KKBK0007487-328759898392-UPI</t>
  </si>
  <si>
    <t>UPI-RAMKY TOWER-RAMKYTOWER.60983462@HDFCBANK-HDFC0000001-328775060655-UPI</t>
  </si>
  <si>
    <t>UPI-KANDIVALASA RAJESWAR-BHARATPE.0104633560@INDUS-INDB0001006-328775561118-LAUNDRY</t>
  </si>
  <si>
    <t>UPI-ETRIC MOBILITY SOLUT-ETRICMOBILITYSOLUTIO.62738598@HDFCBANK-HDFC0000001-328785894602-CAB</t>
  </si>
  <si>
    <t>ACH D- INDIAN CLEARING CORP-23J8C552Z7V3</t>
  </si>
  <si>
    <t>ACH D- INDIAN CLEARING CORP-EX3XGU4HJ6MH</t>
  </si>
  <si>
    <t>ACH D- INDIAN CLEARING CORP-NXZKP4GHZTGI</t>
  </si>
  <si>
    <t>ACH D- INDIAN CLEARING CORP-YN8AAUINNKQN</t>
  </si>
  <si>
    <t>ACH D- INDIAN CLEARING CORP-JH9JLLUDM8LP</t>
  </si>
  <si>
    <t>ACH D- INDIAN CLEARING CORP-GKEWJYTG99TO</t>
  </si>
  <si>
    <t>ACH D- INDIAN CLEARING CORP-HYGSAD33BWOI</t>
  </si>
  <si>
    <t>ACH D- INDIAN CLEARING CORP-TKOZJ93GR9BU</t>
  </si>
  <si>
    <t>ACH D- INDIAN CLEARING CORP-SAJCR1XPG9W4</t>
  </si>
  <si>
    <t>ACH D- INDIAN CLEARING CORP-IWZRH1HD8WHD</t>
  </si>
  <si>
    <t>ACH D- INDIAN CLEARING CORP-QVDBCPG65XO9</t>
  </si>
  <si>
    <t>ACH D- INDIAN CLEARING CORP-SZ9IQ8YC3BOX</t>
  </si>
  <si>
    <t>ACH D- INDIAN CLEARING CORP-M1HDVIF21WAV</t>
  </si>
  <si>
    <t>ACH D- INDIAN CLEARING CORP-8B6FYYM2SM9C</t>
  </si>
  <si>
    <t>UPI-W-W.60955166@HDFCBANK-HDFC0000001-329546366649-UPI</t>
  </si>
  <si>
    <t>UPI-SWIGGY-SWIGGYUPI@AXISBANK-UTIB0000000-329566674961-SWIGGY ORDER ID 15</t>
  </si>
  <si>
    <t>UPI-MR KORATI ESWAR EAO-Q60578001@YBL-IDIB000M147-329567068746-SKY CAB</t>
  </si>
  <si>
    <t>ACH D- INDIAN CLEARING CORP-IJTDMGEA7J4J</t>
  </si>
  <si>
    <t>ACH D- INDIAN CLEARING CORP-V4GHKUW71II3</t>
  </si>
  <si>
    <t>ACH D- INDIAN CLEARING CORP-C2ZWRJK7OH4V</t>
  </si>
  <si>
    <t>UPI-MR  RAMAKRISHNA-BHARATPE.90058164857@FBPE-FDRL0001382-329684751931-PAY TO MR  RAMAKRI</t>
  </si>
  <si>
    <t>UPI-RAMAVATH RAJU NAIK-8919910414@YBL-SBIN0019202-329686618552-UPI</t>
  </si>
  <si>
    <t>UPI-SWIGGY-SWIGGY@YESPAY-YESB0YESUPI-329703705325-PAY FOR MERCHANT</t>
  </si>
  <si>
    <t>REV-UPI-50100317164911-VARSHANBHAG@OKHDFCBANK-329703705325-PAY FOR MERCHANT</t>
  </si>
  <si>
    <t>ACH D- INDIAN CLEARING CORP-8D8E6A2MQU6X</t>
  </si>
  <si>
    <t>UPI-ZEPTONOW-ZEPTONOWCASHFREE@HDFCBANK-HDFC0004460-329727884048-ZEPTO</t>
  </si>
  <si>
    <t>ACH D- INDIAN CLEARING CORP-JH86REGHZKHR</t>
  </si>
  <si>
    <t>UPI-RAMU  BANOTHU-RAMUB6571@OKHDFCBANK-SBIN0021933-329837338898-UPI</t>
  </si>
  <si>
    <t>50400251539337- RD INSTALLMENT-OCT 2023</t>
  </si>
  <si>
    <t>ACH D- INDIAN CLEARING CORP-IKQPFB19ML19</t>
  </si>
  <si>
    <t>NEFT CR-CITI0100000-BRISTOL MYERS SQUIBB INDIA PVT L-VARSHA MAHAJAN-CITIN23442695689 SALARY FOR THE MONTH OF OCT 23</t>
  </si>
  <si>
    <t>ACH D- INDIAN CLEARING CORP-8W66CEW4FTRX</t>
  </si>
  <si>
    <t>UPI-XXXXXX5813-CBIN0281615-366609316116-NA</t>
  </si>
  <si>
    <t>UPI-KANPUR FLOWERCYCLING-KANPURFLOWERCYC17.RZP@ICICI-ICIC0DC0099-330007154930-PAYVIARAZORPAY</t>
  </si>
  <si>
    <t>UPI-URBAN COMPANY-PAYTM-URBANCOMPANY@PAYTM-PYTM0123456-330009318338-UPI</t>
  </si>
  <si>
    <t>UPI-SMARTWASH SOLUTIONS-Q960622993@YBL-YESB0YBLUPI-330015342467-QUICLO</t>
  </si>
  <si>
    <t>UPI-ATRAEYEE N PURKAIT-REVISEDIET@OKICICI-HDFC0004117-330028238276-VARSHA MAHAJAN SUN</t>
  </si>
  <si>
    <t>UPI-ETRIC MOBILITY SOLUT-ETRICMOBILITYSOLUTIO.62738598@HDFCBANK-HDFC0000001-330130841130-AIRPORT</t>
  </si>
  <si>
    <t>UPI-IDLY FACTORY  HYDERA-Q000387651@YBL-YESB0YBLUPI-330130857010-FOOD</t>
  </si>
  <si>
    <t>UPI-RELAY MUMBAI  ARRIVA-Q30185607@YBL-YESB0YBLUPI-330132003575-UPI</t>
  </si>
  <si>
    <t>ACH D- INDIAN CLEARING CORP-91N455LMO86Q</t>
  </si>
  <si>
    <t>UPI-MASALA TWIST  2 T 2-PAYTMQR281005050101RTRYJ3H7BMD2@PAYTM-PYTM0123456-330150635859-COFFEE</t>
  </si>
  <si>
    <t>UPI-GOOGLEPAY-GOOG-PAYMENT@OKAXIS-UTIB0000553-330149935955-UPI</t>
  </si>
  <si>
    <t>UPI-ETRIC MOBILITY SOLUT-ETRICMOBILITYSOLUTIO.62738598@HDFCBANK-HDFC0000001-330160861141-CAN</t>
  </si>
  <si>
    <t>UPI-VOGUE SALON AND BEAU-VOGUE.SALON@ICICI-ICIC0DC0099-330269703542-SALON</t>
  </si>
  <si>
    <t>UPI-NELAWATH SRINATH-9398546953@PAYTM-PYTM0123456-330399296052-UPI</t>
  </si>
  <si>
    <t>UPI-HEMA HARSHITA BOOREL-HEMA.BOORELA@OKHDFCBANK-HDFC0003947-330429197962-UPI</t>
  </si>
  <si>
    <t>UPI-SRINU-PAYTMQR28100505010110HDXKHQW6BK@PAYTM-PYTM0123456-330432463305-UPI</t>
  </si>
  <si>
    <t>UPI-MR M  NARESH1-BHARATPE90727517973@YESBANKLTD-YESB0YESUPI-330447176812-PAY TO BHARATPE ME</t>
  </si>
  <si>
    <t>UPI-VENKATESH  K-BHARATPE.0103469413@INDUS-INDB0001006-330439848437-PAY TO WASH9 NEED</t>
  </si>
  <si>
    <t>Vinay tooth fracture removal + cavity</t>
  </si>
  <si>
    <t>2024
Vinay
ICICI</t>
  </si>
  <si>
    <t>2024
Vinay
HDFC</t>
  </si>
  <si>
    <t>2024 
Varsha
ICICI</t>
  </si>
  <si>
    <t>2024
Varsha
HDFC</t>
  </si>
  <si>
    <t>2024 Tot</t>
  </si>
  <si>
    <t>Approx regular expenses 2024</t>
  </si>
  <si>
    <t>Mumbai - HYD Diwali time flight</t>
  </si>
  <si>
    <t>Mumbai - HYD Dec flight</t>
  </si>
  <si>
    <t>PhD thesis printing</t>
  </si>
  <si>
    <t>Vyom bedroom tap, flush, and spray</t>
  </si>
  <si>
    <t>Vyom Birthday clothes</t>
  </si>
  <si>
    <t>BIL/NSP/CK14230848/ICIC0SF0002/VYOM VINAY M VYOM VINAY MAHA</t>
  </si>
  <si>
    <t>BIL/NEFT/HS92330521177711/HDFC0000652/VYOM VINAY M</t>
  </si>
  <si>
    <t>UPI/367139273370/c305 car wash n/nareshvemula749/State Bank Of I/ICI0203b32ea7bd4e9c80babcd21c338a01</t>
  </si>
  <si>
    <t>MMT/IMPS/330709373591/C305 Nov2023/RTABOWA - /HDFC0000968</t>
  </si>
  <si>
    <t>UPI/367444232665/UPI/futuregenerali./Axis Bank Ltd./ICIb723ec0e942e48bda45c22e1eddeeabf/</t>
  </si>
  <si>
    <t>UPI/330835352609/cells/paytmqr28100505/Paytm Payments /ICI7d3ed9f5917a4c4a8e8c6f6f91295891/</t>
  </si>
  <si>
    <t>BIL/NSP/CKA5938494/ICIC0SF0002/VINAY MAHAJA VINAY NARAYAN M</t>
  </si>
  <si>
    <t>BIL/NEFT/HS92331022085243/HDFC0000652/Vinay Naraya</t>
  </si>
  <si>
    <t>UPI/331099058084/dabeli/paytmqr1hnypfml/Paytm Payments /ICI6a03b1ec51c1473f8401a02fc8f6944c/</t>
  </si>
  <si>
    <t>ACH/LIC OF INDIA/ICIC7010805230001959/9298151271123</t>
  </si>
  <si>
    <t>UPI/367842947609/lights/8433829997@ybl/Model Co-Operat/ICI76db692c1dda413daa9e1f7b8baa7313/</t>
  </si>
  <si>
    <t>UPI/331470520317/dental filling/jogindertridev@/State Bank Of I/ICIe35eb98369034f39bd844acd1b710da3/</t>
  </si>
  <si>
    <t>UPI/368233729123/Diwali c305/nareshvemula749/State Bank Of I/ICIbff6e264a61145f6bea4e9c01ca7283e/</t>
  </si>
  <si>
    <t>BIL/NSP/CKH7654176/ICIC0SF0002/VINAY MAHAJA VINAY NARAYAN M</t>
  </si>
  <si>
    <t>UPI/368364870269/medicines/paytmqr28100505/Paytm Payments /ICIe314d22dbcbe4f779303bb41683783bb/</t>
  </si>
  <si>
    <t>UPI/368659681041/UPI/airtelpostpaid@/Axis Bank Ltd./AXB3e6eb518c935476383fc5a478d806e6e/</t>
  </si>
  <si>
    <t>CMS/001320445673/ICICIPRULIFEINS__32141601</t>
  </si>
  <si>
    <t>BIL/NSP/CKO8836089/ICIC0SF0002/VINAY MAHAJA VINAY NARAYAN M</t>
  </si>
  <si>
    <t>CMS/001322885512/ICICIPRULIFEINS__24511656</t>
  </si>
  <si>
    <t>UPI/369120700765/thesis/conceptprintshy/HDFC BANKLTD/ICI250630b2030a4fb7b2dc3465a16f22e5/</t>
  </si>
  <si>
    <t>UPI/369229430787/UPI/compassindiafoo/HDFC BANK LTD/PINELABPOSDQR4231030726612123045907/</t>
  </si>
  <si>
    <t>UPI/369339482088/IFB charges/7995941395@ybl/StateBank Of I/ICI8f1233a995e444e7854d77ad962aad86/</t>
  </si>
  <si>
    <t>NEFT-CITIN23456679951-NOVARTIS HEALTHCARE PRIVATELIMITED-SALARY FOR THE MONTH OF NOV2023-000987704</t>
  </si>
  <si>
    <t>UPI/332957054134/taxi/paytmqrmxthv3gx/Union Bank of I/ICI567c06ce86d248cf84d5be7d1f764569/</t>
  </si>
  <si>
    <t>BIL/NSP/CKV0115040/ICIC0SF0002/VINAY MAHAJA VINAY NARAYAN M</t>
  </si>
  <si>
    <t>CMS/001326078913/BF-IC__40491262475</t>
  </si>
  <si>
    <t>CMS/001326371410/ICICIPRULIFEINS__21131016</t>
  </si>
  <si>
    <t>UPI/370099227014/c305 flush/akhaykumarsahoo/Bank of India/ICI02bcc68c28c241608b5d989dba3d02ab/</t>
  </si>
  <si>
    <t>UPI/370013221042/jaguar c305/akhaykumarsahoo/Bankof India/ICIbb70f84efcdd4faea565442bb6d50230/</t>
  </si>
  <si>
    <t>50400300750551- RD INSTALLMENT-NOV 2023</t>
  </si>
  <si>
    <t>NEFT CR-ICIC0SF0002-VINAY N MAHAJAN-VINAY NARAYAN MAHAJAN-HS92331022085243</t>
  </si>
  <si>
    <t xml:space="preserve">CMS/ CMS3690440783/ICICI PRUDENTIAL MUTUAL FUND   </t>
  </si>
  <si>
    <t xml:space="preserve">CMS/001322885517/ICICIPRULIFEINS__24516375        </t>
  </si>
  <si>
    <t>UPI/332730471305/UPI/varshanbhag@okh/HDFC BANK LTD/HDFaf7e8e7b05f7471e8df955c8b</t>
  </si>
  <si>
    <t xml:space="preserve">CMS/001326371405/ICICIPRULIFEINS__21130963        </t>
  </si>
  <si>
    <t>UPI/333382808010/Upi Mandate/netflix2.payu@i/ICICI Bank/ICIa27769007c084d059eab</t>
  </si>
  <si>
    <t>30/11/23</t>
  </si>
  <si>
    <t>ACH D- INDIAN CLEARING CORP-UAODR82MO13N</t>
  </si>
  <si>
    <t>ACH D- INDIAN CLEARING CORP-EO3W1FVJ6QHK</t>
  </si>
  <si>
    <t>UPI-PRABHAKAR  NIDIGONDA-9640876037@AXL-SBIN0006648-330569134209-UPI</t>
  </si>
  <si>
    <t>UPI-MYNTRACOM-MYNTRA.PAYU@AXISBANK-UTIB0000000-330577972929-UPI</t>
  </si>
  <si>
    <t>UPI-MODALA VENKAT SAGER-Q23095121@YBL-ANDB0001325-330590794110-UPI</t>
  </si>
  <si>
    <t>ACH D- INDIAN CLEARING CORP-P79MC91BLUMO</t>
  </si>
  <si>
    <t>ACH D- INDIAN CLEARING CORP-OSUW7PEUZGFO</t>
  </si>
  <si>
    <t>UPI-ACT BROADBAND-PAYTM-ACTHYD2@PAYTM-PYTM0123456-330655186243-OIDCWPGR-20026518@</t>
  </si>
  <si>
    <t>UPI-FLIPKART PAYMENTS-FLIPKART.PAYU@HDFCBANK-HDFC0000499-330634709567-UPI</t>
  </si>
  <si>
    <t>ACH D- INDIAN CLEARING CORP-EFGA25Y5HOC6</t>
  </si>
  <si>
    <t>ACH D- INDIAN CLEARING CORP-2E6261UDTOYD</t>
  </si>
  <si>
    <t>UPI-CHINTHAKUNTLA MAHEND-BHARATPE90727500591@YESBANKLTD-YESB0YESUPI-330757039945-PAY TO CHINTHAKUNT</t>
  </si>
  <si>
    <t>UPI-MYNTRACOM-MYNTRA.PAYU@AXISBANK-UTIB0000000-330770443557-UPI</t>
  </si>
  <si>
    <t>ACH D- INDIAN CLEARING CORP-91DYMCDMN9QR</t>
  </si>
  <si>
    <t>UPI-ZEPTONOW-ZEPTONOWCASHFREE@HDFCBANK-HDFC0004460-330877239121-UPI</t>
  </si>
  <si>
    <t>UPI-DEEPIKA GHAI-CONCEPTPRINTSHYD@OKHDFCBANK-HDFC0009425-330887131125-BINDING</t>
  </si>
  <si>
    <t>UPI-SHEETAL SANJAY THORA-SHEETAL13.ST@OKSBI-SBIN0006249-330804037607-AAJI AJOBA MAHAJAN</t>
  </si>
  <si>
    <t>ACH D- INDIAN CLEARING CORP-XHVLSTCZV8HD</t>
  </si>
  <si>
    <t>ACH D- INDIAN CLEARING CORP-UYI8QJCT2SKI</t>
  </si>
  <si>
    <t>ACH D- INDIAN CLEARING CORP-CRF8B7V3XUWN</t>
  </si>
  <si>
    <t>ACH D- INDIAN CLEARING CORP-RB15WU95TA2T</t>
  </si>
  <si>
    <t>ACH D- INDIAN CLEARING CORP-XP6O18APB82D</t>
  </si>
  <si>
    <t>UPI-SRINIVASULU  ANEMONI-A.SRNUVAS@IBL-SBIN0061245-331047140190-UPI</t>
  </si>
  <si>
    <t>UPI-AMAZING BOUTIQUE-MDYSKHADEER007.AB-1@OKSBI-HDFC0003739-331064189801-SAREE AND BLOUSE</t>
  </si>
  <si>
    <t>UPI-GOOGLEPAY-GOOG-PAYMENT@OKAXIS-UTIB0000553-331054881077-UPI</t>
  </si>
  <si>
    <t>UPI-NENAVATH RAMESH-PAYTMQR1LIFN27NBC@PAYTM-SBIN0020428-331072290695-UPI</t>
  </si>
  <si>
    <t>ACH D- INDIAN CLEARING CORP-XVD1WT3TZ9IE</t>
  </si>
  <si>
    <t>UPI-MOHD WAHED KHAN-7097593775@YBL-BKID0008672-331183120833-UPI</t>
  </si>
  <si>
    <t>UPI-K  NAGARAJU-8688334538@YBL-SBIN0011076-331109517120-UPI</t>
  </si>
  <si>
    <t>NEFT CR-CITI0100000-BMS BUSINESS SERVICES INDIA PVT LTD-VARSHA MAHAJAN-CITIN23450532088</t>
  </si>
  <si>
    <t>ACH D- INDIAN CLEARING CORP-L251ZB1EXOIA</t>
  </si>
  <si>
    <t>ACH D- INDIAN CLEARING CORP-V3H5L6DQE2OM</t>
  </si>
  <si>
    <t>UPI-THUDAM  ANAND-BHARATPE90727787383@YESBANKLTD-YESB0YESUPI-331219557452-PAY TO BHARATPE ME</t>
  </si>
  <si>
    <t>UPI-SAIKIRAN ANCHUR-8019673572@AXISB-HDFC0000039-331225776194-UPI</t>
  </si>
  <si>
    <t>UPI-G SRIKANT RAO-GINISRIKANTRAO@OKICICI-PUNB0479400-331256925430-TABLA FEES VYOM MA</t>
  </si>
  <si>
    <t>UPI-BUKKA SRI HARI KUMAR-SHKTKD2123@OKHDFCBANK-HDFC0004886-331239252398-UPI</t>
  </si>
  <si>
    <t>UPI-SURESH-SURESHMANKAR6602@OKICICI-CNRB0000033-331248021120-UPI</t>
  </si>
  <si>
    <t>ACH D- INDIAN CLEARING CORP-BV22R4VWXXIN</t>
  </si>
  <si>
    <t>ACH D- INDIAN CLEARING CORP-7IPJKZPYAZZG</t>
  </si>
  <si>
    <t>ACH D- INDIAN CLEARING CORP-2Z53UHZ92HLE</t>
  </si>
  <si>
    <t>UPI-T SHIVASHANKER-Q933789333@YBL-YESB0YBLUPI-331356494432-UPI</t>
  </si>
  <si>
    <t>UPI-MEDPLUS RAMKY TOWER-PAYTM-68434242@PAYTM-PYTM0123456-331356528867-MEDICINES</t>
  </si>
  <si>
    <t>UPI-U RAJU-RAJUUPPARI821-1@OKAXIS-KVBL0004812-331357206079-UPI</t>
  </si>
  <si>
    <t>UPI-KAVALI SRINIVASULU-SY233411@AXL-KVBL0004814-331369075994-UPI</t>
  </si>
  <si>
    <t>UPI-ZEPTONOW-ZEPTONOWCASHFREE@HDFCBANK-HDFC0004460-331373020765-UPI</t>
  </si>
  <si>
    <t>ACH D- INDIAN CLEARING CORP-ELYKYHOY2FAI</t>
  </si>
  <si>
    <t>ACH D- INDIAN CLEARING CORP-L4D7R5ZN5FIK</t>
  </si>
  <si>
    <t>UPI-ETRIC MOBILITY SOLUT-ETRICMOBILITYSOLUTIO.62738598@HDFCBANK-HDFC0000001-331527750813-UPI</t>
  </si>
  <si>
    <t>UPI-IDLY FACTORY  HYDERA-Q000387651@YBL-YESB0YBLUPI-331527804208-FOOD</t>
  </si>
  <si>
    <t>ACH D- INDIAN CLEARING CORP-AVX1ZCX8NVZA</t>
  </si>
  <si>
    <t>UPI-JEWEL FOODS-PAYTMQR281005050101TLR3LXPLEDQG@PAYTM-PYTM0123456-331572383938-UPI</t>
  </si>
  <si>
    <t>UPI-SHEETAL SANJAY THORA-SHEETAL13.ST@OKSBI-SBIN0006249-331563379761-UPI</t>
  </si>
  <si>
    <t>ACH D- INDIAN CLEARING CORP-B1CYACU5V7BL</t>
  </si>
  <si>
    <t>ACH D- INDIAN CLEARING CORP-RZPPXADL9NMS</t>
  </si>
  <si>
    <t>ACH D- INDIAN CLEARING CORP-9ZV4T3Q1SMEC</t>
  </si>
  <si>
    <t>UPI-RANJANMEDICOCHEMISTA-PAYTMQR2810050501011VPNFW19F1TG@PAYTM-PYTM0123456-331708669138-UPI</t>
  </si>
  <si>
    <t>UPI-RANJANMEDICOCHEMISTA-PAYTMQR2810050501011VPNFW19F1TG@PAYTM-PYTM0123456-331708709847-UPI</t>
  </si>
  <si>
    <t>ACH D- INDIAN CLEARING CORP-WYP1978DBP1B</t>
  </si>
  <si>
    <t>UPI-SRI HARSHA KROVVIDI-PAYTMQR28100505010112W04CALSBSE@PAYTM-PYTM0123456-331850501967-TAXI</t>
  </si>
  <si>
    <t>ACH D- INDIAN CLEARING CORP-2ANBFNLI6EM1</t>
  </si>
  <si>
    <t>ACH D- INDIAN CLEARING CORP-GVEGLQ8HPVAF</t>
  </si>
  <si>
    <t>ACH D- INDIAN CLEARING CORP-85QGQYNC45TJ</t>
  </si>
  <si>
    <t>ACH D- INDIAN CLEARING CORP-X649PF21QBPV</t>
  </si>
  <si>
    <t>ACH D- INDIAN CLEARING CORP-BJN4X32CN6S4</t>
  </si>
  <si>
    <t>UPI-SHEETAL SANJAY THORA-SHEETAL13.ST@OKSBI-SBIN0006249-331994328232-UPI</t>
  </si>
  <si>
    <t>ACH D- INDIAN CLEARING CORP-X31MMITIMMNO</t>
  </si>
  <si>
    <t>ACH D- INDIAN CLEARING CORP-PFVCAKKIJLX4</t>
  </si>
  <si>
    <t>UPI-ZEPTONOW-ZEPTONOWCASHFREE@HDFCBANK-HDFC0004460-332148104348-UPI</t>
  </si>
  <si>
    <t>ACH D- INDIAN CLEARING CORP-KMZSQ75G612X</t>
  </si>
  <si>
    <t>UPI-KASHISH   FATIMA-KASHISHF936@OKICICI-KKBK0007487-332266144289-PARLOUR</t>
  </si>
  <si>
    <t>ACH D- INDIAN CLEARING CORP-19DAM2SGC1O4</t>
  </si>
  <si>
    <t>UPI-ZEPTONOW-ZEPTONOWCASHFREE@HDFCBANK-HDFC0004460-332317858010-UPI</t>
  </si>
  <si>
    <t>ACH D- INDIAN CLEARING CORP-JM25L7V2CMG9</t>
  </si>
  <si>
    <t>ACH D- INDIAN CLEARING CORP-OHM9HX7KIT7P</t>
  </si>
  <si>
    <t>ACH D- INDIAN CLEARING CORP-OFYCBN35Z368</t>
  </si>
  <si>
    <t>ACH D- INDIAN CLEARING CORP-AUMXXEB4ZZNT</t>
  </si>
  <si>
    <t>ACH D- INDIAN CLEARING CORP-F2GRRQSSM9BW</t>
  </si>
  <si>
    <t>ACH D- INDIAN CLEARING CORP-OC6L1V9TXL4O</t>
  </si>
  <si>
    <t>UPI-SANDYAPAGA KURUMURTH-PAYTMQR14CW1VEZ3H@PAYTM-PYTM0123456-332569160838-UPI</t>
  </si>
  <si>
    <t>UPI-RAVI-8074325478@AXL-SBIN0020443-332570911401-UPI</t>
  </si>
  <si>
    <t>UPI-DESETI RAVI SAGAR-PAYTMQR8DTYZ2KSJC@PAYTM-PYTM0123456-332560633512-UPI</t>
  </si>
  <si>
    <t>ACH D- INDIAN CLEARING CORP-KYODOGX59NQJ</t>
  </si>
  <si>
    <t>ACH D- INDIAN CLEARING CORP-3V4BG85MQKG8</t>
  </si>
  <si>
    <t>UPI-GOOGLEPAY-GOOG-PAYMENT@OKAXIS-UTIB0000553-332722325577-UPI</t>
  </si>
  <si>
    <t>UPI-VARSHA VINAY MAHAJAN-VARSHANBHAG-2@OKHDFCBANK-ICIC0000088-332730471305-UPI</t>
  </si>
  <si>
    <t>UPI-CHILVA KISHORE REDDY-CHILVERAR@OKSBI-KKBK0007529-332862773280-VEGETABLES</t>
  </si>
  <si>
    <t>ACH D- INDIAN CLEARING CORP-QWZWWCG1MYSK</t>
  </si>
  <si>
    <t>UPI-BHARTI AIRTEL LIMITE-AIRTELCOMMONPOOL@MAIRTEL-AIRP0000001-332813754421-PAYMENT FROM AIRTE</t>
  </si>
  <si>
    <t>ACH D- INDIAN CLEARING CORP-8WETT8SZCOIR</t>
  </si>
  <si>
    <t>UPI-NARASIPURAM SUCHARIT-SUCHARITA73@OKHDFCBANK-HDFC0000621-332916619331-UPI</t>
  </si>
  <si>
    <t>UPI-SHIVA K-70933561@AXL-UBIN0541150-332937535121-UPI</t>
  </si>
  <si>
    <t>UPI-MEDPLUS RAMKY TOWER-PAYTM-68434242@PAYTM-PYTM0123456-332920067590-MEDICINES</t>
  </si>
  <si>
    <t>50400251539337- RD INSTALLMENT-NOV 2023</t>
  </si>
  <si>
    <t>UPI-BIGBASKET-BIGBASKET1@PAYTM-PYTM0123456-333031708948-UPI</t>
  </si>
  <si>
    <t>UPI-VOGUE SALON AND BEAU-VOGUE.SALON@ICICI-ICIC0DC0099-333059343121-PARLOUR</t>
  </si>
  <si>
    <t>ACH D- INDIAN CLEARING CORP-QELGGR59HNTH</t>
  </si>
  <si>
    <t>UPI-GADDAM MAHESH-AMZN0026751774@APL-UBIN0811459-333185421641-UPI</t>
  </si>
  <si>
    <t>UPI-MYNTRACOM-MYNTRA.PAYU@AXISBANK-UTIB0000000-333193703568-UPI</t>
  </si>
  <si>
    <t>ACH D- INDIAN CLEARING CORP-3IKFD3LFJBOG</t>
  </si>
  <si>
    <t>ACH D- INDIAN CLEARING CORP-WAUYPV1BBKO7</t>
  </si>
  <si>
    <t>UPI-VADLA SAILU-8978676773@POSTBANK-IPOS0000001-333299775844-UPI</t>
  </si>
  <si>
    <t>UPI-PAYTMUSER-9010473047@PAYTM-SBIN0020195-333215895197-UPI</t>
  </si>
  <si>
    <t>NEFT CR-CITI0100000-BMS BUSINESS SERVICES INDIA PVT LTD-VARSHA MAHAJAN-CITIN23458704511 SALARY FOR THE MONTH OF NOV 23</t>
  </si>
  <si>
    <t>UPI-MURALI KRISHNA THAPS-THAPSIMURALIKRISHNA@OKHDFCBANK-HDFC0000010-333469065906-CAKE CONTRIBUTION</t>
  </si>
  <si>
    <t>Jio TV Mulund installation</t>
  </si>
  <si>
    <t>Aai medicines + Echo 2D + ambulatory BP + Sleep study + Surgery prep</t>
  </si>
  <si>
    <t>Lok Kedar sofa</t>
  </si>
  <si>
    <t>Sofa + center table / Lok Kedar Sofa</t>
  </si>
  <si>
    <t>Toppr / Byju's</t>
  </si>
  <si>
    <t>Ramky Kitchen + gas + tiles + basin</t>
  </si>
  <si>
    <t xml:space="preserve">BIL/NSP/CL11136964/ICIC0SF0002/VYOM VINAY M       </t>
  </si>
  <si>
    <t>BIL/NEFT/HS92333524490520/HDFC0000652/VYOM VINAY M</t>
  </si>
  <si>
    <t>UPI/333554585469/c305 car wash/nareshvemula749/State Bank Of I/ICIc21d2d7274e64</t>
  </si>
  <si>
    <t>UPI/370241658828/hair cut/vogue.salon@ici/ICICI Bank/ICI9a6576e9fe2c4c5e8995e22</t>
  </si>
  <si>
    <t>UPI/333678652021/hair cur/rohitattary@oki/Yes Bank Ltd/ICI7631796023cc47638af19</t>
  </si>
  <si>
    <t xml:space="preserve">BIL/NSP/CL42189433/ICIC0SF0002/VINAY MAHAJA       </t>
  </si>
  <si>
    <t>MMT/IMPS/333807912985/C305 Dec2023/RTABOWA - /HDFC</t>
  </si>
  <si>
    <t>UPI/370557200530/c305 bathroom w/akhaykumarsahoo/Bank of India/ICI52110e54912d4</t>
  </si>
  <si>
    <t>BIL/NEFT/HS92334025414088/HDFC0000652/Vinay Naraya</t>
  </si>
  <si>
    <t>ACH/LIC OF INDIA/ICIC7010805230000927/929815128122</t>
  </si>
  <si>
    <t xml:space="preserve">BIL/NSP/CLF4005966/ICIC0SF0002/VINAY MAHAJA       </t>
  </si>
  <si>
    <t>UPI/334603832921/laundry/bharatpe.010463/INDUSIND BANK/ICI6797df40d6b24fcd94625</t>
  </si>
  <si>
    <t>UPI/371553566336/UPI/airtelpostpaid@/Axis Bank Ltd./AXB53ade01abe364af2817f0bd7</t>
  </si>
  <si>
    <t xml:space="preserve">CMS/001340491611/ICICIPRULIFEINS__32141601        </t>
  </si>
  <si>
    <t>UPI/335178751260/taxi/etricmobilityso/HDFC BANK LTD/ICI81082b51cbed41d980f95a39</t>
  </si>
  <si>
    <t xml:space="preserve">BIL/NSP/CLM5439467/ICIC0SF0002/VINAY MAHAJA       </t>
  </si>
  <si>
    <t>UPI/371817495361/medicines/paytmqr28100505/Paytm Payments /ICI457cf3725eef4a53a</t>
  </si>
  <si>
    <t>UPI/371877896316/ambulatory meas/9833303070@payt/ICICI Bank/ICI2fe3d6b4e8894ed1</t>
  </si>
  <si>
    <t>UPI/335354146904/medicines/paytmqr28100505/Paytm Payments /ICIbaf5b58302ed40e08</t>
  </si>
  <si>
    <t>UPI/372052981772/sleep study smr/totreakshu2@okh/Union Bank of I/ICI6fb66eea92c</t>
  </si>
  <si>
    <t xml:space="preserve">CMS/001343252535/ICICIPRULIFEINS__24511656        </t>
  </si>
  <si>
    <t>UPI/372179342927/leaves/9699991905-1@ok/Axis Bank Ltd./ICIc408f74a3d054ad0828ec</t>
  </si>
  <si>
    <t>UPI/372207595886/vada/gpay-1117811285/Axis Bank Ltd./ICI610dacd968794f10825724b</t>
  </si>
  <si>
    <t>UPI/372483268827/medicines/paytmqr28100505/Paytm Payments /ICIb9ebf24f4ee24edda</t>
  </si>
  <si>
    <t xml:space="preserve">BIL/NSP/CLT6759533/ICIC0SF0002/VINAY MAHAJA       </t>
  </si>
  <si>
    <t>UPI/372559109527/food/q075935301@ybl/Yes Bank Ltd/ICIb94bf891c9894925be7d9e5e3d</t>
  </si>
  <si>
    <t>UPI/372540711198/food/q33578846@ybl/Bank of Baroda/ICI09e323d0dfbc4a08b53302895</t>
  </si>
  <si>
    <t xml:space="preserve">NEFT-CITIN23472307302-NOVARTIS HEALTHCARE PRIVATE LIMITED-SALARY FOR THE MONTH </t>
  </si>
  <si>
    <t>BIL/NEFT/HS92336127430619/Aai heart/GSM LIFECA/BCB</t>
  </si>
  <si>
    <t>BIL/NEFT/HS92336127435482/Aai heart/GSM LIFECA/BCB</t>
  </si>
  <si>
    <t>UPI/372741896381/grocery/paytmqr1cegn5tl/Paytm Payments /ICIfe4509b761ff453daf0</t>
  </si>
  <si>
    <t xml:space="preserve">CMS/001346871712/BF-IC__40491262475               </t>
  </si>
  <si>
    <t xml:space="preserve">CMS/001347086641/ICICIPRULIFEINS__21131016        </t>
  </si>
  <si>
    <t>NEFT-IBKL231228683771-MAHAJAN NARAYAN L--058710400</t>
  </si>
  <si>
    <t>UPI/372857248227/medicines/paytmqr28100505/Paytm Payments /ICIdb1aa40f449f49e59</t>
  </si>
  <si>
    <t xml:space="preserve">000401043279:Int.Pd:30-09-2023 to 29-12-2023      </t>
  </si>
  <si>
    <t>01/01/24</t>
  </si>
  <si>
    <t>50400300750551- RD INSTALLMENT-DEC 2023</t>
  </si>
  <si>
    <t>NEFT CR-ICIC0SF0002-VINAY N MAHAJAN-VINAY NARAYAN MAHAJAN-HS92334025414088</t>
  </si>
  <si>
    <t>Aai Heart</t>
  </si>
  <si>
    <t xml:space="preserve">CMS/ CMS3761560795/ICICI PRUDENTIAL MUTUAL FUND   </t>
  </si>
  <si>
    <t xml:space="preserve">CMS/001343252540/ICICIPRULIFEINS__24516375        </t>
  </si>
  <si>
    <t>MMT/IMPS/336113143146/Test transfer V/GSM LIFECA/B</t>
  </si>
  <si>
    <t>BIL/NEFT/HS92336127435552/Aaji surgery tr/GSM LIFE</t>
  </si>
  <si>
    <t xml:space="preserve">CMS/001347086639/ICICIPRULIFEINS__21130963        </t>
  </si>
  <si>
    <t>NEFT-IBKL231228684920-MAHAJAN NARAYAN L--058710400</t>
  </si>
  <si>
    <t>UPI/336285997547/Upi Mandate/netflix2.payu@i/ICICI Bank/ICI44244eba152944e49d4b</t>
  </si>
  <si>
    <t xml:space="preserve">008801013248:Int.Pd:30-09-2023 to 29-12-2023      </t>
  </si>
  <si>
    <t>ACH D- INDIAN CLEARING CORP-8Z19C2KLQ2PF</t>
  </si>
  <si>
    <t>ACH D- INDIAN CLEARING CORP-R8NPK2CQIEPT</t>
  </si>
  <si>
    <t>UPI-AKHYA KUMAR SAHOO-AKHAYKUMARSAHOO51@OKICICI-BKID0005712-333523289714-UPI</t>
  </si>
  <si>
    <t>ACH D- INDIAN CLEARING CORP-QSWZXGWJQY4W</t>
  </si>
  <si>
    <t>UPI-HARDCASTLE RESTAURAN-MCDONALDSINDIA@YBL-YESB0YBLUPI-333659182162-PAYMENT FOR 500013</t>
  </si>
  <si>
    <t>UPI-MEDPLUS RAMKY TOWER-PAYTM-68434242@PAYTM-PYTM0123456-333660517737-MEDICINES</t>
  </si>
  <si>
    <t>UPI-GOOGLEPAY-GOOG-PAYMENT@OKAXIS-UTIB0000553-333637213581-UPI</t>
  </si>
  <si>
    <t>UPI-GOOGLEPAY-GOOG-PAYMENT@OKAXIS-UTIB0000553-333637215026-UPI</t>
  </si>
  <si>
    <t>UPI-SARABJEET SINGH HARB-BHARATPE09913942182@YESBANKLTD-YESB0YESUPI-333666058324-PAY TO TASTE OF PU</t>
  </si>
  <si>
    <t>UPI-BHARTI AIRTEL LIMITE-AIRTELCOMMONPOOL@MAIRTEL-AIRP0000001-333623589588-PAYMENT FROM AIRTE</t>
  </si>
  <si>
    <t>UPI-BUKKA SRI HARI KUMAR-SHKTKD2123@OKHDFCBANK-HDFC0004886-333674964354-UPI</t>
  </si>
  <si>
    <t>UPI-XXXXXX5813-CBIN0281615-333647458897-NA</t>
  </si>
  <si>
    <t>UPI-GARGI PAIGAONKAR-GARGI24@OKICICI-ICIC0000011-333764785147-NAFEESA SALARY</t>
  </si>
  <si>
    <t>ACH D- INDIAN CLEARING CORP-UOZ96TOLKTXV</t>
  </si>
  <si>
    <t>ACH D- INDIAN CLEARING CORP-KLOWD2LD391H</t>
  </si>
  <si>
    <t>ACH D- INDIAN CLEARING CORP-KRKVQCRF7O4V</t>
  </si>
  <si>
    <t>ACH D- INDIAN CLEARING CORP-RS1FOG76MJ5T</t>
  </si>
  <si>
    <t>UPI-SWIGGY-SWIGGY@YESPAY-YESB0YESUPI-333835772791-PAY FOR MERCHANT</t>
  </si>
  <si>
    <t>ACH D- INDIAN CLEARING CORP-PNQ41CAWLY78</t>
  </si>
  <si>
    <t>ACH D- INDIAN CLEARING CORP-CYWF1LUXI5YV</t>
  </si>
  <si>
    <t>ACH D- INDIAN CLEARING CORP-D8TL5I6WOHI9</t>
  </si>
  <si>
    <t>UPI-EERAMONI  SRIKANTH-9705498550@IBL-SBIN0008801-333953467613-UPI</t>
  </si>
  <si>
    <t>ACH D- INDIAN CLEARING CORP-ZMBNP2F1ZA71</t>
  </si>
  <si>
    <t>ACH D- INDIAN CLEARING CORP-H9X3JE3U2ZQK</t>
  </si>
  <si>
    <t>UPI-SWIGGY-SWIGGYUPI@AXISBANK-UTIB0000000-334007038895-SWIGGY ORDER ID 16</t>
  </si>
  <si>
    <t>UPI-THAMMISETTI VENKATA -Q72478520@YBL-YESB0YBLUPI-370609146587-UPI</t>
  </si>
  <si>
    <t>UPI-ACT BROADBAND-PAYTM-ACTHYD2@PAYTM-PYTM0123456-334151107816-OIDCWPGR-20348369@</t>
  </si>
  <si>
    <t>UPI-BIGTREE ENTERTAINMEN-BOOKMYSHOW@AXB-UTIB0000100-334120864286-UPI</t>
  </si>
  <si>
    <t>ACH D- INDIAN CLEARING CORP-DL39X3GRM96A</t>
  </si>
  <si>
    <t>ACH D- INDIAN CLEARING CORP-DNAZ5CJVRZC2</t>
  </si>
  <si>
    <t>ACH D- INDIAN CLEARING CORP-AJCS3VIMRQ5I</t>
  </si>
  <si>
    <t>UPI-ATRAEYEE N PURKAIT-REVISEDIET@OKHDFCBANK-HDFC0004117-334287310370-VARSHA MAHAJAN DEC</t>
  </si>
  <si>
    <t>ACH D- INDIAN CLEARING CORP-GLQG96LHOPZI</t>
  </si>
  <si>
    <t>UPI-BBNOW-BBNOW.EBZ@HDFCBANK-HDFC0001794-334309834578-UPI</t>
  </si>
  <si>
    <t>UPI-BIGTREE ENTERTAINMEN-BOOKMYSHOW@AXB-UTIB0000100-334454231949-UPI</t>
  </si>
  <si>
    <t>UPI-ZEPTONOW-CFZEPTONOW@ICICI-ICIC0DC0099-334458955837-UPI</t>
  </si>
  <si>
    <t>ACH D- INDIAN CLEARING CORP-1X7QBF9GUBXM</t>
  </si>
  <si>
    <t>ACH D- INDIAN CLEARING CORP-3FOB4URB9X91</t>
  </si>
  <si>
    <t>ACH D- INDIAN CLEARING CORP-KMDTF86PN1BS</t>
  </si>
  <si>
    <t>ACH D- INDIAN CLEARING CORP-C8HRSBZ6PZO6</t>
  </si>
  <si>
    <t>ACH D- INDIAN CLEARING CORP-S9TS8BRC36F4</t>
  </si>
  <si>
    <t>ACH D- INDIAN CLEARING CORP-OLF7VYWM69UC</t>
  </si>
  <si>
    <t>UPI-KAVYA MANAM-DRMANAM@OKICICI-ICIC0002494-334635515659-VARSHA MEDICINE</t>
  </si>
  <si>
    <t>ACH D- INDIAN CLEARING CORP-RCS9XDGS2ACN</t>
  </si>
  <si>
    <t>ACH D- INDIAN CLEARING CORP-XR16ZYNS4PZE</t>
  </si>
  <si>
    <t>UPI-MANAM HEALTH CARE AN-PAYTMQR2810050501011QW816WJ7I8D@PAYTM-PYTM0123456-334752834100-PAY BY WHATSAPP</t>
  </si>
  <si>
    <t>UPI-KETHAVATH REDYA-PAYTMQRIHOZOW8BQ7@PAYTM-SBIN0021740-334764878838-UPI</t>
  </si>
  <si>
    <t>UPI-GOSANGI VIJAYA LAKSH-8121223594@YBL-SBIN0040647-334769633712-PHYSIO</t>
  </si>
  <si>
    <t>ACH D- INDIAN CLEARING CORP-7XK2HT6Y5E2H</t>
  </si>
  <si>
    <t>ACH D- INDIAN CLEARING CORP-XU8HUNWY6B9D</t>
  </si>
  <si>
    <t>UPI-DEGAVATH  SHANTHI-LAVUDIYAVISHAL01-1@OKSBI-SBIN0020381-334893079013-UPI</t>
  </si>
  <si>
    <t>UPI-DEGAVATH  SHANTHI-LAVUDIYAVISHAL01-1@OKSBI-SBIN0020381-334893171285-UPI</t>
  </si>
  <si>
    <t>UPI-GOSANGI VIJAYA LAKSH-8121223594@YBL-SBIN0040647-334802872354-PHYSIO</t>
  </si>
  <si>
    <t>ACH D- INDIAN CLEARING CORP-C3UJPLOGDO3N</t>
  </si>
  <si>
    <t>ACH D- INDIAN CLEARING CORP-OXZ1R9UY3OD4</t>
  </si>
  <si>
    <t>ACH D- INDIAN CLEARING CORP-EWAYYCJL6H89</t>
  </si>
  <si>
    <t>ACH D- INDIAN CLEARING CORP-RTM5J7T55J8P</t>
  </si>
  <si>
    <t>UPI-GOSANGI VIJAYA LAKSH-8121223594@YBL-SBIN0040647-334938932613-PHYSIO</t>
  </si>
  <si>
    <t>ACH D- INDIAN CLEARING CORP-83G3XDJ4EE3T</t>
  </si>
  <si>
    <t>UPI-NIKITA GARG-NIKITA.GARG09-1@OKHDFCBANK-UTIB0000030-335063575914-CARNIVAL</t>
  </si>
  <si>
    <t>ACH D- INDIAN CLEARING CORP-JYIJ598WGSB4</t>
  </si>
  <si>
    <t>UPI-VENKATESH  K-BHARATPE.0103469413@INDUS-INDB0001006-335190481334-PAY TO WASH9 NEED</t>
  </si>
  <si>
    <t>UPI-GOSANGI VIJAYA LAKSH-8121223594@YBL-SBIN0040647-335193927601-PHYSIO</t>
  </si>
  <si>
    <t>UPI-HOTSTAR-HOTSTAR1.RAZORPAY@HDFCBANK-HDFC0000499-335215955102-PAYVIARAZORPAY</t>
  </si>
  <si>
    <t>ACH D- INDIAN CLEARING CORP-99FYTPSSUR4V</t>
  </si>
  <si>
    <t>UPI-RAMAVATH DHANJYA-RAMAVATHDHANJYA3615@YBL-UBIN0821586-335230251366-UPI</t>
  </si>
  <si>
    <t>UPI-PANKAJ KUMAR YADAV-8084388043@YBL-BKID0004888-335236567357-UPI</t>
  </si>
  <si>
    <t>UPI-GOSANGI VIJAYA LAKSH-8121223594@YBL-SBIN0040647-335245218713-PHYSIO</t>
  </si>
  <si>
    <t>ACH D- INDIAN CLEARING CORP-INW92QI3E8WO</t>
  </si>
  <si>
    <t>ACH D- INDIAN CLEARING CORP-O4993R9ZU476</t>
  </si>
  <si>
    <t>ACH D- INDIAN CLEARING CORP-QFPC5CGZXYL1</t>
  </si>
  <si>
    <t>ACH D- INDIAN CLEARING CORP-HVW79XQSE5UC</t>
  </si>
  <si>
    <t>UPI-KETHAVATH BOJYA-PAYTMQR2810050501011RIOV2TBLL42@PAYTM-PYTM0123456-335491339613-UPI</t>
  </si>
  <si>
    <t>UPI-NAZEER-PAYTMQRU27VW3GI7O@PAYTM-PYTM0123456-335405775773-UPI</t>
  </si>
  <si>
    <t>ACH D- INDIAN CLEARING CORP-6VQQXJDMHADU</t>
  </si>
  <si>
    <t>ACH D- INDIAN CLEARING CORP-9OEJOFOGJ6AX</t>
  </si>
  <si>
    <t>ACH D- INDIAN CLEARING CORP-MI3UWMVVBI7F</t>
  </si>
  <si>
    <t>ACH D- INDIAN CLEARING CORP-92JG7LG3CVU2</t>
  </si>
  <si>
    <t>UPI-BHARTI AIRTEL LIMITE-AIRTELCOMMONPOOL@MAIRTEL-AIRP0000001-335612217563-PAYMENT FROM AIRTE</t>
  </si>
  <si>
    <t>NEFT CR-CITI0100000-BMS BUSINESS SERVICES INDIA PVT LTD-VARSHA MAHAJAN-CITIN23470970516 SALARY FOR THE MONTH OF DEC 23</t>
  </si>
  <si>
    <t>UPI-ETRIC MOBILITY SOLUT-ETRICMOBILITYSOLUTIO.62738598@HDFCBANK-HDFC0000001-335673558009-UPI</t>
  </si>
  <si>
    <t>UPI-GOOGLEPAY-GOOG-PAYMENT@OKAXIS-UTIB0000553-335694495678-UPI</t>
  </si>
  <si>
    <t>UPI-KFC  HYDERABAD DOMES-Q559086095@YBL-YESB0YBLUPI-335674649858-LUNCH</t>
  </si>
  <si>
    <t>UPI-VENDIMAN PVT LTD-PAYTM-0401520@PAYTM-PYTM0123456-335675493834-UPI</t>
  </si>
  <si>
    <t>UPI-AJAY DINANATH PANDAY-9930781093@AXL-BARB0POINSU-335689437463-UPI</t>
  </si>
  <si>
    <t>ACH D- INDIAN CLEARING CORP-WSTXGQX6IO15</t>
  </si>
  <si>
    <t>ACH D- INDIAN CLEARING CORP-DFM9MK1ZWQ7U</t>
  </si>
  <si>
    <t>UPI-PARMEET KAUR  SALUJA-DIMPLESALUJA1010@OKSBI-SBIN0011081-335834610593-UPI</t>
  </si>
  <si>
    <t>MATURED RD. TRANSFER CR 50400251539337</t>
  </si>
  <si>
    <t>ACH D- INDIAN CLEARING CORP-WGDMB4WM5CPP</t>
  </si>
  <si>
    <t>UPI-SACHIN DESAI-SACRULES-1@OKHDFCBANK-HDFC0000015-335971125996-UPI</t>
  </si>
  <si>
    <t>UPI-SHEETAL SANJAY THORA-SHEETAL13.ST@OKSBI-SBIN0006249-335975441099-UPI</t>
  </si>
  <si>
    <t>UPI-DIPEN DINESH SHAH-PAYTMQR1J1MPMWWCP@PAYTM-PYTM0123456-335987584119-UPI</t>
  </si>
  <si>
    <t>UPI-RATNA SUPER MARKET-7718927099@OKBIZAXIS-UTIB0000000-335990295892-GROCERY</t>
  </si>
  <si>
    <t>UPI-RATNA SUPER MARKET-BHARATPE.90064182928@FBPE-FDRL0001382-335990416611-PAY TO BHARATPE ME</t>
  </si>
  <si>
    <t>ACH D- INDIAN CLEARING CORP-VBLE4POF4F9O</t>
  </si>
  <si>
    <t>UPI-BADGUJAR INSAD ISLAM-AAMINK160@OKICICI-SRCB0000158-336004485572-SOFA</t>
  </si>
  <si>
    <t>UPI-RAJESH  BENNY-25616979@KOTAK-KKBK0000642-336029940744-NEUROLOGIST</t>
  </si>
  <si>
    <t>ACH D- INDIAN CLEARING CORP-CWV8D674JOZT</t>
  </si>
  <si>
    <t>UPI-BADGUJAR INSAD ISLAM-AAMINK160@OKICICI-SRCB0000158-372799239818-SOFA</t>
  </si>
  <si>
    <t>ACH D- INDIAN CLEARING CORP-RA96MO14J7NJ</t>
  </si>
  <si>
    <t>UPI-BHARTI AIRTEL LIMITE-AIRTELCOMMONPOOL@MAIRTEL-AIRP0000001-336408254867-PAYMENT FROM AIRTE</t>
  </si>
  <si>
    <t>UPI-XXXXXX5813-CBIN0281615-373103921847-NA</t>
  </si>
  <si>
    <t>UPI-SACHIN DESAI-SACRULES-1@OKHDFCBANK-HDFC0000015-336592897629-RAJDHANI</t>
  </si>
  <si>
    <t>Sofa / bed Lok Kedar</t>
  </si>
  <si>
    <t>Varsha Vyom clothes Mumbai</t>
  </si>
  <si>
    <t>Based on FV formula</t>
  </si>
  <si>
    <t>21-07-2001 Salary For The Month Of Jul 01</t>
  </si>
  <si>
    <t>24-08-2001 Salary For The Month Of Aug 01</t>
  </si>
  <si>
    <t>24-08-2001 000415267725 - Trfd to : Autosweep</t>
  </si>
  <si>
    <t>31-08-2001 [000401043279] :IAR Interest</t>
  </si>
  <si>
    <t>22-09-2001 ATM/CASH WDL/20010922143223</t>
  </si>
  <si>
    <t>25-09-2001 Salary For The Month Of Sep 01</t>
  </si>
  <si>
    <t>25-09-2001 000415279294 - Trfd to : Autosweep</t>
  </si>
  <si>
    <t>24-10-2001 Salary For The Month Of Oct 01</t>
  </si>
  <si>
    <t>24-10-2001 000415291084 - Trfd to : Autosweep</t>
  </si>
  <si>
    <t>21-11-2001 REM OF EXP. FOR NOV 01</t>
  </si>
  <si>
    <t>23-11-2001 Salary For The Month Of Nov 01</t>
  </si>
  <si>
    <t>23-11-2001 000415302839 - Trfd to : Autosweep</t>
  </si>
  <si>
    <t>30-11-2001 000401043279:Int.Pd: 01-09-2001 to 30-11-2001</t>
  </si>
  <si>
    <t>27-12-2001 Salary For The Month Of Dec 01</t>
  </si>
  <si>
    <t>27-12-2001 000415316825 : Autosweep to</t>
  </si>
  <si>
    <t>11-01-2002 To CC</t>
  </si>
  <si>
    <t>16-01-2002 To CC</t>
  </si>
  <si>
    <t>22-01-2002 To CC</t>
  </si>
  <si>
    <t>22-01-2002 000415316825 Reverse Sweep from</t>
  </si>
  <si>
    <t>31-01-2002 To CC</t>
  </si>
  <si>
    <t>31-01-2002 Salary For The January 2002</t>
  </si>
  <si>
    <t>05-02-2002 Expense Reimbursement 05Feb</t>
  </si>
  <si>
    <t>26-02-2002 Salary For     Februry 2002</t>
  </si>
  <si>
    <t>26-02-2002 000415341916 : Autosweep to</t>
  </si>
  <si>
    <t>28-02-2002 000401043279:Int.Pd: 01-12-2001 to 28-02-2002</t>
  </si>
  <si>
    <t>26-03-2002 Salary For     March   2002</t>
  </si>
  <si>
    <t>26-03-2002 000415354993 : Autosweep to</t>
  </si>
  <si>
    <t>28-03-2002 Expense reimbursement 20Mar</t>
  </si>
  <si>
    <t>23-04-2002 Salary For April 2002</t>
  </si>
  <si>
    <t>23-04-2002 000415369483 : Autosweep to</t>
  </si>
  <si>
    <t>30-04-2002 LTA Paid during the year 20</t>
  </si>
  <si>
    <t>30-04-2002 Reimburesemnt of Exps HO 29Apr</t>
  </si>
  <si>
    <t>30-04-2002 000415375576 : Autosweep to</t>
  </si>
  <si>
    <t>04-05-2002 To CC</t>
  </si>
  <si>
    <t>24-05-2002 Salary For May 2002</t>
  </si>
  <si>
    <t>24-05-2002 000415386416 : Autosweep to</t>
  </si>
  <si>
    <t>27-06-2002 Salary For June 2002</t>
  </si>
  <si>
    <t>27-06-2002 000415403630 : Autosweep to</t>
  </si>
  <si>
    <t>05-07-2002 HO Cash Reimb for 05 July20</t>
  </si>
  <si>
    <t>23-07-2002 Salary For July 2002</t>
  </si>
  <si>
    <t>23-07-2002 000415417985 : Autosweep to</t>
  </si>
  <si>
    <t>02-08-2002 ATM/CASH WDL/20020802174913/0</t>
  </si>
  <si>
    <t>06-08-2002 LIC</t>
  </si>
  <si>
    <t>06-08-2002 000415417985 : Rev sweep from</t>
  </si>
  <si>
    <t>21-08-2002 Expense reimbursement 10Aug</t>
  </si>
  <si>
    <t>23-08-2002 Salary For August 2002</t>
  </si>
  <si>
    <t>23-08-2002 000415434429 : Autosweep to</t>
  </si>
  <si>
    <t>31-08-2002 000401043279:Int.Pd: 01-03-2002 to 31-08-2002</t>
  </si>
  <si>
    <t>23-09-2002 Salary For September 2002</t>
  </si>
  <si>
    <t>23-09-2002 000415450766 : Autosweep to</t>
  </si>
  <si>
    <t>11-10-2002 Expense reimbursement 10OCt</t>
  </si>
  <si>
    <t>17-10-2002 ATM/CASH WDL/20021017201118/0</t>
  </si>
  <si>
    <t>23-10-2002 Salary For OCtober 2002</t>
  </si>
  <si>
    <t>23-10-2002 SWEEP TRANSFER TO [000415467616]</t>
  </si>
  <si>
    <t>06-11-2002 LIC</t>
  </si>
  <si>
    <t>22-11-2002 Salary For November 2002</t>
  </si>
  <si>
    <t>22-11-2002 000415485461 :  Autosweep to</t>
  </si>
  <si>
    <t>28-11-2002 ATM/CASH WDL/20021128200820/0</t>
  </si>
  <si>
    <t>28-11-2002 ATM/CASH WDL/20021128200926/0</t>
  </si>
  <si>
    <t>09-12-2002 ATM/CASH WDL/20021209183144/0</t>
  </si>
  <si>
    <t>09-12-2002 000415485652 FD Closure Cr.</t>
  </si>
  <si>
    <t>26-12-2002 Salary For DeCember 2002</t>
  </si>
  <si>
    <t>26-12-2002 000415504452 :  Autosweep to</t>
  </si>
  <si>
    <t>24-01-2003 Salary For January 2003</t>
  </si>
  <si>
    <t>24-01-2003 000415522150 :  Autosweep to</t>
  </si>
  <si>
    <t>28-01-2003 ICICI BANK LTD BONDS</t>
  </si>
  <si>
    <t>28-01-2003 000415522150 : Rev sweep from</t>
  </si>
  <si>
    <t>28-01-2003 000415504829 Reverse Sweep from</t>
  </si>
  <si>
    <t>28-01-2003 000415504452 Reverse Sweep from</t>
  </si>
  <si>
    <t>28-01-2003 000415485652 FD Closure Cr.</t>
  </si>
  <si>
    <t>03-02-2003 LIC</t>
  </si>
  <si>
    <t>04-02-2003 LIC OF IND</t>
  </si>
  <si>
    <t>04-02-2003 000415485652 Reverse Sweep from</t>
  </si>
  <si>
    <t>04-02-2003 000415485461 Reverse Sweep from</t>
  </si>
  <si>
    <t>07-02-2003 IDBI</t>
  </si>
  <si>
    <t>07-02-2003 000415467896 Reverse Sweep from</t>
  </si>
  <si>
    <t>26-02-2003 SAL FEB 2003</t>
  </si>
  <si>
    <t>26-02-2003 000415541801 :  Autosweep to</t>
  </si>
  <si>
    <t>01-03-2003 INF/INT. ON ICICI BONDS 2012678924/0</t>
  </si>
  <si>
    <t>01-03-2003 INF/INT. ON ICICI BONDS 2012678837/0</t>
  </si>
  <si>
    <t>03-03-2003 000401043279:Int.Pd:01-09-2002 to 28-02-2003</t>
  </si>
  <si>
    <t>28-03-2003 Salary For MarCh 2003</t>
  </si>
  <si>
    <t>28-03-2003 000415563913 :  Autosweep to</t>
  </si>
  <si>
    <t>10-04-2003 GRUH FIN LTD</t>
  </si>
  <si>
    <t>10-04-2003 000415563913 : Rev sweep from</t>
  </si>
  <si>
    <t>25-04-2003 Salary For April 2003</t>
  </si>
  <si>
    <t>25-04-2003 000415583393 :  Autosweep to</t>
  </si>
  <si>
    <t>03-05-2003 GRUH FIN LTD</t>
  </si>
  <si>
    <t>03-05-2003 000415587632 : Rev sweep from</t>
  </si>
  <si>
    <t>08-05-2003 LIC</t>
  </si>
  <si>
    <t>08-05-2003 000415587632 : Rev sweep from</t>
  </si>
  <si>
    <t>27-05-2003 Salary For May 2003</t>
  </si>
  <si>
    <t>27-05-2003 000415606539 :  Autosweep to</t>
  </si>
  <si>
    <t>09-06-2003 GRUH FIN  L</t>
  </si>
  <si>
    <t>09-06-2003 000415606539 : Rev sweep from</t>
  </si>
  <si>
    <t>09-06-2003 000415605324 FD Closure Cr.</t>
  </si>
  <si>
    <t>27-06-2003 SALARY FOR THE MON JUN 03</t>
  </si>
  <si>
    <t>27-06-2003 000415631056 :  Autosweep to</t>
  </si>
  <si>
    <t>10-07-2003 GRUH FIN LTD</t>
  </si>
  <si>
    <t>10-07-2003 000415631056 : Rev sweep from</t>
  </si>
  <si>
    <t>10-07-2003 000415630435 : Rev sweep from</t>
  </si>
  <si>
    <t>23-07-2003 Salary For July 2003</t>
  </si>
  <si>
    <t>23-07-2003 000415653019 :  Autosweep to</t>
  </si>
  <si>
    <t>05-08-2003 GRUN LTD</t>
  </si>
  <si>
    <t>05-08-2003 000415653019 : Rev sweep from</t>
  </si>
  <si>
    <t>05-08-2003 000415652810 : Rev sweep from</t>
  </si>
  <si>
    <t>21-08-2003 LIC</t>
  </si>
  <si>
    <t>21-08-2003 000415652810 Reverse Sweep from</t>
  </si>
  <si>
    <t>22-08-2003 SALARY FOR AUGUST 2003</t>
  </si>
  <si>
    <t>22-08-2003 000415678070 :  Autosweep to</t>
  </si>
  <si>
    <t>30-08-2003 000401043279:Int.Pd:01-03-2003 to 31-08-2003</t>
  </si>
  <si>
    <t>04-09-2003 GRUH FIN</t>
  </si>
  <si>
    <t>04-09-2003 000415678747 : Rev sweep from</t>
  </si>
  <si>
    <t>24-09-2003 Salary For September 2003</t>
  </si>
  <si>
    <t>27-09-2003 000415706827 :  Autosweep to</t>
  </si>
  <si>
    <t>08-10-2003 GRUH FIN</t>
  </si>
  <si>
    <t>08-10-2003 000415706827 : Rev sweep from</t>
  </si>
  <si>
    <t>08-10-2003 000415704283 : Rev sweep from</t>
  </si>
  <si>
    <t>21-10-2003 Salary For OCtober 2003</t>
  </si>
  <si>
    <t>27-10-2003 000415731730 :  Autosweep to</t>
  </si>
  <si>
    <t>03-11-2003 LIC</t>
  </si>
  <si>
    <t>03-11-2003 000415731730 : Rev sweep from</t>
  </si>
  <si>
    <t>05-11-2003 GRUH FINANCE LTD</t>
  </si>
  <si>
    <t>05-11-2003 000415731730 : Rev sweep from</t>
  </si>
  <si>
    <t>05-11-2003 000415729181 : Rev sweep from</t>
  </si>
  <si>
    <t>05-11-2003 000415729054 : Rev sweep from</t>
  </si>
  <si>
    <t>25-11-2003 Salary For November 2003</t>
  </si>
  <si>
    <t>27-11-2003 USD 5000 RT 45.50</t>
  </si>
  <si>
    <t>29-11-2003 000415762805 :  Autosweep to</t>
  </si>
  <si>
    <t>04-12-2003 GRUH FIN</t>
  </si>
  <si>
    <t>04-12-2003 000415762805 : Rev sweep from</t>
  </si>
  <si>
    <t>04-12-2003 USD6000@45.3X10198791</t>
  </si>
  <si>
    <t>06-12-2003 000415772375 :  Autosweep to</t>
  </si>
  <si>
    <t>24-12-2003 Salary For December 2003</t>
  </si>
  <si>
    <t>27-12-2003 000415786617 :  Autosweep to</t>
  </si>
  <si>
    <t>30-12-2003 KESARI TOUR P LT</t>
  </si>
  <si>
    <t>30-12-2003 000415786617 : Rev sweep from</t>
  </si>
  <si>
    <t>01-01-2004 GRUH FIN LTD</t>
  </si>
  <si>
    <t>01-01-2004 000415772375 : Rev sweep from</t>
  </si>
  <si>
    <t>02-01-2004 SANTOSH MURKUTE</t>
  </si>
  <si>
    <t>02-01-2004 000415772375 : Rev sweep from</t>
  </si>
  <si>
    <t>03-01-2004 ATM/CASH WDL/20040103183405/1</t>
  </si>
  <si>
    <t>03-01-2004 000415772375 : Rev sweep from</t>
  </si>
  <si>
    <t>05-01-2004 LIC</t>
  </si>
  <si>
    <t>05-01-2004 000415772375 FD Closure Cr.</t>
  </si>
  <si>
    <t>13-01-2004 ATM/CASH WDL/20040113181100/0</t>
  </si>
  <si>
    <t>13-01-2004 000415772375 FD Closure Cr.</t>
  </si>
  <si>
    <t>21-01-2004 KESARI TOURS</t>
  </si>
  <si>
    <t>21-01-2004 000415772375 : Rev sweep from</t>
  </si>
  <si>
    <t>21-01-2004 ATM/CASH WDL/20040121191751/0</t>
  </si>
  <si>
    <t>21-01-2004 000415772375 FD Closure Cr.</t>
  </si>
  <si>
    <t>24-01-2004 IDBI</t>
  </si>
  <si>
    <t>24-01-2004 000415772375 : Rev sweep from</t>
  </si>
  <si>
    <t>27-01-2004 Salary For January 2004</t>
  </si>
  <si>
    <t>31-01-2004 000415818496 :  Autosweep to</t>
  </si>
  <si>
    <t>04-02-2004 IDBI FLEXIBONDS</t>
  </si>
  <si>
    <t>04-02-2004 LIC</t>
  </si>
  <si>
    <t>04-02-2004 GRUH FINANCE LTD</t>
  </si>
  <si>
    <t>04-02-2004 000415818496: Rev Sweep From</t>
  </si>
  <si>
    <t>04-02-2004 000415772375: Rev Sweep From</t>
  </si>
  <si>
    <t>04-02-2004 000415772375 : Rev sweep from</t>
  </si>
  <si>
    <t>09-02-2004 ATM/CASH WDL/20040209160541/2</t>
  </si>
  <si>
    <t>09-02-2004 000415772375: Rev Sweep From</t>
  </si>
  <si>
    <t>12-02-2004 KARTIK ELECTRONICS</t>
  </si>
  <si>
    <t>12-02-2004 000415772375: Rev Sweep From</t>
  </si>
  <si>
    <t>17-02-2004 STAR VISION CABLE NET WORK</t>
  </si>
  <si>
    <t>19-02-2004 000415772375 : Rev sweep from</t>
  </si>
  <si>
    <t>24-02-2004 Salary of Officer&amp;Field for Fe</t>
  </si>
  <si>
    <t>28-02-2004 INT. ON ICICI BONDS 2012678837</t>
  </si>
  <si>
    <t>28-02-2004 INT. ON ICICI BONDS 2012678924</t>
  </si>
  <si>
    <t>28-02-2004 INT. ON ICICI BONDS 3014067111</t>
  </si>
  <si>
    <t>28-02-2004 000401043279:Int.Pd:01-09-2003 to 29-02-2004</t>
  </si>
  <si>
    <t>28-02-2004 000415841904 :  Autosweep to</t>
  </si>
  <si>
    <t>03-03-2004 KARTIK ELECTRONICS</t>
  </si>
  <si>
    <t>04-03-2004 GRUH FIN LTD</t>
  </si>
  <si>
    <t>04-03-2004 000415841904: Rev Sweep From</t>
  </si>
  <si>
    <t>05-03-2004 042018/(HDF)</t>
  </si>
  <si>
    <t>12-03-2004 ATM/CASH WDL/20040312190455/1</t>
  </si>
  <si>
    <t>12-03-2004 000415541801: Rev Sweep From</t>
  </si>
  <si>
    <t>12-03-2004 000415541394: Rev Sweep From</t>
  </si>
  <si>
    <t>12-03-2004 000415541394 : Rev sweep from</t>
  </si>
  <si>
    <t>12-03-2004 000415541801 : Rev sweep from</t>
  </si>
  <si>
    <t>23-03-2004 BHARAT SEWING</t>
  </si>
  <si>
    <t>23-03-2004 000415541394: Rev Sweep From</t>
  </si>
  <si>
    <t>23-03-2004 000415772375: Rev Sweep From</t>
  </si>
  <si>
    <t>23-03-2004 000415541394 : Rev sweep from</t>
  </si>
  <si>
    <t>23-03-2004 000415772375 : Rev sweep from</t>
  </si>
  <si>
    <t>25-03-2004 NAAG ENGG WORKS</t>
  </si>
  <si>
    <t>25-03-2004 000415772375: Rev Sweep From</t>
  </si>
  <si>
    <t>25-03-2004 000415772375 : Rev sweep from</t>
  </si>
  <si>
    <t>29-03-2004 Salary For March 2004</t>
  </si>
  <si>
    <t>01-04-2004 ATM/CASH WDL/20040401163034/0</t>
  </si>
  <si>
    <t>Home lock</t>
  </si>
  <si>
    <t>Dish washer</t>
  </si>
  <si>
    <t xml:space="preserve">BIL/NSP/DA18331250/ICIC0SF0002/VINAY MAHAJA       </t>
  </si>
  <si>
    <t xml:space="preserve">BIL/NSP/DA18331389/ICIC0SF0002/VYOM VINAY M       </t>
  </si>
  <si>
    <t>BIL/NEFT/HS92400127980779/HDFC0000652/VYOM VINAY M</t>
  </si>
  <si>
    <t>UPI/436796129262/c305 Jan2024/nareshvemula749/State Bank Of I/ICId28d86fd77f947</t>
  </si>
  <si>
    <t>BIL/NEFT/HS92400228235240/C305 Jan2024/RTABOWA - /</t>
  </si>
  <si>
    <t>BIL/NEFT/HS92400328452426/Aai heart opera/GSM LIFE</t>
  </si>
  <si>
    <t>UPI/400337695215/printing/vyapar.16970526/HDFC BANK LTD/ICIcd89f9f0f7294f71950c</t>
  </si>
  <si>
    <t>UPI/437198092423/cells/paytmqr1kat5omv/Paytm Payments /ICI3a4e95b762ef4aea9e4ec</t>
  </si>
  <si>
    <t>UPI/437143403942/vegetables/paytmqr1x2lhlo2/Paytm Payments /ICIc7d7afe1a695498f</t>
  </si>
  <si>
    <t>BIL/NEFT/HS92400628906861/HDFC0000652/Vinay Naraya</t>
  </si>
  <si>
    <t>ACH/LIC OF INDIA/ICIC7010805230002936/929815129012</t>
  </si>
  <si>
    <t>ACH/LIC OF INDIA/ICIC7010305230009332/916938297012</t>
  </si>
  <si>
    <t>UPI/400768866444/taxi/etricmobilityso/HDFC BANK LTD/ICI15d9fcb2ee994c5587138fd0</t>
  </si>
  <si>
    <t>UPI/400750182236/Pay to BharatPe/bharatpe.900685/Federal Bank/ICId83ceb9a7b464b</t>
  </si>
  <si>
    <t>UPI/400739682706/UPI/gargi24@okicici/ICICI Bank/ICIde7d2e598d6a42c9988c7e15d535</t>
  </si>
  <si>
    <t>UPI/437399091451/lock/jeetendra@okhdf/HDFC BANK LTD/ICI5a17a3c2d6714cd3bb14e9dd</t>
  </si>
  <si>
    <t xml:space="preserve">BIL/NSP/DAC0499441/ICIC0SF0002/VINAY MAHAJA       </t>
  </si>
  <si>
    <t>UPI/437401633746/Swiss visa/msavatarphotost/ICICI Bank/ICIbe264d3a5b0343f683d15</t>
  </si>
  <si>
    <t>UPI/400913651167/parking/q019544181@ybl/Yes Bank Ltd/ICI3ef6a9a8d0b044d1ae61d69</t>
  </si>
  <si>
    <t xml:space="preserve">TRF TO FD no. 000413526443                        </t>
  </si>
  <si>
    <t>UPI/438086685600/UPI Transaction/airtelpaymentsb/INDUSIND BANK/PPPL189545525131</t>
  </si>
  <si>
    <t xml:space="preserve">BIL/NSP/DAJ2058653/ICIC0SF0002/VINAY MAHAJA       </t>
  </si>
  <si>
    <t>UPI/438116249353/Payment for 701/decathlon@ybl/Yes Bank Ltd/ICIcf9af541db2a4f56</t>
  </si>
  <si>
    <t>UPI/401559346368/Payment for 701/decathlon@ybl/Yes Bank Ltd/ICId54717d16bdd4e96</t>
  </si>
  <si>
    <t>UPI/401629486563/UPI/compassindiafoo/HDFC BANK LTD/PINELABPOSDQR423103072661212</t>
  </si>
  <si>
    <t>UPI/401766026270/UPI/compassindiafoo/HDFC BANK LTD/PINELABPOSDQR423573122700743</t>
  </si>
  <si>
    <t xml:space="preserve">BIL/INFT/DAQ3316645/VINAYSIP                      </t>
  </si>
  <si>
    <t xml:space="preserve">CMS/001364575226/ICICIPRULIFEINS__24511656        </t>
  </si>
  <si>
    <t xml:space="preserve">000413526443: Rev Sweep From                      </t>
  </si>
  <si>
    <t xml:space="preserve">000413526443: Closure Proceeds                    </t>
  </si>
  <si>
    <t>UPI/439024535222/c305 sept2023 t/7989495557@axl/Punjab National/ICI4493012f5edc</t>
  </si>
  <si>
    <t xml:space="preserve">NEFT-CITIN24410944870-NOVARTIS HEALTHCARE PRIVATE LIMITED-SALARY FOR THE MONTH </t>
  </si>
  <si>
    <t xml:space="preserve">SRS/EUR151.36@90.2917GST45/INREM/20240125171456   </t>
  </si>
  <si>
    <t>ACH/LIC OF INDIA/ICIC7010805230002983/902169431012</t>
  </si>
  <si>
    <t>UPI/439479673919/paneer/q031609182@ybl/Yes Bank Ltd/ICI800398a019d644cb8b3dd22c</t>
  </si>
  <si>
    <t>UPI/402811585374/dish washer/pmsmudhiraj236@/Bank of India/ICI657cb0b4490f4bcba</t>
  </si>
  <si>
    <t xml:space="preserve">CMS/001367723100/BF-IC__40491262475               </t>
  </si>
  <si>
    <t xml:space="preserve">BIL/INFT/DAX4471169/VINAYSIP                      </t>
  </si>
  <si>
    <t>UPI/439539311848/curd/paytmqr28100505/Paytm Payments /ICIb95ce3dafc3d4bef952197</t>
  </si>
  <si>
    <t xml:space="preserve">CMS/001368024718/ICICIPRULIFEINS__21131016        </t>
  </si>
  <si>
    <t>UPI/439627555104/UPI/compassindiafoo/HDFC BANK LTD/PINELABPOSDQR423103072661212</t>
  </si>
  <si>
    <t>50400300750551- RD INSTALLMENT-JAN 2024</t>
  </si>
  <si>
    <t>NEFT CR-ICIC0SF0002-VINAY N MAHAJAN-VINAY NARAYAN MAHAJAN-HS92400628906861</t>
  </si>
  <si>
    <t>BIL/NEFT/HS92400328454823/Aaji pacemaker/GSM LIFEC</t>
  </si>
  <si>
    <t xml:space="preserve">CMS/ CMS3840766016/ICICI PRUDENTIAL MUTUAL FUND   </t>
  </si>
  <si>
    <t xml:space="preserve">CMS/001364575236/ICICIPRULIFEINS__24516375        </t>
  </si>
  <si>
    <t>UPI/402993896408/Upi Mandate/netflix2.payu@i/ICICI Bank/ICI82c25562b4ed4390bf9b</t>
  </si>
  <si>
    <t xml:space="preserve">CMS/001368024715/ICICIPRULIFEINS__21130963        </t>
  </si>
  <si>
    <t>UPI-SHEETAL SANJAY THORA-SHEETAL13.ST@OKSBI-SBIN0006249-400116021442-UPI</t>
  </si>
  <si>
    <t>ACH D- INDIAN CLEARING CORP-TAX6TEPADEGR</t>
  </si>
  <si>
    <t>ACH D- INDIAN CLEARING CORP-TRFRPG513J1N</t>
  </si>
  <si>
    <t>ACH D- INDIAN CLEARING CORP-BXGN9AVE8HJF</t>
  </si>
  <si>
    <t>ACH D- INDIAN CLEARING CORP-7XN49SJ7ZYK3</t>
  </si>
  <si>
    <t>UPI-ACT BROADBAND-PAYTM-ACTHYD2@PAYTM-PYTM0123456-400267910869-OIDCWPGR-20588737@</t>
  </si>
  <si>
    <t>UPI-FUELADREAM ONLINE VE-BASISPAY3459@ICICI-ICIC0DC0099-400274483427-UPI</t>
  </si>
  <si>
    <t>ACH D- INDIAN CLEARING CORP-5OEYLMIPA1KV</t>
  </si>
  <si>
    <t>ACH D- INDIAN CLEARING CORP-IMQZMWCELPZS</t>
  </si>
  <si>
    <t>ACH D- INDIAN CLEARING CORP-QNX13OTCL5R4</t>
  </si>
  <si>
    <t>NEFT CR-CITI0100000-BMS BUSINESS SERVICES INDIA PVT LTD-VARSHA MAHAJAN-CITIN24402342613</t>
  </si>
  <si>
    <t>ACH D- INDIAN CLEARING CORP-ZQQI7BEIJ3VN</t>
  </si>
  <si>
    <t>ACH D- INDIAN CLEARING CORP-12JZ684S1LLX</t>
  </si>
  <si>
    <t>ACH D- INDIAN CLEARING CORP-JVL1XCAXLAGZ</t>
  </si>
  <si>
    <t>ACH D- INDIAN CLEARING CORP-65QMZUMSY4BF</t>
  </si>
  <si>
    <t>ACH D- INDIAN CLEARING CORP-CLC9WMFXMWUS</t>
  </si>
  <si>
    <t>ACH D- INDIAN CLEARING CORP-C3NPJ2O2J435</t>
  </si>
  <si>
    <t>UPI-URBAN COMPANY-URBANCOMPANY.RZP@ICICI-ICIC0DC0099-400743498153-UPI</t>
  </si>
  <si>
    <t>UPI-SATYANARAYAN S MISHR-MSATYANARAYAN176@OKSBI-UBIN0567019-400743582083-UPI</t>
  </si>
  <si>
    <t>UPI-VENUSLABMULUNDOKAXIS-VENUSLABMULUND@OKAXIS-BCBM0000006-437304375956-PATHOLOGY</t>
  </si>
  <si>
    <t>UPI-SATYANARAYAN S MISHR-MSATYANARAYAN176@OKSBI-UBIN0567019-400768231721-CARPENTER</t>
  </si>
  <si>
    <t>ACH D- INDIAN CLEARING CORP-WW5WHAUUM9H3</t>
  </si>
  <si>
    <t>ACH D- INDIAN CLEARING CORP-WJ2O5KO2S34W</t>
  </si>
  <si>
    <t>UPI-SHIVRAJ-MSWIPE.1400031723004740@KOTAK-KKBK0000958-400895038858-GROCERY</t>
  </si>
  <si>
    <t>ACH D- INDIAN CLEARING CORP-XPN55XESDQAG</t>
  </si>
  <si>
    <t>ACH D- INDIAN CLEARING CORP-7I8XS9TT87GC</t>
  </si>
  <si>
    <t>ACH D- INDIAN CLEARING CORP-R1PQ7XZ26TY1</t>
  </si>
  <si>
    <t>UPI-ANKIT NARESH MEHTA-9833303070@PAYTM-ICIC0003611-400918846874-UPI</t>
  </si>
  <si>
    <t>UPI-ISHWAR GAMI-PAYTMQRDPYVXNU5Y4@PAYTM-PYTM0123456-400919095105-UPI</t>
  </si>
  <si>
    <t>ACH D- INDIAN CLEARING CORP-I7TPDB61B1HP</t>
  </si>
  <si>
    <t>ACH D- INDIAN CLEARING CORP-MHRFLVDU4UQ7</t>
  </si>
  <si>
    <t>ACH D- INDIAN CLEARING CORP-HE6O2DKU56LE</t>
  </si>
  <si>
    <t>UPI-O CAKES   MULUND WES-Q92624319@YBL-YESB0YBLUPI-401124441580-CAKE</t>
  </si>
  <si>
    <t>ACH D- INDIAN CLEARING CORP-4VTDISGQM9FU</t>
  </si>
  <si>
    <t>UPI-KRISHNA MEDICO-PAYTMQR1XRSH608PG@PAYTM-PYTM0123456-401230217517-MEDICAL BILL</t>
  </si>
  <si>
    <t>UPI-SHEETAL SANJAY THORA-SHEETAL13.ST@OKSBI-SBIN0006249-401236974061-JAN 1ST TO JAN 13T</t>
  </si>
  <si>
    <t>UPI-PAWAN KUMAR MISHRA-9695504399@YBL-SBIN0015137-401239201601-UPI</t>
  </si>
  <si>
    <t>ACH D- INDIAN CLEARING CORP-XDNCLCF6NTTZ</t>
  </si>
  <si>
    <t>ACH D- INDIAN CLEARING CORP-TKRVGQ5QPE7M</t>
  </si>
  <si>
    <t>UPI-MC DONALDS-MCDONALDS.42516557@HDFCBANK-HDFC0000001-401368818709-UPI</t>
  </si>
  <si>
    <t>ACH D- INDIAN CLEARING CORP-Z5BXEP72EK64</t>
  </si>
  <si>
    <t>UPI-VOGUE SALON AND BEAU-VOGUE.SALON@ICICI-ICIC0DC0099-401495760712-SALON</t>
  </si>
  <si>
    <t>UPI-ZEPTONOW-ZEPTONOWCASHFREE@HDFCBANK-HDFC0004460-401418480452-UPI</t>
  </si>
  <si>
    <t>ACH D- INDIAN CLEARING CORP-2XPQIEE6L9HM</t>
  </si>
  <si>
    <t>ACH D- INDIAN CLEARING CORP-UHJW2PWMMH73</t>
  </si>
  <si>
    <t>ACH D- INDIAN CLEARING CORP-WK7MV2A776RC</t>
  </si>
  <si>
    <t>ACH D- INDIAN CLEARING CORP-1I4IS7MHPGXI</t>
  </si>
  <si>
    <t>ACH D- INDIAN CLEARING CORP-XE6NNRB9D854</t>
  </si>
  <si>
    <t>UPI-INGRENATION HOSPITAL-Q26469769@YBL-YESB0YBLUPI-401556967267-UPI</t>
  </si>
  <si>
    <t>UPI-GOOGLEPAY-GOOG-PAYMENT@OKAXIS-UTIB0000553-401556882819-UPI</t>
  </si>
  <si>
    <t>UPI-GOOGLEPAY-GOOG-PAYMENT@OKAXIS-UTIB0000553-401556883738-UPI</t>
  </si>
  <si>
    <t>UPI-SHAIBAZ ABDUL GANI P-SHAIBAZPAWASKAR8910@OKSBI-UBIN0531588-401559181239-UPI</t>
  </si>
  <si>
    <t>UPI-RAZORPAY-PG.RAZORPAY@AXISBANK-UTIB0001506-401557437034-LICIOUS REFUND MIZ</t>
  </si>
  <si>
    <t>ACH D- INDIAN CLEARING CORP-1V5YCKH6TTAH</t>
  </si>
  <si>
    <t>UPI-SAIKIRAN ANCHUR-SAIKIRANANCHUR5618@OKHDFCBANK-HDFC0000039-401684512607-BROWNIES</t>
  </si>
  <si>
    <t>UPI-T  RAMU-RAMUMUDIRAJ95151@YBL-SBIN0007081-401693849460-UPI</t>
  </si>
  <si>
    <t>ACH D- INDIAN CLEARING CORP-4FI4LTW29OVV</t>
  </si>
  <si>
    <t>UPI-FLIPKART INTERNET PV-FLIPKART.PAYU@ICICI-ICIC0DC0099-401716755157-UPI TRANSACTION FO</t>
  </si>
  <si>
    <t>UPI-BIGBASKET-BIGBASKET1@PAYTM-PYTM0123456-401846600996-UPI</t>
  </si>
  <si>
    <t>ACH D- INDIAN CLEARING CORP-Y52JAZMBKEP9</t>
  </si>
  <si>
    <t>UPI-AUSULA SHIVA PRASAD -SHIVAPRASAD1943-1@OKSBI-SBIN0017745-401856297367-TIP</t>
  </si>
  <si>
    <t>ACH D- INDIAN CLEARING CORP-9ZBUF115YW4Q</t>
  </si>
  <si>
    <t>ACH D- INDIAN CLEARING CORP-2O7IJT5O2O2Q</t>
  </si>
  <si>
    <t>ACH D- INDIAN CLEARING CORP-TP4SJY43X5QZ</t>
  </si>
  <si>
    <t>UPI-SHAIBAZ ABDUL GANI P-SHAIBAZPAWASKAR8910@OKSBI-UBIN0531588-402038335432-UPI</t>
  </si>
  <si>
    <t>UPI-GEDDIT CONVENIENCE P-PAYTM-66490784@PAYTM-PYTM0123456-402153236442-UPI</t>
  </si>
  <si>
    <t>ACH D- INDIAN CLEARING CORP-W4NZ68XFXXA7</t>
  </si>
  <si>
    <t>UPI-KASHISH   FATIMA-KASHISHF936@OKICICI-KKBK0007487-402173234078-UPI</t>
  </si>
  <si>
    <t>UPI-AMAZING BOUTIQUE-MDYSKHADEER007.AB-1@OKAXIS-HDFC0003739-402173299943-UPI</t>
  </si>
  <si>
    <t>ACH D- INDIAN CLEARING CORP-UZ87O7ZOWOA1</t>
  </si>
  <si>
    <t>ACH D- INDIAN CLEARING CORP-NBHWWV6WFQSL</t>
  </si>
  <si>
    <t>ACH D- INDIAN CLEARING CORP-D6YGRS5WRKSW</t>
  </si>
  <si>
    <t>ACH D- INDIAN CLEARING CORP-4Z7ZAYDGL8UP</t>
  </si>
  <si>
    <t>ACH D- INDIAN CLEARING CORP-3EER43EH6T87</t>
  </si>
  <si>
    <t>UPI-BHARTI AIRTEL LIMITE-AIRTELCOMMONPOOL@MAIRTEL-AIRP0000001-402310402418-PAYMENT FROM AIRTE</t>
  </si>
  <si>
    <t>UPI-BOOKMYSHOW-BOOKMYSHOW.UPI@ICICI-ICIC0DC0099-402375382359-PAY VIA RAZORPAY</t>
  </si>
  <si>
    <t>00600310040071-2023032828880</t>
  </si>
  <si>
    <t>00600310040071-2023032828881</t>
  </si>
  <si>
    <t>00600310040071-2023032828882</t>
  </si>
  <si>
    <t>ACH D- INDIAN CLEARING CORP-V7CX6KJ5XXHK</t>
  </si>
  <si>
    <t>UPI-PANDIREKI AMBIKA BHA-BHAVANIAMBIKA093@OKAXIS-UTIB0000030-402462205482-PAY BY WHATSAPP</t>
  </si>
  <si>
    <t>UPI-PANDIREKI AMBIKA BHA-BHAVANIAMBIKA093@OKAXIS-UTIB0000030-402462209847-PAY BY WHATSAPP</t>
  </si>
  <si>
    <t>UPI-PANDIREKI AMBIKA BHA-BHAVANIAMBIKA093@OKAXIS-UTIB0000030-402462228239-PAY BY WHATSAPP</t>
  </si>
  <si>
    <t>UPI-KARACHI BAKERY-KARACHIBAKERY.42606628@HDFCBANK-HDFC0000001-402468832789-PAY BY WHATSAPP</t>
  </si>
  <si>
    <t>00600310040071-2023032830068</t>
  </si>
  <si>
    <t>ACH D- INDIAN CLEARING CORP-29JEWU5HQXJ1</t>
  </si>
  <si>
    <t>ACH D- INDIAN CLEARING CORP-K52MR1GB3PNO</t>
  </si>
  <si>
    <t>UPI-RAZORPAY LICIOUS-RAZORPAY.LICIOUS@HDFCBANK-HDFC0000499-402795854679-UPI INTENT</t>
  </si>
  <si>
    <t>ACH D- INDIAN CLEARING CORP-XIK9X759Y27B</t>
  </si>
  <si>
    <t>ACH D- INDIAN CLEARING CORP-1RS4MKAYE6WF</t>
  </si>
  <si>
    <t>UPI-BIGTREE ENTERTAINMEN-BOOKMYSHOW@AXB-UTIB0000100-402943191008-UPI</t>
  </si>
  <si>
    <t>NEFT CR-CITI0100000-BMS BUSINESS SERVICES INDIA PVT LTD-VARSHA MAHAJAN-CITIN24411692832 SALARY FOR THE MONTH OF JAN 24</t>
  </si>
  <si>
    <t>UPI-SREE LAXMI SAI FOODS-VYAPAR.169230074795@HDFCBANK-HDFC0000001-402950762077-UPI</t>
  </si>
  <si>
    <t>UPI-BHARTI AIRTEL LIMITE-AIRTELCOMMONPOOL@MAIRTEL-AIRP0000001-403016878594-PAYMENT FROM AIRTE</t>
  </si>
  <si>
    <t>UPI-XXXXXX5813-CBIN0281615-439627707113-NA</t>
  </si>
  <si>
    <t>NEFT CR-CITI0100000-BMS BUSINESS SERVICES INDIA PVT LTD-VARSHA MAHAJAN-CITIN24415414830</t>
  </si>
  <si>
    <t>UPI-PANDIREKI AMBIKA BHA-BHAVANIAMBIKA093@OKAXIS-UTIB0000030-403118872684-UPI</t>
  </si>
  <si>
    <t>Aai heart - Vinay and Varsha</t>
  </si>
  <si>
    <t>Aai heart - may get reimbursed</t>
  </si>
  <si>
    <t>Xcent sold for 3 Lacs</t>
  </si>
  <si>
    <t>TS 07 EF 8186</t>
  </si>
  <si>
    <t>TS 07 FN 9828</t>
  </si>
  <si>
    <t>Creta</t>
  </si>
  <si>
    <t>Booked Creta on 5th Feb 2024</t>
  </si>
  <si>
    <t>Baba phone</t>
  </si>
  <si>
    <t>BIL/INFT/DB15338994/VyomICICI VYOM VINAY MAHA</t>
  </si>
  <si>
    <t>BIL/NEFT/HS92403231415775/VyomHDFC/VYOM VINAY M/HDFC0000652</t>
  </si>
  <si>
    <t>UPI/439980172185/c305 Feb2024/nareshvemula749/State Bank Of I/ICIb76f267e413245d08bdb4c88e98921b1/</t>
  </si>
  <si>
    <t>BIL/NEFT/HS92403331761262/C305 Feb2024/RTABOWA - /HDFC0000968</t>
  </si>
  <si>
    <t>UPI/440169085873/Hyundai creta/kununitedcartra/ICICI Bank/ICI59ff427fbe5d403a90b6540be6ec3440/</t>
  </si>
  <si>
    <t>BIL/INFT/DB56743521/VINAYSIP VINAY NARAYAN M</t>
  </si>
  <si>
    <t>BIL/NEFT/HS92403732362535/HDFC transfer/Vinay Naraya/HDFC0000652</t>
  </si>
  <si>
    <t>UPI/403741895847/c305 Feb2024/7989495557@axl/Punjab National/ICIc0ed8f3d88b04c9e8e76675bbcec7666/</t>
  </si>
  <si>
    <t>ACH/LIC OF INDIA/ICIC7010805230002943/9298151300224</t>
  </si>
  <si>
    <t>UPI/440440067540/laundry/bharatpe.010463/INDUSINDBANK/ICIcc6a3929375545789f6abe233028bbb0/</t>
  </si>
  <si>
    <t>UPI/440657557277/Sarmistha farew/anu.gadhiraju@o/ICICI Bank/ICI6bb9b31aa58d4694bd9a9238d7f5faf1/</t>
  </si>
  <si>
    <t>BIL/INFT/DBG8511412/VINAYSIP VINAY NARAYAN M</t>
  </si>
  <si>
    <t>RTGS-HDFCR52024021278869264-KUN UNITED CAR TRAX PVT LTD-00212350000356-HDFC0000240</t>
  </si>
  <si>
    <t>UPI/404537095160/UPIIntent/airtelpaymentsb/INDUSIND BANK/PPPL19178207830140224082812/</t>
  </si>
  <si>
    <t>UPI/404871475001/food/paytmqr28100505/Paytm Payments /ICIb3ec771f68fb4a9699caa95c57ff49c4/</t>
  </si>
  <si>
    <t>UPI/404889970262/Pay to BharatPe/bharatpe.900685/Federal Bank/ICI6821b1d7ea964d7d80fb7bd5508a1a09/</t>
  </si>
  <si>
    <t>UPI/404808770972/food/q200533918@ybl/Yes Bank Ltd/ICI41b8977eddea4a5eb37da9cb5d39294e/</t>
  </si>
  <si>
    <t>BIL/INFT/DBN9875977/VINAYSIP VINAY NARAYAN M</t>
  </si>
  <si>
    <t>CMS/001385825226/ICICIPRULIFEINS__24511656</t>
  </si>
  <si>
    <t>UPI/405214554078/UPIIntent/Airtel Payments/ICICI Bank/PPPL19231878563210224172122/</t>
  </si>
  <si>
    <t>UPI/441961188535/hair cut/tofeekali8431@o/Canara Bank/ICIcb8cf5088ceb4ce8ba74f36d71c1383d/</t>
  </si>
  <si>
    <t>UPI/442125488194/phone covers/MOHD ABDUL LAYE/Bombay Mercanti/ICI642041c8c12c4acb850a499e1d6b8052/</t>
  </si>
  <si>
    <t>BIL/INFT/DBU1099134/VINAYSIP VINAY NARAYAN M</t>
  </si>
  <si>
    <t>UPI/405741188167/lunch/COMPASS INDIA F/HDFC BANK LTD/PINELABPOSDQR4231030726612123058945/</t>
  </si>
  <si>
    <t>NEFT-CITIN24427570762-NOVARTIS HEALTHCARE PRIVATELIMITED-SALARY FOR THE MONTH OF FEB2024-000987704</t>
  </si>
  <si>
    <t>CMS/001389887981/BF-IC__40491262475</t>
  </si>
  <si>
    <t>CMS/001390183020/ICICIPRULIFEINS__21131016</t>
  </si>
  <si>
    <t>UPI/406025929716/UPI/COMPASS INDIA F/HDFC BANK LTD/PINELABPOSDQR4231030726612123059690/</t>
  </si>
  <si>
    <t>Creta payment</t>
  </si>
  <si>
    <t>50400300750551- RD INSTALLMENT-FEB 2024</t>
  </si>
  <si>
    <t>NEFT CR-ICIC0SF0002-VINAY N MAHAJAN-VINAY NARAYAN MAHAJAN-HS92403732362535</t>
  </si>
  <si>
    <t xml:space="preserve">CMS/ CMS3900478286/ICICI PRUDENTIAL MUTUAL FUND   </t>
  </si>
  <si>
    <t>BIL/ONL/000797924911/BBDaily/E24021663PW3IY/Bb dai</t>
  </si>
  <si>
    <t xml:space="preserve">CMS/001385825231/ICICIPRULIFEINS__24516375        </t>
  </si>
  <si>
    <t>BIL/ONL/000801603574/Life Insur/LIC_ZICI1775355/Li</t>
  </si>
  <si>
    <t xml:space="preserve">CMS/001390183015/ICICIPRULIFEINS__21130963        </t>
  </si>
  <si>
    <t>UPI/406008527385/Upi Mandate/Netflix Enterta/ICICI Bank/ICI4560253ced81434cb5a7</t>
  </si>
  <si>
    <t>ACH D- INDIAN CLEARING CORP-1CQRXDJ8FP9I</t>
  </si>
  <si>
    <t>ACH D- INDIAN CLEARING CORP-G15MV3BICK4Z</t>
  </si>
  <si>
    <t>ACH D- INDIAN CLEARING CORP-SM69UEMFSJZT</t>
  </si>
  <si>
    <t>ACH D- INDIAN CLEARING CORP-6BR6772ULCV5</t>
  </si>
  <si>
    <t>UPI-ACT BROADBAND-PAYTM-ACTHYD2@PAYTM-PYTM0123456-403457185453-OIDCWPGR-20877015@</t>
  </si>
  <si>
    <t>UPI-BUKKA SRI HARI KUMAR-SHKTKD2123@OKHDFCBANK-HDFC0004886-403431935711-VYOM MAHAJAN TAEKW</t>
  </si>
  <si>
    <t>UPI-RAZORPAY LICIOUS-RAZORPAY.LICIOUS@HDFCBANK-HDFC0000499-403460500611-UPI INTENT</t>
  </si>
  <si>
    <t>ACH D- INDIAN CLEARING CORP-A6SY9TS3TH7M</t>
  </si>
  <si>
    <t>ACH D- INDIAN CLEARING CORP-8JTGGFMLV6XP</t>
  </si>
  <si>
    <t>ACH D- INDIAN CLEARING CORP-MSS3BGA5KAFC</t>
  </si>
  <si>
    <t>ACH D- INDIAN CLEARING CORP-RP6OVKNFI8E4</t>
  </si>
  <si>
    <t>ACH D- INDIAN CLEARING CORP-48X61XI1LKM9</t>
  </si>
  <si>
    <t>ACH D- INDIAN CLEARING CORP-I4QVQQ6KQBYD</t>
  </si>
  <si>
    <t>ACH D- INDIAN CLEARING CORP-LVL3S31FP1IA</t>
  </si>
  <si>
    <t>ACH D- INDIAN CLEARING CORP-XMVUWFXWL63X</t>
  </si>
  <si>
    <t>NEFT CR-CITI0100000-BMS BUSINESS SERVICES INDIA PVT LTD-VARSHA MAHAJAN-CITIN24419133706</t>
  </si>
  <si>
    <t>ACH D- INDIAN CLEARING CORP-4VD1SHUYUC2V</t>
  </si>
  <si>
    <t>ACH D- INDIAN CLEARING CORP-J4W9FD2FC18O</t>
  </si>
  <si>
    <t>ACH D- INDIAN CLEARING CORP-KYA71FNAZVE5</t>
  </si>
  <si>
    <t>ACH D- INDIAN CLEARING CORP-4RALASI1788M</t>
  </si>
  <si>
    <t>ACH D- INDIAN CLEARING CORP-53FK4PMIUQZZ</t>
  </si>
  <si>
    <t>ACH D- INDIAN CLEARING CORP-V9T9VG6BH4OQ</t>
  </si>
  <si>
    <t>UPI-BIGTREE ENTERTAINMEN-BOOKMYSHOW@AXB-UTIB0000100-404089862222-UPI</t>
  </si>
  <si>
    <t>UPI-INDIGO-INDIGO@AXISBANK-UTIB0000000-404130388047-INTERGLOBE AVIATIO</t>
  </si>
  <si>
    <t>UPI-WOW MOMO FOODS PRIVA-AMZN-DYKAUQJQM60@YAPL-YESB0APLUPI-404116535195-FOOD</t>
  </si>
  <si>
    <t>UPI-VOGUE SALON AND BEAU-VOGUE.SALON@ICICI-ICIC0DC0099-404169768241-HAIR CUT</t>
  </si>
  <si>
    <t>ACH D- INDIAN CLEARING CORP-6UVGM8BILBY8</t>
  </si>
  <si>
    <t>UPI-ZEPTONOW-ZEPTONOWCASHFREE@HDFCBANK-HDFC0004460-404225015831-UPI</t>
  </si>
  <si>
    <t>UPI-THE AROWANA VILLA LL-Q33337563@YBL-YESB0YBLUPI-404272191537-HOTEL BOOKING</t>
  </si>
  <si>
    <t>ACH D- INDIAN CLEARING CORP-5UJRH8NB4F7K</t>
  </si>
  <si>
    <t>ACH D- INDIAN CLEARING CORP-1UNNB2CLUFEY</t>
  </si>
  <si>
    <t>ACH D- INDIAN CLEARING CORP-OKGVTY7XXTCC</t>
  </si>
  <si>
    <t>UPI-TEAM EVEREST-TEAMEVEREST.RZP@MAIRTEL-AIRP0000001-404313356252-PAYVIARAZORPAY</t>
  </si>
  <si>
    <t>ACH D- INDIAN CLEARING CORP-MRF2MP5IIIF1</t>
  </si>
  <si>
    <t>ACH D- INDIAN CLEARING CORP-78UGFZ36VZE7</t>
  </si>
  <si>
    <t>ACH D- INDIAN CLEARING CORP-BJ5W5C7ER9BW</t>
  </si>
  <si>
    <t>ACH D- INDIAN CLEARING CORP-KIKJTOHGK49W</t>
  </si>
  <si>
    <t>UPI-COMPASS INDIA FOOD S-PAYTM-33345433@PAYTM-PYTM0123456-404562291569-UPI</t>
  </si>
  <si>
    <t>ACH D- INDIAN CLEARING CORP-KXCPSQ7THTSF</t>
  </si>
  <si>
    <t>ACH D- INDIAN CLEARING CORP-4Q11LHQBONM6</t>
  </si>
  <si>
    <t>ACH D- INDIAN CLEARING CORP-9MCS38PECRNK</t>
  </si>
  <si>
    <t>ACH D- INDIAN CLEARING CORP-7NA4LZJ7L3D4</t>
  </si>
  <si>
    <t>ACH D- INDIAN CLEARING CORP-VRXI66SSF6F7</t>
  </si>
  <si>
    <t>ACH D- INDIAN CLEARING CORP-34KMYY25CIV4</t>
  </si>
  <si>
    <t>UPI-NAVEEN KUMAR POTTY-NAVBPT@OKICICI-UTIB0000027-404877409193-PHYSIOTHERAPIST</t>
  </si>
  <si>
    <t>ACH D- INDIAN CLEARING CORP-YXV5PDAJAFFA</t>
  </si>
  <si>
    <t>ACH D- INDIAN CLEARING CORP-KJSVZNS8F3AC</t>
  </si>
  <si>
    <t>ACH D- INDIAN CLEARING CORP-5HFHAIMEJMY3</t>
  </si>
  <si>
    <t>ACH D- INDIAN CLEARING CORP-TN3XG8B41KNO</t>
  </si>
  <si>
    <t>ACH D- INDIAN CLEARING CORP-PUGKRX7ES7ST</t>
  </si>
  <si>
    <t>ACH D- INDIAN CLEARING CORP-7OCTCL54VI58</t>
  </si>
  <si>
    <t>ACH D- INDIAN CLEARING CORP-W2HCZIB9K4FX</t>
  </si>
  <si>
    <t>ACH D- INDIAN CLEARING CORP-EUPS5GYVOGQK</t>
  </si>
  <si>
    <t>ACH D- INDIAN CLEARING CORP-1AKAOE9ZA8Q5</t>
  </si>
  <si>
    <t>ACH D- INDIAN CLEARING CORP-FDLGFMKC2O71</t>
  </si>
  <si>
    <t>UPI-NAVEEN KUMAR POTTY-NAVBPT@OKICICI-UTIB0000027-405485156390-UPI</t>
  </si>
  <si>
    <t>UPI-NAVEEN KUMAR POTTY-NAVBPT@OKICICI-UTIB0000027-405485190125-UPI</t>
  </si>
  <si>
    <t>ACH D- INDIAN CLEARING CORP-UBEI7CYEY1AX</t>
  </si>
  <si>
    <t>UPI-NAVEEN KUMAR POTTY-NAVBPT@OKICICI-UTIB0000027-405507876239-UPI</t>
  </si>
  <si>
    <t>UPI-VOGUE SALON AND BEAU-VOGUE.SALON@ICICI-ICIC0DC0099-405518362671-SALON</t>
  </si>
  <si>
    <t>ACH D- INDIAN CLEARING CORP-H7EJ9PSWCUAA</t>
  </si>
  <si>
    <t>ACH D- INDIAN CLEARING CORP-N3PGDJ1R7L3W</t>
  </si>
  <si>
    <t>UPI-NAVEEN KUMAR POTTY-NAVBPT@OKICICI-UTIB0000027-405776413249-UPI</t>
  </si>
  <si>
    <t>UPI-COMPASS INDIA FOOD S-PAYTM-33345433@PAYTM-PYTM0123456-405782536708-UPI</t>
  </si>
  <si>
    <t>ACH D- INDIAN CLEARING CORP-Z5F6ELV8YH8R</t>
  </si>
  <si>
    <t>ACH D- INDIAN CLEARING CORP-OAVPO5VMHATW</t>
  </si>
  <si>
    <t>UPI-NAVEEN KUMAR POTTY-NAVBPT@OKICICI-UTIB0000027-405950501866-UPI</t>
  </si>
  <si>
    <t>NEFT CR-CITI0100000-BMS BUSINESS SERVICES INDIA PVT LTD-VARSHA MAHAJAN-CITIN24431197447 SALARY FOR THE MONTH OF FEB 24</t>
  </si>
  <si>
    <t>UPI-COMPASS INDIA FOOD S-PAYTM-33345433@PAYTM-PYTM0123456-406085674798-UPI</t>
  </si>
  <si>
    <t>Nanded travel booking</t>
  </si>
  <si>
    <t>Mixer</t>
  </si>
  <si>
    <t>25 + 25 + 20 lac, then 1.25 cr, 3 years</t>
  </si>
  <si>
    <t>Nanded travel approx</t>
  </si>
  <si>
    <t>Creta payment accessories</t>
  </si>
  <si>
    <t>BIL/NEFT/HS92406134761421/VyomHDFC/VYOM VINAY M/HD</t>
  </si>
  <si>
    <t xml:space="preserve">BIL/INFT/DC12155264/VyomICICI                     </t>
  </si>
  <si>
    <t xml:space="preserve">etc prepaidrefund dtd 29022024                    </t>
  </si>
  <si>
    <t>UPI/442700410855/biscuits/UNDRU AYYAPPA/Union Bank of I/ICI2ca72a7dfb154ae0a00d</t>
  </si>
  <si>
    <t>UPI/406168514118/medicine/RAMKY TOWER/HDFC BANK LTD/ICI0e34dc54703d4cb4bbc2a8f0</t>
  </si>
  <si>
    <t>UPI/442845033985/c305 Mar2024 ca/VEMULA NARESH/State Bank Of I/ICI7775fd2afce44</t>
  </si>
  <si>
    <t>UPI/406210629999/blood report/M S MANAM HEALT/ICICI Bank/ICIf86c13e8393d4f5e997</t>
  </si>
  <si>
    <t>UPI/406265733050/medicines/M S MANAM PHARM/ICICI Bank/ICI865af93a494c4d0d84148d</t>
  </si>
  <si>
    <t>UPI/442835929407/doctor charges/M S MANAM HEALT/ICICI Bank/ICI20ca9b81ec7d4d278</t>
  </si>
  <si>
    <t>MMT/IMPS/406210129855/C305 Mar2024/RTABOWA - /HDFC</t>
  </si>
  <si>
    <t>UPI/442895765158/medicine/RAMKY TOWER/HDFC BANK LTD/ICIb829acb650ce435b812b0eb9</t>
  </si>
  <si>
    <t>UPI/442888081671/UPI/SANGANAMONI HAR/Axis Bank Ltd./ICIbf7131b8dc7348dd9108a383</t>
  </si>
  <si>
    <t xml:space="preserve">BIL/INFT/DC43229663/VINAYSIP                      </t>
  </si>
  <si>
    <t>UPI/443075040785/food/paytmqr28100505/Paytm Payments /ICI8bcdb414ce5f46beaa5304</t>
  </si>
  <si>
    <t>UPI/443128199774/medicines/manampharmacy@i/ICICI Bank/ICI65176ccdcb074f86be0f0f</t>
  </si>
  <si>
    <t>UPI/406514599144/medicines/manampharmacy@i/ICICI Bank/ICIe640126ad1a64f88b75baf</t>
  </si>
  <si>
    <t>UPI/443126400404/medicines/msmanamhealthca/ICICI Bank/ICIf5a61280fcf54e8d8c3fdb</t>
  </si>
  <si>
    <t>UPI/443128296547/medicines/manampharmacy@i/ICICI Bank/ICIc46de8c59e754d739f74d2</t>
  </si>
  <si>
    <t>BIL/NEFT/HS92406635722373/HDFC transfer/Vinay Nara</t>
  </si>
  <si>
    <t>ACH/LIC OF INDIA/ICIC7010805230001945/929815131032</t>
  </si>
  <si>
    <t xml:space="preserve">BIL/INFT/DCF5067005/VINAYSIP                      </t>
  </si>
  <si>
    <t>UPI/443821462532/UPIIntent/airtelpayments./Airtel Payments/PPPL1938479743412032</t>
  </si>
  <si>
    <t xml:space="preserve">SRS/EUR1230.08@90.1531GST189/INREM/20240312191154 </t>
  </si>
  <si>
    <t xml:space="preserve">BIL/INFT/DCM6545546/VINAYSIP                      </t>
  </si>
  <si>
    <t>UPI/407930825135/vegetables/q20082480@ybl/Yes Bank Ltd/ICI2b21d22970ba49bf8e73b</t>
  </si>
  <si>
    <t>UPI/408079587233/UPI/compassindiafoo/HDFC BANK LTD/PINELABPOSDQR000000002661212</t>
  </si>
  <si>
    <t xml:space="preserve">CMS/001408270107/ICICIPRULIFEINS__24511656        </t>
  </si>
  <si>
    <t>UPI/408229180654/c305 milk Feb20/7989495557@axl/Punjab National/ICI1f661852970e</t>
  </si>
  <si>
    <t>UPI/408264612830/laundry/bharatpe.010463/INDUSIND BANK/ICI3fc3e70e037449c2bb7cc</t>
  </si>
  <si>
    <t>UPI/444901553994/hotel booking/q33337563@ybl/Yes Bank Ltd/ICI21a7a3ede7474cf485</t>
  </si>
  <si>
    <t>UPI/408311754322/mangoes/rrrremmmm172@ok/State Bank Of I/ICI2b69bfd83d3a47f3aa4</t>
  </si>
  <si>
    <t>UPI/408381358744/food/q002445029@ybl/Yes Bank Ltd/ICI325afbd01fa04ab3b78db07979</t>
  </si>
  <si>
    <t xml:space="preserve">BIL/INFT/DCT7842965/VINAYSIP                      </t>
  </si>
  <si>
    <t>UPI/408587221286/food/lekhanathghimir/HDFC BANK LTD/ICI5309fbd184df4076ba3b8184</t>
  </si>
  <si>
    <t>UPI/445169850213/dosa batter/ayyappaundru-1@/Union Bank of I/ICI63eb97e8a926421</t>
  </si>
  <si>
    <t>UPI/408633261554/flowers/q20082480@ybl/Yes Bank Ltd/ICIa09b40b420e249bb8b8ca9e0</t>
  </si>
  <si>
    <t>NEFT-CITIN24442294221-NOVARTIS HEALTHCARE PRIVATE LIMITED-3100005195-0009877096</t>
  </si>
  <si>
    <t>UPI/445230672409/Vyom aspiration/msmanamhealthca/ICICI Bank/ICI02dc8eb243c5471a</t>
  </si>
  <si>
    <t>UPI/408602672300/vegetables/q20082480@ybl/Yes Bank Ltd/ICI7a86f887f0cb439a86fde</t>
  </si>
  <si>
    <t>NEFT-CITIN24442993179-NOVARTIS HEALTHCARE PRIVATE LIMITED-SALARY FOR MARCH 2024</t>
  </si>
  <si>
    <t xml:space="preserve">CMS/001412706970/ICICIPRULIFEINS__21131016        </t>
  </si>
  <si>
    <t xml:space="preserve">BIL/INFT/DCW8558798/Vinay Creta/                  </t>
  </si>
  <si>
    <t>UPI/408887975084/vegetables/q20082480@ybl/Yes Bank Ltd/ICI97649dc823e3445096480</t>
  </si>
  <si>
    <t xml:space="preserve">BIL/INFT/DCX8845932/Creta2024/                    </t>
  </si>
  <si>
    <t xml:space="preserve">000401043279:Int.Pd:30-12-2023 to 29-03-2024      </t>
  </si>
  <si>
    <t>UPI/409031998608/creta accessori/kununitedcartra/ICICI Bank/ICI99f84b02255a4d4e</t>
  </si>
  <si>
    <t>UPI/445741241669/bread/ayyappaundru-1@/Union Bank of I/ICI073e71f67b624727a1e06</t>
  </si>
  <si>
    <t>50400300750551- RD INSTALLMENT-MAR 2024</t>
  </si>
  <si>
    <t>NEFT CR-ICIC0SF0002-VINAY N MAHAJAN-VINAY NARAYAN MAHAJAN-HS92406635722373</t>
  </si>
  <si>
    <t>MMT/IMPS/406221332347/Aai bappa VARSH/VITHAL MAD/C</t>
  </si>
  <si>
    <t xml:space="preserve">CMS/ CMS3980296059/ICICI PRUDENTIAL MUTUAL FUND   </t>
  </si>
  <si>
    <t>BIL/ONL/000812040079/M K R EDUC/NMD8IVFWAH8ACL/Vyo</t>
  </si>
  <si>
    <t>NEFT-ICMS2403160I5WQ6-PGSMUMBAI-LIC P GS VILE PARLE MDO I-SL//-0039102000037527</t>
  </si>
  <si>
    <t xml:space="preserve">CMS/001408270112/ICICIPRULIFEINS__24516375        </t>
  </si>
  <si>
    <t xml:space="preserve">BIL/BPAY/000815234529/FastagRecharge/FSTGRCH      </t>
  </si>
  <si>
    <t xml:space="preserve">CMS/001412706966/ICICIPRULIFEINS__21130963        </t>
  </si>
  <si>
    <t>UPI/408820283338/Upi Mandate/netflix2.payu@i/ICICI Bank/ICIdbaae3c7ad2d4e28a642</t>
  </si>
  <si>
    <t xml:space="preserve">008801013248:Int.Pd:30-12-2023 to 29-03-2024      </t>
  </si>
  <si>
    <t>ACH D- INDIAN CLEARING CORP-JHKKGGBDJABM</t>
  </si>
  <si>
    <t>ACH D- INDIAN CLEARING CORP-727ATT7FGGB8</t>
  </si>
  <si>
    <t>ACH D- INDIAN CLEARING CORP-7TC3SCDWC4Q5</t>
  </si>
  <si>
    <t>UPI-BHARTI AIRTEL LIMITE-AIRTELCOMMONPOOL@MAIRTEL-AIRP0000001-406311869095-PAYMENT FROM AIRTE</t>
  </si>
  <si>
    <t>UPI-ACT BROADBAND-PAYTM-ACTHYD2@PAYTM-PYTM0123456-406356890418-NA</t>
  </si>
  <si>
    <t>UPI-BBNOW-BBNOW@YESBANK-YESB0000728-406375561338-UPI</t>
  </si>
  <si>
    <t>ACH D- INDIAN CLEARING CORP-K841YZD3C4LV</t>
  </si>
  <si>
    <t>ACH D- INDIAN CLEARING CORP-73GKHFWY4VQ6</t>
  </si>
  <si>
    <t>ACH D- INDIAN CLEARING CORP-2OEDOUSFNRLN</t>
  </si>
  <si>
    <t>ACH D- INDIAN CLEARING CORP-K1SVIG7S43JA</t>
  </si>
  <si>
    <t>UPI-N MALLESHAM-PAYTMQR8T8P1HBL3M@PAYTM-PYTM0123456-406437289518-UPI</t>
  </si>
  <si>
    <t>ACH D- INDIAN CLEARING CORP-87HK24JKAH68</t>
  </si>
  <si>
    <t>ACH D- INDIAN CLEARING CORP-93TAT63LLTSZ</t>
  </si>
  <si>
    <t>ACH D- INDIAN CLEARING CORP-MIUDX3KVV4IN</t>
  </si>
  <si>
    <t>00600310040071-2023032969367</t>
  </si>
  <si>
    <t>ACH D- INDIAN CLEARING CORP-7IGD6FLC93CE</t>
  </si>
  <si>
    <t>ACH D- INDIAN CLEARING CORP-DWK3FPYGHUIE</t>
  </si>
  <si>
    <t>ACH D- INDIAN CLEARING CORP-HABKD4WF56I2</t>
  </si>
  <si>
    <t>UPI-VOGUE SALON AND BEAU-VOGUE.SALON@ICICI-ICIC0DC0099-443340521884-SALON</t>
  </si>
  <si>
    <t>00600310040071-2023032971264</t>
  </si>
  <si>
    <t>00600310040071-2023032971237</t>
  </si>
  <si>
    <t>UPI-BIG BASKET-BIGBASKET.EBZ@HDFCBANK-HDFC0001794-406881439423-UPI</t>
  </si>
  <si>
    <t>ACH D- INDIAN CLEARING CORP-E113VTMRFC9M</t>
  </si>
  <si>
    <t>ACH D- INDIAN CLEARING CORP-7ZRXO3W787MD</t>
  </si>
  <si>
    <t>ACH D- INDIAN CLEARING CORP-C8Y3DNLNS56M</t>
  </si>
  <si>
    <t>ACH D- INDIAN CLEARING CORP-O5J2S4RD986H</t>
  </si>
  <si>
    <t>ACH D- INDIAN CLEARING CORP-844SOVQJL1WJ</t>
  </si>
  <si>
    <t>ACH D- INDIAN CLEARING CORP-DN22YEDN1ZNR</t>
  </si>
  <si>
    <t>UPI-KURVA SRISAILAM-SRISHAILAMYADAVE3@IBL-ICIC0000008-407194822560-UPI</t>
  </si>
  <si>
    <t>ACH D- INDIAN CLEARING CORP-G4QO6C23MPIQ</t>
  </si>
  <si>
    <t>ACH D- INDIAN CLEARING CORP-MLVOFK5D8EV7</t>
  </si>
  <si>
    <t>UPI-RAMU FRUIT SHOP-GPAY-11240329545@OKBIZAXIS-UTIB0000000-407107723100-UPI</t>
  </si>
  <si>
    <t>00600310040071-2023032972378</t>
  </si>
  <si>
    <t>ACH D- INDIAN CLEARING CORP-TIUJE7J6G5MU</t>
  </si>
  <si>
    <t>UPI-VIJEY KUMAR-GPAY-11239973445@OKBIZAXIS-UTIB0000000-407369493889-UPI</t>
  </si>
  <si>
    <t>ACH D- INDIAN CLEARING CORP-4TRCFHWZJ24S</t>
  </si>
  <si>
    <t>ACH D- INDIAN CLEARING CORP-ANWN7V2PMVFN</t>
  </si>
  <si>
    <t>UPI-AMAZING BOUTIQUE-MDYSKHADEER007.AB-1@OKAXIS-HDFC0003739-407397353482-UPI</t>
  </si>
  <si>
    <t>ACH D- INDIAN CLEARING CORP-4L9VONU4TG41</t>
  </si>
  <si>
    <t>ACH D- INDIAN CLEARING CORP-GMZOC9A3ORN2</t>
  </si>
  <si>
    <t>UPI-BIGTREE ENTERTAINMEN-BOOKMYSHOW@AXB-UTIB0000100-407407508224-UPI</t>
  </si>
  <si>
    <t>UPI-M PRAKASH-MUDAVATHPRAKASH90@IBL-UBIN0814318-407420935973-UPI</t>
  </si>
  <si>
    <t>ACH D- INDIAN CLEARING CORP-GVRQQY3TIROQ</t>
  </si>
  <si>
    <t>ACH D- INDIAN CLEARING CORP-KVAKZFGG12BG</t>
  </si>
  <si>
    <t>ACH D- INDIAN CLEARING CORP-HG9TETYGV661</t>
  </si>
  <si>
    <t>ACH D- INDIAN CLEARING CORP-YOUKX3FQTF3N</t>
  </si>
  <si>
    <t>UPI-BIG BASKET-BIGBASKET.EBZ@HDFCBANK-HDFC0001794-407556925734-UPI</t>
  </si>
  <si>
    <t>ACH D- INDIAN CLEARING CORP-U7TB5L6KXHOR</t>
  </si>
  <si>
    <t>ACH D- INDIAN CLEARING CORP-JZ2CL2KOHWUX</t>
  </si>
  <si>
    <t>UPI-ZERODHA BROKING LIMI-ZERODHA.BROKING@ICICI-ICIC0DC0099-407985350347-2838298299768858 Z</t>
  </si>
  <si>
    <t>ACH D- INDIAN CLEARING CORP-RB35KKAFCLXL</t>
  </si>
  <si>
    <t>ACH D- INDIAN CLEARING CORP-J87VAGS4BYX2</t>
  </si>
  <si>
    <t>ACH D- INDIAN CLEARING CORP-PPONPHM3OO95</t>
  </si>
  <si>
    <t>ACH D- INDIAN CLEARING CORP-AGNNIX1NHSTQ</t>
  </si>
  <si>
    <t>ACH D- INDIAN CLEARING CORP-AWMXAZDTDI5P</t>
  </si>
  <si>
    <t>ACH D- INDIAN CLEARING CORP-SP1KKE23ZCT9</t>
  </si>
  <si>
    <t>ACH D- INDIAN CLEARING CORP-8N5H7I2L1141</t>
  </si>
  <si>
    <t>ACH D- INDIAN CLEARING CORP-FDR7I8YCBI7C</t>
  </si>
  <si>
    <t>UPI-M S MANAM HEALTH CAR-MSMANAMHEALTHCAREANDDIAGNOSTICS.EAZYPAY@ICICI-ICIC0DC0099-444893353786-UPI</t>
  </si>
  <si>
    <t>UPI-M S MANAM HEALTH CAR-MSMANAMHEALTHCAREANDDIAGNOSTICS.EAZYPAY@ICICI-ICIC0DC0099-444813956738-UPI</t>
  </si>
  <si>
    <t>UPI-BHARTI AIRTEL LIMITE-AIRTELCOMMONPOOL@MAIRTEL-AIRP0000001-408306107690-PAYMENT FROM AIRTE</t>
  </si>
  <si>
    <t>UPI-RAMKY TOWER-RAMKYTOWER.60983462@HDFCBANK-HDFC0000001-408338456863-UPI</t>
  </si>
  <si>
    <t>ACH D- INDIAN CLEARING CORP-RSIAOEI92FBD</t>
  </si>
  <si>
    <t>UPI-JASPRIT SINGH S O HA-Q315665727@YBL-YESB0YBLUPI-408362595478-UPI</t>
  </si>
  <si>
    <t>UPI-SUKHMANI KADA KIRPAN-GPAY-11199893958@OKBIZAXIS-UTIB0000000-408362928748-UPI</t>
  </si>
  <si>
    <t>ACH D- INDIAN CLEARING CORP-96RKHBILTPYT</t>
  </si>
  <si>
    <t>ACH D- INDIAN CLEARING CORP-R4I4U7UEAPBQ</t>
  </si>
  <si>
    <t>UPI-VOGUE SALON AND BEAU-VOGUE.SALON@ICICI-ICIC0DC0099-408577300068-HAIR CUT AND SPA</t>
  </si>
  <si>
    <t>ACH D- INDIAN CLEARING CORP-177UP4U8LNPE</t>
  </si>
  <si>
    <t>UPI-M S MANAM HEALTH CAR-MSMANAMHEALTHCAREANDDIAGNOSTICS.EAZYPAY@ICICI-ICIC0DC0099-408679420969-UPI</t>
  </si>
  <si>
    <t>UPI-M S MANAM PHARMACY-MANAMPHARMACY@ICICI-ICIC0DC0099-445291825391-MEDICINES</t>
  </si>
  <si>
    <t>UPI-M S MANAM PHARMACY-MANAMPHARMACY@ICICI-ICIC0DC0099-408693320731-MEDICINES</t>
  </si>
  <si>
    <t>UPI-BIGTREE ENTERTAINMEN-BOOKMYSHOW@AXB-UTIB0000100-408654705320-UPI</t>
  </si>
  <si>
    <t>UPI-PINTU  PINTU-Q774452583@YBL-YESB0YBLUPI-408663746347-UPI</t>
  </si>
  <si>
    <t>UPI-M S MANAM HEALTH CAR-MSMANAMHEALTHCAREANDDIAGNOSTICS.EAZYPAY@ICICI-ICIC0DC0099-445279141139-HISTOPATHOLOGY VYO</t>
  </si>
  <si>
    <t>UPI-SAMEERA NEHA-7842589843@AXL-HDFC0CDUCBL-408673631329-UPI</t>
  </si>
  <si>
    <t>UPI-SAMEERA NEHA-7842589843@AXL-HDFC0CDUCBL-408674074631-EARPHONES</t>
  </si>
  <si>
    <t>UPI-APOLLO PHARMACY-PAYTM-64646105@PAYTM-YESB0PTMUPI-445306352897-OIDAPOLLOHOSPITALS</t>
  </si>
  <si>
    <t>ACH D- INDIAN CLEARING CORP-VAWY8SLREY8D</t>
  </si>
  <si>
    <t>NEFT CR-CITI0100000-BMS BUSINESS SERVICES INDIA PVT LTD-VARSHA MAHAJAN-CITIN24445369562 SALARY FOR THE MONTH OF MAR 24</t>
  </si>
  <si>
    <t>ACH D- INDIAN CLEARING CORP-F9PLSUV4Y8ND</t>
  </si>
  <si>
    <t>UPI-KASHISH   FATIMA-KASHISHF936@OKICICI-KKBK0007487-408966587256-UPI</t>
  </si>
  <si>
    <t>UPI-Q MART RETAIL LIMITE-QMARTRETAILLIMITED.63215786@HDFCBANK-HDFC0000001-408984609236-UPI</t>
  </si>
  <si>
    <t>UPI-RAMKY TOWER-RAMKYTOWER.60983462@HDFCBANK-HDFC0000001-408987286012-UPI</t>
  </si>
  <si>
    <t>UPI-BHARTI AIRTEL LIMITE-AIRTELCOMMONPOOL@MAIRTEL-AIRP0000001-409007680879-PAYMENT FROM AIRTE</t>
  </si>
  <si>
    <t>UPI-HEALTH AND GLOW-HEALTHANDGLOWTELANGANA@YBL-YESB0YBLUPI-409009204664-PAYMENT FOR 111012</t>
  </si>
  <si>
    <t>Received on 1st Apr 2024</t>
  </si>
  <si>
    <t>22 lacs</t>
  </si>
  <si>
    <t>UPI/409286365494/c305 April 2024/nareshvemula749/State Bank Of I/ICI543f0eec700</t>
  </si>
  <si>
    <t>UPI/445823886567/UPI/compassindiafoo/HDFC BANK LTD/PINELABPOSDQR000000002661212</t>
  </si>
  <si>
    <t>BIL/NEFT/HS92409238580156/VyomHDFC/VYOM VINAY M/HD</t>
  </si>
  <si>
    <t xml:space="preserve">BIL/INFT/DD19862041/VyomICICI                     </t>
  </si>
  <si>
    <t xml:space="preserve">BIL/INFT/DD19858061/VINAYSIP                      </t>
  </si>
  <si>
    <t>UPI/445909538162/UPI/paytm-75419987@/Yes Bank Ltd/ICI4f922d42890e4143ad4a79e601</t>
  </si>
  <si>
    <t>MMT/IMPS/409408229374/C305 April2024/RTABOWA - /HD</t>
  </si>
  <si>
    <t>UPI/409470198870/UPI/paytm-75419987@/Yes Bank Ltd/ICI42b2afce27784775a1141ab5fd</t>
  </si>
  <si>
    <t>UPI/446102553984/UPI/paytm-75419987@/Yes Bank Ltd/ICI5934908db87a45ff88ffcd383b</t>
  </si>
  <si>
    <t>RTGS-BKIDR52024040500402031-NARAYAN LAXMAN MAHAJAN</t>
  </si>
  <si>
    <t>UPI/409630733242/Pay to BharatPe/bharatpe9072751/Yes Bank Ltd/ICI53d4b7b9175e42</t>
  </si>
  <si>
    <t>BIL/NEFT/HS92409739395771/HDFC transfer/Vinay Nara</t>
  </si>
  <si>
    <t>UPI/409759351873/vegetables/q20082480@ybl/Yes Bank Ltd/ICId9c2550f3ec7452db9f34</t>
  </si>
  <si>
    <t>UPI/446363372636/bread/ayyappaundru-1@/Union Bank of I/ICIa8d354ad87f44116867e6</t>
  </si>
  <si>
    <t>UPI/409701479215/thumps up/ayyappaundru-1@/Union Bank of I/ICIe3fdf4b8e4ba4e6db</t>
  </si>
  <si>
    <t>ACH/LIC OF INDIA/ICIC7012906230003631/929815592042</t>
  </si>
  <si>
    <t>UPI/409851724622/laundry/bharatpe.010463/INDUSIND BANK/ICIc2d3bcb838b449f989163</t>
  </si>
  <si>
    <t xml:space="preserve">BIL/INFT/DDC1819756/VINAYSIP                      </t>
  </si>
  <si>
    <t>BIL/MASTERCARD/000823621788/Citibank C/NVSCorpoCar</t>
  </si>
  <si>
    <t>UPI/446532262611/vegetables/q20082480@ybl/Yes Bank Ltd/ICIb8219084c3b048879a7cf</t>
  </si>
  <si>
    <t>NEFT-CITIN24450703484-NOVARTIS HEALTHCARE PRIVATE LIMITED-3100005923-0009877096</t>
  </si>
  <si>
    <t>UPI/410097945038/food/paytmqr1vl1unoi/Yes Bank Ltd/ICId4936c2f10954e53b4aac7415</t>
  </si>
  <si>
    <t>UPI/410230221914/Vyom parents gr/bandanam-1@okic/INDUSIND BANK/ICIa2e0cd3d811c4</t>
  </si>
  <si>
    <t>UPI/410353471762/UPIIntent/airtelbillpayme/Airtel Payments/PPPL1963175538712042</t>
  </si>
  <si>
    <t>UPI/410352597047/grocery/q031609182@ybl/Yes Bank Ltd/ICIe6e04e6c5a7d4608b35e31e</t>
  </si>
  <si>
    <t>UPI/447038035177/jeans alteratio/paytmqrawd4tuke/Yes Bank Ltd/ICI221b6bfbb05741</t>
  </si>
  <si>
    <t xml:space="preserve">BIL/INFT/DDJ3286219/VINAYSIP                      </t>
  </si>
  <si>
    <t>UPI/447245311379/Vyom Mahajan 3/shailajamarri12/HDFC BANK LTD/ICI2d38700f80b74d</t>
  </si>
  <si>
    <t>UPI/410693218409/curd/paytmqr28100505/Yes Bank Ltd/ICIeda8a60c87f74a0b8e715f9c7</t>
  </si>
  <si>
    <t>UPI/447623797408/vegetables/q20082480@ybl/Yes Bank Ltd/ICI5cf0956a1ea24227b8f1c</t>
  </si>
  <si>
    <t>UPI/447709756721/pencil/q185463294@ybl/Yes Bank Ltd/ICI806c363c9eee488993cc0efa</t>
  </si>
  <si>
    <t>UPI/447715863379/PayviaRazorpay/53takeoffspriva/ICICI Bank/ICI18cf645c82c44c1f9</t>
  </si>
  <si>
    <t>UPI/411119874038/mangoes Ramky c/mangalmewa@okic/Kotak Mahindra /ICI90e20ebdd32</t>
  </si>
  <si>
    <t>UPI/447706767026/grocery/q031609182@ybl/Yes Bank Ltd/ICIfe1c6ea40a2c4fbda94b6e8</t>
  </si>
  <si>
    <t>UPI/411285996075/hair cut/vogue.salon@ici/ICICI Bank/ICIc723d39e061449a8957f7cc</t>
  </si>
  <si>
    <t>UPI/447887886389/hair cut/asifkhana41377@/Bank of Baroda/ICI614ca77d0c3a4e24b50</t>
  </si>
  <si>
    <t xml:space="preserve">BIL/INFT/DDQ4535899/VINAYSIP                      </t>
  </si>
  <si>
    <t>UPI/411343924442/Vyom 3 classes/shailajamarri12/HDFC BANK LTD/ICI6538a2d633154d</t>
  </si>
  <si>
    <t>BIL/ONL/000829512107/Greater Hy/O1VWLSRXZUVURY/202</t>
  </si>
  <si>
    <t xml:space="preserve">CMS/001429363866/ICICIPRULIFEINS__24511656        </t>
  </si>
  <si>
    <t>NEFT-CITIN24456535801-NOVARTIS HEALTHCARE PRIVATE LIMITED-3100006929-0009877096</t>
  </si>
  <si>
    <t>UPI/411468000579/UPI/q960622993@ybl/Yes Bank Ltd/ICI9cc56f7cf10a4dda8a0c164d49c</t>
  </si>
  <si>
    <t>UPI/411686728137/curd/paytmqr28100505/Yes Bank Ltd/ICIce7d883ff839431aae9c256ae</t>
  </si>
  <si>
    <t>NEFT-CITIN24457942370-NOVARTIS HEALTHCARE PRIVATE LIMITED-SALARY FOR APRIL 2024</t>
  </si>
  <si>
    <t>UPI/411819617141/vegetables/q20082480@ybl/Ajantha Urban C/ICIcee9a8c1c18a4a398e</t>
  </si>
  <si>
    <t>UPI/448440048528/c305 milk March/7989495557@axl/Punjab National/ICIef4ca697db5e</t>
  </si>
  <si>
    <t>ACH/LIC OF INDIA/ICIC7010805230001994/911602980042</t>
  </si>
  <si>
    <t>ACH/LIC OF INDIA/ICIC7010805230004005/911602982042</t>
  </si>
  <si>
    <t>ACH/LIC OF INDIA/ICIC7010805230002997/911602981042</t>
  </si>
  <si>
    <t>ACH/LIC OF INDIA/ICIC7010805230004020/911602985042</t>
  </si>
  <si>
    <t>ACH/LIC OF INDIA/ICIC7010805230004037/911603021042</t>
  </si>
  <si>
    <t>ACH/LIC OF INDIA/ICIC7010805230000979/911602983042</t>
  </si>
  <si>
    <t>ACH/LIC OF INDIA/ICIC7010805230004013/911602984042</t>
  </si>
  <si>
    <t>ACH/LIC OF INDIA/ICIC7010805230000993/911603018042</t>
  </si>
  <si>
    <t>UPI/411984269402/mangoes/7702691159b@ybl/Union Bank of I/ICI6ad94d44a5004d299d2</t>
  </si>
  <si>
    <t xml:space="preserve">BIL/NSP/DDX5760023/ICIC0SF0002/VINAY MAHAJA       </t>
  </si>
  <si>
    <t>UPI/448691099470/Vyom 3 classes/shailajamarri12/HDFC BANK LTD/ICI9d8812be87ee47</t>
  </si>
  <si>
    <t xml:space="preserve">CMS/001432606277/ICICIPRULIFEINS__21131016        </t>
  </si>
  <si>
    <t>MATURED RD. TRANSFER CR 50400300750551</t>
  </si>
  <si>
    <t>RD THROUGH NET-50400338981193  :VINAY NARAYAN MAHAJAN</t>
  </si>
  <si>
    <t>NEFT CR-ICIC0SF0002-VINAY N MAHAJAN-VINAY NARAYAN MAHAJAN-HS92409739395771</t>
  </si>
  <si>
    <t>HGADP001880380982129-HDFCFASTAG-BILLPAY-50200026202917</t>
  </si>
  <si>
    <t>RD-FD</t>
  </si>
  <si>
    <t xml:space="preserve">008813018383: Rev Sweep From                      </t>
  </si>
  <si>
    <t xml:space="preserve">008813018383: Closure Proceeds                    </t>
  </si>
  <si>
    <t xml:space="preserve">CMS/ CMS4066068076/ICICI PRUDENTIAL MUTUAL FUND   </t>
  </si>
  <si>
    <t>RTGS-BKIDR52024040500470536-NARAYAN LAXMAN MAHAJAN</t>
  </si>
  <si>
    <t xml:space="preserve">CMS/001429363871/ICICIPRULIFEINS__24516375        </t>
  </si>
  <si>
    <t>UPI/411939384033/Upi Mandate/netflix2.payu@i/ICICI Bank/ICI5d77af5dfa274caf8711</t>
  </si>
  <si>
    <t xml:space="preserve">CMS/001432606273/ICICIPRULIFEINS__21130963        </t>
  </si>
  <si>
    <t>ACH D- INDIAN CLEARING CORP-EZKXBHGNRCL3</t>
  </si>
  <si>
    <t>ACH D- INDIAN CLEARING CORP-255B26Y1SHAP</t>
  </si>
  <si>
    <t>ACH D- INDIAN CLEARING CORP-1BUWRGA31BC4</t>
  </si>
  <si>
    <t>ACH D- INDIAN CLEARING CORP-N788S932KU8W</t>
  </si>
  <si>
    <t>ACH D- INDIAN CLEARING CORP-A1BEO6M5XF9R</t>
  </si>
  <si>
    <t>ACH D- INDIAN CLEARING CORP-H2Y48VWPDE3O</t>
  </si>
  <si>
    <t>NEFT CR-YESB0000001-ZERODHA BROKING LTD-DSCNB A/C-VARSHA VINAY MAHAJAN-YESB40941181877</t>
  </si>
  <si>
    <t>ACH D- INDIAN CLEARING CORP-8Y3WUTH593QY</t>
  </si>
  <si>
    <t>UPI-ACT  BROADBAND-PAYTM-ACTHYD2@PAYTM-YESB0PTMUPI-409653729953-UPI</t>
  </si>
  <si>
    <t>ACH D- INDIAN CLEARING CORP-Z3HUYOY4XCO4</t>
  </si>
  <si>
    <t>ACH D- INDIAN CLEARING CORP-I9YE3FZNYMYO</t>
  </si>
  <si>
    <t>ACH D- INDIAN CLEARING CORP-U92DWL6X51P7</t>
  </si>
  <si>
    <t>ACH D- INDIAN CLEARING CORP-LP6LZAU647N5</t>
  </si>
  <si>
    <t>ACH D- INDIAN CLEARING CORP-HURD656UOSS8</t>
  </si>
  <si>
    <t>ACH D- INDIAN CLEARING CORP-623ZOXOOEX8Z</t>
  </si>
  <si>
    <t>ACH D- INDIAN CLEARING CORP-XHW3X1WFIVKP</t>
  </si>
  <si>
    <t>ACH D- INDIAN CLEARING CORP-M2I8LH3I5YPZ</t>
  </si>
  <si>
    <t>00600310040071-2023033079375</t>
  </si>
  <si>
    <t>00600310040071-2023033079172</t>
  </si>
  <si>
    <t>ACH D- INDIAN CLEARING CORP-61GG3MC7DCKM</t>
  </si>
  <si>
    <t>ACH D- INDIAN CLEARING CORP-1J4FYB7H7PX3</t>
  </si>
  <si>
    <t>ACH D- INDIAN CLEARING CORP-CMVVGDW94CRU</t>
  </si>
  <si>
    <t>ACH D- INDIAN CLEARING CORP-4YDVXOXKRYDD</t>
  </si>
  <si>
    <t>ACH D- INDIAN CLEARING CORP-XRBWGYJYIMXV</t>
  </si>
  <si>
    <t>ACH D- INDIAN CLEARING CORP-VSI1NMDWMSD6</t>
  </si>
  <si>
    <t>UPI-COMPASS INDIA FOOD S-PAYTM-33345433@PAYTM-YESB0PTMUPI-410216332322-UPI</t>
  </si>
  <si>
    <t>UPI-VEENA WORLD-VEENAWORLD.42580867@HDFCBANK-HDFC0000001-410222311303-VARSHA MAHAJAN  AB</t>
  </si>
  <si>
    <t>ACH D- INDIAN CLEARING CORP-QQ66WJFTDR72</t>
  </si>
  <si>
    <t>UPI-BIGBASKET-BIGBASKET1@PAYTM-YESB0PTMUPI-410483399361-UPI</t>
  </si>
  <si>
    <t>ACH D- INDIAN CLEARING CORP-ENFIC9FR2OLR</t>
  </si>
  <si>
    <t>ACH D- INDIAN CLEARING CORP-QKJ3UGEIJMUE</t>
  </si>
  <si>
    <t>UPI-M S MANAM HEALTH CAR-MSMANAMHEALTHCAREANDDIAGNOSTICS.EAZYPAY@ICICI-ICIC0DC0099-410445603928-UPI</t>
  </si>
  <si>
    <t>UPI-MOHAMMED ASIM UDDIN-PAYTMQR84JP4MXPP7@PAYTM-YESB0PTMUPI-410491005406-UPI</t>
  </si>
  <si>
    <t>UPI-BANOTHU RAVI-PAYTMQR4ZIK907PXZ@PAYTM-YESB0PTMUPI-410410434694-UPI</t>
  </si>
  <si>
    <t>UPI-PREGENERATEDQR544816-BAJAJPAY.6879729.05556458@INDUS-INDB0002201-410410618996-UPI</t>
  </si>
  <si>
    <t>UPI-SAJID  ALI-BHARATPE.90068555425@FBPE-FDRL0001382-410410966336-PAY TO BHARATPE ME</t>
  </si>
  <si>
    <t>UPI-TABREZ-PAYTMQR2810050501011X4JMEQG92FA@PAYTM-YESB0PTMUPI-447098131618-UPI</t>
  </si>
  <si>
    <t>UPI-KARRAPPA  KATIKE-Q133655853@YBL-YESB0YBLUPI-410411350066-UPI</t>
  </si>
  <si>
    <t>UPI-GOOGLEPAY-GOOG-PAYMENT@OKAXIS-UTIB0000553-410484435825-UPI</t>
  </si>
  <si>
    <t>UPI-RANJU PANGENI-PAYTMQR1AZXH06ZHG@PAYTM-YESB0PTMUPI-410412417626-UPI</t>
  </si>
  <si>
    <t>UPI-SANDEEP KUMAR-Q101471161@YBL-YESB0YBLUPI-410413141446-UPI</t>
  </si>
  <si>
    <t>ACH D- INDIAN CLEARING CORP-JEJP5GW3D5SI</t>
  </si>
  <si>
    <t>ACH D- INDIAN CLEARING CORP-I6BKXDFGR9AU</t>
  </si>
  <si>
    <t>ACH D- INDIAN CLEARING CORP-Q1ZWEHMJHA6B</t>
  </si>
  <si>
    <t>ACH D- INDIAN CLEARING CORP-ZVDZIPD9UHCQ</t>
  </si>
  <si>
    <t>ACH D- INDIAN CLEARING CORP-AUAGHW8W9ZJW</t>
  </si>
  <si>
    <t>ACH D- INDIAN CLEARING CORP-GSHDETRLPE84</t>
  </si>
  <si>
    <t>UPI-BBDAILY-BBDAILY@PAYTM-YESB0PTMUPI-410697337081-UPI</t>
  </si>
  <si>
    <t>ACH D- INDIAN CLEARING CORP-BNIIRA7K28TJ</t>
  </si>
  <si>
    <t>ACH D- INDIAN CLEARING CORP-OMPFHYVDRLS2</t>
  </si>
  <si>
    <t>ACH D- INDIAN CLEARING CORP-XVDZVUFOG2M7</t>
  </si>
  <si>
    <t>ACH D- INDIAN CLEARING CORP-8Q35E5HWG9H3</t>
  </si>
  <si>
    <t>ACH D- INDIAN CLEARING CORP-FV9UOKTAELSX</t>
  </si>
  <si>
    <t>ACH D- INDIAN CLEARING CORP-D51OF7MIGFGX</t>
  </si>
  <si>
    <t>ACH D- INDIAN CLEARING CORP-6AKDFCKDSX4T</t>
  </si>
  <si>
    <t>ACH D- INDIAN CLEARING CORP-IESZ6QTSM1UQ</t>
  </si>
  <si>
    <t>ACH D- INDIAN CLEARING CORP-MSYJ6TVVCXPT</t>
  </si>
  <si>
    <t>ACH D- INDIAN CLEARING CORP-N6LW9P361TJE</t>
  </si>
  <si>
    <t>ACH D- INDIAN CLEARING CORP-A5HBPJUD3BXR</t>
  </si>
  <si>
    <t>ACH D- INDIAN CLEARING CORP-LDZ6XXVOFGR9</t>
  </si>
  <si>
    <t>UPI-BHARTI AIRTEL LIMITE-AIRTELCOMMONPOOL@MAIRTEL-AIRP0000001-411419829850-PAYMENT FROM AIRTE</t>
  </si>
  <si>
    <t>UPI-KANDIVALASA RAJESWAR-BHARATPE.0104633560@INDUS-INDB0001006-411496508458-UPI</t>
  </si>
  <si>
    <t>ACH D- INDIAN CLEARING CORP-XHH3CGRCA1YS</t>
  </si>
  <si>
    <t>UPI-ZEE5-ZEE5@PAYTM-YESB0PTMUPI-411535301073-UPI</t>
  </si>
  <si>
    <t>ACH D- INDIAN CLEARING CORP-PELK5TWY2FCT</t>
  </si>
  <si>
    <t>ACH D- INDIAN CLEARING CORP-YJH5MU1LOYR9</t>
  </si>
  <si>
    <t>UPI-MR MOHAMMAD  OVAIS S-BOURN1010-1@OKICICI-CBIN0285113-411795248165-WEDDING CONTRIBUTI</t>
  </si>
  <si>
    <t>ACH D- INDIAN CLEARING CORP-QZP4IGITY1O8</t>
  </si>
  <si>
    <t>ACH D- INDIAN CLEARING CORP-F1NVWQWZJWQ6</t>
  </si>
  <si>
    <t>UPI-SUNITA RAVASAHEB PAT-PATILHOUSE99-1@OKAXIS-KKBK0007473-411960701970-UPI</t>
  </si>
  <si>
    <t>ACH D- LIC OF INDIA-9116032910424</t>
  </si>
  <si>
    <t>ACH D- LIC OF INDIA-9116032900424</t>
  </si>
  <si>
    <t>ACH D- LIC OF INDIA-9116030440424</t>
  </si>
  <si>
    <t>ACH D- LIC OF INDIA-9116030940424</t>
  </si>
  <si>
    <t>ACH D- LIC OF INDIA-9116030430424</t>
  </si>
  <si>
    <t>ACH D- LIC OF INDIA-9116032920424</t>
  </si>
  <si>
    <t>ACH D- LIC OF INDIA-9116032890424</t>
  </si>
  <si>
    <t>NEFT CR-CITI0100000-BMS BUSINESS SERVICES INDIA PVT LTD-VARSHA MAHAJAN-CITIN24458553233 SALARY FOR APR 2024</t>
  </si>
  <si>
    <t>UPI-MURALI KRISHNA THAPS-THAPSIMURALIKRISHNA@OKHDFCBANK-HDFC0000010-412002009446-UPI</t>
  </si>
  <si>
    <t>UPI-GOOGLEPAY-GOOG-PAYMENT@OKAXIS-UTIB0000553-412098907486-UPI</t>
  </si>
  <si>
    <t>TG 07 C 0072</t>
  </si>
  <si>
    <t>HDFC Fasttag:</t>
  </si>
  <si>
    <t>Wallet ID: 19000015013464</t>
  </si>
  <si>
    <t>CID: 190008601976</t>
  </si>
  <si>
    <t>Abu dhabi trip</t>
  </si>
  <si>
    <t>Approximate numbers</t>
  </si>
  <si>
    <t>AP 09 AJ 6514</t>
  </si>
  <si>
    <t>Wagon R</t>
  </si>
  <si>
    <t>AP 28  DJ 0138</t>
  </si>
  <si>
    <t>AP 28 DF 6207</t>
  </si>
  <si>
    <t>i10</t>
  </si>
  <si>
    <t>Lenscart specs</t>
  </si>
  <si>
    <t>BIL/NSP/DE16374017/ICIC0SF0002/VYOM VINAY M VYOM VINAY MAHA</t>
  </si>
  <si>
    <t>BIL/NEFT/HS92412241798423/HDFC0000652/VYOM VINAY M</t>
  </si>
  <si>
    <t>UPI/412287402887/c305 car may202/nareshvemula749/State Bank Of I/ICIbd2344ca4db84dfc95f2dee16f290552</t>
  </si>
  <si>
    <t>MMT/IMPS/412408482590/C305 May2024/RTABOWA - /HDFC0000968</t>
  </si>
  <si>
    <t>UPI/449026942016/grocery/q303504892@ybl/Yes Bank Ltd/ICI23bf62f42db34f0cb3e9daaa5d632dda/</t>
  </si>
  <si>
    <t>UPI/412514565230/UPI/narasimha8347-2/Federal Bank/ICI2e55290a89ca40b4a284e707e9dd31f5/</t>
  </si>
  <si>
    <t>UPI/412599879827/UPI/telecomnagar.60/HDFC BANK LTD/ICI54243eee7ce244fc8f016e855a6f7ba3/</t>
  </si>
  <si>
    <t>UPI/449291948587/grocery/q303504892@ybl/Yes Bank Ltd/ICI4b3e19e1f5564da182de86d2076f66e9/</t>
  </si>
  <si>
    <t>BIL/NSP/DEA8087139/ICIC0SF0002/VINAY MAHAJA VINAY NARAYAN M</t>
  </si>
  <si>
    <t>BIL/NEFT/HS92412742734877/HDFC0000652/Vinay Naraya</t>
  </si>
  <si>
    <t>UPI/412728149959/Vyom 3 classes/shailajamarri12/HDFC BANK LTD/ICI3714df7f4b7e4178b0a0699175d8b6a6/</t>
  </si>
  <si>
    <t>ACH/LIC OF INDIA/ICIC7012906230001643/9298155940524</t>
  </si>
  <si>
    <t>UPI/412809637206/grocery/paytm-68328241@/Yes BankLtd/ICI8c2aac93a9264496a7a9cf7fd40c8b68/</t>
  </si>
  <si>
    <t>UPI/412966373387/Pay to BharatPe/bharatpe.900700/Federal Bank/ICIdb85cef06b6441ba94ce6423468b7d24/</t>
  </si>
  <si>
    <t>BIL/ONL/000838533229/HDFC Bank /101241300819037/Fasttag Creta</t>
  </si>
  <si>
    <t>UPI/449621140783/UPI/paytm-63601707@/Ajantha Urban C/ICI64f020674add4821ac934cb451d22d65/</t>
  </si>
  <si>
    <t>UPI/449774495374/mangoes/paytmqrcgihi93p/Yes BankLtd/ICI452f55e952b04e12b90d48194b8b43f8/</t>
  </si>
  <si>
    <t>UPI/449732409660/medicines/gpay-1124163369/Axis Bank Ltd./ICI7c400f01ec2347ad908241683ab8419e/</t>
  </si>
  <si>
    <t>UPI/449889121693/grocery/q354302015@ybl/Yes Bank Ltd/ICIc3f0f1dafcfa465287d25501a6fb5c60/</t>
  </si>
  <si>
    <t>UPI/449871121706/grocery/paytmqrn0vyb585/Yes BankLtd/ICIfb1b0473c4e94a29982dc8a89367b6f2/</t>
  </si>
  <si>
    <t>UPI/413347263665/food/paytmqr28100505/Yes Bank Ltd/ICI4a029a3ab0d74b98a1829a5a387096c8/</t>
  </si>
  <si>
    <t>BIL/NSP/DEH9725148/ICIC0SF0002/VINAY MAHAJA VINAY NARAYAN M</t>
  </si>
  <si>
    <t>UPI/450071127970/Vyom 3 classes/shailajamarri12/HDFC BANK LTD/ICI0287a9393dcd4c3fb8f07eaf09345c0d/</t>
  </si>
  <si>
    <t>UPI/450151957832/UPIIntent/airtelbillpayme/AirtelPayments/PPPL19885667215140524073813/</t>
  </si>
  <si>
    <t>UPI/450126970705/food/paytmqr28100505/Yes Bank Ltd/ICI28780999650b41bba47550622004db86/</t>
  </si>
  <si>
    <t>UPI/413554883599/groceries/ayyappaundru-1@/Union Bank of I/ICIe4764a3f16eb44f4bc260c715b27f275/</t>
  </si>
  <si>
    <t>UPI/413666214167/food/paytmqr28100505/Yes Bank Ltd/ICI4b20174abe0f4e60a0a143bf48d26aef/</t>
  </si>
  <si>
    <t>UPI/450346271664/food/paytmqr28100505/Yes Bank Ltd/ICI2b207cc379fa4c29aa32277740709232/</t>
  </si>
  <si>
    <t>UPI/450398682679/UPI/ramkytower.6098/HDFC BANK LTD/ICIa0d689181b7d478f8136a8d2a2ca8760/</t>
  </si>
  <si>
    <t>IRM/EUR6.86@90.1441GST45/INREM/20240517142758</t>
  </si>
  <si>
    <t>UPI/450516339465/taxi/etricmobilityso/HDFC BANK LTD/ICI364aec772c004982a7f23bb459cd779b/</t>
  </si>
  <si>
    <t>UPI/450693999023/Vyom 3 classes/shailajamarri12/HDFC BANK LTD/ICI22d91b49c33543d4bc0761d5d1838273/</t>
  </si>
  <si>
    <t>BIL/NSP/DEO0990989/ICIC0SF0002/VINAY MAHAJA VINAY NARAYAN M</t>
  </si>
  <si>
    <t>CMS/001447759425/ICICIPRULIFEINS__24511656</t>
  </si>
  <si>
    <t>ACH/LIC OF INDIA/ICIC7012906230004722/9252477360524</t>
  </si>
  <si>
    <t>ACH/LIC OF INDIA/ICIC7012906230004725/9252477370524</t>
  </si>
  <si>
    <t>ACH/LIC OF INDIA/ICIC7012906230000715/9252477340524</t>
  </si>
  <si>
    <t>ACH/LIC OF INDIA/ICIC7012906230002699/9252477390524</t>
  </si>
  <si>
    <t>ACH/LIC OF INDIA/ICIC7012906230002668/9252477270524</t>
  </si>
  <si>
    <t>ACH/LIC OF INDIA/ICIC7012906230001651/9252477160524</t>
  </si>
  <si>
    <t>ACH/LIC OF INDIA/ICIC7012906230000726/9252477380524</t>
  </si>
  <si>
    <t>ACH/LIC OF INDIA/ICIC7012906230001662/9252477190524</t>
  </si>
  <si>
    <t>ACH/LIC OF INDIA/ICIC7012906230003648/9252477180524</t>
  </si>
  <si>
    <t>ACH/LIC OF INDIA/ICIC7012906230003698/9252477400524</t>
  </si>
  <si>
    <t>ACH/LIC OF INDIA/ICIC7012906230004737/9252477410524</t>
  </si>
  <si>
    <t>ACH/LIC OF INDIA/ICIC7012906230000698/9252477290524</t>
  </si>
  <si>
    <t>ACH/LIC OF INDIA/ICIC7012906230002643/9252477170524</t>
  </si>
  <si>
    <t>ACH/LIC OF INDIA/ICIC7012906230001693/9252477330524</t>
  </si>
  <si>
    <t>ACH/LIC OF INDIA/ICIC7012906230003660/9252477240524</t>
  </si>
  <si>
    <t>ACH/LIC OF INDIA/ICIC7012906230000676/9252477220524</t>
  </si>
  <si>
    <t>ACH/LIC OF INDIA/ICIC7012906230000704/9252477300524</t>
  </si>
  <si>
    <t>ACH/LIC OF INDIA/ICIC7012906230002651/9252477200524</t>
  </si>
  <si>
    <t>ACH/LIC OF INDIA/ICIC7012906230002671/9252477280524</t>
  </si>
  <si>
    <t>ACH/LIC OF INDIA/ICIC7012906230002663/9252477260524</t>
  </si>
  <si>
    <t>ACH/LIC OF INDIA/ICIC7012906230003662/9252477250524</t>
  </si>
  <si>
    <t>ACH/LIC OF INDIA/ICIC7012906230001673/9252477230524</t>
  </si>
  <si>
    <t>ACH/LIC OF INDIA/ICIC7012906230004714/9252477320524</t>
  </si>
  <si>
    <t>ACH/LIC OF INDIA/ICIC7012906230002692/9252477350524</t>
  </si>
  <si>
    <t>ACH/LIC OF INDIA/ICIC7012906230003678/9252477310524</t>
  </si>
  <si>
    <t>ACH/LIC OF INDIA/ICIC7012906230002654/9252477210524</t>
  </si>
  <si>
    <t>NEFT-CITIN24471344335-NOVARTIS HEALTHCARE PRIVATELIMITED-SALARY FOR MAY2024-0009877045-CITI0100000</t>
  </si>
  <si>
    <t>UPI/414596273331/Airtel DTH Rech/airtel-billpay./ICICI Bank/PPPL19968103225240524144808/</t>
  </si>
  <si>
    <t>UPI/451271988470/UPI/9032468480@kota/Kotak Mahindra /ICI9fb4e8c1037b40a9a370ac63b984f00e/</t>
  </si>
  <si>
    <t>BIL/INFT/DEV2160110/VINAYSIP VINAY NARAYAN M</t>
  </si>
  <si>
    <t>UPI/451474504961/food/paytmqr28100505/Yes Bank Ltd/ICIc31e9deaa02a401397349cd932a0ce64/</t>
  </si>
  <si>
    <t>UPI/414937251821/Pay To SHIV SHA/bharatpe0989732/Yes Bank Ltd/ICI85a79960a73c4ca8b047ca1e381b8b9b/</t>
  </si>
  <si>
    <t>CMS/001451268067/ICICIPRULIFEINS__21131016</t>
  </si>
  <si>
    <t>UPI/451584044234/UPI/paytm-53817591@/Yes Bank Ltd/PYTM40528804180695825429/</t>
  </si>
  <si>
    <t>UPI/451530167095/rice atta/ayyappaundru-1@/Union Bank of I/ICI30df2f83d71940c893ecf8ac305812c9/</t>
  </si>
  <si>
    <t>UPI/451611480639/food/paytmqr28100505/Yes Bank Ltd/ICIec3d71a3749d48ee8c90e6e7e068c39e/</t>
  </si>
  <si>
    <t>UPI/415100720880/Vyom 3 classes/shailajamarri12/HDFC BANK LTD/ICI6e731954a19340ccb22ad6ec1acd3ae3/</t>
  </si>
  <si>
    <t>UPI/415112544499/UPI/7893650516331@p/Kotak Mahindra /ICI2a05090587134785a027b14bd9e87c30/</t>
  </si>
  <si>
    <t>UPI/415168964962/aoda/ayyappaundru-1@/Union Bank of I/ICI1fca0fe6467649f0b74630816653cb4b/</t>
  </si>
  <si>
    <t>UPI/451853681814/Vyom 3 classes/shailajamarri12/HDFC BANK LTD/ICI0391107cb79e41b090cdfe3f104baf76/</t>
  </si>
  <si>
    <t>UPI/415288382397/Pay to BharatPe/bharatpe.900700/Federal Bank/ICI90d1180f84704756b9f1b2756afb74de/</t>
  </si>
  <si>
    <t>50400338981193- RD INSTALLMENT-MAY 2024</t>
  </si>
  <si>
    <t>NEFT CR-ICIC0SF0002-VINAY N MAHAJAN-VINAY NARAYAN MAHAJAN-HS92412742734877</t>
  </si>
  <si>
    <t>CMS/ CMS4148182745/ICICI PRUDENTIAL MUTUAL FUND</t>
  </si>
  <si>
    <t>CMS/001447759431/ICICIPRULIFEINS__24516375</t>
  </si>
  <si>
    <t>UPI/414868513857/vegetables/chilverar-2@oki/Canara Bank/ICI2a0b8ef69fbf4fe4b31f77bbacd2eb0d/</t>
  </si>
  <si>
    <t>CMS/001451268065/ICICIPRULIFEINS__21130963</t>
  </si>
  <si>
    <t>UPI/414960545521/Upi Mandate/netflix2.payu@i/ICICI Bank/ICI0e5a5c7a93704e7581dc4e415e10f576/</t>
  </si>
  <si>
    <t>22/05/24</t>
  </si>
  <si>
    <t>23/05/24</t>
  </si>
  <si>
    <t>24/05/24</t>
  </si>
  <si>
    <t>25/05/24</t>
  </si>
  <si>
    <t>27/05/24</t>
  </si>
  <si>
    <t>28/05/24</t>
  </si>
  <si>
    <t>29/05/24</t>
  </si>
  <si>
    <t>30/05/24</t>
  </si>
  <si>
    <t>31/05/24</t>
  </si>
  <si>
    <t>UPI-BHARTI AIRTEL LIMITE-AIRTELCOMMONPOOL@MAIRTEL-AIRP0000001-412122856806-PAYMENT FROM AIRTE</t>
  </si>
  <si>
    <t>NEFT CR-CITI0100000-BMS BUSINESS SERVICES INDIA PVT LTD-VARSHA MAHAJAN-CITIN24462517076</t>
  </si>
  <si>
    <t>ACH D- INDIAN CLEARING CORP-MXH7KNZOG3NC</t>
  </si>
  <si>
    <t>UPI-VAN LAVINO FINANCIAL-PAYTMQR281005050101UL3DFP71NG8S@PAYTM-YESB0PTMUPI-412288264937-UPI</t>
  </si>
  <si>
    <t>UPI-VAN LAVINO FINANCIAL-PAYTMQR281005050101UL3DFP71NG8S@PAYTM-YESB0PTMUPI-412288361589-UPI</t>
  </si>
  <si>
    <t>ACH D- INDIAN CLEARING CORP-N7VYNJPJM7PZ</t>
  </si>
  <si>
    <t>ACH D- INDIAN CLEARING CORP-FVD4UHHVW3U7</t>
  </si>
  <si>
    <t>ACH D- INDIAN CLEARING CORP-T271GKQMH4FU</t>
  </si>
  <si>
    <t>UPI-VARADA  PRABHU-VARADA.PRABHU6@OKSBI-SBIN0011081-412348106874-LUNCH</t>
  </si>
  <si>
    <t>ACH D- INDIAN CLEARING CORP-YEP1XN3SIM48</t>
  </si>
  <si>
    <t>ACH D- INDIAN CLEARING CORP-HBSH4QE5WWB2</t>
  </si>
  <si>
    <t>ACH D- INDIAN CLEARING CORP-JH8R4JZFN9JH</t>
  </si>
  <si>
    <t>UPI-ZOMATO LTD-ZOMATO-ORDER@PAYTM-YESB0PTMUPI-412506423828-ZOMATO PAYMENT</t>
  </si>
  <si>
    <t>UPI-VAN LAVINO FINANCIAL-PAYTMQR281005050101UL3DFP71NG8S@PAYTM-YESB0PTMUPI-412511051271-UPI</t>
  </si>
  <si>
    <t>UPI-LADAF  NAFEEJ-9177435292@IBL-SBIN0011668-449385250439-PAYMENT FROM PHONE</t>
  </si>
  <si>
    <t>ACH D- INDIAN CLEARING CORP-OES4GQQY6A6Y</t>
  </si>
  <si>
    <t>ACH D- INDIAN CLEARING CORP-81X3ORMK48TH</t>
  </si>
  <si>
    <t>ACH D- INDIAN CLEARING CORP-9135SVUVTBN6</t>
  </si>
  <si>
    <t>ACH D- INDIAN CLEARING CORP-5SUX9OW57P2B</t>
  </si>
  <si>
    <t>ACH D- INDIAN CLEARING CORP-6TFMEFJCSFFG</t>
  </si>
  <si>
    <t>UPI-COMPASS INDIA FOOD S-PAYTM-33345433@PAYTM-YESB0PTMUPI-412792390507-UPI</t>
  </si>
  <si>
    <t>UPI-COMPASS INDIA FOOD S-PAYTM-33345433@PAYTM-YESB0PTMUPI-412792447683-UPI</t>
  </si>
  <si>
    <t>ACH D- INDIAN CLEARING CORP-OTTFG6BIRG1Y</t>
  </si>
  <si>
    <t>ACH D- LIC OF INDIA-9116030410524</t>
  </si>
  <si>
    <t>ACH D- INDIAN CLEARING CORP-OTVLHE5XIC7X</t>
  </si>
  <si>
    <t>ACH D- INDIAN CLEARING CORP-KOGGW5GS2RLZ</t>
  </si>
  <si>
    <t>UPI-ACT  BROADBAND-PAYTM-ACTHYD2@PAYTM-YESB0PTMUPI-412996782861-UPI</t>
  </si>
  <si>
    <t>ACH D- INDIAN CLEARING CORP-9QSCR2WOFKEW</t>
  </si>
  <si>
    <t>ACH D- INDIAN CLEARING CORP-A9QUIIHMMNIS</t>
  </si>
  <si>
    <t>ACH D- INDIAN CLEARING CORP-QOMP535W49VD</t>
  </si>
  <si>
    <t>UPI-COMPASS INDIA FOOD S-PAYTM-33345433@PAYTM-YESB0PTMUPI-413009866306-UPI</t>
  </si>
  <si>
    <t>UPI-COMPASS INDIA FOOD S-PAYTM-33345433@PAYTM-YESB0PTMUPI-413011157400-UPI</t>
  </si>
  <si>
    <t>ACH D- INDIAN CLEARING CORP-81QR7UCBJKZG</t>
  </si>
  <si>
    <t>ACH D- INDIAN CLEARING CORP-YAS34QPYUDYP</t>
  </si>
  <si>
    <t>UPI-SONI EYE CARE CENTER-9790311672@OKBIZAXIS-UTIB0000000-413177456223-HOSPITAL EYE</t>
  </si>
  <si>
    <t>ACH D- INDIAN CLEARING CORP-3XDGRTQPX8IP</t>
  </si>
  <si>
    <t>UPI-VENUS PATHOLOGY LAB-VENUSLABMULUND@OKHDFCBANK-BCBM0000006-413290522582-BLOOD TEST</t>
  </si>
  <si>
    <t>ACH D- INDIAN CLEARING CORP-5DWM4AA9HE39</t>
  </si>
  <si>
    <t>ACH D- INDIAN CLEARING CORP-SCYZAN7IUI5P</t>
  </si>
  <si>
    <t>ACH D- INDIAN CLEARING CORP-EOMUPOCRMF6Q</t>
  </si>
  <si>
    <t>ACH D- INDIAN CLEARING CORP-KN2A82HJ4AC8</t>
  </si>
  <si>
    <t>ACH D- INDIAN CLEARING CORP-Y6ATQZJ2P19Z</t>
  </si>
  <si>
    <t>ACH D- INDIAN CLEARING CORP-9F7FPFCWRSCU</t>
  </si>
  <si>
    <t>ACH D- INDIAN CLEARING CORP-A9JVCWMWEC6T</t>
  </si>
  <si>
    <t>ACH D- INDIAN CLEARING CORP-MAN1YDIOE3VI</t>
  </si>
  <si>
    <t>ACH D- INDIAN CLEARING CORP-1HDIUESV4ZOF</t>
  </si>
  <si>
    <t>ACH D- INDIAN CLEARING CORP-5RD7B1IIIQU6</t>
  </si>
  <si>
    <t>ACH D- INDIAN CLEARING CORP-WDOKIEXX1TIW</t>
  </si>
  <si>
    <t>UPI-VOGUE SALON AND BEAU-VOGUE.SALON@ICICI-ICIC0DC0099-450466534834-HAIR CUT</t>
  </si>
  <si>
    <t>UPI-M S MANAM HEALTH CAR-MSMANAMHEALTHCAREANDDIAGNOSTICS.EAZYPAY@ICICI-ICIC0DC0099-413846798000-PAY BY WHATSAPP</t>
  </si>
  <si>
    <t>UPI-ETRIC MOBILITY SOLUT-ETRICMOBILITYSOLUTIO.62738598@HDFCBANK-HDFC0000001-413957290388-UPI</t>
  </si>
  <si>
    <t>UPI-TRS HYDERABAD 2-TRSHYDERABAD2.42564646@HDFCBANK-HDFC0000001-413959076752-GENERATING DYNAMIC</t>
  </si>
  <si>
    <t>ACH D- INDIAN CLEARING CORP-5C5TPYC3L7TP</t>
  </si>
  <si>
    <t>ACH D- INDIAN CLEARING CORP-SB6DLGZOA3N9</t>
  </si>
  <si>
    <t>ACH D- INDIAN CLEARING CORP-XENSWZ472495</t>
  </si>
  <si>
    <t>ACH D- INDIAN CLEARING CORP-Z3A4NOGFXZJ5</t>
  </si>
  <si>
    <t>ACH D- INDIAN CLEARING CORP-DKNOIR6PWQTQ</t>
  </si>
  <si>
    <t>ACH D- INDIAN CLEARING CORP-72WTX6A837RY</t>
  </si>
  <si>
    <t>ACH D- INDIAN CLEARING CORP-FAJZ4C5NKIJJ</t>
  </si>
  <si>
    <t>ACH D- INDIAN CLEARING CORP-MMBWZXCYROZD</t>
  </si>
  <si>
    <t>ACH D- INDIAN CLEARING CORP-UAGZPTJY92OC</t>
  </si>
  <si>
    <t>ACH D- LIC OF INDIA-9252478010524</t>
  </si>
  <si>
    <t>ACH D- LIC OF INDIA-9252477900524</t>
  </si>
  <si>
    <t>ACH D- LIC OF INDIA-9252478000524</t>
  </si>
  <si>
    <t>ACH D- LIC OF INDIA-9252477890524</t>
  </si>
  <si>
    <t>ACH D- LIC OF INDIA-9252477990524</t>
  </si>
  <si>
    <t>ACH D- LIC OF INDIA-9252477880524</t>
  </si>
  <si>
    <t>ACH D- LIC OF INDIA-9252477980524</t>
  </si>
  <si>
    <t>ACH D- LIC OF INDIA-9252477870524</t>
  </si>
  <si>
    <t>ACH D- LIC OF INDIA-9252477860524</t>
  </si>
  <si>
    <t>ACH D- LIC OF INDIA-9252477850524</t>
  </si>
  <si>
    <t>ACH D- LIC OF INDIA-9252477970524</t>
  </si>
  <si>
    <t>ACH D- LIC OF INDIA-9252477840524</t>
  </si>
  <si>
    <t>ACH D- LIC OF INDIA-9252477830524</t>
  </si>
  <si>
    <t>ACH D- LIC OF INDIA-9252477820524</t>
  </si>
  <si>
    <t>ACH D- LIC OF INDIA-9252478060524</t>
  </si>
  <si>
    <t>ACH D- LIC OF INDIA-9252477950524</t>
  </si>
  <si>
    <t>ACH D- LIC OF INDIA-9252477810524</t>
  </si>
  <si>
    <t>ACH D- LIC OF INDIA-9252477960524</t>
  </si>
  <si>
    <t>ACH D- LIC OF INDIA-9252478050524</t>
  </si>
  <si>
    <t>ACH D- LIC OF INDIA-9252477940524</t>
  </si>
  <si>
    <t>ACH D- LIC OF INDIA-9252478040524</t>
  </si>
  <si>
    <t>ACH D- LIC OF INDIA-9252478020524</t>
  </si>
  <si>
    <t>ACH D- LIC OF INDIA-9252478030524</t>
  </si>
  <si>
    <t>ACH D- LIC OF INDIA-9252477930524</t>
  </si>
  <si>
    <t>ACH D- LIC OF INDIA-9252477920524</t>
  </si>
  <si>
    <t>ACH D- LIC OF INDIA-9252477910524</t>
  </si>
  <si>
    <t>ACH D- INDIAN CLEARING CORP-LWVX2NJ1563N</t>
  </si>
  <si>
    <t>ACH D- INDIAN CLEARING CORP-C9FKMI8P5PYK</t>
  </si>
  <si>
    <t>ACH D- INDIAN CLEARING CORP-4V8WE3I3J2VL</t>
  </si>
  <si>
    <t>UPI-URBAN COMPANY-PAYTM-URBANCOMPANY@PAYTM-YESB0PTMUPI-414638387884-UPI</t>
  </si>
  <si>
    <t>UPI-HAOBAM ANITA SINGH-ANITAHAOBAM-1@OKSBI-SBIN0063782-414645460190-UPI</t>
  </si>
  <si>
    <t>ACH D- INDIAN CLEARING CORP-RFC81LPA3VBW</t>
  </si>
  <si>
    <t>ACH D- INDIAN CLEARING CORP-LNMS3UZCKZAX</t>
  </si>
  <si>
    <t>UPI-CH KISHORE REDDY-CHILVERAR-2@OKICICI-CNRB0000033-414824248154-UPI</t>
  </si>
  <si>
    <t>ACH D- INDIAN CLEARING CORP-QI7719F9EUEX</t>
  </si>
  <si>
    <t>UPI-VELA DESAI-VEL2582@OKICICI-ICIC0000004-415077255093-CHAPPAL</t>
  </si>
  <si>
    <t>NEFT CR-CITI0100000-BMS BUSINESS SERVICES INDIA PVT LTD-VARSHA MAHAJAN-CITIN24473383565 SALARY FOR MAY 2024</t>
  </si>
  <si>
    <t>UPI-PRABHAKAR GUPTA-Q774939398@YBL-YESB0YBLUPI-415005161279-FOOD</t>
  </si>
  <si>
    <t>UPI-AIRTEL BILL PAYMENTS-AIRTELBILLPAYMENTS.PAYU@MAIRTEL-AIRP0000001-415121558785-AIRTEL POSTPAID BI</t>
  </si>
  <si>
    <t>UPI-COMPASS INDIA FOOD S-PAYTM-33345433@PAYTM-YESB0PTMUPI-415263871363-UPI</t>
  </si>
  <si>
    <t>00600310040071-2023033182403</t>
  </si>
  <si>
    <t>00600310040071-2023033182404</t>
  </si>
  <si>
    <t>00600310040071-2023033182405</t>
  </si>
  <si>
    <t>Possible income only from Varsha and Vinay policies, based on Giri's Cashflow document</t>
  </si>
  <si>
    <t>Actual out of pocket for premiums and MFs</t>
  </si>
  <si>
    <t>Varsha Iphone from Dubai</t>
  </si>
  <si>
    <t>TV / Fridge / Water purifier / furniture IKEA / Geyser / Dish washer / Lpatop / Washing machine / AC / Vyom iphone / microwave / Mac / Agaro Juicer / Baba phone 2024 / Mixer / Varsha iphone Dubai</t>
  </si>
  <si>
    <t>Varsha blood test + medical, nuitritionist + Vinay blood test</t>
  </si>
  <si>
    <t>Goa tickets, Dec2024 trip</t>
  </si>
  <si>
    <t xml:space="preserve">BIL/NSP/DF13334628/ICIC0SF0002/VYOM VINAY M       </t>
  </si>
  <si>
    <t>BIL/NEFT/HS92415345217895/VyomHDFC/VYOM VINAY M/HD</t>
  </si>
  <si>
    <t>UPI/415394464216/UPI/ramkytower.6098/HDFC BANK LTD/ICIe91b8e5646a44166bfa3a587d</t>
  </si>
  <si>
    <t>UPI/451936864768/undir puttha/ayyappaundru-1@/Union Bank of I/ICI0465a953d14449</t>
  </si>
  <si>
    <t>UPI/415427990760/c305 car wash/nareshvemula749/State Bank Of I/ICI89ffcda9ff684</t>
  </si>
  <si>
    <t>UPI/452022698942/lemonade/justnaresh@okic/ICICI Bank/ICId6ef6a463d51439b961f152</t>
  </si>
  <si>
    <t>UPI/415449497422/lemondae/justnaresh@okic/ICICI Bank/ICI7aae303f3f204393a6b4ad7</t>
  </si>
  <si>
    <t xml:space="preserve">BIL/NSP/DF34051320/ICIC0SF0002/VINAY MAHAJA       </t>
  </si>
  <si>
    <t>MMT/IMPS/415508449428/C305 June2024/RTABOWA - /HDF</t>
  </si>
  <si>
    <t>UPI/452123240645/food/paytmqr28100505/Yes Bank Ltd/ICI270064bdf6954e078192ab250</t>
  </si>
  <si>
    <t>UPI/452236288084/food/paytmqr28100505/Yes Bank Ltd/ICIca9da40024974d20890163b0a</t>
  </si>
  <si>
    <t>UPI/452383511298/Vyom 3 classes/shailajamarri12/HDFC BANK LTD/ICIbc550070109247</t>
  </si>
  <si>
    <t>BIL/NEFT/HS92415846150040/HDFC0000652/Vinay Naraya</t>
  </si>
  <si>
    <t>UPI/452439889508/food/paytmqr28100505/Yes Bank Ltd/ICI673e401838be40f6b603cdd86</t>
  </si>
  <si>
    <t>UPI/452495898878/rava/ayyappaundru-1@/Union Bank of I/ICI328b8e9ab73b421485c636</t>
  </si>
  <si>
    <t>ACH/LIC OF INDIA/ICIC7012906230000656/929815593062</t>
  </si>
  <si>
    <t>UPI/415916954712/stockings/ravikumarbsn@ok/State Bank Of I/ICI52bdb0da963845ea8</t>
  </si>
  <si>
    <t xml:space="preserve">BIL/INFT/DFE5962570/VINAYSIP                      </t>
  </si>
  <si>
    <t>UPI/416226090191/food/paytmqr28100505/Yes Bank Ltd/ICIbb25536e062a4ec385834f28f</t>
  </si>
  <si>
    <t xml:space="preserve">IRM/EUR30.3@89.5203GST45/INREM/20240611151240     </t>
  </si>
  <si>
    <t>UPI/416460069671/Vyom 3 classes/shailajamarri12/HDFC BANK LTD/ICIbd1517987f2649</t>
  </si>
  <si>
    <t>UPI/416424276593/food/paytmqr28100505/Yes Bank Ltd/ICI5c6c6b7a16654c389784d148c</t>
  </si>
  <si>
    <t>UPI/416537146631/Pay to BharatPe/bharatpe.900700/Federal Bank/ICI17210ef3a98842</t>
  </si>
  <si>
    <t>UPI/453223279523/Airtel Postpaid/airtel-billpay./ICICI Bank/PPPL201446809841406</t>
  </si>
  <si>
    <t>UPI/416720441841/hair cut/9515892116@ibl/Prathama UP Gra/ICIe30d75bd9b99439d8ab</t>
  </si>
  <si>
    <t>UPI/453327237698/hair cut/vogue.salon@ici/ICICI Bank/ICI748b28140ba14cbc8a816a6</t>
  </si>
  <si>
    <t>UPI/453380861579/paratha/ayyappaundru-1@/Union Bank of I/ICIb481a0524b4b44bcbf3</t>
  </si>
  <si>
    <t>UPI/453442384776/food/q462234842@ybl/Yes Bank Ltd/ICI6fad229e0040421780e9b8b7ca</t>
  </si>
  <si>
    <t>UPI/416883388965/grocery/paytm-64400876@/Yes Bank Ltd/ICIedc0f46a364a4e47908cf5</t>
  </si>
  <si>
    <t xml:space="preserve">BIL/INFT/DFL7391607/VINAYSIP                      </t>
  </si>
  <si>
    <t>UPI/417101318062/Vyom 3 classes/shailajamarri12/HDFC BANK LTD/ICIdfba924e16d84a</t>
  </si>
  <si>
    <t>UPI/453793823939/food/paytmqr28100505/Yes Bank Ltd/ICIcebad9b03f97436fa7552f79a</t>
  </si>
  <si>
    <t>UPI/453786641178/grocery/q303504892@ybl/Yes Bank Ltd/ICIa0010385b644449a849468c</t>
  </si>
  <si>
    <t>UPI/417370907251/vegetables/q20082480@ybl/Yes Bank Ltd/ICI1cdf92589ed840d38553f</t>
  </si>
  <si>
    <t xml:space="preserve">CMS/001467915292/ICICIPRULIFEINS__24511656        </t>
  </si>
  <si>
    <t>UPI/417479549749/Airtel DTH Rech/airtel-billpay./ICICI Bank/PPPL202085232872206</t>
  </si>
  <si>
    <t xml:space="preserve">BIL/INFT/DFS8554835/VINAYSIP                      </t>
  </si>
  <si>
    <t>UPI/417694280278/PaymenttoBlueDa/bluedartexpress/ICICI Bank/ICI4c09d2ac72434a48</t>
  </si>
  <si>
    <t>UPI/454466037001/Vyom 3 classes/shailajamarri12/HDFC BANK LTD/ICI98c54144870648</t>
  </si>
  <si>
    <t>UPI/417847942545/lunch/compassindiafoo/HDFC BANK LTD/ICI15eb664c5c4d4b18b9bcc25</t>
  </si>
  <si>
    <t>NEFT-CITIN24486553918-NOVARTIS HEALTHCARE PRIVATE LIMITED-SALARY FOR JUN2024-00</t>
  </si>
  <si>
    <t>UPI/418099828973/c305 milk/7989495557@axl/Punjab National/ICI7056c328196a40a597</t>
  </si>
  <si>
    <t>UPI/454693745416/Pay to BharatPe/bharatpe.900700/Federal Bank/ICId509db68c0494d</t>
  </si>
  <si>
    <t>UPI/454765168687/blood test/sairammariya014/Axis Bank Ltd./ICIb73a37b659fb45db9</t>
  </si>
  <si>
    <t>UPI/418168248589/UPI/goog-payments@a/Axis Bank Ltd./AXI3b42960b470f4f439c9d20d2</t>
  </si>
  <si>
    <t>UPI/418112091801/medicines/manampharmacy@i/ICICI Bank/ICIb3fc38a7b45e413d8298d3</t>
  </si>
  <si>
    <t>UPI/454785709482/hormone therapy/msmanamhealthca/ICICI Bank/ICI731f80ef349b4510</t>
  </si>
  <si>
    <t xml:space="preserve">000401043279:Int.Pd:30-03-2024 to 29-06-2024      </t>
  </si>
  <si>
    <t>UPI/454820532027/Pay To JAYABHER/bharatpe9077200/Yes Bank Ltd/ICI112553654b7d4f</t>
  </si>
  <si>
    <t>UPI/454872537289/tip/trimurthulu1144/HDFC BANK LTD/ICI9f1c6e5a927b48b482fe604ec</t>
  </si>
  <si>
    <t xml:space="preserve">CMS/ CMS4207768074/ICICI PRUDENTIAL MUTUAL FUND   </t>
  </si>
  <si>
    <t xml:space="preserve">CMS/001467915297/ICICIPRULIFEINS__24516375        </t>
  </si>
  <si>
    <t>MMT/IMPS/418008848090/Aai Bappa/VITHAL MAD/CBIN028</t>
  </si>
  <si>
    <t>NEFT-N180243115997998-VARSHA MAHAJAN-ICICI TRANSFER TO-50100317164911-HDFC00000</t>
  </si>
  <si>
    <t>UPI/418093113313/Upi Mandate/netflix2.payu@i/ICICI Bank/ICI60b97793dc204399a5db</t>
  </si>
  <si>
    <t xml:space="preserve">008801013248:Int.Pd:30-03-2024 to 29-06-2024      </t>
  </si>
  <si>
    <t>UPI/418282685182/UPI/goog-payments@a/Axis Bank Ltd./AXId3eee7228e1e484d8340586e</t>
  </si>
  <si>
    <t>01/06/24</t>
  </si>
  <si>
    <t>02/06/24</t>
  </si>
  <si>
    <t>03/06/24</t>
  </si>
  <si>
    <t>04/06/24</t>
  </si>
  <si>
    <t>05/06/24</t>
  </si>
  <si>
    <t>06/06/24</t>
  </si>
  <si>
    <t>07/06/24</t>
  </si>
  <si>
    <t>08/06/24</t>
  </si>
  <si>
    <t>09/06/24</t>
  </si>
  <si>
    <t>10/06/24</t>
  </si>
  <si>
    <t>11/06/24</t>
  </si>
  <si>
    <t>12/06/24</t>
  </si>
  <si>
    <t>13/06/24</t>
  </si>
  <si>
    <t>14/06/24</t>
  </si>
  <si>
    <t>15/06/24</t>
  </si>
  <si>
    <t>16/06/24</t>
  </si>
  <si>
    <t>17/06/24</t>
  </si>
  <si>
    <t>18/06/24</t>
  </si>
  <si>
    <t>19/06/24</t>
  </si>
  <si>
    <t>20/06/24</t>
  </si>
  <si>
    <t>21/06/24</t>
  </si>
  <si>
    <t>22/06/24</t>
  </si>
  <si>
    <t>23/06/24</t>
  </si>
  <si>
    <t>24/06/24</t>
  </si>
  <si>
    <t>25/06/24</t>
  </si>
  <si>
    <t>26/06/24</t>
  </si>
  <si>
    <t>27/06/24</t>
  </si>
  <si>
    <t>28/06/24</t>
  </si>
  <si>
    <t>29/06/24</t>
  </si>
  <si>
    <t>01/07/24</t>
  </si>
  <si>
    <t>ACH D- INDIAN CLEARING CORP-6B1Y584L6WSX</t>
  </si>
  <si>
    <t>UPI-HICARE-HICARE.PAYTM@HDFCBANK-HDFC0000499-415307049771-UPI</t>
  </si>
  <si>
    <t>UPI-URBAN COMPANY-URBANCOMPANY.RZP@ICICI-ICIC0DC0099-415318847076-UPI</t>
  </si>
  <si>
    <t>UPI-M S MANAM HEALTH CAR-MSMANAMHEALTHCAREANDDIAGNOSTICS.EAZYPAY@ICICI-ICIC0DC0099-415325294867-UPI</t>
  </si>
  <si>
    <t>ACH D- INDIAN CLEARING CORP-BVXS1GQCETE4</t>
  </si>
  <si>
    <t>UPI-B VARSHITHA B H ROTI-7794086494@OKBIZAXIS-UTIB0000000-415448183922-UPI</t>
  </si>
  <si>
    <t>UPI-LAXMA REDDY  GADDAM-BHARATPE.90070110465@FBPE-FDRL0001382-415448312730-PAY TO BHARATPE ME</t>
  </si>
  <si>
    <t>UPI-MAX FASHION 4991-PAYTM-71359424@PAYTM-YESB0PTMUPI-415466144194-UPI</t>
  </si>
  <si>
    <t>UPI-ASTROTALK-ASTROTALK594653.RZP@AXISBANK-UTIB0000100-415568473377-ASTROTALK</t>
  </si>
  <si>
    <t>UPI-LADAF  NAFEEJ-9177435292@IBL-SBIN0011668-415579406371-SALARY MAY</t>
  </si>
  <si>
    <t>ACH D- INDIAN CLEARING CORP-4Y75DSB6UMXV</t>
  </si>
  <si>
    <t>ACH D- INDIAN CLEARING CORP-NS1ZQSW93PBN</t>
  </si>
  <si>
    <t>ACH D- INDIAN CLEARING CORP-LDEWVUYPCJIA</t>
  </si>
  <si>
    <t>ACH D- INDIAN CLEARING CORP-6F3FLMFCTX75</t>
  </si>
  <si>
    <t>ACH D- INDIAN CLEARING CORP-CKVKRUDED1LV</t>
  </si>
  <si>
    <t>UPI-ALLEN DIGITAL-ALLENDIGITALONLINE@YBL-YESB0YBLUPI-415636014740-UPI</t>
  </si>
  <si>
    <t>UPI-GOOGLE PLAY-PLAYSTORE@AXISBANK-UTIB0000553-415678912335-MANDATEEXECUTE</t>
  </si>
  <si>
    <t>ACH D- INDIAN CLEARING CORP-YSNZ8GJK9S3L</t>
  </si>
  <si>
    <t>ACH D- INDIAN CLEARING CORP-OLTA1P8TLGHU</t>
  </si>
  <si>
    <t>ACH D- INDIAN CLEARING CORP-VC76CKTV6RG2</t>
  </si>
  <si>
    <t>UPI-SHAIK   MURAD-MOHDMURAD188@OKAXIS-KKBK0007452-415763122951-UPI</t>
  </si>
  <si>
    <t>UPI-STAR DENTAL CENTRE P-BHARATPE.0880138113@ICICI-ICIC0DC0099-415769221153-PAY TO CLOVE MADHA</t>
  </si>
  <si>
    <t>UPI-ACT  BROADBAND-PAYTM-ACTHYD2@PAYTM-YESB0PTMUPI-415786233902-UPI</t>
  </si>
  <si>
    <t>ACH D- INDIAN CLEARING CORP-HNZOQ8YV3HN3</t>
  </si>
  <si>
    <t>ACH D- INDIAN CLEARING CORP-YSIAREP8KMSD</t>
  </si>
  <si>
    <t>UPI-TENET DIAGNOSTICS  K-Q20998386@YBL-YESB0YBLUPI-415815524804-DOCTOR</t>
  </si>
  <si>
    <t>ACH D- INDIAN CLEARING CORP-AXANJLBXO74I</t>
  </si>
  <si>
    <t>UPI-COMPASS INDIA FOOD S-PAYTM-33345433@PAYTM-YESB0PTMUPI-415953114683-UPI</t>
  </si>
  <si>
    <t>ACH D- INDIAN CLEARING CORP-FKREJSZJAIRT</t>
  </si>
  <si>
    <t>ACH D- INDIAN CLEARING CORP-MKYJ14EBA68Q</t>
  </si>
  <si>
    <t>ACH D- INDIAN CLEARING CORP-14PSCD7U1KSB</t>
  </si>
  <si>
    <t>ACH D- INDIAN CLEARING CORP-NPCH48ZFIGQ9</t>
  </si>
  <si>
    <t>ACH D- INDIAN CLEARING CORP-IP7TJ1CZD1D4</t>
  </si>
  <si>
    <t>ACH D- INDIAN CLEARING CORP-515X6B8497NW</t>
  </si>
  <si>
    <t>ACH D- INDIAN CLEARING CORP-B6YCKV7ORHA7</t>
  </si>
  <si>
    <t>00600310040071-2023033242435</t>
  </si>
  <si>
    <t>ACH D- INDIAN CLEARING CORP-QA4E7D7VBE5T</t>
  </si>
  <si>
    <t>UPI-RAMKY TOWER-RAMKYTOWER.60983462@HDFCBANK-HDFC0000001-416315012290-UPI</t>
  </si>
  <si>
    <t>ACH D- INDIAN CLEARING CORP-UOHEJJEZOCD2</t>
  </si>
  <si>
    <t>ACH D- INDIAN CLEARING CORP-3IMHEKIV3Q6O</t>
  </si>
  <si>
    <t>ACH D- INDIAN CLEARING CORP-DOCJMUCDE8FU</t>
  </si>
  <si>
    <t>ACH D- INDIAN CLEARING CORP-4ZO8JOTZWV21</t>
  </si>
  <si>
    <t>ACH D- INDIAN CLEARING CORP-DLLABXTO62YN</t>
  </si>
  <si>
    <t>UPI-BOOKMYSHOW-BOOKMYSHOW@YESPAY-YESB0YESUPI-416666802571-BOOKMYSHOW</t>
  </si>
  <si>
    <t>UPI-MANTOO JAISAWAL-MANTU.JAISAWAL@AXL-JIOP0000001-416784921783-PIPE GAS</t>
  </si>
  <si>
    <t>UPI-VOGUE SALON AND BEAU-VOGUE.SALON@ICICI-ICIC0DC0099-416701753241-SALON</t>
  </si>
  <si>
    <t>ACH D- INDIAN CLEARING CORP-3HKBKKJXXDKU</t>
  </si>
  <si>
    <t>ACH D- INDIAN CLEARING CORP-KXIWPNXXO9KP</t>
  </si>
  <si>
    <t>UPI-PAVAN JANI-PAWANVISHNOII92-11@OKAXIS-BARB0OSIANX-416969205362-UPI</t>
  </si>
  <si>
    <t>ACH D- INDIAN CLEARING CORP-E4SVOZEH2Q8O</t>
  </si>
  <si>
    <t>ACH D- INDIAN CLEARING CORP-59TRNQHS6GU4</t>
  </si>
  <si>
    <t>ACH D- INDIAN CLEARING CORP-7HU9ECS9P6T4</t>
  </si>
  <si>
    <t>ACH D- INDIAN CLEARING CORP-5IYG212FVGX9</t>
  </si>
  <si>
    <t>ACH D- INDIAN CLEARING CORP-1U4DO6D1RJFN</t>
  </si>
  <si>
    <t>UPI-ZERODHA BROKING LTD-ZERODHABROKING@HDFCBANK-HDFC0000523-417187725214-4079901361097663 Z</t>
  </si>
  <si>
    <t>ACH D- INDIAN CLEARING CORP-5NXZ83C1T2Z2</t>
  </si>
  <si>
    <t>ACH D- INDIAN CLEARING CORP-QQRDDKW53B62</t>
  </si>
  <si>
    <t>ACH D- INDIAN CLEARING CORP-D65OA9G9LZOU</t>
  </si>
  <si>
    <t>ACH D- INDIAN CLEARING CORP-AJ6N91QXBJFA</t>
  </si>
  <si>
    <t>00600310040071-2023033250029</t>
  </si>
  <si>
    <t>00600310040071-2023033250030</t>
  </si>
  <si>
    <t>UPI-MANOJ SUKHADEO DOKE-9975406904@PTAXIS-UTIB0000246-417240806639-NA</t>
  </si>
  <si>
    <t>ACH D- INDIAN CLEARING CORP-BDKY33XA7UIC</t>
  </si>
  <si>
    <t>ACH D- INDIAN CLEARING CORP-4SYJLK2PMV5M</t>
  </si>
  <si>
    <t>ACH D- INDIAN CLEARING CORP-5S1ZSBFDHRL8</t>
  </si>
  <si>
    <t>ACH D- INDIAN CLEARING CORP-JQWO4C142FHK</t>
  </si>
  <si>
    <t>UPI-RAMKY TOWER-RAMKYTOWER.60983462@HDFCBANK-HDFC0000001-417452651095-UPI</t>
  </si>
  <si>
    <t>UPI-PARMEET KAUR  SALUJA-DIMPLESALUJA1010@OKAXIS-SBIN0011081-417459087555-KULFI VARSHA</t>
  </si>
  <si>
    <t>ACH D- INDIAN CLEARING CORP-IUHVIYJCQG3Y</t>
  </si>
  <si>
    <t>UPI-PRATIMA GUPTA-PRATIMAG.65@OKHDFCBANK-HDFC0000276-417515356559-UPI</t>
  </si>
  <si>
    <t>ACH D- INDIAN CLEARING CORP-R33QP9QATKK4</t>
  </si>
  <si>
    <t>ACH D- INDIAN CLEARING CORP-TXHBDAWX76F3</t>
  </si>
  <si>
    <t>UPI-FLIPKART PAYMENTS-FLIPKART1.PAYU@HDFCBANK-HDFC0000499-417708896207-UPI TRANSACTION</t>
  </si>
  <si>
    <t>ACH D- INDIAN CLEARING CORP-2B155RJV8T3Z</t>
  </si>
  <si>
    <t>ACH D- INDIAN CLEARING CORP-PFB5ONCUBVTZ</t>
  </si>
  <si>
    <t>UPI-PRATIMA GUPTA-PRATIMAG.65@OKHDFCBANK-HDFC0000276-417955012646-UPI</t>
  </si>
  <si>
    <t>NEFT CR-CITI0100000-BMS BUSINESS SERVICES INDIA PVT LTD-VARSHA MAHAJAN-CITIN24489538330 SALARY FOR JUN 2024</t>
  </si>
  <si>
    <t>NEFT DR-ICIC0000088-VARSHA MAHAJAN-NETBANK, MUM-N180243115997998-ICICI TRANSFER TO</t>
  </si>
  <si>
    <t>RD THROUGH NET-50400344072290  :VARSHA MAHAJAN</t>
  </si>
  <si>
    <t>ACH D- INDIAN CLEARING CORP-JO92PUPDKG5C</t>
  </si>
  <si>
    <t>UPI-T SHIVASHANKER-Q031609182@YBL-YESB0YBLUPI-418122651169-PANEER</t>
  </si>
  <si>
    <t>INTEREST PAID TILL 30-JUN-2024</t>
  </si>
  <si>
    <t>Goa hotel, Dec2024 trip</t>
  </si>
  <si>
    <t>Varsha paid HDFC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</si>
</sst>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1">
    <numFmt numFmtId="6" formatCode="&quot;₹&quot;\ #,##0;[Red]&quot;₹&quot;\ \-#,##0"/>
    <numFmt numFmtId="43" formatCode="_ * #,##0.00_ ;_ * \-#,##0.00_ ;_ * &quot;-&quot;??_ ;_ @_ "/>
    <numFmt numFmtId="164" formatCode="_(* #,##0.00_);_(* \(#,##0.00\);_(* &quot;-&quot;??_);_(@_)"/>
    <numFmt numFmtId="165" formatCode="[$-F800]dddd\,\ mmmm\ dd\,\ yyyy"/>
    <numFmt numFmtId="166" formatCode="mmm\-yyyy"/>
    <numFmt numFmtId="167" formatCode="_(* #,##0_);_(* \(#,##0\);_(* &quot;-&quot;??_);_(@_)"/>
    <numFmt numFmtId="168" formatCode="d\-mmm\-yyyy"/>
    <numFmt numFmtId="169" formatCode="[$INR]\ #,##0;[Red][$INR]\ #,##0"/>
    <numFmt numFmtId="170" formatCode="[$INR]\ #,##0"/>
    <numFmt numFmtId="171" formatCode="_ * #,##0_ ;_ * \-#,##0_ ;_ * &quot;-&quot;??_ ;_ @_ "/>
    <numFmt numFmtId="172" formatCode="[$-409]d\-mmm\-yyyy;@"/>
  </numFmts>
  <fonts count="51">
    <font>
      <sz val="11"/>
      <color theme="1"/>
      <name val="Calibri"/>
      <family val="2"/>
      <scheme val="minor"/>
    </font>
    <font>
      <sz val="10"/>
      <color theme="1"/>
      <name val="Arial"/>
      <family val="2"/>
    </font>
    <font>
      <sz val="10"/>
      <color theme="1"/>
      <name val="Arial"/>
      <family val="2"/>
    </font>
    <font>
      <sz val="10"/>
      <color theme="1"/>
      <name val="Arial"/>
      <family val="2"/>
    </font>
    <font>
      <sz val="10"/>
      <color theme="1"/>
      <name val="Arial"/>
      <family val="2"/>
    </font>
    <font>
      <sz val="10"/>
      <color theme="1"/>
      <name val="Arial"/>
      <family val="2"/>
    </font>
    <font>
      <sz val="10"/>
      <color theme="1"/>
      <name val="Arial"/>
      <family val="2"/>
    </font>
    <font>
      <sz val="10"/>
      <color theme="1"/>
      <name val="Arial"/>
      <family val="2"/>
    </font>
    <font>
      <sz val="10"/>
      <color theme="1"/>
      <name val="Arial"/>
      <family val="2"/>
    </font>
    <font>
      <sz val="10"/>
      <color theme="1"/>
      <name val="Arial"/>
      <family val="2"/>
    </font>
    <font>
      <sz val="10"/>
      <color theme="1"/>
      <name val="Arial"/>
      <family val="2"/>
    </font>
    <font>
      <sz val="10"/>
      <color theme="1"/>
      <name val="Arial"/>
      <family val="2"/>
    </font>
    <font>
      <sz val="10"/>
      <color theme="1"/>
      <name val="Arial"/>
      <family val="2"/>
    </font>
    <font>
      <sz val="10"/>
      <color theme="1"/>
      <name val="Arial"/>
      <family val="2"/>
    </font>
    <font>
      <sz val="10"/>
      <color theme="1"/>
      <name val="Arial"/>
      <family val="2"/>
    </font>
    <font>
      <sz val="10"/>
      <color theme="1"/>
      <name val="Arial"/>
      <family val="2"/>
    </font>
    <font>
      <sz val="10"/>
      <color theme="1"/>
      <name val="Arial"/>
      <family val="2"/>
    </font>
    <font>
      <sz val="10"/>
      <color theme="1"/>
      <name val="Arial"/>
      <family val="2"/>
    </font>
    <font>
      <sz val="10"/>
      <color theme="1"/>
      <name val="Arial"/>
      <family val="2"/>
    </font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0"/>
      <name val="Arial"/>
      <family val="2"/>
    </font>
    <font>
      <sz val="10"/>
      <color indexed="72"/>
      <name val="SansSerif"/>
    </font>
    <font>
      <b/>
      <sz val="10"/>
      <color indexed="72"/>
      <name val="SansSerif"/>
    </font>
    <font>
      <b/>
      <sz val="11"/>
      <color rgb="FFFF0000"/>
      <name val="Calibri"/>
      <family val="2"/>
      <scheme val="minor"/>
    </font>
    <font>
      <b/>
      <sz val="10"/>
      <color theme="1"/>
      <name val="Arial"/>
      <family val="2"/>
    </font>
    <font>
      <u/>
      <sz val="10"/>
      <color theme="10"/>
      <name val="Arial"/>
      <family val="2"/>
    </font>
    <font>
      <sz val="9"/>
      <color indexed="81"/>
      <name val="Tahoma"/>
      <family val="2"/>
    </font>
    <font>
      <i/>
      <sz val="11"/>
      <color theme="1"/>
      <name val="Calibri"/>
      <family val="2"/>
      <scheme val="minor"/>
    </font>
    <font>
      <b/>
      <sz val="9"/>
      <color indexed="81"/>
      <name val="Tahoma"/>
      <family val="2"/>
    </font>
    <font>
      <u/>
      <sz val="5"/>
      <color theme="10"/>
      <name val="Arial"/>
      <family val="2"/>
    </font>
    <font>
      <sz val="10"/>
      <color theme="1"/>
      <name val="Calibri"/>
      <family val="2"/>
      <scheme val="minor"/>
    </font>
    <font>
      <sz val="10"/>
      <color rgb="FF3F4D71"/>
      <name val="Arial"/>
      <family val="2"/>
    </font>
    <font>
      <b/>
      <sz val="10"/>
      <color rgb="FF3F4D71"/>
      <name val="Arial"/>
      <family val="2"/>
    </font>
    <font>
      <sz val="11"/>
      <color rgb="FF000000"/>
      <name val="Calibri"/>
      <family val="2"/>
    </font>
    <font>
      <sz val="10"/>
      <color rgb="FFFF0000"/>
      <name val="Calibri"/>
      <family val="2"/>
      <scheme val="minor"/>
    </font>
    <font>
      <b/>
      <sz val="10"/>
      <color theme="1"/>
      <name val="Calibri"/>
      <family val="2"/>
      <scheme val="minor"/>
    </font>
    <font>
      <u/>
      <sz val="11"/>
      <color theme="10"/>
      <name val="Calibri"/>
      <family val="2"/>
    </font>
    <font>
      <b/>
      <sz val="10"/>
      <color rgb="FF00B050"/>
      <name val="Calibri"/>
      <family val="2"/>
      <scheme val="minor"/>
    </font>
    <font>
      <sz val="10"/>
      <color rgb="FF000000"/>
      <name val="Arial Unicode MS"/>
      <family val="2"/>
    </font>
    <font>
      <b/>
      <sz val="10"/>
      <color rgb="FFFFFFFF"/>
      <name val="Arial"/>
      <family val="2"/>
    </font>
    <font>
      <b/>
      <sz val="10"/>
      <color rgb="FFD6CFB1"/>
      <name val="Arial"/>
      <family val="2"/>
    </font>
    <font>
      <b/>
      <sz val="10"/>
      <color rgb="FF000000"/>
      <name val="Arial"/>
      <family val="2"/>
    </font>
    <font>
      <sz val="10"/>
      <name val="Arial"/>
      <family val="2"/>
    </font>
    <font>
      <sz val="10"/>
      <name val="Arial"/>
      <family val="2"/>
    </font>
    <font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b/>
      <sz val="10"/>
      <color rgb="FFFF0000"/>
      <name val="Arial"/>
      <family val="2"/>
    </font>
    <font>
      <sz val="10"/>
      <name val="Arial"/>
      <family val="2"/>
    </font>
    <font>
      <sz val="10"/>
      <name val="Arial"/>
      <family val="2"/>
    </font>
    <font>
      <sz val="10"/>
      <name val="Arial"/>
    </font>
  </fonts>
  <fills count="18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indexed="31"/>
        <bgColor indexed="64"/>
      </patternFill>
    </fill>
    <fill>
      <patternFill patternType="solid">
        <fgColor indexed="9"/>
        <bgColor indexed="64"/>
      </patternFill>
    </fill>
    <fill>
      <patternFill patternType="solid">
        <fgColor theme="2"/>
        <bgColor indexed="64"/>
      </patternFill>
    </fill>
    <fill>
      <patternFill patternType="solid">
        <fgColor rgb="FF00B050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rgb="FF00B0F0"/>
        <bgColor indexed="64"/>
      </patternFill>
    </fill>
    <fill>
      <patternFill patternType="solid">
        <fgColor rgb="FF0070C0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3"/>
        <bgColor indexed="64"/>
      </patternFill>
    </fill>
    <fill>
      <patternFill patternType="solid">
        <fgColor rgb="FF8D110E"/>
        <bgColor indexed="64"/>
      </patternFill>
    </fill>
    <fill>
      <patternFill patternType="solid">
        <fgColor rgb="FFD6CFB1"/>
        <bgColor indexed="64"/>
      </patternFill>
    </fill>
    <fill>
      <patternFill patternType="solid">
        <fgColor rgb="FFFFFFFF"/>
        <bgColor indexed="64"/>
      </patternFill>
    </fill>
  </fills>
  <borders count="7">
    <border>
      <left/>
      <right/>
      <top/>
      <bottom/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rgb="FF000000"/>
      </left>
      <right style="thin">
        <color rgb="FF000000"/>
      </right>
      <top/>
      <bottom/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indexed="64"/>
      </left>
      <right/>
      <top/>
      <bottom/>
      <diagonal/>
    </border>
  </borders>
  <cellStyleXfs count="54">
    <xf numFmtId="0" fontId="0" fillId="0" borderId="0"/>
    <xf numFmtId="164" fontId="19" fillId="0" borderId="0" applyFont="0" applyFill="0" applyBorder="0" applyAlignment="0" applyProtection="0"/>
    <xf numFmtId="0" fontId="21" fillId="0" borderId="0"/>
    <xf numFmtId="0" fontId="21" fillId="0" borderId="0" applyNumberFormat="0" applyFont="0" applyFill="0" applyBorder="0" applyAlignment="0" applyProtection="0"/>
    <xf numFmtId="9" fontId="19" fillId="0" borderId="0" applyFont="0" applyFill="0" applyBorder="0" applyAlignment="0" applyProtection="0"/>
    <xf numFmtId="0" fontId="18" fillId="0" borderId="0"/>
    <xf numFmtId="164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0" fontId="26" fillId="0" borderId="0" applyNumberFormat="0" applyFill="0" applyBorder="0" applyAlignment="0" applyProtection="0"/>
    <xf numFmtId="0" fontId="17" fillId="0" borderId="0"/>
    <xf numFmtId="9" fontId="17" fillId="0" borderId="0" applyFont="0" applyFill="0" applyBorder="0" applyAlignment="0" applyProtection="0"/>
    <xf numFmtId="0" fontId="16" fillId="0" borderId="0"/>
    <xf numFmtId="9" fontId="16" fillId="0" borderId="0" applyFont="0" applyFill="0" applyBorder="0" applyAlignment="0" applyProtection="0"/>
    <xf numFmtId="164" fontId="16" fillId="0" borderId="0" applyFont="0" applyFill="0" applyBorder="0" applyAlignment="0" applyProtection="0"/>
    <xf numFmtId="0" fontId="15" fillId="0" borderId="0"/>
    <xf numFmtId="9" fontId="15" fillId="0" borderId="0" applyFont="0" applyFill="0" applyBorder="0" applyAlignment="0" applyProtection="0"/>
    <xf numFmtId="164" fontId="15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3" fillId="0" borderId="0"/>
    <xf numFmtId="164" fontId="13" fillId="0" borderId="0" applyFont="0" applyFill="0" applyBorder="0" applyAlignment="0" applyProtection="0"/>
    <xf numFmtId="0" fontId="12" fillId="0" borderId="0"/>
    <xf numFmtId="164" fontId="12" fillId="0" borderId="0" applyFont="0" applyFill="0" applyBorder="0" applyAlignment="0" applyProtection="0"/>
    <xf numFmtId="164" fontId="12" fillId="0" borderId="0" applyFont="0" applyFill="0" applyBorder="0" applyAlignment="0" applyProtection="0"/>
    <xf numFmtId="0" fontId="11" fillId="0" borderId="0"/>
    <xf numFmtId="164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0" fontId="10" fillId="0" borderId="0"/>
    <xf numFmtId="164" fontId="10" fillId="0" borderId="0" applyFont="0" applyFill="0" applyBorder="0" applyAlignment="0" applyProtection="0"/>
    <xf numFmtId="0" fontId="9" fillId="0" borderId="0"/>
    <xf numFmtId="9" fontId="9" fillId="0" borderId="0" applyFont="0" applyFill="0" applyBorder="0" applyAlignment="0" applyProtection="0"/>
    <xf numFmtId="0" fontId="8" fillId="0" borderId="0"/>
    <xf numFmtId="164" fontId="8" fillId="0" borderId="0" applyFont="0" applyFill="0" applyBorder="0" applyAlignment="0" applyProtection="0"/>
    <xf numFmtId="0" fontId="37" fillId="0" borderId="0" applyNumberFormat="0" applyFill="0" applyBorder="0" applyAlignment="0" applyProtection="0">
      <alignment vertical="top"/>
      <protection locked="0"/>
    </xf>
    <xf numFmtId="0" fontId="7" fillId="0" borderId="0"/>
    <xf numFmtId="0" fontId="43" fillId="0" borderId="0"/>
    <xf numFmtId="0" fontId="43" fillId="0" borderId="0" applyNumberFormat="0" applyFont="0" applyFill="0" applyBorder="0" applyAlignment="0" applyProtection="0"/>
    <xf numFmtId="0" fontId="44" fillId="0" borderId="0" applyNumberFormat="0" applyFont="0" applyFill="0" applyBorder="0" applyAlignment="0" applyProtection="0"/>
    <xf numFmtId="0" fontId="44" fillId="0" borderId="0"/>
    <xf numFmtId="0" fontId="6" fillId="0" borderId="0"/>
    <xf numFmtId="164" fontId="6" fillId="0" borderId="0" applyFont="0" applyFill="0" applyBorder="0" applyAlignment="0" applyProtection="0"/>
    <xf numFmtId="9" fontId="19" fillId="0" borderId="0" applyFont="0" applyFill="0" applyBorder="0" applyAlignment="0" applyProtection="0"/>
    <xf numFmtId="0" fontId="5" fillId="0" borderId="0"/>
    <xf numFmtId="164" fontId="5" fillId="0" borderId="0" applyFont="0" applyFill="0" applyBorder="0" applyAlignment="0" applyProtection="0"/>
    <xf numFmtId="0" fontId="4" fillId="0" borderId="0"/>
    <xf numFmtId="0" fontId="3" fillId="0" borderId="0"/>
    <xf numFmtId="164" fontId="3" fillId="0" borderId="0" applyFont="0" applyFill="0" applyBorder="0" applyAlignment="0" applyProtection="0"/>
    <xf numFmtId="0" fontId="2" fillId="0" borderId="0"/>
    <xf numFmtId="164" fontId="2" fillId="0" borderId="0" applyFont="0" applyFill="0" applyBorder="0" applyAlignment="0" applyProtection="0"/>
    <xf numFmtId="0" fontId="48" fillId="0" borderId="0"/>
    <xf numFmtId="0" fontId="49" fillId="0" borderId="0" applyNumberFormat="0" applyFont="0" applyFill="0" applyBorder="0" applyAlignment="0" applyProtection="0"/>
    <xf numFmtId="0" fontId="49" fillId="0" borderId="0"/>
    <xf numFmtId="0" fontId="50" fillId="0" borderId="0"/>
    <xf numFmtId="0" fontId="50" fillId="0" borderId="0" applyNumberFormat="0" applyFont="0" applyFill="0" applyBorder="0" applyAlignment="0" applyProtection="0"/>
  </cellStyleXfs>
  <cellXfs count="330">
    <xf numFmtId="0" fontId="0" fillId="0" borderId="0" xfId="0"/>
    <xf numFmtId="1" fontId="0" fillId="0" borderId="0" xfId="0" applyNumberFormat="1"/>
    <xf numFmtId="14" fontId="0" fillId="0" borderId="0" xfId="0" applyNumberFormat="1"/>
    <xf numFmtId="0" fontId="21" fillId="0" borderId="0" xfId="2"/>
    <xf numFmtId="165" fontId="21" fillId="0" borderId="0" xfId="2" applyNumberFormat="1"/>
    <xf numFmtId="166" fontId="0" fillId="0" borderId="0" xfId="0" applyNumberFormat="1"/>
    <xf numFmtId="16" fontId="0" fillId="0" borderId="0" xfId="0" applyNumberFormat="1"/>
    <xf numFmtId="166" fontId="0" fillId="0" borderId="0" xfId="0" applyNumberFormat="1" applyAlignment="1">
      <alignment horizontal="left"/>
    </xf>
    <xf numFmtId="0" fontId="0" fillId="2" borderId="0" xfId="0" applyFill="1"/>
    <xf numFmtId="167" fontId="0" fillId="2" borderId="0" xfId="1" applyNumberFormat="1" applyFont="1" applyFill="1"/>
    <xf numFmtId="167" fontId="0" fillId="0" borderId="0" xfId="0" applyNumberFormat="1"/>
    <xf numFmtId="1" fontId="0" fillId="3" borderId="0" xfId="0" applyNumberFormat="1" applyFill="1"/>
    <xf numFmtId="0" fontId="23" fillId="4" borderId="1" xfId="3" applyNumberFormat="1" applyFont="1" applyFill="1" applyBorder="1" applyAlignment="1" applyProtection="1">
      <alignment horizontal="center" vertical="top" wrapText="1"/>
    </xf>
    <xf numFmtId="0" fontId="23" fillId="4" borderId="1" xfId="3" applyNumberFormat="1" applyFont="1" applyFill="1" applyBorder="1" applyAlignment="1" applyProtection="1">
      <alignment horizontal="left" vertical="top" wrapText="1"/>
    </xf>
    <xf numFmtId="0" fontId="23" fillId="4" borderId="1" xfId="3" applyNumberFormat="1" applyFont="1" applyFill="1" applyBorder="1" applyAlignment="1" applyProtection="1">
      <alignment horizontal="right" vertical="top" wrapText="1"/>
    </xf>
    <xf numFmtId="0" fontId="22" fillId="5" borderId="1" xfId="3" applyNumberFormat="1" applyFont="1" applyFill="1" applyBorder="1" applyAlignment="1" applyProtection="1">
      <alignment horizontal="center" vertical="center" wrapText="1"/>
    </xf>
    <xf numFmtId="0" fontId="22" fillId="5" borderId="1" xfId="3" applyNumberFormat="1" applyFont="1" applyFill="1" applyBorder="1" applyAlignment="1" applyProtection="1">
      <alignment horizontal="center" vertical="top" wrapText="1"/>
    </xf>
    <xf numFmtId="0" fontId="22" fillId="5" borderId="1" xfId="3" applyNumberFormat="1" applyFont="1" applyFill="1" applyBorder="1" applyAlignment="1" applyProtection="1">
      <alignment horizontal="left" vertical="top" wrapText="1"/>
    </xf>
    <xf numFmtId="0" fontId="22" fillId="5" borderId="1" xfId="3" applyNumberFormat="1" applyFont="1" applyFill="1" applyBorder="1" applyAlignment="1" applyProtection="1">
      <alignment horizontal="right" vertical="top" wrapText="1"/>
    </xf>
    <xf numFmtId="0" fontId="22" fillId="5" borderId="0" xfId="3" applyNumberFormat="1" applyFont="1" applyFill="1" applyBorder="1" applyAlignment="1" applyProtection="1">
      <alignment horizontal="left" vertical="top" wrapText="1"/>
    </xf>
    <xf numFmtId="0" fontId="0" fillId="0" borderId="0" xfId="0" applyAlignment="1">
      <alignment wrapText="1"/>
    </xf>
    <xf numFmtId="0" fontId="0" fillId="6" borderId="0" xfId="0" applyFill="1"/>
    <xf numFmtId="0" fontId="0" fillId="6" borderId="0" xfId="0" applyFill="1" applyAlignment="1">
      <alignment wrapText="1"/>
    </xf>
    <xf numFmtId="167" fontId="0" fillId="6" borderId="0" xfId="0" applyNumberFormat="1" applyFill="1"/>
    <xf numFmtId="167" fontId="0" fillId="6" borderId="0" xfId="1" applyNumberFormat="1" applyFont="1" applyFill="1"/>
    <xf numFmtId="1" fontId="0" fillId="6" borderId="0" xfId="0" applyNumberFormat="1" applyFill="1"/>
    <xf numFmtId="167" fontId="0" fillId="2" borderId="0" xfId="0" applyNumberFormat="1" applyFill="1"/>
    <xf numFmtId="167" fontId="0" fillId="6" borderId="0" xfId="1" applyNumberFormat="1" applyFont="1" applyFill="1" applyAlignment="1">
      <alignment wrapText="1"/>
    </xf>
    <xf numFmtId="167" fontId="24" fillId="2" borderId="0" xfId="0" applyNumberFormat="1" applyFont="1" applyFill="1"/>
    <xf numFmtId="0" fontId="20" fillId="0" borderId="0" xfId="0" applyFont="1"/>
    <xf numFmtId="0" fontId="20" fillId="2" borderId="0" xfId="0" applyFont="1" applyFill="1"/>
    <xf numFmtId="167" fontId="20" fillId="2" borderId="0" xfId="1" applyNumberFormat="1" applyFont="1" applyFill="1"/>
    <xf numFmtId="167" fontId="20" fillId="7" borderId="0" xfId="1" applyNumberFormat="1" applyFont="1" applyFill="1"/>
    <xf numFmtId="0" fontId="20" fillId="8" borderId="0" xfId="0" applyFont="1" applyFill="1"/>
    <xf numFmtId="167" fontId="20" fillId="8" borderId="0" xfId="1" applyNumberFormat="1" applyFont="1" applyFill="1"/>
    <xf numFmtId="0" fontId="20" fillId="7" borderId="0" xfId="0" applyFont="1" applyFill="1"/>
    <xf numFmtId="1" fontId="20" fillId="8" borderId="0" xfId="0" applyNumberFormat="1" applyFont="1" applyFill="1"/>
    <xf numFmtId="0" fontId="0" fillId="2" borderId="0" xfId="0" applyFill="1" applyAlignment="1">
      <alignment wrapText="1"/>
    </xf>
    <xf numFmtId="9" fontId="0" fillId="6" borderId="0" xfId="4" applyFont="1" applyFill="1"/>
    <xf numFmtId="0" fontId="25" fillId="0" borderId="0" xfId="5" applyFont="1"/>
    <xf numFmtId="0" fontId="25" fillId="0" borderId="0" xfId="5" applyFont="1" applyAlignment="1">
      <alignment wrapText="1"/>
    </xf>
    <xf numFmtId="0" fontId="18" fillId="0" borderId="0" xfId="5"/>
    <xf numFmtId="0" fontId="18" fillId="0" borderId="0" xfId="5" applyAlignment="1">
      <alignment wrapText="1"/>
    </xf>
    <xf numFmtId="167" fontId="0" fillId="0" borderId="0" xfId="6" applyNumberFormat="1" applyFont="1" applyAlignment="1">
      <alignment horizontal="right"/>
    </xf>
    <xf numFmtId="167" fontId="0" fillId="0" borderId="0" xfId="6" applyNumberFormat="1" applyFont="1"/>
    <xf numFmtId="9" fontId="0" fillId="0" borderId="0" xfId="7" applyFont="1"/>
    <xf numFmtId="10" fontId="0" fillId="0" borderId="0" xfId="7" applyNumberFormat="1" applyFont="1"/>
    <xf numFmtId="167" fontId="25" fillId="2" borderId="2" xfId="6" applyNumberFormat="1" applyFont="1" applyFill="1" applyBorder="1"/>
    <xf numFmtId="167" fontId="25" fillId="9" borderId="2" xfId="6" applyNumberFormat="1" applyFont="1" applyFill="1" applyBorder="1"/>
    <xf numFmtId="167" fontId="25" fillId="0" borderId="0" xfId="5" applyNumberFormat="1" applyFont="1"/>
    <xf numFmtId="0" fontId="26" fillId="0" borderId="0" xfId="8"/>
    <xf numFmtId="3" fontId="0" fillId="0" borderId="0" xfId="0" applyNumberFormat="1"/>
    <xf numFmtId="168" fontId="0" fillId="0" borderId="0" xfId="0" applyNumberFormat="1"/>
    <xf numFmtId="164" fontId="28" fillId="0" borderId="0" xfId="0" applyNumberFormat="1" applyFont="1"/>
    <xf numFmtId="0" fontId="28" fillId="0" borderId="0" xfId="0" applyFont="1"/>
    <xf numFmtId="0" fontId="0" fillId="0" borderId="2" xfId="0" applyBorder="1"/>
    <xf numFmtId="0" fontId="0" fillId="2" borderId="2" xfId="0" applyFill="1" applyBorder="1"/>
    <xf numFmtId="0" fontId="0" fillId="0" borderId="2" xfId="0" applyBorder="1" applyAlignment="1">
      <alignment horizontal="center"/>
    </xf>
    <xf numFmtId="0" fontId="0" fillId="2" borderId="2" xfId="0" applyFill="1" applyBorder="1" applyAlignment="1">
      <alignment horizontal="center"/>
    </xf>
    <xf numFmtId="0" fontId="0" fillId="2" borderId="2" xfId="0" applyFill="1" applyBorder="1" applyAlignment="1">
      <alignment horizontal="center" wrapText="1"/>
    </xf>
    <xf numFmtId="167" fontId="0" fillId="0" borderId="0" xfId="1" applyNumberFormat="1" applyFont="1" applyAlignment="1"/>
    <xf numFmtId="0" fontId="0" fillId="11" borderId="2" xfId="0" applyFill="1" applyBorder="1" applyAlignment="1">
      <alignment horizontal="center" wrapText="1"/>
    </xf>
    <xf numFmtId="167" fontId="0" fillId="11" borderId="0" xfId="0" applyNumberFormat="1" applyFill="1"/>
    <xf numFmtId="167" fontId="0" fillId="11" borderId="0" xfId="1" applyNumberFormat="1" applyFont="1" applyFill="1" applyAlignment="1"/>
    <xf numFmtId="0" fontId="0" fillId="10" borderId="0" xfId="0" applyFill="1"/>
    <xf numFmtId="167" fontId="0" fillId="10" borderId="0" xfId="0" applyNumberFormat="1" applyFill="1"/>
    <xf numFmtId="0" fontId="20" fillId="2" borderId="0" xfId="0" applyFont="1" applyFill="1" applyAlignment="1">
      <alignment horizontal="center"/>
    </xf>
    <xf numFmtId="17" fontId="0" fillId="0" borderId="0" xfId="0" applyNumberFormat="1"/>
    <xf numFmtId="10" fontId="0" fillId="0" borderId="0" xfId="0" applyNumberFormat="1"/>
    <xf numFmtId="2" fontId="0" fillId="0" borderId="0" xfId="0" applyNumberFormat="1"/>
    <xf numFmtId="10" fontId="0" fillId="0" borderId="0" xfId="4" applyNumberFormat="1" applyFont="1"/>
    <xf numFmtId="0" fontId="30" fillId="0" borderId="0" xfId="8" applyFont="1" applyAlignment="1">
      <alignment wrapText="1"/>
    </xf>
    <xf numFmtId="0" fontId="15" fillId="0" borderId="0" xfId="14"/>
    <xf numFmtId="0" fontId="15" fillId="0" borderId="2" xfId="14" applyBorder="1" applyAlignment="1">
      <alignment wrapText="1"/>
    </xf>
    <xf numFmtId="0" fontId="15" fillId="0" borderId="2" xfId="14" applyBorder="1"/>
    <xf numFmtId="0" fontId="15" fillId="0" borderId="3" xfId="14" applyBorder="1" applyAlignment="1">
      <alignment wrapText="1"/>
    </xf>
    <xf numFmtId="0" fontId="15" fillId="0" borderId="3" xfId="14" applyBorder="1"/>
    <xf numFmtId="0" fontId="15" fillId="0" borderId="0" xfId="14" applyAlignment="1">
      <alignment wrapText="1"/>
    </xf>
    <xf numFmtId="9" fontId="0" fillId="2" borderId="2" xfId="15" applyFont="1" applyFill="1" applyBorder="1"/>
    <xf numFmtId="9" fontId="15" fillId="2" borderId="2" xfId="14" applyNumberFormat="1" applyFill="1" applyBorder="1"/>
    <xf numFmtId="9" fontId="15" fillId="0" borderId="2" xfId="14" applyNumberFormat="1" applyBorder="1"/>
    <xf numFmtId="10" fontId="0" fillId="0" borderId="2" xfId="15" applyNumberFormat="1" applyFont="1" applyBorder="1"/>
    <xf numFmtId="167" fontId="0" fillId="2" borderId="2" xfId="16" applyNumberFormat="1" applyFont="1" applyFill="1" applyBorder="1"/>
    <xf numFmtId="0" fontId="15" fillId="2" borderId="2" xfId="14" applyFill="1" applyBorder="1"/>
    <xf numFmtId="167" fontId="15" fillId="0" borderId="0" xfId="14" applyNumberFormat="1"/>
    <xf numFmtId="10" fontId="15" fillId="0" borderId="0" xfId="14" applyNumberFormat="1"/>
    <xf numFmtId="167" fontId="15" fillId="2" borderId="2" xfId="14" applyNumberFormat="1" applyFill="1" applyBorder="1"/>
    <xf numFmtId="169" fontId="15" fillId="0" borderId="2" xfId="14" applyNumberFormat="1" applyBorder="1"/>
    <xf numFmtId="0" fontId="15" fillId="9" borderId="2" xfId="14" applyFill="1" applyBorder="1" applyAlignment="1">
      <alignment wrapText="1"/>
    </xf>
    <xf numFmtId="0" fontId="15" fillId="2" borderId="0" xfId="14" applyFill="1"/>
    <xf numFmtId="167" fontId="0" fillId="2" borderId="0" xfId="16" applyNumberFormat="1" applyFont="1" applyFill="1"/>
    <xf numFmtId="167" fontId="0" fillId="0" borderId="0" xfId="16" applyNumberFormat="1" applyFont="1"/>
    <xf numFmtId="167" fontId="0" fillId="9" borderId="0" xfId="16" applyNumberFormat="1" applyFont="1" applyFill="1"/>
    <xf numFmtId="10" fontId="0" fillId="0" borderId="0" xfId="15" applyNumberFormat="1" applyFont="1"/>
    <xf numFmtId="170" fontId="15" fillId="0" borderId="0" xfId="14" applyNumberFormat="1"/>
    <xf numFmtId="2" fontId="15" fillId="0" borderId="0" xfId="14" applyNumberFormat="1"/>
    <xf numFmtId="171" fontId="0" fillId="0" borderId="0" xfId="0" applyNumberFormat="1"/>
    <xf numFmtId="167" fontId="15" fillId="12" borderId="2" xfId="14" applyNumberFormat="1" applyFill="1" applyBorder="1"/>
    <xf numFmtId="169" fontId="15" fillId="3" borderId="0" xfId="14" applyNumberFormat="1" applyFill="1"/>
    <xf numFmtId="0" fontId="0" fillId="0" borderId="2" xfId="14" applyFont="1" applyBorder="1" applyAlignment="1">
      <alignment wrapText="1"/>
    </xf>
    <xf numFmtId="0" fontId="14" fillId="0" borderId="0" xfId="17"/>
    <xf numFmtId="10" fontId="0" fillId="0" borderId="0" xfId="18" applyNumberFormat="1" applyFont="1"/>
    <xf numFmtId="10" fontId="14" fillId="0" borderId="0" xfId="17" applyNumberFormat="1"/>
    <xf numFmtId="0" fontId="14" fillId="2" borderId="0" xfId="17" applyFill="1"/>
    <xf numFmtId="0" fontId="14" fillId="2" borderId="0" xfId="17" applyFill="1" applyAlignment="1">
      <alignment wrapText="1"/>
    </xf>
    <xf numFmtId="15" fontId="0" fillId="0" borderId="0" xfId="0" applyNumberFormat="1"/>
    <xf numFmtId="167" fontId="0" fillId="2" borderId="0" xfId="6" applyNumberFormat="1" applyFont="1" applyFill="1" applyAlignment="1">
      <alignment horizontal="right"/>
    </xf>
    <xf numFmtId="167" fontId="18" fillId="0" borderId="0" xfId="5" applyNumberFormat="1"/>
    <xf numFmtId="0" fontId="13" fillId="0" borderId="0" xfId="19"/>
    <xf numFmtId="167" fontId="25" fillId="0" borderId="0" xfId="19" applyNumberFormat="1" applyFont="1"/>
    <xf numFmtId="167" fontId="25" fillId="0" borderId="0" xfId="20" applyNumberFormat="1" applyFont="1"/>
    <xf numFmtId="9" fontId="13" fillId="0" borderId="0" xfId="19" applyNumberFormat="1"/>
    <xf numFmtId="0" fontId="25" fillId="0" borderId="0" xfId="19" applyFont="1"/>
    <xf numFmtId="0" fontId="12" fillId="0" borderId="0" xfId="21"/>
    <xf numFmtId="167" fontId="0" fillId="0" borderId="0" xfId="22" applyNumberFormat="1" applyFont="1"/>
    <xf numFmtId="167" fontId="12" fillId="0" borderId="0" xfId="21" applyNumberFormat="1"/>
    <xf numFmtId="167" fontId="0" fillId="0" borderId="0" xfId="23" applyNumberFormat="1" applyFont="1"/>
    <xf numFmtId="0" fontId="11" fillId="0" borderId="0" xfId="24"/>
    <xf numFmtId="167" fontId="25" fillId="0" borderId="0" xfId="24" applyNumberFormat="1" applyFont="1"/>
    <xf numFmtId="167" fontId="25" fillId="9" borderId="2" xfId="25" applyNumberFormat="1" applyFont="1" applyFill="1" applyBorder="1"/>
    <xf numFmtId="167" fontId="25" fillId="2" borderId="2" xfId="25" applyNumberFormat="1" applyFont="1" applyFill="1" applyBorder="1"/>
    <xf numFmtId="0" fontId="25" fillId="0" borderId="0" xfId="24" applyFont="1"/>
    <xf numFmtId="10" fontId="0" fillId="0" borderId="0" xfId="26" applyNumberFormat="1" applyFont="1"/>
    <xf numFmtId="9" fontId="0" fillId="0" borderId="0" xfId="26" applyFont="1"/>
    <xf numFmtId="167" fontId="0" fillId="0" borderId="0" xfId="25" applyNumberFormat="1" applyFont="1"/>
    <xf numFmtId="167" fontId="0" fillId="0" borderId="0" xfId="25" applyNumberFormat="1" applyFont="1" applyAlignment="1">
      <alignment horizontal="right"/>
    </xf>
    <xf numFmtId="0" fontId="0" fillId="0" borderId="0" xfId="24" applyFont="1"/>
    <xf numFmtId="0" fontId="11" fillId="0" borderId="0" xfId="24" applyAlignment="1">
      <alignment wrapText="1"/>
    </xf>
    <xf numFmtId="0" fontId="25" fillId="0" borderId="0" xfId="24" applyFont="1" applyAlignment="1">
      <alignment wrapText="1"/>
    </xf>
    <xf numFmtId="167" fontId="11" fillId="0" borderId="0" xfId="24" applyNumberFormat="1"/>
    <xf numFmtId="0" fontId="10" fillId="0" borderId="0" xfId="27"/>
    <xf numFmtId="167" fontId="0" fillId="0" borderId="0" xfId="28" applyNumberFormat="1" applyFont="1"/>
    <xf numFmtId="167" fontId="10" fillId="0" borderId="0" xfId="27" applyNumberFormat="1"/>
    <xf numFmtId="0" fontId="10" fillId="0" borderId="0" xfId="27" applyAlignment="1">
      <alignment wrapText="1"/>
    </xf>
    <xf numFmtId="0" fontId="10" fillId="2" borderId="0" xfId="27" applyFill="1"/>
    <xf numFmtId="167" fontId="0" fillId="2" borderId="0" xfId="28" applyNumberFormat="1" applyFont="1" applyFill="1"/>
    <xf numFmtId="0" fontId="25" fillId="0" borderId="0" xfId="27" applyFont="1"/>
    <xf numFmtId="167" fontId="25" fillId="0" borderId="0" xfId="27" applyNumberFormat="1" applyFont="1"/>
    <xf numFmtId="0" fontId="9" fillId="0" borderId="0" xfId="29"/>
    <xf numFmtId="10" fontId="0" fillId="0" borderId="0" xfId="30" applyNumberFormat="1" applyFont="1"/>
    <xf numFmtId="0" fontId="9" fillId="2" borderId="2" xfId="29" applyFill="1" applyBorder="1"/>
    <xf numFmtId="0" fontId="9" fillId="2" borderId="0" xfId="29" applyFill="1"/>
    <xf numFmtId="167" fontId="25" fillId="2" borderId="0" xfId="29" applyNumberFormat="1" applyFont="1" applyFill="1"/>
    <xf numFmtId="164" fontId="9" fillId="0" borderId="0" xfId="29" applyNumberFormat="1"/>
    <xf numFmtId="0" fontId="31" fillId="0" borderId="0" xfId="0" applyFont="1"/>
    <xf numFmtId="0" fontId="31" fillId="6" borderId="0" xfId="0" applyFont="1" applyFill="1"/>
    <xf numFmtId="0" fontId="31" fillId="6" borderId="0" xfId="0" applyFont="1" applyFill="1" applyAlignment="1">
      <alignment wrapText="1"/>
    </xf>
    <xf numFmtId="9" fontId="31" fillId="0" borderId="0" xfId="0" applyNumberFormat="1" applyFont="1"/>
    <xf numFmtId="0" fontId="31" fillId="9" borderId="0" xfId="0" applyFont="1" applyFill="1"/>
    <xf numFmtId="10" fontId="31" fillId="0" borderId="0" xfId="0" applyNumberFormat="1" applyFont="1"/>
    <xf numFmtId="9" fontId="31" fillId="9" borderId="0" xfId="0" applyNumberFormat="1" applyFont="1" applyFill="1"/>
    <xf numFmtId="0" fontId="34" fillId="0" borderId="4" xfId="0" applyFont="1" applyBorder="1"/>
    <xf numFmtId="9" fontId="31" fillId="6" borderId="0" xfId="0" applyNumberFormat="1" applyFont="1" applyFill="1"/>
    <xf numFmtId="0" fontId="34" fillId="6" borderId="4" xfId="0" applyFont="1" applyFill="1" applyBorder="1"/>
    <xf numFmtId="2" fontId="34" fillId="6" borderId="4" xfId="0" applyNumberFormat="1" applyFont="1" applyFill="1" applyBorder="1"/>
    <xf numFmtId="0" fontId="35" fillId="0" borderId="0" xfId="0" applyFont="1"/>
    <xf numFmtId="0" fontId="36" fillId="6" borderId="0" xfId="0" applyFont="1" applyFill="1"/>
    <xf numFmtId="2" fontId="31" fillId="6" borderId="0" xfId="0" applyNumberFormat="1" applyFont="1" applyFill="1"/>
    <xf numFmtId="0" fontId="31" fillId="0" borderId="0" xfId="0" applyFont="1" applyAlignment="1">
      <alignment wrapText="1"/>
    </xf>
    <xf numFmtId="0" fontId="37" fillId="0" borderId="0" xfId="33" applyAlignment="1" applyProtection="1"/>
    <xf numFmtId="0" fontId="35" fillId="14" borderId="0" xfId="0" applyFont="1" applyFill="1"/>
    <xf numFmtId="2" fontId="34" fillId="0" borderId="4" xfId="0" applyNumberFormat="1" applyFont="1" applyBorder="1"/>
    <xf numFmtId="0" fontId="31" fillId="14" borderId="0" xfId="0" applyFont="1" applyFill="1"/>
    <xf numFmtId="2" fontId="31" fillId="0" borderId="0" xfId="0" applyNumberFormat="1" applyFont="1"/>
    <xf numFmtId="0" fontId="31" fillId="2" borderId="0" xfId="0" applyFont="1" applyFill="1"/>
    <xf numFmtId="2" fontId="31" fillId="2" borderId="0" xfId="0" applyNumberFormat="1" applyFont="1" applyFill="1"/>
    <xf numFmtId="0" fontId="0" fillId="9" borderId="0" xfId="0" applyFill="1"/>
    <xf numFmtId="9" fontId="0" fillId="0" borderId="0" xfId="0" applyNumberFormat="1"/>
    <xf numFmtId="0" fontId="0" fillId="3" borderId="0" xfId="0" applyFill="1"/>
    <xf numFmtId="167" fontId="0" fillId="0" borderId="0" xfId="1" applyNumberFormat="1" applyFont="1"/>
    <xf numFmtId="0" fontId="38" fillId="6" borderId="0" xfId="0" applyFont="1" applyFill="1"/>
    <xf numFmtId="14" fontId="39" fillId="0" borderId="0" xfId="34" applyNumberFormat="1" applyFont="1"/>
    <xf numFmtId="0" fontId="7" fillId="0" borderId="0" xfId="34"/>
    <xf numFmtId="14" fontId="7" fillId="0" borderId="0" xfId="34" applyNumberFormat="1"/>
    <xf numFmtId="4" fontId="7" fillId="0" borderId="0" xfId="34" applyNumberFormat="1"/>
    <xf numFmtId="0" fontId="39" fillId="0" borderId="0" xfId="34" applyFont="1"/>
    <xf numFmtId="0" fontId="40" fillId="15" borderId="5" xfId="34" applyFont="1" applyFill="1" applyBorder="1" applyAlignment="1">
      <alignment horizontal="center" vertical="center" wrapText="1"/>
    </xf>
    <xf numFmtId="14" fontId="25" fillId="16" borderId="5" xfId="34" applyNumberFormat="1" applyFont="1" applyFill="1" applyBorder="1" applyAlignment="1">
      <alignment horizontal="left" vertical="center" wrapText="1"/>
    </xf>
    <xf numFmtId="0" fontId="25" fillId="16" borderId="5" xfId="34" applyFont="1" applyFill="1" applyBorder="1" applyAlignment="1">
      <alignment horizontal="left" vertical="center" wrapText="1"/>
    </xf>
    <xf numFmtId="0" fontId="41" fillId="16" borderId="5" xfId="34" applyFont="1" applyFill="1" applyBorder="1" applyAlignment="1">
      <alignment horizontal="left" vertical="center" wrapText="1"/>
    </xf>
    <xf numFmtId="0" fontId="41" fillId="16" borderId="5" xfId="34" applyFont="1" applyFill="1" applyBorder="1" applyAlignment="1">
      <alignment horizontal="right" vertical="center" wrapText="1"/>
    </xf>
    <xf numFmtId="0" fontId="42" fillId="16" borderId="5" xfId="34" applyFont="1" applyFill="1" applyBorder="1" applyAlignment="1">
      <alignment horizontal="right" vertical="center" wrapText="1"/>
    </xf>
    <xf numFmtId="14" fontId="25" fillId="17" borderId="5" xfId="34" applyNumberFormat="1" applyFont="1" applyFill="1" applyBorder="1" applyAlignment="1">
      <alignment horizontal="left" vertical="center" wrapText="1"/>
    </xf>
    <xf numFmtId="0" fontId="25" fillId="17" borderId="5" xfId="34" applyFont="1" applyFill="1" applyBorder="1" applyAlignment="1">
      <alignment horizontal="left" vertical="center" wrapText="1"/>
    </xf>
    <xf numFmtId="4" fontId="42" fillId="17" borderId="5" xfId="34" applyNumberFormat="1" applyFont="1" applyFill="1" applyBorder="1" applyAlignment="1">
      <alignment horizontal="right" vertical="center" wrapText="1"/>
    </xf>
    <xf numFmtId="0" fontId="40" fillId="17" borderId="5" xfId="34" applyFont="1" applyFill="1" applyBorder="1" applyAlignment="1">
      <alignment horizontal="right" vertical="center" wrapText="1"/>
    </xf>
    <xf numFmtId="0" fontId="42" fillId="17" borderId="5" xfId="34" applyFont="1" applyFill="1" applyBorder="1" applyAlignment="1">
      <alignment horizontal="right" vertical="center" wrapText="1"/>
    </xf>
    <xf numFmtId="4" fontId="42" fillId="16" borderId="5" xfId="34" applyNumberFormat="1" applyFont="1" applyFill="1" applyBorder="1" applyAlignment="1">
      <alignment horizontal="right" vertical="center" wrapText="1"/>
    </xf>
    <xf numFmtId="0" fontId="40" fillId="17" borderId="5" xfId="34" applyFont="1" applyFill="1" applyBorder="1" applyAlignment="1">
      <alignment horizontal="left" vertical="center" wrapText="1"/>
    </xf>
    <xf numFmtId="14" fontId="25" fillId="16" borderId="5" xfId="34" applyNumberFormat="1" applyFont="1" applyFill="1" applyBorder="1" applyAlignment="1">
      <alignment horizontal="left" wrapText="1"/>
    </xf>
    <xf numFmtId="0" fontId="25" fillId="16" borderId="5" xfId="34" applyFont="1" applyFill="1" applyBorder="1" applyAlignment="1">
      <alignment horizontal="left" wrapText="1"/>
    </xf>
    <xf numFmtId="0" fontId="41" fillId="16" borderId="5" xfId="34" applyFont="1" applyFill="1" applyBorder="1" applyAlignment="1">
      <alignment horizontal="left" wrapText="1"/>
    </xf>
    <xf numFmtId="0" fontId="41" fillId="16" borderId="5" xfId="34" applyFont="1" applyFill="1" applyBorder="1" applyAlignment="1">
      <alignment horizontal="right" wrapText="1"/>
    </xf>
    <xf numFmtId="0" fontId="42" fillId="16" borderId="5" xfId="34" applyFont="1" applyFill="1" applyBorder="1" applyAlignment="1">
      <alignment horizontal="right" wrapText="1"/>
    </xf>
    <xf numFmtId="14" fontId="25" fillId="17" borderId="5" xfId="34" applyNumberFormat="1" applyFont="1" applyFill="1" applyBorder="1" applyAlignment="1">
      <alignment horizontal="left" wrapText="1"/>
    </xf>
    <xf numFmtId="0" fontId="25" fillId="17" borderId="5" xfId="34" applyFont="1" applyFill="1" applyBorder="1" applyAlignment="1">
      <alignment horizontal="left" wrapText="1"/>
    </xf>
    <xf numFmtId="0" fontId="40" fillId="17" borderId="5" xfId="34" applyFont="1" applyFill="1" applyBorder="1" applyAlignment="1">
      <alignment horizontal="left" wrapText="1"/>
    </xf>
    <xf numFmtId="4" fontId="42" fillId="17" borderId="5" xfId="34" applyNumberFormat="1" applyFont="1" applyFill="1" applyBorder="1" applyAlignment="1">
      <alignment horizontal="right" wrapText="1"/>
    </xf>
    <xf numFmtId="0" fontId="40" fillId="17" borderId="5" xfId="34" applyFont="1" applyFill="1" applyBorder="1" applyAlignment="1">
      <alignment horizontal="right" wrapText="1"/>
    </xf>
    <xf numFmtId="0" fontId="42" fillId="17" borderId="5" xfId="34" applyFont="1" applyFill="1" applyBorder="1" applyAlignment="1">
      <alignment horizontal="right" wrapText="1"/>
    </xf>
    <xf numFmtId="4" fontId="42" fillId="16" borderId="5" xfId="34" applyNumberFormat="1" applyFont="1" applyFill="1" applyBorder="1" applyAlignment="1">
      <alignment horizontal="right" wrapText="1"/>
    </xf>
    <xf numFmtId="9" fontId="20" fillId="0" borderId="0" xfId="4" applyFont="1"/>
    <xf numFmtId="9" fontId="0" fillId="0" borderId="0" xfId="4" applyFont="1"/>
    <xf numFmtId="14" fontId="0" fillId="3" borderId="0" xfId="0" applyNumberFormat="1" applyFill="1"/>
    <xf numFmtId="0" fontId="11" fillId="2" borderId="0" xfId="24" applyFill="1"/>
    <xf numFmtId="167" fontId="20" fillId="0" borderId="0" xfId="1" applyNumberFormat="1" applyFont="1"/>
    <xf numFmtId="1" fontId="0" fillId="2" borderId="2" xfId="0" applyNumberFormat="1" applyFill="1" applyBorder="1"/>
    <xf numFmtId="0" fontId="20" fillId="0" borderId="6" xfId="0" applyFont="1" applyBorder="1" applyAlignment="1">
      <alignment horizontal="left"/>
    </xf>
    <xf numFmtId="167" fontId="20" fillId="0" borderId="0" xfId="0" applyNumberFormat="1" applyFont="1"/>
    <xf numFmtId="2" fontId="20" fillId="0" borderId="0" xfId="0" applyNumberFormat="1" applyFont="1"/>
    <xf numFmtId="0" fontId="0" fillId="0" borderId="0" xfId="0" applyAlignment="1">
      <alignment horizontal="right"/>
    </xf>
    <xf numFmtId="164" fontId="20" fillId="0" borderId="0" xfId="0" applyNumberFormat="1" applyFont="1"/>
    <xf numFmtId="0" fontId="0" fillId="2" borderId="0" xfId="0" applyFill="1" applyAlignment="1">
      <alignment horizontal="right"/>
    </xf>
    <xf numFmtId="166" fontId="0" fillId="2" borderId="0" xfId="0" applyNumberFormat="1" applyFill="1"/>
    <xf numFmtId="2" fontId="0" fillId="2" borderId="0" xfId="0" applyNumberFormat="1" applyFill="1"/>
    <xf numFmtId="10" fontId="0" fillId="2" borderId="0" xfId="0" applyNumberFormat="1" applyFill="1"/>
    <xf numFmtId="9" fontId="0" fillId="2" borderId="0" xfId="4" applyFont="1" applyFill="1"/>
    <xf numFmtId="10" fontId="0" fillId="2" borderId="0" xfId="4" applyNumberFormat="1" applyFont="1" applyFill="1"/>
    <xf numFmtId="164" fontId="20" fillId="2" borderId="0" xfId="0" applyNumberFormat="1" applyFont="1" applyFill="1"/>
    <xf numFmtId="9" fontId="20" fillId="2" borderId="0" xfId="4" applyFont="1" applyFill="1"/>
    <xf numFmtId="167" fontId="0" fillId="0" borderId="0" xfId="1" applyNumberFormat="1" applyFont="1" applyFill="1"/>
    <xf numFmtId="9" fontId="0" fillId="0" borderId="0" xfId="4" applyFont="1" applyFill="1"/>
    <xf numFmtId="10" fontId="0" fillId="0" borderId="0" xfId="4" applyNumberFormat="1" applyFont="1" applyFill="1"/>
    <xf numFmtId="9" fontId="20" fillId="0" borderId="0" xfId="4" applyFont="1" applyFill="1"/>
    <xf numFmtId="164" fontId="0" fillId="0" borderId="0" xfId="0" applyNumberFormat="1"/>
    <xf numFmtId="0" fontId="22" fillId="5" borderId="1" xfId="2" applyFont="1" applyFill="1" applyBorder="1" applyAlignment="1">
      <alignment horizontal="center" vertical="top" wrapText="1"/>
    </xf>
    <xf numFmtId="0" fontId="22" fillId="5" borderId="1" xfId="2" applyFont="1" applyFill="1" applyBorder="1" applyAlignment="1">
      <alignment horizontal="left" vertical="top" wrapText="1"/>
    </xf>
    <xf numFmtId="0" fontId="22" fillId="5" borderId="1" xfId="2" applyFont="1" applyFill="1" applyBorder="1" applyAlignment="1">
      <alignment horizontal="right" vertical="top" wrapText="1"/>
    </xf>
    <xf numFmtId="0" fontId="43" fillId="0" borderId="0" xfId="35"/>
    <xf numFmtId="0" fontId="22" fillId="5" borderId="1" xfId="0" applyFont="1" applyFill="1" applyBorder="1" applyAlignment="1">
      <alignment horizontal="left" vertical="top" wrapText="1"/>
    </xf>
    <xf numFmtId="0" fontId="22" fillId="5" borderId="1" xfId="0" applyFont="1" applyFill="1" applyBorder="1" applyAlignment="1">
      <alignment horizontal="right" vertical="top" wrapText="1"/>
    </xf>
    <xf numFmtId="0" fontId="22" fillId="5" borderId="1" xfId="36" applyNumberFormat="1" applyFont="1" applyFill="1" applyBorder="1" applyAlignment="1" applyProtection="1">
      <alignment horizontal="center" vertical="top" wrapText="1"/>
    </xf>
    <xf numFmtId="172" fontId="0" fillId="0" borderId="0" xfId="0" applyNumberFormat="1"/>
    <xf numFmtId="172" fontId="22" fillId="5" borderId="1" xfId="2" applyNumberFormat="1" applyFont="1" applyFill="1" applyBorder="1" applyAlignment="1">
      <alignment horizontal="center" vertical="top" wrapText="1"/>
    </xf>
    <xf numFmtId="172" fontId="43" fillId="0" borderId="0" xfId="35" applyNumberFormat="1"/>
    <xf numFmtId="172" fontId="22" fillId="5" borderId="1" xfId="0" applyNumberFormat="1" applyFont="1" applyFill="1" applyBorder="1" applyAlignment="1">
      <alignment horizontal="center" vertical="top" wrapText="1"/>
    </xf>
    <xf numFmtId="0" fontId="22" fillId="5" borderId="1" xfId="37" applyNumberFormat="1" applyFont="1" applyFill="1" applyBorder="1" applyAlignment="1" applyProtection="1">
      <alignment horizontal="center" vertical="top" wrapText="1"/>
    </xf>
    <xf numFmtId="0" fontId="22" fillId="5" borderId="1" xfId="37" applyNumberFormat="1" applyFont="1" applyFill="1" applyBorder="1" applyAlignment="1" applyProtection="1">
      <alignment horizontal="left" vertical="top" wrapText="1"/>
    </xf>
    <xf numFmtId="0" fontId="44" fillId="0" borderId="0" xfId="38"/>
    <xf numFmtId="172" fontId="0" fillId="3" borderId="0" xfId="0" applyNumberFormat="1" applyFill="1"/>
    <xf numFmtId="165" fontId="0" fillId="0" borderId="0" xfId="0" applyNumberFormat="1"/>
    <xf numFmtId="167" fontId="45" fillId="11" borderId="0" xfId="0" applyNumberFormat="1" applyFont="1" applyFill="1"/>
    <xf numFmtId="167" fontId="20" fillId="2" borderId="0" xfId="1" applyNumberFormat="1" applyFont="1" applyFill="1" applyAlignment="1"/>
    <xf numFmtId="14" fontId="22" fillId="5" borderId="1" xfId="37" applyNumberFormat="1" applyFont="1" applyFill="1" applyBorder="1" applyAlignment="1" applyProtection="1">
      <alignment horizontal="center" vertical="top" wrapText="1"/>
    </xf>
    <xf numFmtId="0" fontId="46" fillId="0" borderId="0" xfId="0" applyFont="1"/>
    <xf numFmtId="172" fontId="21" fillId="0" borderId="0" xfId="2" applyNumberFormat="1"/>
    <xf numFmtId="166" fontId="46" fillId="0" borderId="0" xfId="0" applyNumberFormat="1" applyFont="1"/>
    <xf numFmtId="168" fontId="21" fillId="0" borderId="0" xfId="2" applyNumberFormat="1"/>
    <xf numFmtId="0" fontId="47" fillId="0" borderId="0" xfId="5" applyFont="1"/>
    <xf numFmtId="0" fontId="0" fillId="3" borderId="2" xfId="0" applyFill="1" applyBorder="1"/>
    <xf numFmtId="0" fontId="4" fillId="0" borderId="0" xfId="44"/>
    <xf numFmtId="172" fontId="4" fillId="0" borderId="0" xfId="44" applyNumberFormat="1"/>
    <xf numFmtId="14" fontId="4" fillId="0" borderId="0" xfId="44" applyNumberFormat="1"/>
    <xf numFmtId="167" fontId="0" fillId="0" borderId="0" xfId="22" applyNumberFormat="1" applyFont="1" applyAlignment="1">
      <alignment wrapText="1"/>
    </xf>
    <xf numFmtId="0" fontId="2" fillId="0" borderId="0" xfId="47"/>
    <xf numFmtId="167" fontId="0" fillId="0" borderId="0" xfId="48" applyNumberFormat="1" applyFont="1"/>
    <xf numFmtId="167" fontId="0" fillId="0" borderId="0" xfId="48" applyNumberFormat="1" applyFont="1" applyAlignment="1">
      <alignment wrapText="1"/>
    </xf>
    <xf numFmtId="167" fontId="25" fillId="0" borderId="0" xfId="48" applyNumberFormat="1" applyFont="1"/>
    <xf numFmtId="167" fontId="2" fillId="0" borderId="0" xfId="47" applyNumberFormat="1"/>
    <xf numFmtId="2" fontId="2" fillId="0" borderId="0" xfId="47" applyNumberFormat="1"/>
    <xf numFmtId="167" fontId="0" fillId="2" borderId="0" xfId="48" applyNumberFormat="1" applyFont="1" applyFill="1"/>
    <xf numFmtId="0" fontId="2" fillId="2" borderId="0" xfId="47" applyFill="1"/>
    <xf numFmtId="167" fontId="2" fillId="2" borderId="0" xfId="47" applyNumberFormat="1" applyFill="1"/>
    <xf numFmtId="167" fontId="0" fillId="3" borderId="0" xfId="48" applyNumberFormat="1" applyFont="1" applyFill="1"/>
    <xf numFmtId="0" fontId="2" fillId="3" borderId="0" xfId="47" applyFill="1"/>
    <xf numFmtId="172" fontId="44" fillId="0" borderId="0" xfId="38" applyNumberFormat="1"/>
    <xf numFmtId="172" fontId="22" fillId="5" borderId="1" xfId="3" applyNumberFormat="1" applyFont="1" applyFill="1" applyBorder="1" applyAlignment="1" applyProtection="1">
      <alignment horizontal="center" vertical="top" wrapText="1"/>
    </xf>
    <xf numFmtId="172" fontId="22" fillId="5" borderId="1" xfId="36" applyNumberFormat="1" applyFont="1" applyFill="1" applyBorder="1" applyAlignment="1" applyProtection="1">
      <alignment horizontal="center" vertical="top" wrapText="1"/>
    </xf>
    <xf numFmtId="172" fontId="22" fillId="5" borderId="1" xfId="37" applyNumberFormat="1" applyFont="1" applyFill="1" applyBorder="1" applyAlignment="1" applyProtection="1">
      <alignment horizontal="center" vertical="top" wrapText="1"/>
    </xf>
    <xf numFmtId="167" fontId="0" fillId="0" borderId="0" xfId="1" quotePrefix="1" applyNumberFormat="1" applyFont="1" applyAlignment="1"/>
    <xf numFmtId="2" fontId="0" fillId="0" borderId="0" xfId="0" applyNumberFormat="1" applyAlignment="1">
      <alignment horizontal="right"/>
    </xf>
    <xf numFmtId="167" fontId="0" fillId="0" borderId="0" xfId="0" pivotButton="1" applyNumberFormat="1"/>
    <xf numFmtId="167" fontId="0" fillId="0" borderId="0" xfId="0" applyNumberFormat="1" applyAlignment="1">
      <alignment horizontal="left"/>
    </xf>
    <xf numFmtId="1" fontId="22" fillId="5" borderId="1" xfId="2" applyNumberFormat="1" applyFont="1" applyFill="1" applyBorder="1" applyAlignment="1">
      <alignment horizontal="right" vertical="top" wrapText="1"/>
    </xf>
    <xf numFmtId="1" fontId="43" fillId="0" borderId="0" xfId="35" applyNumberFormat="1"/>
    <xf numFmtId="1" fontId="22" fillId="5" borderId="1" xfId="0" applyNumberFormat="1" applyFont="1" applyFill="1" applyBorder="1" applyAlignment="1">
      <alignment horizontal="right" vertical="top" wrapText="1"/>
    </xf>
    <xf numFmtId="1" fontId="22" fillId="5" borderId="1" xfId="37" applyNumberFormat="1" applyFont="1" applyFill="1" applyBorder="1" applyAlignment="1" applyProtection="1">
      <alignment horizontal="right" vertical="top" wrapText="1"/>
    </xf>
    <xf numFmtId="1" fontId="44" fillId="0" borderId="0" xfId="38" applyNumberFormat="1"/>
    <xf numFmtId="1" fontId="21" fillId="0" borderId="0" xfId="2" applyNumberFormat="1"/>
    <xf numFmtId="10" fontId="20" fillId="0" borderId="0" xfId="0" applyNumberFormat="1" applyFont="1"/>
    <xf numFmtId="2" fontId="21" fillId="0" borderId="0" xfId="2" applyNumberFormat="1"/>
    <xf numFmtId="2" fontId="22" fillId="5" borderId="1" xfId="3" applyNumberFormat="1" applyFont="1" applyFill="1" applyBorder="1" applyAlignment="1" applyProtection="1">
      <alignment horizontal="right" vertical="top" wrapText="1"/>
    </xf>
    <xf numFmtId="166" fontId="0" fillId="9" borderId="0" xfId="0" applyNumberFormat="1" applyFill="1"/>
    <xf numFmtId="2" fontId="48" fillId="0" borderId="0" xfId="49" applyNumberFormat="1"/>
    <xf numFmtId="0" fontId="48" fillId="0" borderId="0" xfId="49"/>
    <xf numFmtId="0" fontId="1" fillId="0" borderId="0" xfId="5" applyFont="1"/>
    <xf numFmtId="0" fontId="1" fillId="2" borderId="0" xfId="29" applyFont="1" applyFill="1"/>
    <xf numFmtId="164" fontId="1" fillId="2" borderId="0" xfId="29" applyNumberFormat="1" applyFont="1" applyFill="1"/>
    <xf numFmtId="10" fontId="1" fillId="0" borderId="0" xfId="4" applyNumberFormat="1" applyFont="1"/>
    <xf numFmtId="167" fontId="1" fillId="0" borderId="0" xfId="1" applyNumberFormat="1" applyFont="1"/>
    <xf numFmtId="0" fontId="1" fillId="0" borderId="0" xfId="29" applyFont="1"/>
    <xf numFmtId="167" fontId="1" fillId="2" borderId="0" xfId="1" applyNumberFormat="1" applyFont="1" applyFill="1"/>
    <xf numFmtId="0" fontId="1" fillId="0" borderId="0" xfId="24" applyFont="1"/>
    <xf numFmtId="9" fontId="1" fillId="0" borderId="0" xfId="4" applyFont="1"/>
    <xf numFmtId="0" fontId="1" fillId="0" borderId="2" xfId="14" applyFont="1" applyBorder="1" applyAlignment="1">
      <alignment wrapText="1"/>
    </xf>
    <xf numFmtId="0" fontId="1" fillId="0" borderId="0" xfId="14" applyFont="1" applyAlignment="1">
      <alignment wrapText="1"/>
    </xf>
    <xf numFmtId="0" fontId="1" fillId="0" borderId="2" xfId="14" applyFont="1" applyBorder="1"/>
    <xf numFmtId="0" fontId="1" fillId="0" borderId="3" xfId="14" applyFont="1" applyBorder="1" applyAlignment="1">
      <alignment wrapText="1"/>
    </xf>
    <xf numFmtId="0" fontId="1" fillId="0" borderId="0" xfId="14" applyFont="1"/>
    <xf numFmtId="0" fontId="1" fillId="2" borderId="2" xfId="14" applyFont="1" applyFill="1" applyBorder="1" applyAlignment="1">
      <alignment wrapText="1"/>
    </xf>
    <xf numFmtId="167" fontId="1" fillId="2" borderId="2" xfId="1" applyNumberFormat="1" applyFont="1" applyFill="1" applyBorder="1"/>
    <xf numFmtId="167" fontId="1" fillId="0" borderId="2" xfId="1" applyNumberFormat="1" applyFont="1" applyBorder="1"/>
    <xf numFmtId="167" fontId="1" fillId="0" borderId="2" xfId="1" applyNumberFormat="1" applyFont="1" applyFill="1" applyBorder="1" applyAlignment="1">
      <alignment wrapText="1"/>
    </xf>
    <xf numFmtId="167" fontId="1" fillId="0" borderId="0" xfId="1" applyNumberFormat="1" applyFont="1" applyBorder="1"/>
    <xf numFmtId="0" fontId="1" fillId="13" borderId="0" xfId="14" applyFont="1" applyFill="1"/>
    <xf numFmtId="0" fontId="1" fillId="13" borderId="2" xfId="14" applyFont="1" applyFill="1" applyBorder="1" applyAlignment="1">
      <alignment wrapText="1"/>
    </xf>
    <xf numFmtId="171" fontId="1" fillId="0" borderId="0" xfId="0" applyNumberFormat="1" applyFont="1"/>
    <xf numFmtId="9" fontId="1" fillId="0" borderId="0" xfId="41" applyFont="1"/>
    <xf numFmtId="10" fontId="1" fillId="0" borderId="0" xfId="41" applyNumberFormat="1" applyFont="1"/>
    <xf numFmtId="0" fontId="1" fillId="0" borderId="0" xfId="21" applyFont="1" applyAlignment="1">
      <alignment wrapText="1"/>
    </xf>
    <xf numFmtId="0" fontId="1" fillId="0" borderId="0" xfId="21" applyFont="1"/>
    <xf numFmtId="0" fontId="1" fillId="0" borderId="0" xfId="27" applyFont="1" applyAlignment="1">
      <alignment wrapText="1"/>
    </xf>
    <xf numFmtId="9" fontId="1" fillId="2" borderId="0" xfId="27" applyNumberFormat="1" applyFont="1" applyFill="1"/>
    <xf numFmtId="0" fontId="1" fillId="0" borderId="0" xfId="27" applyFont="1"/>
    <xf numFmtId="0" fontId="1" fillId="0" borderId="0" xfId="19" applyFont="1"/>
    <xf numFmtId="0" fontId="22" fillId="5" borderId="1" xfId="50" applyNumberFormat="1" applyFont="1" applyFill="1" applyBorder="1" applyAlignment="1" applyProtection="1">
      <alignment horizontal="left" vertical="top" wrapText="1"/>
    </xf>
    <xf numFmtId="0" fontId="49" fillId="0" borderId="0" xfId="51"/>
    <xf numFmtId="167" fontId="0" fillId="0" borderId="0" xfId="48" applyNumberFormat="1" applyFont="1" applyAlignment="1">
      <alignment horizontal="left" vertical="top"/>
    </xf>
    <xf numFmtId="2" fontId="49" fillId="0" borderId="0" xfId="51" applyNumberFormat="1"/>
    <xf numFmtId="43" fontId="1" fillId="0" borderId="0" xfId="29" applyNumberFormat="1" applyFont="1" applyAlignment="1">
      <alignment horizontal="left" vertical="center"/>
    </xf>
    <xf numFmtId="2" fontId="22" fillId="5" borderId="1" xfId="50" applyNumberFormat="1" applyFont="1" applyFill="1" applyBorder="1" applyAlignment="1" applyProtection="1">
      <alignment horizontal="right" vertical="top" wrapText="1"/>
    </xf>
    <xf numFmtId="0" fontId="22" fillId="5" borderId="1" xfId="50" applyNumberFormat="1" applyFont="1" applyFill="1" applyBorder="1" applyAlignment="1" applyProtection="1">
      <alignment horizontal="right" vertical="top" wrapText="1"/>
    </xf>
    <xf numFmtId="0" fontId="49" fillId="0" borderId="0" xfId="51" applyAlignment="1">
      <alignment wrapText="1"/>
    </xf>
    <xf numFmtId="2" fontId="43" fillId="0" borderId="0" xfId="35" applyNumberFormat="1"/>
    <xf numFmtId="2" fontId="44" fillId="0" borderId="0" xfId="38" applyNumberFormat="1"/>
    <xf numFmtId="6" fontId="11" fillId="0" borderId="0" xfId="24" applyNumberFormat="1"/>
    <xf numFmtId="166" fontId="24" fillId="0" borderId="0" xfId="0" applyNumberFormat="1" applyFont="1"/>
    <xf numFmtId="0" fontId="24" fillId="0" borderId="0" xfId="0" applyFont="1"/>
    <xf numFmtId="43" fontId="9" fillId="0" borderId="0" xfId="29" applyNumberFormat="1"/>
    <xf numFmtId="0" fontId="50" fillId="0" borderId="0" xfId="52"/>
  </cellXfs>
  <cellStyles count="54">
    <cellStyle name="Comma" xfId="1" builtinId="3"/>
    <cellStyle name="Comma 2" xfId="6" xr:uid="{00000000-0005-0000-0000-000001000000}"/>
    <cellStyle name="Comma 2 2" xfId="23" xr:uid="{00000000-0005-0000-0000-000002000000}"/>
    <cellStyle name="Comma 2 3" xfId="25" xr:uid="{00000000-0005-0000-0000-000003000000}"/>
    <cellStyle name="Comma 3" xfId="13" xr:uid="{00000000-0005-0000-0000-000004000000}"/>
    <cellStyle name="Comma 4" xfId="16" xr:uid="{00000000-0005-0000-0000-000005000000}"/>
    <cellStyle name="Comma 5" xfId="20" xr:uid="{00000000-0005-0000-0000-000006000000}"/>
    <cellStyle name="Comma 6" xfId="22" xr:uid="{00000000-0005-0000-0000-000007000000}"/>
    <cellStyle name="Comma 7" xfId="28" xr:uid="{00000000-0005-0000-0000-000008000000}"/>
    <cellStyle name="Comma 8" xfId="32" xr:uid="{00000000-0005-0000-0000-000009000000}"/>
    <cellStyle name="Comma 9" xfId="40" xr:uid="{4B0BC5B1-7082-438A-AE1D-D3C5C9DE7ADE}"/>
    <cellStyle name="Comma 9 2" xfId="43" xr:uid="{543E62D2-F04D-4490-A6B9-D2AF371F7E68}"/>
    <cellStyle name="Comma 9 3" xfId="46" xr:uid="{5013ACE1-7293-46FD-A03C-F15E866063F9}"/>
    <cellStyle name="Comma 9 3 2" xfId="48" xr:uid="{B0575CB2-CAAD-4966-83EB-192C39F88CA2}"/>
    <cellStyle name="Hyperlink" xfId="8" builtinId="8"/>
    <cellStyle name="Hyperlink 2" xfId="33" xr:uid="{00000000-0005-0000-0000-00000B000000}"/>
    <cellStyle name="Normal" xfId="0" builtinId="0"/>
    <cellStyle name="Normal 10" xfId="21" xr:uid="{00000000-0005-0000-0000-00000D000000}"/>
    <cellStyle name="Normal 11" xfId="27" xr:uid="{00000000-0005-0000-0000-00000E000000}"/>
    <cellStyle name="Normal 12" xfId="29" xr:uid="{00000000-0005-0000-0000-00000F000000}"/>
    <cellStyle name="Normal 13" xfId="31" xr:uid="{00000000-0005-0000-0000-000010000000}"/>
    <cellStyle name="Normal 14" xfId="35" xr:uid="{C5C18803-640E-48FF-A27E-C8C135D56E72}"/>
    <cellStyle name="Normal 15" xfId="36" xr:uid="{13DF53E5-F556-4FFA-A539-DE2B2B08394B}"/>
    <cellStyle name="Normal 16" xfId="37" xr:uid="{2E408D80-A893-428F-A447-64E191336F10}"/>
    <cellStyle name="Normal 17" xfId="38" xr:uid="{CE39224E-9D03-45C4-8B12-19EC63C3A1B9}"/>
    <cellStyle name="Normal 18" xfId="39" xr:uid="{FA19488E-E392-4C79-B412-79CF57ACB5C4}"/>
    <cellStyle name="Normal 18 2" xfId="42" xr:uid="{A52B5727-2136-465A-ABA2-21335297DF44}"/>
    <cellStyle name="Normal 18 3" xfId="45" xr:uid="{5F1AB9A8-3BCB-4DA7-8D92-53303682A68E}"/>
    <cellStyle name="Normal 18 3 2" xfId="47" xr:uid="{1E1EB265-2F40-4F11-B74D-323C63931C81}"/>
    <cellStyle name="Normal 19" xfId="44" xr:uid="{13C416E6-7474-4967-BEBD-29FA7A320730}"/>
    <cellStyle name="Normal 2" xfId="2" xr:uid="{00000000-0005-0000-0000-000011000000}"/>
    <cellStyle name="Normal 2 2" xfId="34" xr:uid="{F42B3D47-3E41-4B67-BDC4-DBA0AF14D8F3}"/>
    <cellStyle name="Normal 20" xfId="49" xr:uid="{DDA26B68-5F62-4F38-9405-E66EC8D1143E}"/>
    <cellStyle name="Normal 21" xfId="50" xr:uid="{2306CD0B-CE43-4659-BF1A-396CEEAF4C34}"/>
    <cellStyle name="Normal 22" xfId="51" xr:uid="{68DBE2FE-9F79-4286-AAF6-26E1C177354C}"/>
    <cellStyle name="Normal 23" xfId="52" xr:uid="{CFE9B471-3DBE-41CE-9955-F55F2DDBD349}"/>
    <cellStyle name="Normal 24" xfId="53" xr:uid="{7D943C6D-90AF-4E07-A0D8-3016CEA83CD8}"/>
    <cellStyle name="Normal 3" xfId="3" xr:uid="{00000000-0005-0000-0000-000012000000}"/>
    <cellStyle name="Normal 4" xfId="5" xr:uid="{00000000-0005-0000-0000-000013000000}"/>
    <cellStyle name="Normal 4 2" xfId="24" xr:uid="{00000000-0005-0000-0000-000014000000}"/>
    <cellStyle name="Normal 5" xfId="9" xr:uid="{00000000-0005-0000-0000-000015000000}"/>
    <cellStyle name="Normal 6" xfId="11" xr:uid="{00000000-0005-0000-0000-000016000000}"/>
    <cellStyle name="Normal 7" xfId="14" xr:uid="{00000000-0005-0000-0000-000017000000}"/>
    <cellStyle name="Normal 8" xfId="17" xr:uid="{00000000-0005-0000-0000-000018000000}"/>
    <cellStyle name="Normal 9" xfId="19" xr:uid="{00000000-0005-0000-0000-000019000000}"/>
    <cellStyle name="Percent" xfId="4" builtinId="5"/>
    <cellStyle name="Percent 2" xfId="7" xr:uid="{00000000-0005-0000-0000-00001B000000}"/>
    <cellStyle name="Percent 2 2" xfId="26" xr:uid="{00000000-0005-0000-0000-00001C000000}"/>
    <cellStyle name="Percent 2 3" xfId="41" xr:uid="{51316C69-2ABD-4F89-8854-67FEBBCF89C0}"/>
    <cellStyle name="Percent 3" xfId="10" xr:uid="{00000000-0005-0000-0000-00001D000000}"/>
    <cellStyle name="Percent 4" xfId="12" xr:uid="{00000000-0005-0000-0000-00001E000000}"/>
    <cellStyle name="Percent 5" xfId="15" xr:uid="{00000000-0005-0000-0000-00001F000000}"/>
    <cellStyle name="Percent 6" xfId="18" xr:uid="{00000000-0005-0000-0000-000020000000}"/>
    <cellStyle name="Percent 7" xfId="30" xr:uid="{00000000-0005-0000-0000-000021000000}"/>
  </cellStyles>
  <dxfs count="12">
    <dxf>
      <numFmt numFmtId="167" formatCode="_(* #,##0_);_(* \(#,##0\);_(* &quot;-&quot;??_);_(@_)"/>
    </dxf>
    <dxf>
      <numFmt numFmtId="167" formatCode="_(* #,##0_);_(* \(#,##0\);_(* &quot;-&quot;??_);_(@_)"/>
    </dxf>
    <dxf>
      <numFmt numFmtId="167" formatCode="_(* #,##0_);_(* \(#,##0\);_(* &quot;-&quot;??_);_(@_)"/>
    </dxf>
    <dxf>
      <numFmt numFmtId="167" formatCode="_(* #,##0_);_(* \(#,##0\);_(* &quot;-&quot;??_);_(@_)"/>
    </dxf>
    <dxf>
      <numFmt numFmtId="167" formatCode="_(* #,##0_);_(* \(#,##0\);_(* &quot;-&quot;??_);_(@_)"/>
    </dxf>
    <dxf>
      <numFmt numFmtId="167" formatCode="_(* #,##0_);_(* \(#,##0\);_(* &quot;-&quot;??_);_(@_)"/>
    </dxf>
    <dxf>
      <numFmt numFmtId="167" formatCode="_(* #,##0_);_(* \(#,##0\);_(* &quot;-&quot;??_);_(@_)"/>
    </dxf>
    <dxf>
      <numFmt numFmtId="167" formatCode="_(* #,##0_);_(* \(#,##0\);_(* &quot;-&quot;??_);_(@_)"/>
    </dxf>
    <dxf>
      <numFmt numFmtId="167" formatCode="_(* #,##0_);_(* \(#,##0\);_(* &quot;-&quot;??_);_(@_)"/>
    </dxf>
    <dxf>
      <numFmt numFmtId="167" formatCode="_(* #,##0_);_(* \(#,##0\);_(* &quot;-&quot;??_);_(@_)"/>
    </dxf>
    <dxf>
      <numFmt numFmtId="167" formatCode="_(* #,##0_);_(* \(#,##0\);_(* &quot;-&quot;??_);_(@_)"/>
    </dxf>
    <dxf>
      <numFmt numFmtId="167" formatCode="_(* #,##0_);_(* \(#,##0\);_(* &quot;-&quot;??_);_(@_)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worksheet" Target="worksheets/sheet26.xml"/><Relationship Id="rId39" Type="http://schemas.openxmlformats.org/officeDocument/2006/relationships/styles" Target="styles.xml"/><Relationship Id="rId21" Type="http://schemas.openxmlformats.org/officeDocument/2006/relationships/worksheet" Target="worksheets/sheet21.xml"/><Relationship Id="rId34" Type="http://schemas.openxmlformats.org/officeDocument/2006/relationships/worksheet" Target="worksheets/sheet34.xml"/><Relationship Id="rId42" Type="http://schemas.microsoft.com/office/2017/10/relationships/person" Target="persons/person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9" Type="http://schemas.openxmlformats.org/officeDocument/2006/relationships/worksheet" Target="worksheets/sheet29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worksheet" Target="worksheets/sheet24.xml"/><Relationship Id="rId32" Type="http://schemas.openxmlformats.org/officeDocument/2006/relationships/worksheet" Target="worksheets/sheet32.xml"/><Relationship Id="rId37" Type="http://schemas.openxmlformats.org/officeDocument/2006/relationships/theme" Target="theme/theme1.xml"/><Relationship Id="rId40" Type="http://schemas.openxmlformats.org/officeDocument/2006/relationships/sharedStrings" Target="sharedStrings.xml"/><Relationship Id="rId45" Type="http://schemas.openxmlformats.org/officeDocument/2006/relationships/customXml" Target="../customXml/item2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36" Type="http://schemas.openxmlformats.org/officeDocument/2006/relationships/pivotCacheDefinition" Target="pivotCache/pivotCacheDefinition2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31" Type="http://schemas.openxmlformats.org/officeDocument/2006/relationships/worksheet" Target="worksheets/sheet31.xml"/><Relationship Id="rId44" Type="http://schemas.openxmlformats.org/officeDocument/2006/relationships/customXml" Target="../customXml/item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30" Type="http://schemas.openxmlformats.org/officeDocument/2006/relationships/worksheet" Target="worksheets/sheet30.xml"/><Relationship Id="rId35" Type="http://schemas.openxmlformats.org/officeDocument/2006/relationships/pivotCacheDefinition" Target="pivotCache/pivotCacheDefinition1.xml"/><Relationship Id="rId43" Type="http://schemas.openxmlformats.org/officeDocument/2006/relationships/calcChain" Target="calcChain.xml"/><Relationship Id="rId8" Type="http://schemas.openxmlformats.org/officeDocument/2006/relationships/worksheet" Target="worksheets/sheet8.xml"/><Relationship Id="rId3" Type="http://schemas.openxmlformats.org/officeDocument/2006/relationships/worksheet" Target="worksheets/sheet3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33" Type="http://schemas.openxmlformats.org/officeDocument/2006/relationships/worksheet" Target="worksheets/sheet33.xml"/><Relationship Id="rId38" Type="http://schemas.openxmlformats.org/officeDocument/2006/relationships/connections" Target="connections.xml"/><Relationship Id="rId46" Type="http://schemas.openxmlformats.org/officeDocument/2006/relationships/customXml" Target="../customXml/item3.xml"/><Relationship Id="rId20" Type="http://schemas.openxmlformats.org/officeDocument/2006/relationships/worksheet" Target="worksheets/sheet20.xml"/><Relationship Id="rId41" Type="http://schemas.openxmlformats.org/officeDocument/2006/relationships/powerPivotData" Target="model/item.data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15</xdr:col>
      <xdr:colOff>0</xdr:colOff>
      <xdr:row>5</xdr:row>
      <xdr:rowOff>0</xdr:rowOff>
    </xdr:from>
    <xdr:to>
      <xdr:col>19</xdr:col>
      <xdr:colOff>38100</xdr:colOff>
      <xdr:row>15</xdr:row>
      <xdr:rowOff>175260</xdr:rowOff>
    </xdr:to>
    <xdr:sp macro="" textlink="">
      <xdr:nvSpPr>
        <xdr:cNvPr id="2" name="TextBox 1">
          <a:extLst>
            <a:ext uri="{FF2B5EF4-FFF2-40B4-BE49-F238E27FC236}">
              <a16:creationId xmlns:a16="http://schemas.microsoft.com/office/drawing/2014/main" id="{00000000-0008-0000-0900-000002000000}"/>
            </a:ext>
          </a:extLst>
        </xdr:cNvPr>
        <xdr:cNvSpPr txBox="1"/>
      </xdr:nvSpPr>
      <xdr:spPr>
        <a:xfrm>
          <a:off x="12458700" y="2674620"/>
          <a:ext cx="4015740" cy="2004060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sz="1100"/>
            <a:t>NPS calculation assumptions:</a:t>
          </a:r>
        </a:p>
        <a:p>
          <a:endParaRPr lang="en-US" sz="1100"/>
        </a:p>
        <a:p>
          <a:r>
            <a:rPr lang="en-US" sz="1100"/>
            <a:t>(1) If</a:t>
          </a:r>
          <a:r>
            <a:rPr lang="en-US" sz="1100" baseline="0"/>
            <a:t> the contribution is &gt;0% then yearly contribution from today till, age of retirement is calculated.</a:t>
          </a:r>
        </a:p>
        <a:p>
          <a:r>
            <a:rPr lang="en-US" sz="1100" baseline="0"/>
            <a:t>(2) Due to the npstrust calculator calculation, 60 should be considered as the retirement age</a:t>
          </a:r>
        </a:p>
        <a:p>
          <a:r>
            <a:rPr lang="en-US" sz="1100" baseline="0"/>
            <a:t>(3) The values in cell: P1 should be used on the npstrust website for monthly contributions, adjust the parameters</a:t>
          </a:r>
        </a:p>
        <a:p>
          <a:r>
            <a:rPr lang="en-US" sz="1100" baseline="0"/>
            <a:t>(4) The npstrust site will show Total investment and Total corpus, use the Total corpus / Total investment ratio in cell AX2 to get the appropriate returns</a:t>
          </a:r>
          <a:endParaRPr lang="en-US" sz="1100"/>
        </a:p>
      </xdr:txBody>
    </xdr:sp>
    <xdr:clientData/>
  </xdr:twoCellAnchor>
</xdr:wsDr>
</file>

<file path=xl/persons/person.xml><?xml version="1.0" encoding="utf-8"?>
<personList xmlns="http://schemas.microsoft.com/office/spreadsheetml/2018/threadedcomments" xmlns:x="http://schemas.openxmlformats.org/spreadsheetml/2006/main">
  <person displayName="Mahajan, Vinay" id="{FC1EF066-E70F-4ADC-8732-BC8804BB8352}" userId="S::MAHAJVI1@novartis.net::f999d173-9b6c-42a9-a964-cebc98f5120c" providerId="AD"/>
</personList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Mahajan, Vinay" refreshedDate="45475.447903125001" backgroundQuery="1" createdVersion="8" refreshedVersion="8" minRefreshableVersion="3" recordCount="0" supportSubquery="1" supportAdvancedDrill="1" xr:uid="{4D309699-A350-4143-AC78-4E9D38476B90}">
  <cacheSource type="external" connectionId="1"/>
  <cacheFields count="7">
    <cacheField name="[Range].[DATE].[DATE]" caption="DATE" numFmtId="0" level="1">
      <sharedItems containsSemiMixedTypes="0" containsNonDate="0" containsDate="1" containsString="0" minDate="2023-11-01T00:00:00" maxDate="2023-11-29T00:00:00" count="25">
        <d v="2023-11-01T00:00:00"/>
        <d v="2023-11-02T00:00:00"/>
        <d v="2023-11-03T00:00:00"/>
        <d v="2023-11-04T00:00:00"/>
        <d v="2023-11-06T00:00:00"/>
        <d v="2023-11-07T00:00:00"/>
        <d v="2023-11-08T00:00:00"/>
        <d v="2023-11-09T00:00:00"/>
        <d v="2023-11-10T00:00:00"/>
        <d v="2023-11-11T00:00:00"/>
        <d v="2023-11-13T00:00:00"/>
        <d v="2023-11-14T00:00:00"/>
        <d v="2023-11-15T00:00:00"/>
        <d v="2023-11-16T00:00:00"/>
        <d v="2023-11-17T00:00:00"/>
        <d v="2023-11-18T00:00:00"/>
        <d v="2023-11-19T00:00:00"/>
        <d v="2023-11-20T00:00:00"/>
        <d v="2023-11-21T00:00:00"/>
        <d v="2023-11-22T00:00:00"/>
        <d v="2023-11-23T00:00:00"/>
        <d v="2023-11-24T00:00:00"/>
        <d v="2023-11-25T00:00:00"/>
        <d v="2023-11-27T00:00:00"/>
        <d v="2023-11-28T00:00:00"/>
      </sharedItems>
    </cacheField>
    <cacheField name="[Range].[DATE (Month)].[DATE (Month)]" caption="DATE (Month)" numFmtId="0" hierarchy="9" level="1">
      <sharedItems count="3">
        <s v="Apr"/>
        <s v="May"/>
        <s v="Jun"/>
      </sharedItems>
    </cacheField>
    <cacheField name="[Range].[DATE (Quarter)].[DATE (Quarter)]" caption="DATE (Quarter)" numFmtId="0" hierarchy="8" level="1">
      <sharedItems count="2">
        <s v="Qtr1"/>
        <s v="Qtr2"/>
      </sharedItems>
    </cacheField>
    <cacheField name="[Range].[DATE (Year)].[DATE (Year)]" caption="DATE (Year)" numFmtId="0" hierarchy="7" level="1">
      <sharedItems count="9">
        <s v="2016"/>
        <s v="2017"/>
        <s v="2018"/>
        <s v="2019"/>
        <s v="2020"/>
        <s v="2021"/>
        <s v="2022"/>
        <s v="2023"/>
        <s v="2024"/>
      </sharedItems>
    </cacheField>
    <cacheField name="[Measures].[Sum of WITHDRAWALS]" caption="Sum of WITHDRAWALS" numFmtId="0" hierarchy="25" level="32767"/>
    <cacheField name="[Measures].[Sum of DEPOSITS]" caption="Sum of DEPOSITS" numFmtId="0" hierarchy="26" level="32767"/>
    <cacheField name="[Range].[Type].[Type]" caption="Type" numFmtId="0" hierarchy="6" level="1">
      <sharedItems containsBlank="1" count="19">
        <m/>
        <s v="Aai Bappa?"/>
        <s v="Bonds Deposit"/>
        <s v="Cash WDL"/>
        <s v="Charity"/>
        <s v="Credit Card payment"/>
        <s v="Deposit to own a/c"/>
        <s v="Home loan"/>
        <s v="Interest"/>
        <s v="LIC India - income"/>
        <s v="LIC India - outgo"/>
        <s v="MF buy - outgo"/>
        <s v="MF returns - income"/>
        <s v="PPF"/>
        <s v="RD - FD"/>
        <s v="Salary"/>
        <s v="ULIP"/>
        <s v="ULIP - reversed"/>
        <s v="Vinay Transfer"/>
      </sharedItems>
    </cacheField>
  </cacheFields>
  <cacheHierarchies count="29">
    <cacheHierarchy uniqueName="[Range].[DATE]" caption="DATE" attribute="1" time="1" defaultMemberUniqueName="[Range].[DATE].[All]" allUniqueName="[Range].[DATE].[All]" dimensionUniqueName="[Range]" displayFolder="" count="2" memberValueDatatype="7" unbalanced="0">
      <fieldsUsage count="2">
        <fieldUsage x="-1"/>
        <fieldUsage x="0"/>
      </fieldsUsage>
    </cacheHierarchy>
    <cacheHierarchy uniqueName="[Range].[MODE]" caption="MODE" attribute="1" defaultMemberUniqueName="[Range].[MODE].[All]" allUniqueName="[Range].[MODE].[All]" dimensionUniqueName="[Range]" displayFolder="" count="0" memberValueDatatype="130" unbalanced="0"/>
    <cacheHierarchy uniqueName="[Range].[PARTICULARS]" caption="PARTICULARS" attribute="1" defaultMemberUniqueName="[Range].[PARTICULARS].[All]" allUniqueName="[Range].[PARTICULARS].[All]" dimensionUniqueName="[Range]" displayFolder="" count="0" memberValueDatatype="130" unbalanced="0"/>
    <cacheHierarchy uniqueName="[Range].[WITHDRAWALS]" caption="WITHDRAWALS" attribute="1" defaultMemberUniqueName="[Range].[WITHDRAWALS].[All]" allUniqueName="[Range].[WITHDRAWALS].[All]" dimensionUniqueName="[Range]" displayFolder="" count="0" memberValueDatatype="5" unbalanced="0"/>
    <cacheHierarchy uniqueName="[Range].[DEPOSITS]" caption="DEPOSITS" attribute="1" defaultMemberUniqueName="[Range].[DEPOSITS].[All]" allUniqueName="[Range].[DEPOSITS].[All]" dimensionUniqueName="[Range]" displayFolder="" count="0" memberValueDatatype="5" unbalanced="0"/>
    <cacheHierarchy uniqueName="[Range].[BALANCE]" caption="BALANCE" attribute="1" defaultMemberUniqueName="[Range].[BALANCE].[All]" allUniqueName="[Range].[BALANCE].[All]" dimensionUniqueName="[Range]" displayFolder="" count="0" memberValueDatatype="5" unbalanced="0"/>
    <cacheHierarchy uniqueName="[Range].[Type]" caption="Type" attribute="1" defaultMemberUniqueName="[Range].[Type].[All]" allUniqueName="[Range].[Type].[All]" dimensionUniqueName="[Range]" displayFolder="" count="2" memberValueDatatype="130" unbalanced="0">
      <fieldsUsage count="2">
        <fieldUsage x="-1"/>
        <fieldUsage x="6"/>
      </fieldsUsage>
    </cacheHierarchy>
    <cacheHierarchy uniqueName="[Range].[DATE (Year)]" caption="DATE (Year)" attribute="1" defaultMemberUniqueName="[Range].[DATE (Year)].[All]" allUniqueName="[Range].[DATE (Year)].[All]" dimensionUniqueName="[Range]" displayFolder="" count="2" memberValueDatatype="130" unbalanced="0">
      <fieldsUsage count="2">
        <fieldUsage x="-1"/>
        <fieldUsage x="3"/>
      </fieldsUsage>
    </cacheHierarchy>
    <cacheHierarchy uniqueName="[Range].[DATE (Quarter)]" caption="DATE (Quarter)" attribute="1" defaultMemberUniqueName="[Range].[DATE (Quarter)].[All]" allUniqueName="[Range].[DATE (Quarter)].[All]" dimensionUniqueName="[Range]" displayFolder="" count="2" memberValueDatatype="130" unbalanced="0">
      <fieldsUsage count="2">
        <fieldUsage x="-1"/>
        <fieldUsage x="2"/>
      </fieldsUsage>
    </cacheHierarchy>
    <cacheHierarchy uniqueName="[Range].[DATE (Month)]" caption="DATE (Month)" attribute="1" defaultMemberUniqueName="[Range].[DATE (Month)].[All]" allUniqueName="[Range].[DATE (Month)].[All]" dimensionUniqueName="[Range]" displayFolder="" count="2" memberValueDatatype="130" unbalanced="0">
      <fieldsUsage count="2">
        <fieldUsage x="-1"/>
        <fieldUsage x="1"/>
      </fieldsUsage>
    </cacheHierarchy>
    <cacheHierarchy uniqueName="[Range 1].[DATE]" caption="DATE" attribute="1" time="1" defaultMemberUniqueName="[Range 1].[DATE].[All]" allUniqueName="[Range 1].[DATE].[All]" dimensionUniqueName="[Range 1]" displayFolder="" count="0" memberValueDatatype="7" unbalanced="0"/>
    <cacheHierarchy uniqueName="[Range 1].[MODE]" caption="MODE" attribute="1" defaultMemberUniqueName="[Range 1].[MODE].[All]" allUniqueName="[Range 1].[MODE].[All]" dimensionUniqueName="[Range 1]" displayFolder="" count="0" memberValueDatatype="130" unbalanced="0"/>
    <cacheHierarchy uniqueName="[Range 1].[PARTICULARS]" caption="PARTICULARS" attribute="1" defaultMemberUniqueName="[Range 1].[PARTICULARS].[All]" allUniqueName="[Range 1].[PARTICULARS].[All]" dimensionUniqueName="[Range 1]" displayFolder="" count="0" memberValueDatatype="130" unbalanced="0"/>
    <cacheHierarchy uniqueName="[Range 1].[WITHDRAWALS]" caption="WITHDRAWALS" attribute="1" defaultMemberUniqueName="[Range 1].[WITHDRAWALS].[All]" allUniqueName="[Range 1].[WITHDRAWALS].[All]" dimensionUniqueName="[Range 1]" displayFolder="" count="0" memberValueDatatype="5" unbalanced="0"/>
    <cacheHierarchy uniqueName="[Range 1].[DEPOSITS]" caption="DEPOSITS" attribute="1" defaultMemberUniqueName="[Range 1].[DEPOSITS].[All]" allUniqueName="[Range 1].[DEPOSITS].[All]" dimensionUniqueName="[Range 1]" displayFolder="" count="0" memberValueDatatype="5" unbalanced="0"/>
    <cacheHierarchy uniqueName="[Range 1].[BALANCE]" caption="BALANCE" attribute="1" defaultMemberUniqueName="[Range 1].[BALANCE].[All]" allUniqueName="[Range 1].[BALANCE].[All]" dimensionUniqueName="[Range 1]" displayFolder="" count="0" memberValueDatatype="130" unbalanced="0"/>
    <cacheHierarchy uniqueName="[Range 1].[Type]" caption="Type" attribute="1" defaultMemberUniqueName="[Range 1].[Type].[All]" allUniqueName="[Range 1].[Type].[All]" dimensionUniqueName="[Range 1]" displayFolder="" count="0" memberValueDatatype="130" unbalanced="0"/>
    <cacheHierarchy uniqueName="[Range 1].[DATE (Year)]" caption="DATE (Year)" attribute="1" defaultMemberUniqueName="[Range 1].[DATE (Year)].[All]" allUniqueName="[Range 1].[DATE (Year)].[All]" dimensionUniqueName="[Range 1]" displayFolder="" count="0" memberValueDatatype="130" unbalanced="0"/>
    <cacheHierarchy uniqueName="[Range 1].[DATE (Quarter)]" caption="DATE (Quarter)" attribute="1" defaultMemberUniqueName="[Range 1].[DATE (Quarter)].[All]" allUniqueName="[Range 1].[DATE (Quarter)].[All]" dimensionUniqueName="[Range 1]" displayFolder="" count="0" memberValueDatatype="130" unbalanced="0"/>
    <cacheHierarchy uniqueName="[Range 1].[DATE (Month)]" caption="DATE (Month)" attribute="1" defaultMemberUniqueName="[Range 1].[DATE (Month)].[All]" allUniqueName="[Range 1].[DATE (Month)].[All]" dimensionUniqueName="[Range 1]" displayFolder="" count="0" memberValueDatatype="130" unbalanced="0"/>
    <cacheHierarchy uniqueName="[Range].[DATE (Month Index)]" caption="DATE (Month Index)" attribute="1" defaultMemberUniqueName="[Range].[DATE (Month Index)].[All]" allUniqueName="[Range].[DATE (Month Index)].[All]" dimensionUniqueName="[Range]" displayFolder="" count="0" memberValueDatatype="20" unbalanced="0" hidden="1"/>
    <cacheHierarchy uniqueName="[Range 1].[DATE (Month Index)]" caption="DATE (Month Index)" attribute="1" defaultMemberUniqueName="[Range 1].[DATE (Month Index)].[All]" allUniqueName="[Range 1].[DATE (Month Index)].[All]" dimensionUniqueName="[Range 1]" displayFolder="" count="0" memberValueDatatype="20" unbalanced="0" hidden="1"/>
    <cacheHierarchy uniqueName="[Measures].[__XL_Count Range]" caption="__XL_Count Range" measure="1" displayFolder="" measureGroup="Range" count="0" hidden="1"/>
    <cacheHierarchy uniqueName="[Measures].[__XL_Count Range 1]" caption="__XL_Count Range 1" measure="1" displayFolder="" measureGroup="Range 1" count="0" hidden="1"/>
    <cacheHierarchy uniqueName="[Measures].[__No measures defined]" caption="__No measures defined" measure="1" displayFolder="" count="0" hidden="1"/>
    <cacheHierarchy uniqueName="[Measures].[Sum of WITHDRAWALS]" caption="Sum of WITHDRAWALS" measure="1" displayFolder="" measureGroup="Range" count="0" oneField="1" hidden="1">
      <fieldsUsage count="1">
        <fieldUsage x="4"/>
      </fieldsUsage>
      <extLst>
        <ext xmlns:x15="http://schemas.microsoft.com/office/spreadsheetml/2010/11/main" uri="{B97F6D7D-B522-45F9-BDA1-12C45D357490}">
          <x15:cacheHierarchy aggregatedColumn="3"/>
        </ext>
      </extLst>
    </cacheHierarchy>
    <cacheHierarchy uniqueName="[Measures].[Sum of DEPOSITS]" caption="Sum of DEPOSITS" measure="1" displayFolder="" measureGroup="Range" count="0" oneField="1" hidden="1">
      <fieldsUsage count="1">
        <fieldUsage x="5"/>
      </fieldsUsage>
      <extLst>
        <ext xmlns:x15="http://schemas.microsoft.com/office/spreadsheetml/2010/11/main" uri="{B97F6D7D-B522-45F9-BDA1-12C45D357490}">
          <x15:cacheHierarchy aggregatedColumn="4"/>
        </ext>
      </extLst>
    </cacheHierarchy>
    <cacheHierarchy uniqueName="[Measures].[Sum of WITHDRAWALS 2]" caption="Sum of WITHDRAWALS 2" measure="1" displayFolder="" measureGroup="Range 1" count="0" hidden="1">
      <extLst>
        <ext xmlns:x15="http://schemas.microsoft.com/office/spreadsheetml/2010/11/main" uri="{B97F6D7D-B522-45F9-BDA1-12C45D357490}">
          <x15:cacheHierarchy aggregatedColumn="13"/>
        </ext>
      </extLst>
    </cacheHierarchy>
    <cacheHierarchy uniqueName="[Measures].[Sum of DEPOSITS 2]" caption="Sum of DEPOSITS 2" measure="1" displayFolder="" measureGroup="Range 1" count="0" hidden="1">
      <extLst>
        <ext xmlns:x15="http://schemas.microsoft.com/office/spreadsheetml/2010/11/main" uri="{B97F6D7D-B522-45F9-BDA1-12C45D357490}">
          <x15:cacheHierarchy aggregatedColumn="14"/>
        </ext>
      </extLst>
    </cacheHierarchy>
  </cacheHierarchies>
  <kpis count="0"/>
  <dimensions count="3">
    <dimension measure="1" name="Measures" uniqueName="[Measures]" caption="Measures"/>
    <dimension name="Range" uniqueName="[Range]" caption="Range"/>
    <dimension name="Range 1" uniqueName="[Range 1]" caption="Range 1"/>
  </dimensions>
  <measureGroups count="2">
    <measureGroup name="Range" caption="Range"/>
    <measureGroup name="Range 1" caption="Range 1"/>
  </measureGroups>
  <maps count="2">
    <map measureGroup="0" dimension="1"/>
    <map measureGroup="1" dimension="2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Mahajan, Vinay" refreshedDate="45475.447937152778" backgroundQuery="1" createdVersion="8" refreshedVersion="8" minRefreshableVersion="3" recordCount="0" supportSubquery="1" supportAdvancedDrill="1" xr:uid="{E077D501-B78A-4BDA-8730-E271DB984643}">
  <cacheSource type="external" connectionId="1"/>
  <cacheFields count="7">
    <cacheField name="[Range 1].[Type].[Type]" caption="Type" numFmtId="0" hierarchy="16" level="1">
      <sharedItems containsBlank="1" count="19">
        <m/>
        <s v="??"/>
        <s v="Bonds Deposit"/>
        <s v="Cash WDL"/>
        <s v="Credit Card payment"/>
        <s v="Deposit to own a/c"/>
        <s v="HDFC fee"/>
        <s v="Home loan"/>
        <s v="Interest"/>
        <s v="LIC India - income"/>
        <s v="LIC India - outgo"/>
        <s v="MF buy - outgo"/>
        <s v="MF returns - income"/>
        <s v="PPF"/>
        <s v="RD - FD"/>
        <s v="RD-FD"/>
        <s v="Salary"/>
        <s v="ULIP"/>
        <s v="ULIP - term"/>
      </sharedItems>
    </cacheField>
    <cacheField name="[Range 1].[DATE].[DATE]" caption="DATE" numFmtId="0" hierarchy="10" level="1">
      <sharedItems containsSemiMixedTypes="0" containsNonDate="0" containsDate="1" containsString="0" minDate="2023-11-06T00:00:00" maxDate="2023-11-29T00:00:00" count="5">
        <d v="2023-11-06T00:00:00"/>
        <d v="2023-11-13T00:00:00"/>
        <d v="2023-11-20T00:00:00"/>
        <d v="2023-11-27T00:00:00"/>
        <d v="2023-11-28T00:00:00"/>
      </sharedItems>
    </cacheField>
    <cacheField name="[Range 1].[DATE (Month)].[DATE (Month)]" caption="DATE (Month)" numFmtId="0" hierarchy="19" level="1">
      <sharedItems count="3">
        <s v="Apr"/>
        <s v="May"/>
        <s v="Jun"/>
      </sharedItems>
    </cacheField>
    <cacheField name="[Range 1].[DATE (Quarter)].[DATE (Quarter)]" caption="DATE (Quarter)" numFmtId="0" hierarchy="18" level="1">
      <sharedItems count="2">
        <s v="Qtr1"/>
        <s v="Qtr2"/>
      </sharedItems>
    </cacheField>
    <cacheField name="[Range 1].[DATE (Year)].[DATE (Year)]" caption="DATE (Year)" numFmtId="0" hierarchy="17" level="1">
      <sharedItems count="9">
        <s v="2016"/>
        <s v="2017"/>
        <s v="2018"/>
        <s v="2019"/>
        <s v="2020"/>
        <s v="2021"/>
        <s v="2022"/>
        <s v="2023"/>
        <s v="2024"/>
      </sharedItems>
    </cacheField>
    <cacheField name="[Measures].[Sum of WITHDRAWALS 2]" caption="Sum of WITHDRAWALS 2" numFmtId="0" hierarchy="27" level="32767"/>
    <cacheField name="[Measures].[Sum of DEPOSITS 2]" caption="Sum of DEPOSITS 2" numFmtId="0" hierarchy="28" level="32767"/>
  </cacheFields>
  <cacheHierarchies count="29">
    <cacheHierarchy uniqueName="[Range].[DATE]" caption="DATE" attribute="1" time="1" defaultMemberUniqueName="[Range].[DATE].[All]" allUniqueName="[Range].[DATE].[All]" dimensionUniqueName="[Range]" displayFolder="" count="0" memberValueDatatype="7" unbalanced="0"/>
    <cacheHierarchy uniqueName="[Range].[MODE]" caption="MODE" attribute="1" defaultMemberUniqueName="[Range].[MODE].[All]" allUniqueName="[Range].[MODE].[All]" dimensionUniqueName="[Range]" displayFolder="" count="0" memberValueDatatype="130" unbalanced="0"/>
    <cacheHierarchy uniqueName="[Range].[PARTICULARS]" caption="PARTICULARS" attribute="1" defaultMemberUniqueName="[Range].[PARTICULARS].[All]" allUniqueName="[Range].[PARTICULARS].[All]" dimensionUniqueName="[Range]" displayFolder="" count="0" memberValueDatatype="130" unbalanced="0"/>
    <cacheHierarchy uniqueName="[Range].[WITHDRAWALS]" caption="WITHDRAWALS" attribute="1" defaultMemberUniqueName="[Range].[WITHDRAWALS].[All]" allUniqueName="[Range].[WITHDRAWALS].[All]" dimensionUniqueName="[Range]" displayFolder="" count="0" memberValueDatatype="5" unbalanced="0"/>
    <cacheHierarchy uniqueName="[Range].[DEPOSITS]" caption="DEPOSITS" attribute="1" defaultMemberUniqueName="[Range].[DEPOSITS].[All]" allUniqueName="[Range].[DEPOSITS].[All]" dimensionUniqueName="[Range]" displayFolder="" count="0" memberValueDatatype="5" unbalanced="0"/>
    <cacheHierarchy uniqueName="[Range].[BALANCE]" caption="BALANCE" attribute="1" defaultMemberUniqueName="[Range].[BALANCE].[All]" allUniqueName="[Range].[BALANCE].[All]" dimensionUniqueName="[Range]" displayFolder="" count="0" memberValueDatatype="5" unbalanced="0"/>
    <cacheHierarchy uniqueName="[Range].[Type]" caption="Type" attribute="1" defaultMemberUniqueName="[Range].[Type].[All]" allUniqueName="[Range].[Type].[All]" dimensionUniqueName="[Range]" displayFolder="" count="0" memberValueDatatype="130" unbalanced="0"/>
    <cacheHierarchy uniqueName="[Range].[DATE (Year)]" caption="DATE (Year)" attribute="1" defaultMemberUniqueName="[Range].[DATE (Year)].[All]" allUniqueName="[Range].[DATE (Year)].[All]" dimensionUniqueName="[Range]" displayFolder="" count="0" memberValueDatatype="130" unbalanced="0"/>
    <cacheHierarchy uniqueName="[Range].[DATE (Quarter)]" caption="DATE (Quarter)" attribute="1" defaultMemberUniqueName="[Range].[DATE (Quarter)].[All]" allUniqueName="[Range].[DATE (Quarter)].[All]" dimensionUniqueName="[Range]" displayFolder="" count="0" memberValueDatatype="130" unbalanced="0"/>
    <cacheHierarchy uniqueName="[Range].[DATE (Month)]" caption="DATE (Month)" attribute="1" defaultMemberUniqueName="[Range].[DATE (Month)].[All]" allUniqueName="[Range].[DATE (Month)].[All]" dimensionUniqueName="[Range]" displayFolder="" count="0" memberValueDatatype="130" unbalanced="0"/>
    <cacheHierarchy uniqueName="[Range 1].[DATE]" caption="DATE" attribute="1" time="1" defaultMemberUniqueName="[Range 1].[DATE].[All]" allUniqueName="[Range 1].[DATE].[All]" dimensionUniqueName="[Range 1]" displayFolder="" count="2" memberValueDatatype="7" unbalanced="0">
      <fieldsUsage count="2">
        <fieldUsage x="-1"/>
        <fieldUsage x="1"/>
      </fieldsUsage>
    </cacheHierarchy>
    <cacheHierarchy uniqueName="[Range 1].[MODE]" caption="MODE" attribute="1" defaultMemberUniqueName="[Range 1].[MODE].[All]" allUniqueName="[Range 1].[MODE].[All]" dimensionUniqueName="[Range 1]" displayFolder="" count="0" memberValueDatatype="130" unbalanced="0"/>
    <cacheHierarchy uniqueName="[Range 1].[PARTICULARS]" caption="PARTICULARS" attribute="1" defaultMemberUniqueName="[Range 1].[PARTICULARS].[All]" allUniqueName="[Range 1].[PARTICULARS].[All]" dimensionUniqueName="[Range 1]" displayFolder="" count="0" memberValueDatatype="130" unbalanced="0"/>
    <cacheHierarchy uniqueName="[Range 1].[WITHDRAWALS]" caption="WITHDRAWALS" attribute="1" defaultMemberUniqueName="[Range 1].[WITHDRAWALS].[All]" allUniqueName="[Range 1].[WITHDRAWALS].[All]" dimensionUniqueName="[Range 1]" displayFolder="" count="0" memberValueDatatype="5" unbalanced="0"/>
    <cacheHierarchy uniqueName="[Range 1].[DEPOSITS]" caption="DEPOSITS" attribute="1" defaultMemberUniqueName="[Range 1].[DEPOSITS].[All]" allUniqueName="[Range 1].[DEPOSITS].[All]" dimensionUniqueName="[Range 1]" displayFolder="" count="0" memberValueDatatype="5" unbalanced="0"/>
    <cacheHierarchy uniqueName="[Range 1].[BALANCE]" caption="BALANCE" attribute="1" defaultMemberUniqueName="[Range 1].[BALANCE].[All]" allUniqueName="[Range 1].[BALANCE].[All]" dimensionUniqueName="[Range 1]" displayFolder="" count="0" memberValueDatatype="130" unbalanced="0"/>
    <cacheHierarchy uniqueName="[Range 1].[Type]" caption="Type" attribute="1" defaultMemberUniqueName="[Range 1].[Type].[All]" allUniqueName="[Range 1].[Type].[All]" dimensionUniqueName="[Range 1]" displayFolder="" count="2" memberValueDatatype="130" unbalanced="0">
      <fieldsUsage count="2">
        <fieldUsage x="-1"/>
        <fieldUsage x="0"/>
      </fieldsUsage>
    </cacheHierarchy>
    <cacheHierarchy uniqueName="[Range 1].[DATE (Year)]" caption="DATE (Year)" attribute="1" defaultMemberUniqueName="[Range 1].[DATE (Year)].[All]" allUniqueName="[Range 1].[DATE (Year)].[All]" dimensionUniqueName="[Range 1]" displayFolder="" count="2" memberValueDatatype="130" unbalanced="0">
      <fieldsUsage count="2">
        <fieldUsage x="-1"/>
        <fieldUsage x="4"/>
      </fieldsUsage>
    </cacheHierarchy>
    <cacheHierarchy uniqueName="[Range 1].[DATE (Quarter)]" caption="DATE (Quarter)" attribute="1" defaultMemberUniqueName="[Range 1].[DATE (Quarter)].[All]" allUniqueName="[Range 1].[DATE (Quarter)].[All]" dimensionUniqueName="[Range 1]" displayFolder="" count="2" memberValueDatatype="130" unbalanced="0">
      <fieldsUsage count="2">
        <fieldUsage x="-1"/>
        <fieldUsage x="3"/>
      </fieldsUsage>
    </cacheHierarchy>
    <cacheHierarchy uniqueName="[Range 1].[DATE (Month)]" caption="DATE (Month)" attribute="1" defaultMemberUniqueName="[Range 1].[DATE (Month)].[All]" allUniqueName="[Range 1].[DATE (Month)].[All]" dimensionUniqueName="[Range 1]" displayFolder="" count="2" memberValueDatatype="130" unbalanced="0">
      <fieldsUsage count="2">
        <fieldUsage x="-1"/>
        <fieldUsage x="2"/>
      </fieldsUsage>
    </cacheHierarchy>
    <cacheHierarchy uniqueName="[Range].[DATE (Month Index)]" caption="DATE (Month Index)" attribute="1" defaultMemberUniqueName="[Range].[DATE (Month Index)].[All]" allUniqueName="[Range].[DATE (Month Index)].[All]" dimensionUniqueName="[Range]" displayFolder="" count="0" memberValueDatatype="20" unbalanced="0" hidden="1"/>
    <cacheHierarchy uniqueName="[Range 1].[DATE (Month Index)]" caption="DATE (Month Index)" attribute="1" defaultMemberUniqueName="[Range 1].[DATE (Month Index)].[All]" allUniqueName="[Range 1].[DATE (Month Index)].[All]" dimensionUniqueName="[Range 1]" displayFolder="" count="0" memberValueDatatype="20" unbalanced="0" hidden="1"/>
    <cacheHierarchy uniqueName="[Measures].[__XL_Count Range]" caption="__XL_Count Range" measure="1" displayFolder="" measureGroup="Range" count="0" hidden="1"/>
    <cacheHierarchy uniqueName="[Measures].[__XL_Count Range 1]" caption="__XL_Count Range 1" measure="1" displayFolder="" measureGroup="Range 1" count="0" hidden="1"/>
    <cacheHierarchy uniqueName="[Measures].[__No measures defined]" caption="__No measures defined" measure="1" displayFolder="" count="0" hidden="1"/>
    <cacheHierarchy uniqueName="[Measures].[Sum of WITHDRAWALS]" caption="Sum of WITHDRAWALS" measure="1" displayFolder="" measureGroup="Range" count="0" hidden="1">
      <extLst>
        <ext xmlns:x15="http://schemas.microsoft.com/office/spreadsheetml/2010/11/main" uri="{B97F6D7D-B522-45F9-BDA1-12C45D357490}">
          <x15:cacheHierarchy aggregatedColumn="3"/>
        </ext>
      </extLst>
    </cacheHierarchy>
    <cacheHierarchy uniqueName="[Measures].[Sum of DEPOSITS]" caption="Sum of DEPOSITS" measure="1" displayFolder="" measureGroup="Range" count="0" hidden="1">
      <extLst>
        <ext xmlns:x15="http://schemas.microsoft.com/office/spreadsheetml/2010/11/main" uri="{B97F6D7D-B522-45F9-BDA1-12C45D357490}">
          <x15:cacheHierarchy aggregatedColumn="4"/>
        </ext>
      </extLst>
    </cacheHierarchy>
    <cacheHierarchy uniqueName="[Measures].[Sum of WITHDRAWALS 2]" caption="Sum of WITHDRAWALS 2" measure="1" displayFolder="" measureGroup="Range 1" count="0" oneField="1" hidden="1">
      <fieldsUsage count="1">
        <fieldUsage x="5"/>
      </fieldsUsage>
      <extLst>
        <ext xmlns:x15="http://schemas.microsoft.com/office/spreadsheetml/2010/11/main" uri="{B97F6D7D-B522-45F9-BDA1-12C45D357490}">
          <x15:cacheHierarchy aggregatedColumn="13"/>
        </ext>
      </extLst>
    </cacheHierarchy>
    <cacheHierarchy uniqueName="[Measures].[Sum of DEPOSITS 2]" caption="Sum of DEPOSITS 2" measure="1" displayFolder="" measureGroup="Range 1" count="0" oneField="1" hidden="1">
      <fieldsUsage count="1">
        <fieldUsage x="6"/>
      </fieldsUsage>
      <extLst>
        <ext xmlns:x15="http://schemas.microsoft.com/office/spreadsheetml/2010/11/main" uri="{B97F6D7D-B522-45F9-BDA1-12C45D357490}">
          <x15:cacheHierarchy aggregatedColumn="14"/>
        </ext>
      </extLst>
    </cacheHierarchy>
  </cacheHierarchies>
  <kpis count="0"/>
  <dimensions count="3">
    <dimension measure="1" name="Measures" uniqueName="[Measures]" caption="Measures"/>
    <dimension name="Range" uniqueName="[Range]" caption="Range"/>
    <dimension name="Range 1" uniqueName="[Range 1]" caption="Range 1"/>
  </dimensions>
  <measureGroups count="2">
    <measureGroup name="Range" caption="Range"/>
    <measureGroup name="Range 1" caption="Range 1"/>
  </measureGroups>
  <maps count="2">
    <map measureGroup="0" dimension="1"/>
    <map measureGroup="1" dimension="2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5D30F85-0E66-46CC-8415-D446E6EC20EF}" name="PivotTable1" cacheId="0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>
  <location ref="A3:C23" firstHeaderRow="0" firstDataRow="1" firstDataCol="1"/>
  <pivotFields count="7">
    <pivotField axis="axisRow" allDrilled="1" subtotalTop="0" showAll="0" dataSourceSort="1" defaultSubtotal="0" defaultAttributeDrillState="1">
      <items count="2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</items>
    </pivotField>
    <pivotField axis="axisRow" allDrilled="1" subtotalTop="0" showAll="0" dataSourceSort="1" defaultSubtotal="0">
      <items count="3">
        <item x="0" e="0"/>
        <item x="1" e="0"/>
        <item x="2" e="0"/>
      </items>
    </pivotField>
    <pivotField axis="axisRow" allDrilled="1" subtotalTop="0" showAll="0" dataSourceSort="1" defaultSubtotal="0">
      <items count="2">
        <item x="0" e="0"/>
        <item x="1" e="0"/>
      </items>
    </pivotField>
    <pivotField axis="axisRow" allDrilled="1" subtotalTop="0" showAll="0" dataSourceSort="1" defaultSubtotal="0">
      <items count="9">
        <item x="0" e="0"/>
        <item x="1" e="0"/>
        <item x="2" e="0"/>
        <item x="3" e="0"/>
        <item x="4" e="0"/>
        <item x="5" e="0"/>
        <item x="6" e="0"/>
        <item x="7" e="0"/>
        <item x="8" e="0"/>
      </items>
    </pivotField>
    <pivotField dataField="1" subtotalTop="0" showAll="0" defaultSubtotal="0"/>
    <pivotField dataField="1" subtotalTop="0" showAll="0" defaultSubtotal="0"/>
    <pivotField axis="axisRow" allDrilled="1" subtotalTop="0" showAll="0" dataSourceSort="1" defaultSubtotal="0">
      <items count="19">
        <item x="0" e="0"/>
        <item x="1" e="0"/>
        <item x="2" e="0"/>
        <item x="3" e="0"/>
        <item x="4" e="0"/>
        <item x="5" e="0"/>
        <item x="6" e="0"/>
        <item x="7" e="0"/>
        <item x="8" e="0"/>
        <item x="9" e="0"/>
        <item x="10" e="0"/>
        <item x="11" e="0"/>
        <item x="12" e="0"/>
        <item x="13" e="0"/>
        <item x="14" e="0"/>
        <item x="15" e="0"/>
        <item x="16" e="0"/>
        <item x="17" e="0"/>
        <item x="18" e="0"/>
      </items>
    </pivotField>
  </pivotFields>
  <rowFields count="5">
    <field x="6"/>
    <field x="3"/>
    <field x="2"/>
    <field x="1"/>
    <field x="0"/>
  </rowFields>
  <rowItems count="2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 t="grand">
      <x/>
    </i>
  </rowItems>
  <colFields count="1">
    <field x="-2"/>
  </colFields>
  <colItems count="2">
    <i>
      <x/>
    </i>
    <i i="1">
      <x v="1"/>
    </i>
  </colItems>
  <dataFields count="2">
    <dataField name="Sum of WITHDRAWALS" fld="4" baseField="0" baseItem="0"/>
    <dataField name="Sum of DEPOSITS" fld="5" baseField="0" baseItem="0"/>
  </dataFields>
  <formats count="6">
    <format dxfId="5">
      <pivotArea type="all" dataOnly="0" outline="0" fieldPosition="0"/>
    </format>
    <format dxfId="4">
      <pivotArea outline="0" collapsedLevelsAreSubtotals="1" fieldPosition="0"/>
    </format>
    <format dxfId="3">
      <pivotArea field="6" type="button" dataOnly="0" labelOnly="1" outline="0" axis="axisRow" fieldPosition="0"/>
    </format>
    <format dxfId="2">
      <pivotArea dataOnly="0" labelOnly="1" fieldPosition="0">
        <references count="1">
          <reference field="6" count="0"/>
        </references>
      </pivotArea>
    </format>
    <format dxfId="1">
      <pivotArea dataOnly="0" labelOnly="1" grandRow="1" outline="0" fieldPosition="0"/>
    </format>
    <format dxfId="0">
      <pivotArea dataOnly="0" labelOnly="1" outline="0" fieldPosition="0">
        <references count="1">
          <reference field="4294967294" count="2">
            <x v="0"/>
            <x v="1"/>
          </reference>
        </references>
      </pivotArea>
    </format>
  </formats>
  <pivotHierarchies count="29"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Data="1"/>
    <pivotHierarchy dragToData="1"/>
    <pivotHierarchy dragToData="1"/>
    <pivotHierarchy dragToData="1"/>
  </pivotHierarchies>
  <pivotTableStyleInfo name="PivotStyleLight16" showRowHeaders="1" showColHeaders="1" showRowStripes="0" showColStripes="0" showLastColumn="1"/>
  <rowHierarchiesUsage count="5">
    <rowHierarchyUsage hierarchyUsage="6"/>
    <rowHierarchyUsage hierarchyUsage="7"/>
    <rowHierarchyUsage hierarchyUsage="8"/>
    <rowHierarchyUsage hierarchyUsage="9"/>
    <rowHierarchyUsage hierarchyUsage="0"/>
  </rowHierarchiesUsage>
  <colHierarchiesUsage count="1">
    <colHierarchyUsage hierarchyUsage="-2"/>
  </col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 sourceDataName="WorksheetConnection_Var-Apr2009-Mar2023!$A:$G">
        <x15:activeTabTopLevelEntity name="[Range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80BBE5B0-7785-458A-8703-59D725A97DCB}" name="PivotTable2" cacheId="1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>
  <location ref="H3:J23" firstHeaderRow="0" firstDataRow="1" firstDataCol="1"/>
  <pivotFields count="7">
    <pivotField axis="axisRow" allDrilled="1" subtotalTop="0" showAll="0" dataSourceSort="1" defaultSubtotal="0">
      <items count="19">
        <item x="0" e="0"/>
        <item x="1" e="0"/>
        <item x="2" e="0"/>
        <item x="3" e="0"/>
        <item x="4" e="0"/>
        <item x="5" e="0"/>
        <item x="6" e="0"/>
        <item x="7" e="0"/>
        <item x="8" e="0"/>
        <item x="9" e="0"/>
        <item x="10" e="0"/>
        <item x="11" e="0"/>
        <item x="12" e="0"/>
        <item x="13" e="0"/>
        <item x="14" e="0"/>
        <item x="15" e="0"/>
        <item x="16" e="0"/>
        <item x="17" e="0"/>
        <item x="18" e="0"/>
      </items>
    </pivotField>
    <pivotField axis="axisRow" allDrilled="1" subtotalTop="0" showAll="0" dataSourceSort="1" defaultSubtotal="0" defaultAttributeDrillState="1">
      <items count="5">
        <item x="0"/>
        <item x="1"/>
        <item x="2"/>
        <item x="3"/>
        <item x="4"/>
      </items>
    </pivotField>
    <pivotField axis="axisRow" allDrilled="1" subtotalTop="0" showAll="0" dataSourceSort="1" defaultSubtotal="0">
      <items count="3">
        <item x="0" e="0"/>
        <item x="1" e="0"/>
        <item x="2" e="0"/>
      </items>
    </pivotField>
    <pivotField axis="axisRow" allDrilled="1" subtotalTop="0" showAll="0" dataSourceSort="1" defaultSubtotal="0">
      <items count="2">
        <item x="0" e="0"/>
        <item x="1" e="0"/>
      </items>
    </pivotField>
    <pivotField axis="axisRow" allDrilled="1" subtotalTop="0" showAll="0" dataSourceSort="1" defaultSubtotal="0">
      <items count="9">
        <item x="0" e="0"/>
        <item x="1" e="0"/>
        <item x="2" e="0"/>
        <item x="3" e="0"/>
        <item x="4" e="0"/>
        <item x="5" e="0"/>
        <item x="6" e="0"/>
        <item x="7" e="0"/>
        <item x="8" e="0"/>
      </items>
    </pivotField>
    <pivotField dataField="1" subtotalTop="0" showAll="0" defaultSubtotal="0"/>
    <pivotField dataField="1" subtotalTop="0" showAll="0" defaultSubtotal="0"/>
  </pivotFields>
  <rowFields count="5">
    <field x="0"/>
    <field x="4"/>
    <field x="3"/>
    <field x="2"/>
    <field x="1"/>
  </rowFields>
  <rowItems count="2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 t="grand">
      <x/>
    </i>
  </rowItems>
  <colFields count="1">
    <field x="-2"/>
  </colFields>
  <colItems count="2">
    <i>
      <x/>
    </i>
    <i i="1">
      <x v="1"/>
    </i>
  </colItems>
  <dataFields count="2">
    <dataField name="Sum of WITHDRAWALS" fld="5" baseField="0" baseItem="0"/>
    <dataField name="Sum of DEPOSITS" fld="6" baseField="0" baseItem="0"/>
  </dataFields>
  <formats count="6">
    <format dxfId="11">
      <pivotArea type="all" dataOnly="0" outline="0" fieldPosition="0"/>
    </format>
    <format dxfId="10">
      <pivotArea outline="0" collapsedLevelsAreSubtotals="1" fieldPosition="0"/>
    </format>
    <format dxfId="9">
      <pivotArea field="0" type="button" dataOnly="0" labelOnly="1" outline="0" axis="axisRow" fieldPosition="0"/>
    </format>
    <format dxfId="8">
      <pivotArea dataOnly="0" labelOnly="1" fieldPosition="0">
        <references count="1">
          <reference field="0" count="0"/>
        </references>
      </pivotArea>
    </format>
    <format dxfId="7">
      <pivotArea dataOnly="0" labelOnly="1" grandRow="1" outline="0" fieldPosition="0"/>
    </format>
    <format dxfId="6">
      <pivotArea dataOnly="0" labelOnly="1" outline="0" fieldPosition="0">
        <references count="1">
          <reference field="4294967294" count="2">
            <x v="0"/>
            <x v="1"/>
          </reference>
        </references>
      </pivotArea>
    </format>
  </formats>
  <pivotHierarchies count="29"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Data="1"/>
    <pivotHierarchy dragToData="1"/>
    <pivotHierarchy dragToData="1"/>
    <pivotHierarchy dragToData="1"/>
  </pivotHierarchies>
  <pivotTableStyleInfo name="PivotStyleLight16" showRowHeaders="1" showColHeaders="1" showRowStripes="0" showColStripes="0" showLastColumn="1"/>
  <rowHierarchiesUsage count="5">
    <rowHierarchyUsage hierarchyUsage="16"/>
    <rowHierarchyUsage hierarchyUsage="17"/>
    <rowHierarchyUsage hierarchyUsage="18"/>
    <rowHierarchyUsage hierarchyUsage="19"/>
    <rowHierarchyUsage hierarchyUsage="10"/>
  </rowHierarchiesUsage>
  <colHierarchiesUsage count="1">
    <colHierarchyUsage hierarchyUsage="-2"/>
  </col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 sourceDataName="WorksheetConnection_Vin-2001-Mar2023!$A:$G">
        <x15:activeTabTopLevelEntity name="[Range 1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theme/theme1.xml><?xml version="1.0" encoding="utf-8"?>
<a:theme xmlns:a="http://schemas.openxmlformats.org/drawingml/2006/main" name="Office Theme 2007 - 2010">
  <a:themeElements>
    <a:clrScheme name="Office 2007 - 2010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 2007 - 2010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 2007 - 2010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threadedComments/threadedComment1.xml><?xml version="1.0" encoding="utf-8"?>
<ThreadedComments xmlns="http://schemas.microsoft.com/office/spreadsheetml/2018/threadedcomments" xmlns:x="http://schemas.openxmlformats.org/spreadsheetml/2006/main">
  <threadedComment ref="I25" dT="2024-02-28T14:09:32.08" personId="{FC1EF066-E70F-4ADC-8732-BC8804BB8352}" id="{34579F5E-12B3-47F1-958C-2F069929E122}">
    <text>Actual bonus 21,74,286.6, business factor 145, plan was to get 14,99,508</text>
  </threadedComment>
</ThreadedComments>
</file>

<file path=xl/threadedComments/threadedComment2.xml><?xml version="1.0" encoding="utf-8"?>
<ThreadedComments xmlns="http://schemas.microsoft.com/office/spreadsheetml/2018/threadedcomments" xmlns:x="http://schemas.openxmlformats.org/spreadsheetml/2006/main">
  <threadedComment ref="DA4" dT="2024-04-01T05:02:23.11" personId="{FC1EF066-E70F-4ADC-8732-BC8804BB8352}" id="{5A22C587-9A4A-462E-8712-04771DE9DEA9}">
    <text>Paid for Creta 2024 ~22 lacs</text>
  </threadedComment>
  <threadedComment ref="CQ5" dT="2022-05-06T04:49:50.19" personId="{FC1EF066-E70F-4ADC-8732-BC8804BB8352}" id="{06DAE581-8A4C-4BD0-AF7F-4E7AAA150EC2}">
    <text>Jeans: 12k, clothes: 12k, Laptop: 35k (after discounts), insurance: 33k,</text>
  </threadedComment>
  <threadedComment ref="CW5" dT="2023-05-02T04:54:07.08" personId="{FC1EF066-E70F-4ADC-8732-BC8804BB8352}" id="{0AC91421-BC4F-478E-8277-279922B48FD2}">
    <text>Vyom Fees 309111</text>
  </threadedComment>
  <threadedComment ref="CX5" dT="2022-05-06T04:49:50.19" personId="{FC1EF066-E70F-4ADC-8732-BC8804BB8352}" id="{1CC7B165-6F89-4AFF-9952-114A2228065C}">
    <text>Jeans: 12k, clothes: 12k, Laptop: 35k (after discounts), insurance: 33k,</text>
  </threadedComment>
  <threadedComment ref="DA6" dT="2024-06-07T11:32:27.57" personId="{FC1EF066-E70F-4ADC-8732-BC8804BB8352}" id="{CDEFC840-0D52-4244-A115-ECCCC97E143F}">
    <text>Vyom's Physics tuitions started - 1500/- per class</text>
  </threadedComment>
  <threadedComment ref="CJ11" dT="2021-11-01T07:20:31.20" personId="{FC1EF066-E70F-4ADC-8732-BC8804BB8352}" id="{1F0E1F8A-087C-4540-9720-7D0B45AAAE48}">
    <text>In Mumbai, so less expeses</text>
  </threadedComment>
</ThreadedComments>
</file>

<file path=xl/threadedComments/threadedComment3.xml><?xml version="1.0" encoding="utf-8"?>
<ThreadedComments xmlns="http://schemas.microsoft.com/office/spreadsheetml/2018/threadedcomments" xmlns:x="http://schemas.openxmlformats.org/spreadsheetml/2006/main">
  <threadedComment ref="Q11" dT="2023-12-28T04:36:30.06" personId="{FC1EF066-E70F-4ADC-8732-BC8804BB8352}" id="{096C0891-6215-4DF0-9500-4228883747DD}">
    <text>Earrings CARATLane Mumbai Dec2023</text>
  </threadedComment>
  <threadedComment ref="P12" dT="2022-07-15T09:44:20.83" personId="{FC1EF066-E70F-4ADC-8732-BC8804BB8352}" id="{A1ABF04E-8410-4D8C-9993-8E8D3867C6E1}">
    <text>Will get 70k tax back, so extrax tax = 1Lakh</text>
  </threadedComment>
  <threadedComment ref="Q16" dT="2023-07-04T04:58:21.79" personId="{FC1EF066-E70F-4ADC-8732-BC8804BB8352}" id="{2FF73098-F0CF-4514-949B-00D34AC2F6A8}">
    <text>Varsha received 1.17 lacs out of this 2.78 lacs</text>
  </threadedComment>
  <threadedComment ref="R16" dT="2024-05-02T06:09:57.15" personId="{FC1EF066-E70F-4ADC-8732-BC8804BB8352}" id="{6C99EC23-A883-4CA2-AE48-74A294697FB7}">
    <text>Abu Dhabi + Dubai + Tickets May2024, Goa trip Dec2024</text>
  </threadedComment>
  <threadedComment ref="Q21" dT="2023-06-05T04:32:36.39" personId="{FC1EF066-E70F-4ADC-8732-BC8804BB8352}" id="{AC44AF00-A3B1-49AF-8D27-94A91B7DA173}">
    <text>Total 68,000 currently paid 38,000</text>
  </threadedComment>
</ThreadedComments>
</file>

<file path=xl/threadedComments/threadedComment4.xml><?xml version="1.0" encoding="utf-8"?>
<ThreadedComments xmlns="http://schemas.microsoft.com/office/spreadsheetml/2018/threadedcomments" xmlns:x="http://schemas.openxmlformats.org/spreadsheetml/2006/main">
  <threadedComment ref="D3524" dT="2023-04-06T07:43:13.20" personId="{FC1EF066-E70F-4ADC-8732-BC8804BB8352}" id="{D28D7645-CEA2-4165-BF2B-8786520B0C99}">
    <text>Not sure of this number</text>
  </threadedComment>
  <threadedComment ref="D3802" dT="2023-04-03T04:22:06.01" personId="{FC1EF066-E70F-4ADC-8732-BC8804BB8352}" id="{CBED079D-84CB-4258-90C4-BC68C1313265}">
    <text>Kitchen renovation</text>
  </threadedComment>
  <threadedComment ref="D3825" dT="2023-04-03T04:21:41.70" personId="{FC1EF066-E70F-4ADC-8732-BC8804BB8352}" id="{FE3EEF88-EB7F-48A4-802E-BC714D8DD300}">
    <text>Kitchen renovation</text>
  </threadedComment>
  <threadedComment ref="D3826" dT="2023-04-03T04:21:47.61" personId="{FC1EF066-E70F-4ADC-8732-BC8804BB8352}" id="{A3E71020-7ED9-4501-B363-28A47A6D14F4}">
    <text>Kitchen renovation</text>
  </threadedComment>
</ThreadedComments>
</file>

<file path=xl/threadedComments/threadedComment5.xml><?xml version="1.0" encoding="utf-8"?>
<ThreadedComments xmlns="http://schemas.microsoft.com/office/spreadsheetml/2018/threadedcomments" xmlns:x="http://schemas.openxmlformats.org/spreadsheetml/2006/main">
  <threadedComment ref="X39" dT="2021-09-13T05:43:56.43" personId="{FC1EF066-E70F-4ADC-8732-BC8804BB8352}" id="{1664AF74-A0A8-4C59-BBAB-C460E95BA222}">
    <text>Undecided for these 2 years</text>
  </threadedComment>
</ThreadedComments>
</file>

<file path=xl/threadedComments/threadedComment6.xml><?xml version="1.0" encoding="utf-8"?>
<ThreadedComments xmlns="http://schemas.microsoft.com/office/spreadsheetml/2018/threadedcomments" xmlns:x="http://schemas.openxmlformats.org/spreadsheetml/2006/main">
  <threadedComment ref="Q39" dT="2021-09-13T05:43:49.29" personId="{FC1EF066-E70F-4ADC-8732-BC8804BB8352}" id="{64577FB3-BDB1-46DE-8FCF-EFD27CE0405D}">
    <text>Undecided for these 2 years</text>
  </threadedComment>
</ThreadedComments>
</file>

<file path=xl/threadedComments/threadedComment7.xml><?xml version="1.0" encoding="utf-8"?>
<ThreadedComments xmlns="http://schemas.microsoft.com/office/spreadsheetml/2018/threadedcomments" xmlns:x="http://schemas.openxmlformats.org/spreadsheetml/2006/main">
  <threadedComment ref="O2" dT="2023-03-23T06:36:32.27" personId="{FC1EF066-E70F-4ADC-8732-BC8804BB8352}" id="{9D5479AC-A971-4C78-9450-FC60BE8A91E6}">
    <text>If tax free income of 12 crore is to be earned, almost 18 crores are needed before tax, considering 30% bracket, which may not be sufficient, this could be even on the higher side</text>
  </threadedComment>
</ThreadedComments>
</file>

<file path=xl/threadedComments/threadedComment8.xml><?xml version="1.0" encoding="utf-8"?>
<ThreadedComments xmlns="http://schemas.microsoft.com/office/spreadsheetml/2018/threadedcomments" xmlns:x="http://schemas.openxmlformats.org/spreadsheetml/2006/main">
  <threadedComment ref="Y8" dT="2021-09-14T11:21:18.37" personId="{FC1EF066-E70F-4ADC-8732-BC8804BB8352}" id="{8D10851A-5540-43DC-8378-5B628CAB5672}">
    <text>Elite Life II (5 years), policy number: 20477630,
10th year, Nov-2026: ~25 lacs</text>
  </threadedComment>
  <threadedComment ref="P9" dT="2021-09-14T11:21:18.37" personId="{FC1EF066-E70F-4ADC-8732-BC8804BB8352}" id="{21AAD6AD-ADAB-476E-8E87-007E454EF30E}">
    <text>Elite life II</text>
  </threadedComment>
  <threadedComment ref="Y10" dT="2021-09-14T11:23:02.32" personId="{FC1EF066-E70F-4ADC-8732-BC8804BB8352}" id="{18A7AB2D-2B24-4BC4-A600-3614F0230B12}">
    <text>Elite Life Super (7 years), Policy number: 21131016, Jun-2028, ~30 lacs</text>
  </threadedComment>
  <threadedComment ref="P11" dT="2021-09-14T11:23:02.32" personId="{FC1EF066-E70F-4ADC-8732-BC8804BB8352}" id="{90EA3649-856C-4B4A-86B3-9D16EAB58E99}">
    <text>ELite Super Life</text>
  </threadedComment>
  <threadedComment ref="Y12" dT="2021-09-14T11:23:02.32" personId="{FC1EF066-E70F-4ADC-8732-BC8804BB8352}" id="{30FFF134-CB71-4E28-87BA-AD1134137586}">
    <text>Elite Life Super (7 years), Policy number: 24511656, Jul-2030, ~35 lacs</text>
  </threadedComment>
  <threadedComment ref="P13" dT="2021-09-14T11:23:02.32" personId="{FC1EF066-E70F-4ADC-8732-BC8804BB8352}" id="{8C95BBF4-287A-4EE2-A434-435460E0E283}">
    <text>ELite Super Life</text>
  </threadedComment>
</ThreadedComments>
</file>

<file path=xl/threadedComments/threadedComment9.xml><?xml version="1.0" encoding="utf-8"?>
<ThreadedComments xmlns="http://schemas.microsoft.com/office/spreadsheetml/2018/threadedcomments" xmlns:x="http://schemas.openxmlformats.org/spreadsheetml/2006/main">
  <threadedComment ref="H30" dT="2021-09-14T09:13:49.80" personId="{FC1EF066-E70F-4ADC-8732-BC8804BB8352}" id="{B5112707-00AB-485F-B52E-F0B3A91AA690}">
    <text>1.5% at 10 years + 0.3% + 0.25%</text>
  </threadedComment>
</ThreadedComments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hyperlink" Target="https://www.advisorkhoj.com/mutual-funds-research/top-performing-systematic-investment-plan?category=" TargetMode="External"/><Relationship Id="rId2" Type="http://schemas.openxmlformats.org/officeDocument/2006/relationships/hyperlink" Target="https://www.advisorkhoj.com/mutual-funds-research/top-performing-systematic-investment-plan?category=" TargetMode="External"/><Relationship Id="rId1" Type="http://schemas.openxmlformats.org/officeDocument/2006/relationships/hyperlink" Target="https://www.advisorkhoj.com/mutual-funds-research/top-performing-systematic-investment-plan?category=Equity:%20" TargetMode="External"/><Relationship Id="rId4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printerSettings" Target="../printerSettings/printerSettings2.bin"/><Relationship Id="rId2" Type="http://schemas.openxmlformats.org/officeDocument/2006/relationships/hyperlink" Target="https://www.morningstar.in/tools/mutual-fund-sip-calculator.aspx" TargetMode="External"/><Relationship Id="rId1" Type="http://schemas.openxmlformats.org/officeDocument/2006/relationships/hyperlink" Target="https://www.morningstar.in/tools/mutual-fund-returns-calculator.aspx" TargetMode="External"/></Relationships>
</file>

<file path=xl/worksheets/_rels/sheet3.xml.rels><?xml version="1.0" encoding="UTF-8" standalone="yes"?>
<Relationships xmlns="http://schemas.openxmlformats.org/package/2006/relationships"><Relationship Id="rId3" Type="http://schemas.openxmlformats.org/officeDocument/2006/relationships/comments" Target="../comments1.xml"/><Relationship Id="rId2" Type="http://schemas.openxmlformats.org/officeDocument/2006/relationships/vmlDrawing" Target="../drawings/vmlDrawing1.vml"/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3" Type="http://schemas.openxmlformats.org/officeDocument/2006/relationships/comments" Target="../comments2.xml"/><Relationship Id="rId2" Type="http://schemas.openxmlformats.org/officeDocument/2006/relationships/vmlDrawing" Target="../drawings/vmlDrawing2.vml"/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3.vml"/><Relationship Id="rId2" Type="http://schemas.openxmlformats.org/officeDocument/2006/relationships/printerSettings" Target="../printerSettings/printerSettings5.bin"/><Relationship Id="rId1" Type="http://schemas.openxmlformats.org/officeDocument/2006/relationships/hyperlink" Target="https://www.advisorkhoj.com/mutual-funds-research/top-performing-systematic-investment-plan?category=Equity:%20Flexi%20Cap&amp;period=15&amp;amount=5000" TargetMode="External"/><Relationship Id="rId4" Type="http://schemas.openxmlformats.org/officeDocument/2006/relationships/comments" Target="../comments3.xml"/></Relationships>
</file>

<file path=xl/worksheets/_rels/sheet6.xml.rels><?xml version="1.0" encoding="UTF-8" standalone="yes"?>
<Relationships xmlns="http://schemas.openxmlformats.org/package/2006/relationships"><Relationship Id="rId3" Type="http://schemas.openxmlformats.org/officeDocument/2006/relationships/comments" Target="../comments4.xml"/><Relationship Id="rId2" Type="http://schemas.openxmlformats.org/officeDocument/2006/relationships/vmlDrawing" Target="../drawings/vmlDrawing4.vml"/><Relationship Id="rId1" Type="http://schemas.openxmlformats.org/officeDocument/2006/relationships/printerSettings" Target="../printerSettings/printerSettings6.bin"/><Relationship Id="rId4" Type="http://schemas.microsoft.com/office/2017/10/relationships/threadedComment" Target="../threadedComments/threadedComment1.xml"/></Relationships>
</file>

<file path=xl/worksheets/_rels/sheet7.xml.rels><?xml version="1.0" encoding="UTF-8" standalone="yes"?>
<Relationships xmlns="http://schemas.openxmlformats.org/package/2006/relationships"><Relationship Id="rId3" Type="http://schemas.openxmlformats.org/officeDocument/2006/relationships/comments" Target="../comments5.xml"/><Relationship Id="rId2" Type="http://schemas.openxmlformats.org/officeDocument/2006/relationships/vmlDrawing" Target="../drawings/vmlDrawing5.vml"/><Relationship Id="rId1" Type="http://schemas.openxmlformats.org/officeDocument/2006/relationships/printerSettings" Target="../printerSettings/printerSettings7.bin"/><Relationship Id="rId4" Type="http://schemas.microsoft.com/office/2017/10/relationships/threadedComment" Target="../threadedComments/threadedComment2.xml"/></Relationships>
</file>

<file path=xl/worksheets/_rels/sheet8.xml.rels><?xml version="1.0" encoding="UTF-8" standalone="yes"?>
<Relationships xmlns="http://schemas.openxmlformats.org/package/2006/relationships"><Relationship Id="rId3" Type="http://schemas.openxmlformats.org/officeDocument/2006/relationships/comments" Target="../comments6.xml"/><Relationship Id="rId2" Type="http://schemas.openxmlformats.org/officeDocument/2006/relationships/vmlDrawing" Target="../drawings/vmlDrawing6.vml"/><Relationship Id="rId1" Type="http://schemas.openxmlformats.org/officeDocument/2006/relationships/printerSettings" Target="../printerSettings/printerSettings8.bin"/><Relationship Id="rId4" Type="http://schemas.microsoft.com/office/2017/10/relationships/threadedComment" Target="../threadedComments/threadedComment3.xml"/></Relationships>
</file>

<file path=xl/worksheets/_rels/sheet9.xml.rels><?xml version="1.0" encoding="UTF-8" standalone="yes"?>
<Relationships xmlns="http://schemas.openxmlformats.org/package/2006/relationships"><Relationship Id="rId2" Type="http://schemas.openxmlformats.org/officeDocument/2006/relationships/pivotTable" Target="../pivotTables/pivotTable2.xml"/><Relationship Id="rId1" Type="http://schemas.openxmlformats.org/officeDocument/2006/relationships/pivotTable" Target="../pivotTables/pivotTable1.xml"/></Relationships>
</file>

<file path=xl/worksheets/_rels/sheet10.xml.rels><?xml version="1.0" encoding="UTF-8" standalone="yes"?>
<Relationships xmlns="http://schemas.openxmlformats.org/package/2006/relationships"><Relationship Id="rId3" Type="http://schemas.openxmlformats.org/officeDocument/2006/relationships/comments" Target="../comments7.xml"/><Relationship Id="rId2" Type="http://schemas.openxmlformats.org/officeDocument/2006/relationships/vmlDrawing" Target="../drawings/vmlDrawing7.vml"/><Relationship Id="rId1" Type="http://schemas.openxmlformats.org/officeDocument/2006/relationships/printerSettings" Target="../printerSettings/printerSettings9.bin"/><Relationship Id="rId4" Type="http://schemas.microsoft.com/office/2017/10/relationships/threadedComment" Target="../threadedComments/threadedComment4.xml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.bin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.bin"/></Relationships>
</file>

<file path=xl/worksheets/_rels/sheet13.xml.rels><?xml version="1.0" encoding="UTF-8" standalone="yes"?>
<Relationships xmlns="http://schemas.openxmlformats.org/package/2006/relationships"><Relationship Id="rId3" Type="http://schemas.openxmlformats.org/officeDocument/2006/relationships/comments" Target="../comments8.xml"/><Relationship Id="rId2" Type="http://schemas.openxmlformats.org/officeDocument/2006/relationships/vmlDrawing" Target="../drawings/vmlDrawing8.vml"/><Relationship Id="rId1" Type="http://schemas.openxmlformats.org/officeDocument/2006/relationships/printerSettings" Target="../printerSettings/printerSettings12.bin"/></Relationships>
</file>

<file path=xl/worksheets/_rels/sheet14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9.vml"/><Relationship Id="rId2" Type="http://schemas.openxmlformats.org/officeDocument/2006/relationships/printerSettings" Target="../printerSettings/printerSettings13.bin"/><Relationship Id="rId1" Type="http://schemas.openxmlformats.org/officeDocument/2006/relationships/hyperlink" Target="https://www.myinsuranceclub.com/life-insurance/companies/lic-of-india/jeevan-anand" TargetMode="External"/><Relationship Id="rId5" Type="http://schemas.microsoft.com/office/2017/10/relationships/threadedComment" Target="../threadedComments/threadedComment5.xml"/><Relationship Id="rId4" Type="http://schemas.openxmlformats.org/officeDocument/2006/relationships/comments" Target="../comments9.xml"/></Relationships>
</file>

<file path=xl/worksheets/_rels/sheet15.xml.rels><?xml version="1.0" encoding="UTF-8" standalone="yes"?>
<Relationships xmlns="http://schemas.openxmlformats.org/package/2006/relationships"><Relationship Id="rId3" Type="http://schemas.openxmlformats.org/officeDocument/2006/relationships/printerSettings" Target="../printerSettings/printerSettings14.bin"/><Relationship Id="rId2" Type="http://schemas.openxmlformats.org/officeDocument/2006/relationships/hyperlink" Target="https://www.insurance21.in/maturity-calculator-Jeevan-anand-plan-149.php" TargetMode="External"/><Relationship Id="rId1" Type="http://schemas.openxmlformats.org/officeDocument/2006/relationships/hyperlink" Target="https://www.myinsuranceclub.com/life-insurance/companies/lic-of-india/jeevan-anand" TargetMode="External"/><Relationship Id="rId6" Type="http://schemas.microsoft.com/office/2017/10/relationships/threadedComment" Target="../threadedComments/threadedComment6.xml"/><Relationship Id="rId5" Type="http://schemas.openxmlformats.org/officeDocument/2006/relationships/comments" Target="../comments10.xml"/><Relationship Id="rId4" Type="http://schemas.openxmlformats.org/officeDocument/2006/relationships/vmlDrawing" Target="../drawings/vmlDrawing10.vml"/></Relationships>
</file>

<file path=xl/worksheets/_rels/sheet16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1.xml"/><Relationship Id="rId2" Type="http://schemas.openxmlformats.org/officeDocument/2006/relationships/printerSettings" Target="../printerSettings/printerSettings15.bin"/><Relationship Id="rId1" Type="http://schemas.openxmlformats.org/officeDocument/2006/relationships/hyperlink" Target="http://www.npstrust.org.in/content/pension-calculator" TargetMode="External"/><Relationship Id="rId5" Type="http://schemas.openxmlformats.org/officeDocument/2006/relationships/comments" Target="../comments11.xml"/><Relationship Id="rId4" Type="http://schemas.openxmlformats.org/officeDocument/2006/relationships/vmlDrawing" Target="../drawings/vmlDrawing11.vml"/></Relationships>
</file>

<file path=xl/worksheets/_rels/sheet17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12.vml"/><Relationship Id="rId2" Type="http://schemas.openxmlformats.org/officeDocument/2006/relationships/printerSettings" Target="../printerSettings/printerSettings16.bin"/><Relationship Id="rId1" Type="http://schemas.openxmlformats.org/officeDocument/2006/relationships/hyperlink" Target="https://www.insurance21.in/maturity-calculator/lic-jeevan-umang-plan-945.html" TargetMode="External"/><Relationship Id="rId5" Type="http://schemas.microsoft.com/office/2017/10/relationships/threadedComment" Target="../threadedComments/threadedComment7.xml"/><Relationship Id="rId4" Type="http://schemas.openxmlformats.org/officeDocument/2006/relationships/comments" Target="../comments12.xml"/></Relationships>
</file>

<file path=xl/worksheets/_rels/sheet18.xml.rels><?xml version="1.0" encoding="UTF-8" standalone="yes"?>
<Relationships xmlns="http://schemas.openxmlformats.org/package/2006/relationships"><Relationship Id="rId3" Type="http://schemas.openxmlformats.org/officeDocument/2006/relationships/hyperlink" Target="https://licindia.in/Customer-Services/Bonus-Information.aspx" TargetMode="External"/><Relationship Id="rId2" Type="http://schemas.openxmlformats.org/officeDocument/2006/relationships/hyperlink" Target="https://liclifeplus.co.in/images/BI%20(23).pdf" TargetMode="External"/><Relationship Id="rId1" Type="http://schemas.openxmlformats.org/officeDocument/2006/relationships/hyperlink" Target="http://www.mybengaluru.com/attachments/Resources/2452-5533-Komal-Jeevan.pdf" TargetMode="External"/><Relationship Id="rId4" Type="http://schemas.openxmlformats.org/officeDocument/2006/relationships/printerSettings" Target="../printerSettings/printerSettings17.bin"/></Relationships>
</file>

<file path=xl/worksheets/_rels/sheet19.xml.rels><?xml version="1.0" encoding="UTF-8" standalone="yes"?>
<Relationships xmlns="http://schemas.openxmlformats.org/package/2006/relationships"><Relationship Id="rId3" Type="http://schemas.openxmlformats.org/officeDocument/2006/relationships/hyperlink" Target="https://licindia.in/Customer-Services/Bonus-Information.aspx" TargetMode="External"/><Relationship Id="rId2" Type="http://schemas.openxmlformats.org/officeDocument/2006/relationships/hyperlink" Target="https://liclifeplus.co.in/images/BI%20(23).pdf" TargetMode="External"/><Relationship Id="rId1" Type="http://schemas.openxmlformats.org/officeDocument/2006/relationships/hyperlink" Target="http://www.mybengaluru.com/attachments/Resources/2452-5533-Komal-Jeevan.pdf" TargetMode="External"/><Relationship Id="rId4" Type="http://schemas.openxmlformats.org/officeDocument/2006/relationships/printerSettings" Target="../printerSettings/printerSettings18.bin"/></Relationships>
</file>

<file path=xl/worksheets/_rels/sheet20.xml.rels><?xml version="1.0" encoding="UTF-8" standalone="yes"?>
<Relationships xmlns="http://schemas.openxmlformats.org/package/2006/relationships"><Relationship Id="rId3" Type="http://schemas.openxmlformats.org/officeDocument/2006/relationships/comments" Target="../comments13.xml"/><Relationship Id="rId2" Type="http://schemas.openxmlformats.org/officeDocument/2006/relationships/vmlDrawing" Target="../drawings/vmlDrawing13.vml"/><Relationship Id="rId1" Type="http://schemas.openxmlformats.org/officeDocument/2006/relationships/printerSettings" Target="../printerSettings/printerSettings19.bin"/><Relationship Id="rId4" Type="http://schemas.microsoft.com/office/2017/10/relationships/threadedComment" Target="../threadedComments/threadedComment8.xml"/></Relationships>
</file>

<file path=xl/worksheets/_rels/sheet21.xml.rels><?xml version="1.0" encoding="UTF-8" standalone="yes"?>
<Relationships xmlns="http://schemas.openxmlformats.org/package/2006/relationships"><Relationship Id="rId3" Type="http://schemas.openxmlformats.org/officeDocument/2006/relationships/comments" Target="../comments14.xml"/><Relationship Id="rId2" Type="http://schemas.openxmlformats.org/officeDocument/2006/relationships/vmlDrawing" Target="../drawings/vmlDrawing14.vml"/><Relationship Id="rId1" Type="http://schemas.openxmlformats.org/officeDocument/2006/relationships/printerSettings" Target="../printerSettings/printerSettings20.bin"/></Relationships>
</file>

<file path=xl/worksheets/_rels/sheet2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1.bin"/></Relationships>
</file>

<file path=xl/worksheets/_rels/sheet23.xml.rels><?xml version="1.0" encoding="UTF-8" standalone="yes"?>
<Relationships xmlns="http://schemas.openxmlformats.org/package/2006/relationships"><Relationship Id="rId3" Type="http://schemas.openxmlformats.org/officeDocument/2006/relationships/printerSettings" Target="../printerSettings/printerSettings22.bin"/><Relationship Id="rId2" Type="http://schemas.openxmlformats.org/officeDocument/2006/relationships/hyperlink" Target="https://www.iciciprulife.com/content/dam/icicipru/brochures/ICICI%20Pru%20Elite%20Life%20II.pdf" TargetMode="External"/><Relationship Id="rId1" Type="http://schemas.openxmlformats.org/officeDocument/2006/relationships/hyperlink" Target="https://www.iciciprulife.com/content/dam/icicipru/brochures/Elite_Life_Super_brochure.pdf" TargetMode="External"/><Relationship Id="rId6" Type="http://schemas.microsoft.com/office/2017/10/relationships/threadedComment" Target="../threadedComments/threadedComment9.xml"/><Relationship Id="rId5" Type="http://schemas.openxmlformats.org/officeDocument/2006/relationships/comments" Target="../comments15.xml"/><Relationship Id="rId4" Type="http://schemas.openxmlformats.org/officeDocument/2006/relationships/vmlDrawing" Target="../drawings/vmlDrawing15.vml"/></Relationships>
</file>

<file path=xl/worksheets/_rels/sheet24.xml.rels><?xml version="1.0" encoding="UTF-8" standalone="yes"?>
<Relationships xmlns="http://schemas.openxmlformats.org/package/2006/relationships"><Relationship Id="rId3" Type="http://schemas.openxmlformats.org/officeDocument/2006/relationships/printerSettings" Target="../printerSettings/printerSettings23.bin"/><Relationship Id="rId2" Type="http://schemas.openxmlformats.org/officeDocument/2006/relationships/hyperlink" Target="https://www.iciciprulife.com/content/dam/icicipru/brochures/Elite_Life_Super_brochure.pdf" TargetMode="External"/><Relationship Id="rId1" Type="http://schemas.openxmlformats.org/officeDocument/2006/relationships/hyperlink" Target="https://www.iciciprulife.com/content/dam/icicipru/brochures/ICICI%20Pru%20Elite%20Life%20II.pdf" TargetMode="External"/><Relationship Id="rId5" Type="http://schemas.openxmlformats.org/officeDocument/2006/relationships/comments" Target="../comments16.xml"/><Relationship Id="rId4" Type="http://schemas.openxmlformats.org/officeDocument/2006/relationships/vmlDrawing" Target="../drawings/vmlDrawing16.vml"/></Relationships>
</file>

<file path=xl/worksheets/_rels/sheet2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4.bin"/></Relationships>
</file>

<file path=xl/worksheets/_rels/sheet26.xml.rels><?xml version="1.0" encoding="UTF-8" standalone="yes"?>
<Relationships xmlns="http://schemas.openxmlformats.org/package/2006/relationships"><Relationship Id="rId3" Type="http://schemas.openxmlformats.org/officeDocument/2006/relationships/comments" Target="../comments17.xml"/><Relationship Id="rId2" Type="http://schemas.openxmlformats.org/officeDocument/2006/relationships/vmlDrawing" Target="../drawings/vmlDrawing17.vml"/><Relationship Id="rId1" Type="http://schemas.openxmlformats.org/officeDocument/2006/relationships/printerSettings" Target="../printerSettings/printerSettings25.bin"/></Relationships>
</file>

<file path=xl/worksheets/_rels/sheet2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6.bin"/></Relationships>
</file>

<file path=xl/worksheets/_rels/sheet2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7.bin"/></Relationships>
</file>

<file path=xl/worksheets/_rels/sheet2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8.bin"/></Relationships>
</file>

<file path=xl/worksheets/_rels/sheet3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9.bin"/></Relationships>
</file>

<file path=xl/worksheets/_rels/sheet3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0.bin"/></Relationships>
</file>

<file path=xl/worksheets/_rels/sheet3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1.bin"/></Relationships>
</file>

<file path=xl/worksheets/_rels/sheet3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2.bin"/></Relationships>
</file>

<file path=xl/worksheets/_rels/sheet3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3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2:N418"/>
  <sheetViews>
    <sheetView topLeftCell="L226" workbookViewId="0">
      <selection activeCell="N242" sqref="N242"/>
    </sheetView>
  </sheetViews>
  <sheetFormatPr defaultColWidth="8.85546875" defaultRowHeight="15"/>
  <cols>
    <col min="2" max="2" width="9.85546875" bestFit="1" customWidth="1"/>
    <col min="3" max="3" width="14" bestFit="1" customWidth="1"/>
    <col min="4" max="4" width="39.7109375" bestFit="1" customWidth="1"/>
    <col min="8" max="8" width="14.42578125" bestFit="1" customWidth="1"/>
    <col min="10" max="10" width="24.28515625" bestFit="1" customWidth="1"/>
    <col min="12" max="12" width="30.42578125" bestFit="1" customWidth="1"/>
    <col min="13" max="13" width="63" bestFit="1" customWidth="1"/>
  </cols>
  <sheetData>
    <row r="2" spans="1:14">
      <c r="A2" t="s">
        <v>0</v>
      </c>
      <c r="B2" t="s">
        <v>1</v>
      </c>
      <c r="C2" t="s">
        <v>2</v>
      </c>
      <c r="D2" t="str">
        <f>SUBSTITUTE(C2," ", "%20")</f>
        <v>Contra</v>
      </c>
      <c r="E2">
        <v>1</v>
      </c>
      <c r="F2" s="159" t="s">
        <v>3</v>
      </c>
      <c r="G2" t="s">
        <v>4</v>
      </c>
      <c r="H2" t="s">
        <v>5</v>
      </c>
      <c r="I2" t="str">
        <f>CONCATENATE(A2, " &lt;- '", F2, D2, G2, E2, H2, "';")</f>
        <v>url1 &lt;- 'https://www.advisorkhoj.com/mutual-funds-research/top-performing-systematic-investment-plan?category=Equity:%20Contra&amp;period=1&amp;amount=3000';</v>
      </c>
      <c r="J2" t="str">
        <f>CONCATENATE(A2, " &lt;-  read_html (", A2, ");")</f>
        <v>url1 &lt;-  read_html (url1);</v>
      </c>
      <c r="K2" t="str">
        <f>CONCATENATE(B2, " &lt;- ", A2, " %&gt;%   html_nodes('table') %&gt;%   html_table(fill = TRUE) %&gt;%   .[[1]];")</f>
        <v>url_tbl1 &lt;- url1 %&gt;%   html_nodes('table') %&gt;%   html_table(fill = TRUE) %&gt;%   .[[1]];</v>
      </c>
      <c r="L2" t="str">
        <f>CONCATENATE(B2, " &lt;- data.table(", B2, ");" )</f>
        <v>url_tbl1 &lt;- data.table(url_tbl1);</v>
      </c>
      <c r="M2" t="str">
        <f>CONCATENATE(B2, " &lt;- ", B2, "[, `:=` (url ='",C2, "', year =", E2, "),];" )</f>
        <v>url_tbl1 &lt;- url_tbl1[, `:=` (url ='Contra', year =1),];</v>
      </c>
      <c r="N2" t="str">
        <f>CONCATENATE(I2, J2, K2, L2, M2)</f>
        <v>url1 &lt;- 'https://www.advisorkhoj.com/mutual-funds-research/top-performing-systematic-investment-plan?category=Equity:%20Contra&amp;period=1&amp;amount=3000';url1 &lt;-  read_html (url1);url_tbl1 &lt;- url1 %&gt;%   html_nodes('table') %&gt;%   html_table(fill = TRUE) %&gt;%   .[[1]];url_tbl1 &lt;- data.table(url_tbl1);url_tbl1 &lt;- url_tbl1[, `:=` (url ='Contra', year =1),];</v>
      </c>
    </row>
    <row r="3" spans="1:14">
      <c r="A3" t="s">
        <v>6</v>
      </c>
      <c r="B3" t="s">
        <v>7</v>
      </c>
      <c r="C3" t="s">
        <v>2</v>
      </c>
      <c r="D3" t="str">
        <f t="shared" ref="D3:D66" si="0">SUBSTITUTE(C3," ", "%20")</f>
        <v>Contra</v>
      </c>
      <c r="E3">
        <v>2</v>
      </c>
      <c r="F3" s="159" t="s">
        <v>3</v>
      </c>
      <c r="G3" t="s">
        <v>4</v>
      </c>
      <c r="H3" t="s">
        <v>5</v>
      </c>
      <c r="I3" t="str">
        <f t="shared" ref="I3:I66" si="1">CONCATENATE(A3, " &lt;- '", F3, D3, G3, E3, H3, "';")</f>
        <v>url2 &lt;- 'https://www.advisorkhoj.com/mutual-funds-research/top-performing-systematic-investment-plan?category=Equity:%20Contra&amp;period=2&amp;amount=3000';</v>
      </c>
      <c r="J3" t="str">
        <f t="shared" ref="J3:J66" si="2">CONCATENATE(A3, " &lt;-  read_html (", A3, ");")</f>
        <v>url2 &lt;-  read_html (url2);</v>
      </c>
      <c r="K3" t="str">
        <f t="shared" ref="K3:K66" si="3">CONCATENATE(B3, " &lt;- ", A3, " %&gt;%   html_nodes('table') %&gt;%   html_table(fill = TRUE) %&gt;%   .[[1]];")</f>
        <v>url_tbl2 &lt;- url2 %&gt;%   html_nodes('table') %&gt;%   html_table(fill = TRUE) %&gt;%   .[[1]];</v>
      </c>
      <c r="L3" t="str">
        <f t="shared" ref="L3:L66" si="4">CONCATENATE(B3, " &lt;- data.table(", B3, ");" )</f>
        <v>url_tbl2 &lt;- data.table(url_tbl2);</v>
      </c>
      <c r="M3" t="str">
        <f t="shared" ref="M3:M66" si="5">CONCATENATE(B3, " &lt;- ", B3, "[, `:=` (url ='",C3, "', year =", E3, "),];" )</f>
        <v>url_tbl2 &lt;- url_tbl2[, `:=` (url ='Contra', year =2),];</v>
      </c>
      <c r="N3" t="str">
        <f t="shared" ref="N3:N66" si="6">CONCATENATE(I3, J3, K3, L3, M3)</f>
        <v>url2 &lt;- 'https://www.advisorkhoj.com/mutual-funds-research/top-performing-systematic-investment-plan?category=Equity:%20Contra&amp;period=2&amp;amount=3000';url2 &lt;-  read_html (url2);url_tbl2 &lt;- url2 %&gt;%   html_nodes('table') %&gt;%   html_table(fill = TRUE) %&gt;%   .[[1]];url_tbl2 &lt;- data.table(url_tbl2);url_tbl2 &lt;- url_tbl2[, `:=` (url ='Contra', year =2),];</v>
      </c>
    </row>
    <row r="4" spans="1:14">
      <c r="A4" t="s">
        <v>8</v>
      </c>
      <c r="B4" t="s">
        <v>9</v>
      </c>
      <c r="C4" t="s">
        <v>2</v>
      </c>
      <c r="D4" t="str">
        <f t="shared" si="0"/>
        <v>Contra</v>
      </c>
      <c r="E4">
        <v>3</v>
      </c>
      <c r="F4" s="159" t="s">
        <v>3</v>
      </c>
      <c r="G4" t="s">
        <v>4</v>
      </c>
      <c r="H4" t="s">
        <v>5</v>
      </c>
      <c r="I4" t="str">
        <f t="shared" si="1"/>
        <v>url3 &lt;- 'https://www.advisorkhoj.com/mutual-funds-research/top-performing-systematic-investment-plan?category=Equity:%20Contra&amp;period=3&amp;amount=3000';</v>
      </c>
      <c r="J4" t="str">
        <f t="shared" si="2"/>
        <v>url3 &lt;-  read_html (url3);</v>
      </c>
      <c r="K4" t="str">
        <f t="shared" si="3"/>
        <v>url_tbl3 &lt;- url3 %&gt;%   html_nodes('table') %&gt;%   html_table(fill = TRUE) %&gt;%   .[[1]];</v>
      </c>
      <c r="L4" t="str">
        <f t="shared" si="4"/>
        <v>url_tbl3 &lt;- data.table(url_tbl3);</v>
      </c>
      <c r="M4" t="str">
        <f t="shared" si="5"/>
        <v>url_tbl3 &lt;- url_tbl3[, `:=` (url ='Contra', year =3),];</v>
      </c>
      <c r="N4" t="str">
        <f t="shared" si="6"/>
        <v>url3 &lt;- 'https://www.advisorkhoj.com/mutual-funds-research/top-performing-systematic-investment-plan?category=Equity:%20Contra&amp;period=3&amp;amount=3000';url3 &lt;-  read_html (url3);url_tbl3 &lt;- url3 %&gt;%   html_nodes('table') %&gt;%   html_table(fill = TRUE) %&gt;%   .[[1]];url_tbl3 &lt;- data.table(url_tbl3);url_tbl3 &lt;- url_tbl3[, `:=` (url ='Contra', year =3),];</v>
      </c>
    </row>
    <row r="5" spans="1:14">
      <c r="A5" t="s">
        <v>10</v>
      </c>
      <c r="B5" t="s">
        <v>11</v>
      </c>
      <c r="C5" t="s">
        <v>2</v>
      </c>
      <c r="D5" t="str">
        <f t="shared" si="0"/>
        <v>Contra</v>
      </c>
      <c r="E5">
        <v>4</v>
      </c>
      <c r="F5" s="159" t="s">
        <v>3</v>
      </c>
      <c r="G5" t="s">
        <v>4</v>
      </c>
      <c r="H5" t="s">
        <v>5</v>
      </c>
      <c r="I5" t="str">
        <f t="shared" si="1"/>
        <v>url4 &lt;- 'https://www.advisorkhoj.com/mutual-funds-research/top-performing-systematic-investment-plan?category=Equity:%20Contra&amp;period=4&amp;amount=3000';</v>
      </c>
      <c r="J5" t="str">
        <f t="shared" si="2"/>
        <v>url4 &lt;-  read_html (url4);</v>
      </c>
      <c r="K5" t="str">
        <f t="shared" si="3"/>
        <v>url_tbl4 &lt;- url4 %&gt;%   html_nodes('table') %&gt;%   html_table(fill = TRUE) %&gt;%   .[[1]];</v>
      </c>
      <c r="L5" t="str">
        <f t="shared" si="4"/>
        <v>url_tbl4 &lt;- data.table(url_tbl4);</v>
      </c>
      <c r="M5" t="str">
        <f t="shared" si="5"/>
        <v>url_tbl4 &lt;- url_tbl4[, `:=` (url ='Contra', year =4),];</v>
      </c>
      <c r="N5" t="str">
        <f t="shared" si="6"/>
        <v>url4 &lt;- 'https://www.advisorkhoj.com/mutual-funds-research/top-performing-systematic-investment-plan?category=Equity:%20Contra&amp;period=4&amp;amount=3000';url4 &lt;-  read_html (url4);url_tbl4 &lt;- url4 %&gt;%   html_nodes('table') %&gt;%   html_table(fill = TRUE) %&gt;%   .[[1]];url_tbl4 &lt;- data.table(url_tbl4);url_tbl4 &lt;- url_tbl4[, `:=` (url ='Contra', year =4),];</v>
      </c>
    </row>
    <row r="6" spans="1:14">
      <c r="A6" t="s">
        <v>12</v>
      </c>
      <c r="B6" t="s">
        <v>13</v>
      </c>
      <c r="C6" t="s">
        <v>2</v>
      </c>
      <c r="D6" t="str">
        <f t="shared" si="0"/>
        <v>Contra</v>
      </c>
      <c r="E6">
        <v>5</v>
      </c>
      <c r="F6" s="159" t="s">
        <v>3</v>
      </c>
      <c r="G6" t="s">
        <v>4</v>
      </c>
      <c r="H6" t="s">
        <v>5</v>
      </c>
      <c r="I6" t="str">
        <f t="shared" si="1"/>
        <v>url5 &lt;- 'https://www.advisorkhoj.com/mutual-funds-research/top-performing-systematic-investment-plan?category=Equity:%20Contra&amp;period=5&amp;amount=3000';</v>
      </c>
      <c r="J6" t="str">
        <f t="shared" si="2"/>
        <v>url5 &lt;-  read_html (url5);</v>
      </c>
      <c r="K6" t="str">
        <f t="shared" si="3"/>
        <v>url_tbl5 &lt;- url5 %&gt;%   html_nodes('table') %&gt;%   html_table(fill = TRUE) %&gt;%   .[[1]];</v>
      </c>
      <c r="L6" t="str">
        <f t="shared" si="4"/>
        <v>url_tbl5 &lt;- data.table(url_tbl5);</v>
      </c>
      <c r="M6" t="str">
        <f t="shared" si="5"/>
        <v>url_tbl5 &lt;- url_tbl5[, `:=` (url ='Contra', year =5),];</v>
      </c>
      <c r="N6" t="str">
        <f t="shared" si="6"/>
        <v>url5 &lt;- 'https://www.advisorkhoj.com/mutual-funds-research/top-performing-systematic-investment-plan?category=Equity:%20Contra&amp;period=5&amp;amount=3000';url5 &lt;-  read_html (url5);url_tbl5 &lt;- url5 %&gt;%   html_nodes('table') %&gt;%   html_table(fill = TRUE) %&gt;%   .[[1]];url_tbl5 &lt;- data.table(url_tbl5);url_tbl5 &lt;- url_tbl5[, `:=` (url ='Contra', year =5),];</v>
      </c>
    </row>
    <row r="7" spans="1:14">
      <c r="A7" t="s">
        <v>14</v>
      </c>
      <c r="B7" t="s">
        <v>15</v>
      </c>
      <c r="C7" t="s">
        <v>2</v>
      </c>
      <c r="D7" t="str">
        <f t="shared" si="0"/>
        <v>Contra</v>
      </c>
      <c r="E7">
        <v>6</v>
      </c>
      <c r="F7" s="159" t="s">
        <v>3</v>
      </c>
      <c r="G7" t="s">
        <v>4</v>
      </c>
      <c r="H7" t="s">
        <v>5</v>
      </c>
      <c r="I7" t="str">
        <f t="shared" si="1"/>
        <v>url6 &lt;- 'https://www.advisorkhoj.com/mutual-funds-research/top-performing-systematic-investment-plan?category=Equity:%20Contra&amp;period=6&amp;amount=3000';</v>
      </c>
      <c r="J7" t="str">
        <f t="shared" si="2"/>
        <v>url6 &lt;-  read_html (url6);</v>
      </c>
      <c r="K7" t="str">
        <f t="shared" si="3"/>
        <v>url_tbl6 &lt;- url6 %&gt;%   html_nodes('table') %&gt;%   html_table(fill = TRUE) %&gt;%   .[[1]];</v>
      </c>
      <c r="L7" t="str">
        <f t="shared" si="4"/>
        <v>url_tbl6 &lt;- data.table(url_tbl6);</v>
      </c>
      <c r="M7" t="str">
        <f t="shared" si="5"/>
        <v>url_tbl6 &lt;- url_tbl6[, `:=` (url ='Contra', year =6),];</v>
      </c>
      <c r="N7" t="str">
        <f t="shared" si="6"/>
        <v>url6 &lt;- 'https://www.advisorkhoj.com/mutual-funds-research/top-performing-systematic-investment-plan?category=Equity:%20Contra&amp;period=6&amp;amount=3000';url6 &lt;-  read_html (url6);url_tbl6 &lt;- url6 %&gt;%   html_nodes('table') %&gt;%   html_table(fill = TRUE) %&gt;%   .[[1]];url_tbl6 &lt;- data.table(url_tbl6);url_tbl6 &lt;- url_tbl6[, `:=` (url ='Contra', year =6),];</v>
      </c>
    </row>
    <row r="8" spans="1:14">
      <c r="A8" t="s">
        <v>16</v>
      </c>
      <c r="B8" t="s">
        <v>17</v>
      </c>
      <c r="C8" t="s">
        <v>2</v>
      </c>
      <c r="D8" t="str">
        <f t="shared" si="0"/>
        <v>Contra</v>
      </c>
      <c r="E8">
        <v>7</v>
      </c>
      <c r="F8" s="159" t="s">
        <v>3</v>
      </c>
      <c r="G8" t="s">
        <v>4</v>
      </c>
      <c r="H8" t="s">
        <v>5</v>
      </c>
      <c r="I8" t="str">
        <f t="shared" si="1"/>
        <v>url7 &lt;- 'https://www.advisorkhoj.com/mutual-funds-research/top-performing-systematic-investment-plan?category=Equity:%20Contra&amp;period=7&amp;amount=3000';</v>
      </c>
      <c r="J8" t="str">
        <f t="shared" si="2"/>
        <v>url7 &lt;-  read_html (url7);</v>
      </c>
      <c r="K8" t="str">
        <f t="shared" si="3"/>
        <v>url_tbl7 &lt;- url7 %&gt;%   html_nodes('table') %&gt;%   html_table(fill = TRUE) %&gt;%   .[[1]];</v>
      </c>
      <c r="L8" t="str">
        <f t="shared" si="4"/>
        <v>url_tbl7 &lt;- data.table(url_tbl7);</v>
      </c>
      <c r="M8" t="str">
        <f t="shared" si="5"/>
        <v>url_tbl7 &lt;- url_tbl7[, `:=` (url ='Contra', year =7),];</v>
      </c>
      <c r="N8" t="str">
        <f t="shared" si="6"/>
        <v>url7 &lt;- 'https://www.advisorkhoj.com/mutual-funds-research/top-performing-systematic-investment-plan?category=Equity:%20Contra&amp;period=7&amp;amount=3000';url7 &lt;-  read_html (url7);url_tbl7 &lt;- url7 %&gt;%   html_nodes('table') %&gt;%   html_table(fill = TRUE) %&gt;%   .[[1]];url_tbl7 &lt;- data.table(url_tbl7);url_tbl7 &lt;- url_tbl7[, `:=` (url ='Contra', year =7),];</v>
      </c>
    </row>
    <row r="9" spans="1:14">
      <c r="A9" t="s">
        <v>18</v>
      </c>
      <c r="B9" t="s">
        <v>19</v>
      </c>
      <c r="C9" t="s">
        <v>2</v>
      </c>
      <c r="D9" t="str">
        <f t="shared" si="0"/>
        <v>Contra</v>
      </c>
      <c r="E9">
        <v>8</v>
      </c>
      <c r="F9" s="159" t="s">
        <v>3</v>
      </c>
      <c r="G9" t="s">
        <v>4</v>
      </c>
      <c r="H9" t="s">
        <v>5</v>
      </c>
      <c r="I9" t="str">
        <f t="shared" si="1"/>
        <v>url8 &lt;- 'https://www.advisorkhoj.com/mutual-funds-research/top-performing-systematic-investment-plan?category=Equity:%20Contra&amp;period=8&amp;amount=3000';</v>
      </c>
      <c r="J9" t="str">
        <f t="shared" si="2"/>
        <v>url8 &lt;-  read_html (url8);</v>
      </c>
      <c r="K9" t="str">
        <f t="shared" si="3"/>
        <v>url_tbl8 &lt;- url8 %&gt;%   html_nodes('table') %&gt;%   html_table(fill = TRUE) %&gt;%   .[[1]];</v>
      </c>
      <c r="L9" t="str">
        <f t="shared" si="4"/>
        <v>url_tbl8 &lt;- data.table(url_tbl8);</v>
      </c>
      <c r="M9" t="str">
        <f t="shared" si="5"/>
        <v>url_tbl8 &lt;- url_tbl8[, `:=` (url ='Contra', year =8),];</v>
      </c>
      <c r="N9" t="str">
        <f t="shared" si="6"/>
        <v>url8 &lt;- 'https://www.advisorkhoj.com/mutual-funds-research/top-performing-systematic-investment-plan?category=Equity:%20Contra&amp;period=8&amp;amount=3000';url8 &lt;-  read_html (url8);url_tbl8 &lt;- url8 %&gt;%   html_nodes('table') %&gt;%   html_table(fill = TRUE) %&gt;%   .[[1]];url_tbl8 &lt;- data.table(url_tbl8);url_tbl8 &lt;- url_tbl8[, `:=` (url ='Contra', year =8),];</v>
      </c>
    </row>
    <row r="10" spans="1:14">
      <c r="A10" t="s">
        <v>20</v>
      </c>
      <c r="B10" t="s">
        <v>21</v>
      </c>
      <c r="C10" t="s">
        <v>2</v>
      </c>
      <c r="D10" t="str">
        <f t="shared" si="0"/>
        <v>Contra</v>
      </c>
      <c r="E10">
        <v>9</v>
      </c>
      <c r="F10" s="159" t="s">
        <v>3</v>
      </c>
      <c r="G10" t="s">
        <v>4</v>
      </c>
      <c r="H10" t="s">
        <v>5</v>
      </c>
      <c r="I10" t="str">
        <f t="shared" si="1"/>
        <v>url9 &lt;- 'https://www.advisorkhoj.com/mutual-funds-research/top-performing-systematic-investment-plan?category=Equity:%20Contra&amp;period=9&amp;amount=3000';</v>
      </c>
      <c r="J10" t="str">
        <f t="shared" si="2"/>
        <v>url9 &lt;-  read_html (url9);</v>
      </c>
      <c r="K10" t="str">
        <f t="shared" si="3"/>
        <v>url_tbl9 &lt;- url9 %&gt;%   html_nodes('table') %&gt;%   html_table(fill = TRUE) %&gt;%   .[[1]];</v>
      </c>
      <c r="L10" t="str">
        <f t="shared" si="4"/>
        <v>url_tbl9 &lt;- data.table(url_tbl9);</v>
      </c>
      <c r="M10" t="str">
        <f t="shared" si="5"/>
        <v>url_tbl9 &lt;- url_tbl9[, `:=` (url ='Contra', year =9),];</v>
      </c>
      <c r="N10" t="str">
        <f t="shared" si="6"/>
        <v>url9 &lt;- 'https://www.advisorkhoj.com/mutual-funds-research/top-performing-systematic-investment-plan?category=Equity:%20Contra&amp;period=9&amp;amount=3000';url9 &lt;-  read_html (url9);url_tbl9 &lt;- url9 %&gt;%   html_nodes('table') %&gt;%   html_table(fill = TRUE) %&gt;%   .[[1]];url_tbl9 &lt;- data.table(url_tbl9);url_tbl9 &lt;- url_tbl9[, `:=` (url ='Contra', year =9),];</v>
      </c>
    </row>
    <row r="11" spans="1:14">
      <c r="A11" t="s">
        <v>22</v>
      </c>
      <c r="B11" t="s">
        <v>23</v>
      </c>
      <c r="C11" t="s">
        <v>2</v>
      </c>
      <c r="D11" t="str">
        <f t="shared" si="0"/>
        <v>Contra</v>
      </c>
      <c r="E11">
        <v>10</v>
      </c>
      <c r="F11" s="159" t="s">
        <v>3</v>
      </c>
      <c r="G11" t="s">
        <v>4</v>
      </c>
      <c r="H11" t="s">
        <v>5</v>
      </c>
      <c r="I11" t="str">
        <f t="shared" si="1"/>
        <v>url10 &lt;- 'https://www.advisorkhoj.com/mutual-funds-research/top-performing-systematic-investment-plan?category=Equity:%20Contra&amp;period=10&amp;amount=3000';</v>
      </c>
      <c r="J11" t="str">
        <f t="shared" si="2"/>
        <v>url10 &lt;-  read_html (url10);</v>
      </c>
      <c r="K11" t="str">
        <f t="shared" si="3"/>
        <v>url_tbl10 &lt;- url10 %&gt;%   html_nodes('table') %&gt;%   html_table(fill = TRUE) %&gt;%   .[[1]];</v>
      </c>
      <c r="L11" t="str">
        <f t="shared" si="4"/>
        <v>url_tbl10 &lt;- data.table(url_tbl10);</v>
      </c>
      <c r="M11" t="str">
        <f t="shared" si="5"/>
        <v>url_tbl10 &lt;- url_tbl10[, `:=` (url ='Contra', year =10),];</v>
      </c>
      <c r="N11" t="str">
        <f t="shared" si="6"/>
        <v>url10 &lt;- 'https://www.advisorkhoj.com/mutual-funds-research/top-performing-systematic-investment-plan?category=Equity:%20Contra&amp;period=10&amp;amount=3000';url10 &lt;-  read_html (url10);url_tbl10 &lt;- url10 %&gt;%   html_nodes('table') %&gt;%   html_table(fill = TRUE) %&gt;%   .[[1]];url_tbl10 &lt;- data.table(url_tbl10);url_tbl10 &lt;- url_tbl10[, `:=` (url ='Contra', year =10),];</v>
      </c>
    </row>
    <row r="12" spans="1:14">
      <c r="A12" t="s">
        <v>24</v>
      </c>
      <c r="B12" t="s">
        <v>25</v>
      </c>
      <c r="C12" t="s">
        <v>2</v>
      </c>
      <c r="D12" t="str">
        <f t="shared" si="0"/>
        <v>Contra</v>
      </c>
      <c r="E12">
        <v>11</v>
      </c>
      <c r="F12" s="159" t="s">
        <v>3</v>
      </c>
      <c r="G12" t="s">
        <v>4</v>
      </c>
      <c r="H12" t="s">
        <v>5</v>
      </c>
      <c r="I12" t="str">
        <f t="shared" si="1"/>
        <v>url11 &lt;- 'https://www.advisorkhoj.com/mutual-funds-research/top-performing-systematic-investment-plan?category=Equity:%20Contra&amp;period=11&amp;amount=3000';</v>
      </c>
      <c r="J12" t="str">
        <f t="shared" si="2"/>
        <v>url11 &lt;-  read_html (url11);</v>
      </c>
      <c r="K12" t="str">
        <f t="shared" si="3"/>
        <v>url_tbl11 &lt;- url11 %&gt;%   html_nodes('table') %&gt;%   html_table(fill = TRUE) %&gt;%   .[[1]];</v>
      </c>
      <c r="L12" t="str">
        <f t="shared" si="4"/>
        <v>url_tbl11 &lt;- data.table(url_tbl11);</v>
      </c>
      <c r="M12" t="str">
        <f t="shared" si="5"/>
        <v>url_tbl11 &lt;- url_tbl11[, `:=` (url ='Contra', year =11),];</v>
      </c>
      <c r="N12" t="str">
        <f t="shared" si="6"/>
        <v>url11 &lt;- 'https://www.advisorkhoj.com/mutual-funds-research/top-performing-systematic-investment-plan?category=Equity:%20Contra&amp;period=11&amp;amount=3000';url11 &lt;-  read_html (url11);url_tbl11 &lt;- url11 %&gt;%   html_nodes('table') %&gt;%   html_table(fill = TRUE) %&gt;%   .[[1]];url_tbl11 &lt;- data.table(url_tbl11);url_tbl11 &lt;- url_tbl11[, `:=` (url ='Contra', year =11),];</v>
      </c>
    </row>
    <row r="13" spans="1:14">
      <c r="A13" t="s">
        <v>26</v>
      </c>
      <c r="B13" t="s">
        <v>27</v>
      </c>
      <c r="C13" t="s">
        <v>2</v>
      </c>
      <c r="D13" t="str">
        <f t="shared" si="0"/>
        <v>Contra</v>
      </c>
      <c r="E13">
        <v>12</v>
      </c>
      <c r="F13" s="159" t="s">
        <v>3</v>
      </c>
      <c r="G13" t="s">
        <v>4</v>
      </c>
      <c r="H13" t="s">
        <v>5</v>
      </c>
      <c r="I13" t="str">
        <f t="shared" si="1"/>
        <v>url12 &lt;- 'https://www.advisorkhoj.com/mutual-funds-research/top-performing-systematic-investment-plan?category=Equity:%20Contra&amp;period=12&amp;amount=3000';</v>
      </c>
      <c r="J13" t="str">
        <f t="shared" si="2"/>
        <v>url12 &lt;-  read_html (url12);</v>
      </c>
      <c r="K13" t="str">
        <f t="shared" si="3"/>
        <v>url_tbl12 &lt;- url12 %&gt;%   html_nodes('table') %&gt;%   html_table(fill = TRUE) %&gt;%   .[[1]];</v>
      </c>
      <c r="L13" t="str">
        <f t="shared" si="4"/>
        <v>url_tbl12 &lt;- data.table(url_tbl12);</v>
      </c>
      <c r="M13" t="str">
        <f t="shared" si="5"/>
        <v>url_tbl12 &lt;- url_tbl12[, `:=` (url ='Contra', year =12),];</v>
      </c>
      <c r="N13" t="str">
        <f t="shared" si="6"/>
        <v>url12 &lt;- 'https://www.advisorkhoj.com/mutual-funds-research/top-performing-systematic-investment-plan?category=Equity:%20Contra&amp;period=12&amp;amount=3000';url12 &lt;-  read_html (url12);url_tbl12 &lt;- url12 %&gt;%   html_nodes('table') %&gt;%   html_table(fill = TRUE) %&gt;%   .[[1]];url_tbl12 &lt;- data.table(url_tbl12);url_tbl12 &lt;- url_tbl12[, `:=` (url ='Contra', year =12),];</v>
      </c>
    </row>
    <row r="14" spans="1:14">
      <c r="A14" t="s">
        <v>28</v>
      </c>
      <c r="B14" t="s">
        <v>29</v>
      </c>
      <c r="C14" t="s">
        <v>2</v>
      </c>
      <c r="D14" t="str">
        <f t="shared" si="0"/>
        <v>Contra</v>
      </c>
      <c r="E14">
        <v>13</v>
      </c>
      <c r="F14" s="159" t="s">
        <v>3</v>
      </c>
      <c r="G14" t="s">
        <v>4</v>
      </c>
      <c r="H14" t="s">
        <v>5</v>
      </c>
      <c r="I14" t="str">
        <f t="shared" si="1"/>
        <v>url13 &lt;- 'https://www.advisorkhoj.com/mutual-funds-research/top-performing-systematic-investment-plan?category=Equity:%20Contra&amp;period=13&amp;amount=3000';</v>
      </c>
      <c r="J14" t="str">
        <f t="shared" si="2"/>
        <v>url13 &lt;-  read_html (url13);</v>
      </c>
      <c r="K14" t="str">
        <f t="shared" si="3"/>
        <v>url_tbl13 &lt;- url13 %&gt;%   html_nodes('table') %&gt;%   html_table(fill = TRUE) %&gt;%   .[[1]];</v>
      </c>
      <c r="L14" t="str">
        <f t="shared" si="4"/>
        <v>url_tbl13 &lt;- data.table(url_tbl13);</v>
      </c>
      <c r="M14" t="str">
        <f t="shared" si="5"/>
        <v>url_tbl13 &lt;- url_tbl13[, `:=` (url ='Contra', year =13),];</v>
      </c>
      <c r="N14" t="str">
        <f t="shared" si="6"/>
        <v>url13 &lt;- 'https://www.advisorkhoj.com/mutual-funds-research/top-performing-systematic-investment-plan?category=Equity:%20Contra&amp;period=13&amp;amount=3000';url13 &lt;-  read_html (url13);url_tbl13 &lt;- url13 %&gt;%   html_nodes('table') %&gt;%   html_table(fill = TRUE) %&gt;%   .[[1]];url_tbl13 &lt;- data.table(url_tbl13);url_tbl13 &lt;- url_tbl13[, `:=` (url ='Contra', year =13),];</v>
      </c>
    </row>
    <row r="15" spans="1:14">
      <c r="A15" t="s">
        <v>30</v>
      </c>
      <c r="B15" t="s">
        <v>31</v>
      </c>
      <c r="C15" t="s">
        <v>2</v>
      </c>
      <c r="D15" t="str">
        <f t="shared" si="0"/>
        <v>Contra</v>
      </c>
      <c r="E15">
        <v>14</v>
      </c>
      <c r="F15" s="159" t="s">
        <v>3</v>
      </c>
      <c r="G15" t="s">
        <v>4</v>
      </c>
      <c r="H15" t="s">
        <v>5</v>
      </c>
      <c r="I15" t="str">
        <f t="shared" si="1"/>
        <v>url14 &lt;- 'https://www.advisorkhoj.com/mutual-funds-research/top-performing-systematic-investment-plan?category=Equity:%20Contra&amp;period=14&amp;amount=3000';</v>
      </c>
      <c r="J15" t="str">
        <f t="shared" si="2"/>
        <v>url14 &lt;-  read_html (url14);</v>
      </c>
      <c r="K15" t="str">
        <f t="shared" si="3"/>
        <v>url_tbl14 &lt;- url14 %&gt;%   html_nodes('table') %&gt;%   html_table(fill = TRUE) %&gt;%   .[[1]];</v>
      </c>
      <c r="L15" t="str">
        <f t="shared" si="4"/>
        <v>url_tbl14 &lt;- data.table(url_tbl14);</v>
      </c>
      <c r="M15" t="str">
        <f t="shared" si="5"/>
        <v>url_tbl14 &lt;- url_tbl14[, `:=` (url ='Contra', year =14),];</v>
      </c>
      <c r="N15" t="str">
        <f t="shared" si="6"/>
        <v>url14 &lt;- 'https://www.advisorkhoj.com/mutual-funds-research/top-performing-systematic-investment-plan?category=Equity:%20Contra&amp;period=14&amp;amount=3000';url14 &lt;-  read_html (url14);url_tbl14 &lt;- url14 %&gt;%   html_nodes('table') %&gt;%   html_table(fill = TRUE) %&gt;%   .[[1]];url_tbl14 &lt;- data.table(url_tbl14);url_tbl14 &lt;- url_tbl14[, `:=` (url ='Contra', year =14),];</v>
      </c>
    </row>
    <row r="16" spans="1:14">
      <c r="A16" t="s">
        <v>32</v>
      </c>
      <c r="B16" t="s">
        <v>33</v>
      </c>
      <c r="C16" t="s">
        <v>2</v>
      </c>
      <c r="D16" t="str">
        <f t="shared" si="0"/>
        <v>Contra</v>
      </c>
      <c r="E16">
        <v>15</v>
      </c>
      <c r="F16" s="159" t="s">
        <v>3</v>
      </c>
      <c r="G16" t="s">
        <v>4</v>
      </c>
      <c r="H16" t="s">
        <v>5</v>
      </c>
      <c r="I16" t="str">
        <f t="shared" si="1"/>
        <v>url15 &lt;- 'https://www.advisorkhoj.com/mutual-funds-research/top-performing-systematic-investment-plan?category=Equity:%20Contra&amp;period=15&amp;amount=3000';</v>
      </c>
      <c r="J16" t="str">
        <f t="shared" si="2"/>
        <v>url15 &lt;-  read_html (url15);</v>
      </c>
      <c r="K16" t="str">
        <f t="shared" si="3"/>
        <v>url_tbl15 &lt;- url15 %&gt;%   html_nodes('table') %&gt;%   html_table(fill = TRUE) %&gt;%   .[[1]];</v>
      </c>
      <c r="L16" t="str">
        <f t="shared" si="4"/>
        <v>url_tbl15 &lt;- data.table(url_tbl15);</v>
      </c>
      <c r="M16" t="str">
        <f t="shared" si="5"/>
        <v>url_tbl15 &lt;- url_tbl15[, `:=` (url ='Contra', year =15),];</v>
      </c>
      <c r="N16" t="str">
        <f t="shared" si="6"/>
        <v>url15 &lt;- 'https://www.advisorkhoj.com/mutual-funds-research/top-performing-systematic-investment-plan?category=Equity:%20Contra&amp;period=15&amp;amount=3000';url15 &lt;-  read_html (url15);url_tbl15 &lt;- url15 %&gt;%   html_nodes('table') %&gt;%   html_table(fill = TRUE) %&gt;%   .[[1]];url_tbl15 &lt;- data.table(url_tbl15);url_tbl15 &lt;- url_tbl15[, `:=` (url ='Contra', year =15),];</v>
      </c>
    </row>
    <row r="17" spans="1:14">
      <c r="A17" t="s">
        <v>34</v>
      </c>
      <c r="B17" t="s">
        <v>35</v>
      </c>
      <c r="C17" t="s">
        <v>2</v>
      </c>
      <c r="D17" t="str">
        <f t="shared" si="0"/>
        <v>Contra</v>
      </c>
      <c r="E17">
        <v>16</v>
      </c>
      <c r="F17" s="159" t="s">
        <v>3</v>
      </c>
      <c r="G17" t="s">
        <v>4</v>
      </c>
      <c r="H17" t="s">
        <v>5</v>
      </c>
      <c r="I17" t="str">
        <f t="shared" si="1"/>
        <v>url16 &lt;- 'https://www.advisorkhoj.com/mutual-funds-research/top-performing-systematic-investment-plan?category=Equity:%20Contra&amp;period=16&amp;amount=3000';</v>
      </c>
      <c r="J17" t="str">
        <f t="shared" si="2"/>
        <v>url16 &lt;-  read_html (url16);</v>
      </c>
      <c r="K17" t="str">
        <f t="shared" si="3"/>
        <v>url_tbl16 &lt;- url16 %&gt;%   html_nodes('table') %&gt;%   html_table(fill = TRUE) %&gt;%   .[[1]];</v>
      </c>
      <c r="L17" t="str">
        <f t="shared" si="4"/>
        <v>url_tbl16 &lt;- data.table(url_tbl16);</v>
      </c>
      <c r="M17" t="str">
        <f t="shared" si="5"/>
        <v>url_tbl16 &lt;- url_tbl16[, `:=` (url ='Contra', year =16),];</v>
      </c>
      <c r="N17" t="str">
        <f t="shared" si="6"/>
        <v>url16 &lt;- 'https://www.advisorkhoj.com/mutual-funds-research/top-performing-systematic-investment-plan?category=Equity:%20Contra&amp;period=16&amp;amount=3000';url16 &lt;-  read_html (url16);url_tbl16 &lt;- url16 %&gt;%   html_nodes('table') %&gt;%   html_table(fill = TRUE) %&gt;%   .[[1]];url_tbl16 &lt;- data.table(url_tbl16);url_tbl16 &lt;- url_tbl16[, `:=` (url ='Contra', year =16),];</v>
      </c>
    </row>
    <row r="18" spans="1:14">
      <c r="A18" t="s">
        <v>36</v>
      </c>
      <c r="B18" t="s">
        <v>37</v>
      </c>
      <c r="C18" t="s">
        <v>38</v>
      </c>
      <c r="D18" t="str">
        <f t="shared" si="0"/>
        <v>Dividend%20Yield</v>
      </c>
      <c r="E18">
        <v>1</v>
      </c>
      <c r="F18" s="159" t="s">
        <v>3</v>
      </c>
      <c r="G18" t="s">
        <v>4</v>
      </c>
      <c r="H18" t="s">
        <v>5</v>
      </c>
      <c r="I18" t="str">
        <f t="shared" si="1"/>
        <v>url17 &lt;- 'https://www.advisorkhoj.com/mutual-funds-research/top-performing-systematic-investment-plan?category=Equity:%20Dividend%20Yield&amp;period=1&amp;amount=3000';</v>
      </c>
      <c r="J18" t="str">
        <f t="shared" si="2"/>
        <v>url17 &lt;-  read_html (url17);</v>
      </c>
      <c r="K18" t="str">
        <f t="shared" si="3"/>
        <v>url_tbl17 &lt;- url17 %&gt;%   html_nodes('table') %&gt;%   html_table(fill = TRUE) %&gt;%   .[[1]];</v>
      </c>
      <c r="L18" t="str">
        <f t="shared" si="4"/>
        <v>url_tbl17 &lt;- data.table(url_tbl17);</v>
      </c>
      <c r="M18" t="str">
        <f t="shared" si="5"/>
        <v>url_tbl17 &lt;- url_tbl17[, `:=` (url ='Dividend Yield', year =1),];</v>
      </c>
      <c r="N18" t="str">
        <f t="shared" si="6"/>
        <v>url17 &lt;- 'https://www.advisorkhoj.com/mutual-funds-research/top-performing-systematic-investment-plan?category=Equity:%20Dividend%20Yield&amp;period=1&amp;amount=3000';url17 &lt;-  read_html (url17);url_tbl17 &lt;- url17 %&gt;%   html_nodes('table') %&gt;%   html_table(fill = TRUE) %&gt;%   .[[1]];url_tbl17 &lt;- data.table(url_tbl17);url_tbl17 &lt;- url_tbl17[, `:=` (url ='Dividend Yield', year =1),];</v>
      </c>
    </row>
    <row r="19" spans="1:14">
      <c r="A19" t="s">
        <v>39</v>
      </c>
      <c r="B19" t="s">
        <v>40</v>
      </c>
      <c r="C19" t="s">
        <v>38</v>
      </c>
      <c r="D19" t="str">
        <f t="shared" si="0"/>
        <v>Dividend%20Yield</v>
      </c>
      <c r="E19">
        <v>2</v>
      </c>
      <c r="F19" s="159" t="s">
        <v>3</v>
      </c>
      <c r="G19" t="s">
        <v>4</v>
      </c>
      <c r="H19" t="s">
        <v>5</v>
      </c>
      <c r="I19" t="str">
        <f t="shared" si="1"/>
        <v>url18 &lt;- 'https://www.advisorkhoj.com/mutual-funds-research/top-performing-systematic-investment-plan?category=Equity:%20Dividend%20Yield&amp;period=2&amp;amount=3000';</v>
      </c>
      <c r="J19" t="str">
        <f t="shared" si="2"/>
        <v>url18 &lt;-  read_html (url18);</v>
      </c>
      <c r="K19" t="str">
        <f t="shared" si="3"/>
        <v>url_tbl18 &lt;- url18 %&gt;%   html_nodes('table') %&gt;%   html_table(fill = TRUE) %&gt;%   .[[1]];</v>
      </c>
      <c r="L19" t="str">
        <f t="shared" si="4"/>
        <v>url_tbl18 &lt;- data.table(url_tbl18);</v>
      </c>
      <c r="M19" t="str">
        <f t="shared" si="5"/>
        <v>url_tbl18 &lt;- url_tbl18[, `:=` (url ='Dividend Yield', year =2),];</v>
      </c>
      <c r="N19" t="str">
        <f t="shared" si="6"/>
        <v>url18 &lt;- 'https://www.advisorkhoj.com/mutual-funds-research/top-performing-systematic-investment-plan?category=Equity:%20Dividend%20Yield&amp;period=2&amp;amount=3000';url18 &lt;-  read_html (url18);url_tbl18 &lt;- url18 %&gt;%   html_nodes('table') %&gt;%   html_table(fill = TRUE) %&gt;%   .[[1]];url_tbl18 &lt;- data.table(url_tbl18);url_tbl18 &lt;- url_tbl18[, `:=` (url ='Dividend Yield', year =2),];</v>
      </c>
    </row>
    <row r="20" spans="1:14">
      <c r="A20" t="s">
        <v>41</v>
      </c>
      <c r="B20" t="s">
        <v>42</v>
      </c>
      <c r="C20" t="s">
        <v>38</v>
      </c>
      <c r="D20" t="str">
        <f t="shared" si="0"/>
        <v>Dividend%20Yield</v>
      </c>
      <c r="E20">
        <v>3</v>
      </c>
      <c r="F20" s="159" t="s">
        <v>3</v>
      </c>
      <c r="G20" t="s">
        <v>4</v>
      </c>
      <c r="H20" t="s">
        <v>5</v>
      </c>
      <c r="I20" t="str">
        <f t="shared" si="1"/>
        <v>url19 &lt;- 'https://www.advisorkhoj.com/mutual-funds-research/top-performing-systematic-investment-plan?category=Equity:%20Dividend%20Yield&amp;period=3&amp;amount=3000';</v>
      </c>
      <c r="J20" t="str">
        <f t="shared" si="2"/>
        <v>url19 &lt;-  read_html (url19);</v>
      </c>
      <c r="K20" t="str">
        <f t="shared" si="3"/>
        <v>url_tbl19 &lt;- url19 %&gt;%   html_nodes('table') %&gt;%   html_table(fill = TRUE) %&gt;%   .[[1]];</v>
      </c>
      <c r="L20" t="str">
        <f t="shared" si="4"/>
        <v>url_tbl19 &lt;- data.table(url_tbl19);</v>
      </c>
      <c r="M20" t="str">
        <f t="shared" si="5"/>
        <v>url_tbl19 &lt;- url_tbl19[, `:=` (url ='Dividend Yield', year =3),];</v>
      </c>
      <c r="N20" t="str">
        <f t="shared" si="6"/>
        <v>url19 &lt;- 'https://www.advisorkhoj.com/mutual-funds-research/top-performing-systematic-investment-plan?category=Equity:%20Dividend%20Yield&amp;period=3&amp;amount=3000';url19 &lt;-  read_html (url19);url_tbl19 &lt;- url19 %&gt;%   html_nodes('table') %&gt;%   html_table(fill = TRUE) %&gt;%   .[[1]];url_tbl19 &lt;- data.table(url_tbl19);url_tbl19 &lt;- url_tbl19[, `:=` (url ='Dividend Yield', year =3),];</v>
      </c>
    </row>
    <row r="21" spans="1:14">
      <c r="A21" t="s">
        <v>43</v>
      </c>
      <c r="B21" t="s">
        <v>44</v>
      </c>
      <c r="C21" t="s">
        <v>38</v>
      </c>
      <c r="D21" t="str">
        <f t="shared" si="0"/>
        <v>Dividend%20Yield</v>
      </c>
      <c r="E21">
        <v>4</v>
      </c>
      <c r="F21" s="159" t="s">
        <v>3</v>
      </c>
      <c r="G21" t="s">
        <v>4</v>
      </c>
      <c r="H21" t="s">
        <v>5</v>
      </c>
      <c r="I21" t="str">
        <f t="shared" si="1"/>
        <v>url20 &lt;- 'https://www.advisorkhoj.com/mutual-funds-research/top-performing-systematic-investment-plan?category=Equity:%20Dividend%20Yield&amp;period=4&amp;amount=3000';</v>
      </c>
      <c r="J21" t="str">
        <f t="shared" si="2"/>
        <v>url20 &lt;-  read_html (url20);</v>
      </c>
      <c r="K21" t="str">
        <f t="shared" si="3"/>
        <v>url_tbl20 &lt;- url20 %&gt;%   html_nodes('table') %&gt;%   html_table(fill = TRUE) %&gt;%   .[[1]];</v>
      </c>
      <c r="L21" t="str">
        <f t="shared" si="4"/>
        <v>url_tbl20 &lt;- data.table(url_tbl20);</v>
      </c>
      <c r="M21" t="str">
        <f t="shared" si="5"/>
        <v>url_tbl20 &lt;- url_tbl20[, `:=` (url ='Dividend Yield', year =4),];</v>
      </c>
      <c r="N21" t="str">
        <f t="shared" si="6"/>
        <v>url20 &lt;- 'https://www.advisorkhoj.com/mutual-funds-research/top-performing-systematic-investment-plan?category=Equity:%20Dividend%20Yield&amp;period=4&amp;amount=3000';url20 &lt;-  read_html (url20);url_tbl20 &lt;- url20 %&gt;%   html_nodes('table') %&gt;%   html_table(fill = TRUE) %&gt;%   .[[1]];url_tbl20 &lt;- data.table(url_tbl20);url_tbl20 &lt;- url_tbl20[, `:=` (url ='Dividend Yield', year =4),];</v>
      </c>
    </row>
    <row r="22" spans="1:14">
      <c r="A22" t="s">
        <v>45</v>
      </c>
      <c r="B22" t="s">
        <v>46</v>
      </c>
      <c r="C22" t="s">
        <v>38</v>
      </c>
      <c r="D22" t="str">
        <f t="shared" si="0"/>
        <v>Dividend%20Yield</v>
      </c>
      <c r="E22">
        <v>5</v>
      </c>
      <c r="F22" s="159" t="s">
        <v>3</v>
      </c>
      <c r="G22" t="s">
        <v>4</v>
      </c>
      <c r="H22" t="s">
        <v>5</v>
      </c>
      <c r="I22" t="str">
        <f t="shared" si="1"/>
        <v>url21 &lt;- 'https://www.advisorkhoj.com/mutual-funds-research/top-performing-systematic-investment-plan?category=Equity:%20Dividend%20Yield&amp;period=5&amp;amount=3000';</v>
      </c>
      <c r="J22" t="str">
        <f t="shared" si="2"/>
        <v>url21 &lt;-  read_html (url21);</v>
      </c>
      <c r="K22" t="str">
        <f t="shared" si="3"/>
        <v>url_tbl21 &lt;- url21 %&gt;%   html_nodes('table') %&gt;%   html_table(fill = TRUE) %&gt;%   .[[1]];</v>
      </c>
      <c r="L22" t="str">
        <f t="shared" si="4"/>
        <v>url_tbl21 &lt;- data.table(url_tbl21);</v>
      </c>
      <c r="M22" t="str">
        <f t="shared" si="5"/>
        <v>url_tbl21 &lt;- url_tbl21[, `:=` (url ='Dividend Yield', year =5),];</v>
      </c>
      <c r="N22" t="str">
        <f t="shared" si="6"/>
        <v>url21 &lt;- 'https://www.advisorkhoj.com/mutual-funds-research/top-performing-systematic-investment-plan?category=Equity:%20Dividend%20Yield&amp;period=5&amp;amount=3000';url21 &lt;-  read_html (url21);url_tbl21 &lt;- url21 %&gt;%   html_nodes('table') %&gt;%   html_table(fill = TRUE) %&gt;%   .[[1]];url_tbl21 &lt;- data.table(url_tbl21);url_tbl21 &lt;- url_tbl21[, `:=` (url ='Dividend Yield', year =5),];</v>
      </c>
    </row>
    <row r="23" spans="1:14">
      <c r="A23" t="s">
        <v>47</v>
      </c>
      <c r="B23" t="s">
        <v>48</v>
      </c>
      <c r="C23" t="s">
        <v>38</v>
      </c>
      <c r="D23" t="str">
        <f t="shared" si="0"/>
        <v>Dividend%20Yield</v>
      </c>
      <c r="E23">
        <v>6</v>
      </c>
      <c r="F23" s="159" t="s">
        <v>3</v>
      </c>
      <c r="G23" t="s">
        <v>4</v>
      </c>
      <c r="H23" t="s">
        <v>5</v>
      </c>
      <c r="I23" t="str">
        <f t="shared" si="1"/>
        <v>url22 &lt;- 'https://www.advisorkhoj.com/mutual-funds-research/top-performing-systematic-investment-plan?category=Equity:%20Dividend%20Yield&amp;period=6&amp;amount=3000';</v>
      </c>
      <c r="J23" t="str">
        <f t="shared" si="2"/>
        <v>url22 &lt;-  read_html (url22);</v>
      </c>
      <c r="K23" t="str">
        <f t="shared" si="3"/>
        <v>url_tbl22 &lt;- url22 %&gt;%   html_nodes('table') %&gt;%   html_table(fill = TRUE) %&gt;%   .[[1]];</v>
      </c>
      <c r="L23" t="str">
        <f t="shared" si="4"/>
        <v>url_tbl22 &lt;- data.table(url_tbl22);</v>
      </c>
      <c r="M23" t="str">
        <f t="shared" si="5"/>
        <v>url_tbl22 &lt;- url_tbl22[, `:=` (url ='Dividend Yield', year =6),];</v>
      </c>
      <c r="N23" t="str">
        <f t="shared" si="6"/>
        <v>url22 &lt;- 'https://www.advisorkhoj.com/mutual-funds-research/top-performing-systematic-investment-plan?category=Equity:%20Dividend%20Yield&amp;period=6&amp;amount=3000';url22 &lt;-  read_html (url22);url_tbl22 &lt;- url22 %&gt;%   html_nodes('table') %&gt;%   html_table(fill = TRUE) %&gt;%   .[[1]];url_tbl22 &lt;- data.table(url_tbl22);url_tbl22 &lt;- url_tbl22[, `:=` (url ='Dividend Yield', year =6),];</v>
      </c>
    </row>
    <row r="24" spans="1:14">
      <c r="A24" t="s">
        <v>49</v>
      </c>
      <c r="B24" t="s">
        <v>50</v>
      </c>
      <c r="C24" t="s">
        <v>38</v>
      </c>
      <c r="D24" t="str">
        <f t="shared" si="0"/>
        <v>Dividend%20Yield</v>
      </c>
      <c r="E24">
        <v>7</v>
      </c>
      <c r="F24" s="159" t="s">
        <v>3</v>
      </c>
      <c r="G24" t="s">
        <v>4</v>
      </c>
      <c r="H24" t="s">
        <v>5</v>
      </c>
      <c r="I24" t="str">
        <f t="shared" si="1"/>
        <v>url23 &lt;- 'https://www.advisorkhoj.com/mutual-funds-research/top-performing-systematic-investment-plan?category=Equity:%20Dividend%20Yield&amp;period=7&amp;amount=3000';</v>
      </c>
      <c r="J24" t="str">
        <f t="shared" si="2"/>
        <v>url23 &lt;-  read_html (url23);</v>
      </c>
      <c r="K24" t="str">
        <f t="shared" si="3"/>
        <v>url_tbl23 &lt;- url23 %&gt;%   html_nodes('table') %&gt;%   html_table(fill = TRUE) %&gt;%   .[[1]];</v>
      </c>
      <c r="L24" t="str">
        <f t="shared" si="4"/>
        <v>url_tbl23 &lt;- data.table(url_tbl23);</v>
      </c>
      <c r="M24" t="str">
        <f t="shared" si="5"/>
        <v>url_tbl23 &lt;- url_tbl23[, `:=` (url ='Dividend Yield', year =7),];</v>
      </c>
      <c r="N24" t="str">
        <f t="shared" si="6"/>
        <v>url23 &lt;- 'https://www.advisorkhoj.com/mutual-funds-research/top-performing-systematic-investment-plan?category=Equity:%20Dividend%20Yield&amp;period=7&amp;amount=3000';url23 &lt;-  read_html (url23);url_tbl23 &lt;- url23 %&gt;%   html_nodes('table') %&gt;%   html_table(fill = TRUE) %&gt;%   .[[1]];url_tbl23 &lt;- data.table(url_tbl23);url_tbl23 &lt;- url_tbl23[, `:=` (url ='Dividend Yield', year =7),];</v>
      </c>
    </row>
    <row r="25" spans="1:14">
      <c r="A25" t="s">
        <v>51</v>
      </c>
      <c r="B25" t="s">
        <v>52</v>
      </c>
      <c r="C25" t="s">
        <v>38</v>
      </c>
      <c r="D25" t="str">
        <f t="shared" si="0"/>
        <v>Dividend%20Yield</v>
      </c>
      <c r="E25">
        <v>8</v>
      </c>
      <c r="F25" s="159" t="s">
        <v>3</v>
      </c>
      <c r="G25" t="s">
        <v>4</v>
      </c>
      <c r="H25" t="s">
        <v>5</v>
      </c>
      <c r="I25" t="str">
        <f t="shared" si="1"/>
        <v>url24 &lt;- 'https://www.advisorkhoj.com/mutual-funds-research/top-performing-systematic-investment-plan?category=Equity:%20Dividend%20Yield&amp;period=8&amp;amount=3000';</v>
      </c>
      <c r="J25" t="str">
        <f t="shared" si="2"/>
        <v>url24 &lt;-  read_html (url24);</v>
      </c>
      <c r="K25" t="str">
        <f t="shared" si="3"/>
        <v>url_tbl24 &lt;- url24 %&gt;%   html_nodes('table') %&gt;%   html_table(fill = TRUE) %&gt;%   .[[1]];</v>
      </c>
      <c r="L25" t="str">
        <f t="shared" si="4"/>
        <v>url_tbl24 &lt;- data.table(url_tbl24);</v>
      </c>
      <c r="M25" t="str">
        <f t="shared" si="5"/>
        <v>url_tbl24 &lt;- url_tbl24[, `:=` (url ='Dividend Yield', year =8),];</v>
      </c>
      <c r="N25" t="str">
        <f t="shared" si="6"/>
        <v>url24 &lt;- 'https://www.advisorkhoj.com/mutual-funds-research/top-performing-systematic-investment-plan?category=Equity:%20Dividend%20Yield&amp;period=8&amp;amount=3000';url24 &lt;-  read_html (url24);url_tbl24 &lt;- url24 %&gt;%   html_nodes('table') %&gt;%   html_table(fill = TRUE) %&gt;%   .[[1]];url_tbl24 &lt;- data.table(url_tbl24);url_tbl24 &lt;- url_tbl24[, `:=` (url ='Dividend Yield', year =8),];</v>
      </c>
    </row>
    <row r="26" spans="1:14">
      <c r="A26" t="s">
        <v>53</v>
      </c>
      <c r="B26" t="s">
        <v>54</v>
      </c>
      <c r="C26" t="s">
        <v>38</v>
      </c>
      <c r="D26" t="str">
        <f t="shared" si="0"/>
        <v>Dividend%20Yield</v>
      </c>
      <c r="E26">
        <v>9</v>
      </c>
      <c r="F26" s="159" t="s">
        <v>3</v>
      </c>
      <c r="G26" t="s">
        <v>4</v>
      </c>
      <c r="H26" t="s">
        <v>5</v>
      </c>
      <c r="I26" t="str">
        <f t="shared" si="1"/>
        <v>url25 &lt;- 'https://www.advisorkhoj.com/mutual-funds-research/top-performing-systematic-investment-plan?category=Equity:%20Dividend%20Yield&amp;period=9&amp;amount=3000';</v>
      </c>
      <c r="J26" t="str">
        <f t="shared" si="2"/>
        <v>url25 &lt;-  read_html (url25);</v>
      </c>
      <c r="K26" t="str">
        <f t="shared" si="3"/>
        <v>url_tbl25 &lt;- url25 %&gt;%   html_nodes('table') %&gt;%   html_table(fill = TRUE) %&gt;%   .[[1]];</v>
      </c>
      <c r="L26" t="str">
        <f t="shared" si="4"/>
        <v>url_tbl25 &lt;- data.table(url_tbl25);</v>
      </c>
      <c r="M26" t="str">
        <f t="shared" si="5"/>
        <v>url_tbl25 &lt;- url_tbl25[, `:=` (url ='Dividend Yield', year =9),];</v>
      </c>
      <c r="N26" t="str">
        <f t="shared" si="6"/>
        <v>url25 &lt;- 'https://www.advisorkhoj.com/mutual-funds-research/top-performing-systematic-investment-plan?category=Equity:%20Dividend%20Yield&amp;period=9&amp;amount=3000';url25 &lt;-  read_html (url25);url_tbl25 &lt;- url25 %&gt;%   html_nodes('table') %&gt;%   html_table(fill = TRUE) %&gt;%   .[[1]];url_tbl25 &lt;- data.table(url_tbl25);url_tbl25 &lt;- url_tbl25[, `:=` (url ='Dividend Yield', year =9),];</v>
      </c>
    </row>
    <row r="27" spans="1:14">
      <c r="A27" t="s">
        <v>55</v>
      </c>
      <c r="B27" t="s">
        <v>56</v>
      </c>
      <c r="C27" t="s">
        <v>38</v>
      </c>
      <c r="D27" t="str">
        <f t="shared" si="0"/>
        <v>Dividend%20Yield</v>
      </c>
      <c r="E27">
        <v>10</v>
      </c>
      <c r="F27" s="159" t="s">
        <v>3</v>
      </c>
      <c r="G27" t="s">
        <v>4</v>
      </c>
      <c r="H27" t="s">
        <v>5</v>
      </c>
      <c r="I27" t="str">
        <f t="shared" si="1"/>
        <v>url26 &lt;- 'https://www.advisorkhoj.com/mutual-funds-research/top-performing-systematic-investment-plan?category=Equity:%20Dividend%20Yield&amp;period=10&amp;amount=3000';</v>
      </c>
      <c r="J27" t="str">
        <f t="shared" si="2"/>
        <v>url26 &lt;-  read_html (url26);</v>
      </c>
      <c r="K27" t="str">
        <f t="shared" si="3"/>
        <v>url_tbl26 &lt;- url26 %&gt;%   html_nodes('table') %&gt;%   html_table(fill = TRUE) %&gt;%   .[[1]];</v>
      </c>
      <c r="L27" t="str">
        <f t="shared" si="4"/>
        <v>url_tbl26 &lt;- data.table(url_tbl26);</v>
      </c>
      <c r="M27" t="str">
        <f t="shared" si="5"/>
        <v>url_tbl26 &lt;- url_tbl26[, `:=` (url ='Dividend Yield', year =10),];</v>
      </c>
      <c r="N27" t="str">
        <f t="shared" si="6"/>
        <v>url26 &lt;- 'https://www.advisorkhoj.com/mutual-funds-research/top-performing-systematic-investment-plan?category=Equity:%20Dividend%20Yield&amp;period=10&amp;amount=3000';url26 &lt;-  read_html (url26);url_tbl26 &lt;- url26 %&gt;%   html_nodes('table') %&gt;%   html_table(fill = TRUE) %&gt;%   .[[1]];url_tbl26 &lt;- data.table(url_tbl26);url_tbl26 &lt;- url_tbl26[, `:=` (url ='Dividend Yield', year =10),];</v>
      </c>
    </row>
    <row r="28" spans="1:14">
      <c r="A28" t="s">
        <v>57</v>
      </c>
      <c r="B28" t="s">
        <v>58</v>
      </c>
      <c r="C28" t="s">
        <v>38</v>
      </c>
      <c r="D28" t="str">
        <f t="shared" si="0"/>
        <v>Dividend%20Yield</v>
      </c>
      <c r="E28">
        <v>11</v>
      </c>
      <c r="F28" s="159" t="s">
        <v>3</v>
      </c>
      <c r="G28" t="s">
        <v>4</v>
      </c>
      <c r="H28" t="s">
        <v>5</v>
      </c>
      <c r="I28" t="str">
        <f t="shared" si="1"/>
        <v>url27 &lt;- 'https://www.advisorkhoj.com/mutual-funds-research/top-performing-systematic-investment-plan?category=Equity:%20Dividend%20Yield&amp;period=11&amp;amount=3000';</v>
      </c>
      <c r="J28" t="str">
        <f t="shared" si="2"/>
        <v>url27 &lt;-  read_html (url27);</v>
      </c>
      <c r="K28" t="str">
        <f t="shared" si="3"/>
        <v>url_tbl27 &lt;- url27 %&gt;%   html_nodes('table') %&gt;%   html_table(fill = TRUE) %&gt;%   .[[1]];</v>
      </c>
      <c r="L28" t="str">
        <f t="shared" si="4"/>
        <v>url_tbl27 &lt;- data.table(url_tbl27);</v>
      </c>
      <c r="M28" t="str">
        <f t="shared" si="5"/>
        <v>url_tbl27 &lt;- url_tbl27[, `:=` (url ='Dividend Yield', year =11),];</v>
      </c>
      <c r="N28" t="str">
        <f t="shared" si="6"/>
        <v>url27 &lt;- 'https://www.advisorkhoj.com/mutual-funds-research/top-performing-systematic-investment-plan?category=Equity:%20Dividend%20Yield&amp;period=11&amp;amount=3000';url27 &lt;-  read_html (url27);url_tbl27 &lt;- url27 %&gt;%   html_nodes('table') %&gt;%   html_table(fill = TRUE) %&gt;%   .[[1]];url_tbl27 &lt;- data.table(url_tbl27);url_tbl27 &lt;- url_tbl27[, `:=` (url ='Dividend Yield', year =11),];</v>
      </c>
    </row>
    <row r="29" spans="1:14">
      <c r="A29" t="s">
        <v>59</v>
      </c>
      <c r="B29" t="s">
        <v>60</v>
      </c>
      <c r="C29" t="s">
        <v>38</v>
      </c>
      <c r="D29" t="str">
        <f t="shared" si="0"/>
        <v>Dividend%20Yield</v>
      </c>
      <c r="E29">
        <v>12</v>
      </c>
      <c r="F29" s="159" t="s">
        <v>3</v>
      </c>
      <c r="G29" t="s">
        <v>4</v>
      </c>
      <c r="H29" t="s">
        <v>5</v>
      </c>
      <c r="I29" t="str">
        <f t="shared" si="1"/>
        <v>url28 &lt;- 'https://www.advisorkhoj.com/mutual-funds-research/top-performing-systematic-investment-plan?category=Equity:%20Dividend%20Yield&amp;period=12&amp;amount=3000';</v>
      </c>
      <c r="J29" t="str">
        <f t="shared" si="2"/>
        <v>url28 &lt;-  read_html (url28);</v>
      </c>
      <c r="K29" t="str">
        <f t="shared" si="3"/>
        <v>url_tbl28 &lt;- url28 %&gt;%   html_nodes('table') %&gt;%   html_table(fill = TRUE) %&gt;%   .[[1]];</v>
      </c>
      <c r="L29" t="str">
        <f t="shared" si="4"/>
        <v>url_tbl28 &lt;- data.table(url_tbl28);</v>
      </c>
      <c r="M29" t="str">
        <f t="shared" si="5"/>
        <v>url_tbl28 &lt;- url_tbl28[, `:=` (url ='Dividend Yield', year =12),];</v>
      </c>
      <c r="N29" t="str">
        <f t="shared" si="6"/>
        <v>url28 &lt;- 'https://www.advisorkhoj.com/mutual-funds-research/top-performing-systematic-investment-plan?category=Equity:%20Dividend%20Yield&amp;period=12&amp;amount=3000';url28 &lt;-  read_html (url28);url_tbl28 &lt;- url28 %&gt;%   html_nodes('table') %&gt;%   html_table(fill = TRUE) %&gt;%   .[[1]];url_tbl28 &lt;- data.table(url_tbl28);url_tbl28 &lt;- url_tbl28[, `:=` (url ='Dividend Yield', year =12),];</v>
      </c>
    </row>
    <row r="30" spans="1:14">
      <c r="A30" t="s">
        <v>61</v>
      </c>
      <c r="B30" t="s">
        <v>62</v>
      </c>
      <c r="C30" t="s">
        <v>38</v>
      </c>
      <c r="D30" t="str">
        <f t="shared" si="0"/>
        <v>Dividend%20Yield</v>
      </c>
      <c r="E30">
        <v>13</v>
      </c>
      <c r="F30" s="159" t="s">
        <v>3</v>
      </c>
      <c r="G30" t="s">
        <v>4</v>
      </c>
      <c r="H30" t="s">
        <v>5</v>
      </c>
      <c r="I30" t="str">
        <f t="shared" si="1"/>
        <v>url29 &lt;- 'https://www.advisorkhoj.com/mutual-funds-research/top-performing-systematic-investment-plan?category=Equity:%20Dividend%20Yield&amp;period=13&amp;amount=3000';</v>
      </c>
      <c r="J30" t="str">
        <f t="shared" si="2"/>
        <v>url29 &lt;-  read_html (url29);</v>
      </c>
      <c r="K30" t="str">
        <f t="shared" si="3"/>
        <v>url_tbl29 &lt;- url29 %&gt;%   html_nodes('table') %&gt;%   html_table(fill = TRUE) %&gt;%   .[[1]];</v>
      </c>
      <c r="L30" t="str">
        <f t="shared" si="4"/>
        <v>url_tbl29 &lt;- data.table(url_tbl29);</v>
      </c>
      <c r="M30" t="str">
        <f t="shared" si="5"/>
        <v>url_tbl29 &lt;- url_tbl29[, `:=` (url ='Dividend Yield', year =13),];</v>
      </c>
      <c r="N30" t="str">
        <f t="shared" si="6"/>
        <v>url29 &lt;- 'https://www.advisorkhoj.com/mutual-funds-research/top-performing-systematic-investment-plan?category=Equity:%20Dividend%20Yield&amp;period=13&amp;amount=3000';url29 &lt;-  read_html (url29);url_tbl29 &lt;- url29 %&gt;%   html_nodes('table') %&gt;%   html_table(fill = TRUE) %&gt;%   .[[1]];url_tbl29 &lt;- data.table(url_tbl29);url_tbl29 &lt;- url_tbl29[, `:=` (url ='Dividend Yield', year =13),];</v>
      </c>
    </row>
    <row r="31" spans="1:14">
      <c r="A31" t="s">
        <v>63</v>
      </c>
      <c r="B31" t="s">
        <v>64</v>
      </c>
      <c r="C31" t="s">
        <v>38</v>
      </c>
      <c r="D31" t="str">
        <f t="shared" si="0"/>
        <v>Dividend%20Yield</v>
      </c>
      <c r="E31">
        <v>14</v>
      </c>
      <c r="F31" s="159" t="s">
        <v>3</v>
      </c>
      <c r="G31" t="s">
        <v>4</v>
      </c>
      <c r="H31" t="s">
        <v>5</v>
      </c>
      <c r="I31" t="str">
        <f t="shared" si="1"/>
        <v>url30 &lt;- 'https://www.advisorkhoj.com/mutual-funds-research/top-performing-systematic-investment-plan?category=Equity:%20Dividend%20Yield&amp;period=14&amp;amount=3000';</v>
      </c>
      <c r="J31" t="str">
        <f t="shared" si="2"/>
        <v>url30 &lt;-  read_html (url30);</v>
      </c>
      <c r="K31" t="str">
        <f t="shared" si="3"/>
        <v>url_tbl30 &lt;- url30 %&gt;%   html_nodes('table') %&gt;%   html_table(fill = TRUE) %&gt;%   .[[1]];</v>
      </c>
      <c r="L31" t="str">
        <f t="shared" si="4"/>
        <v>url_tbl30 &lt;- data.table(url_tbl30);</v>
      </c>
      <c r="M31" t="str">
        <f t="shared" si="5"/>
        <v>url_tbl30 &lt;- url_tbl30[, `:=` (url ='Dividend Yield', year =14),];</v>
      </c>
      <c r="N31" t="str">
        <f t="shared" si="6"/>
        <v>url30 &lt;- 'https://www.advisorkhoj.com/mutual-funds-research/top-performing-systematic-investment-plan?category=Equity:%20Dividend%20Yield&amp;period=14&amp;amount=3000';url30 &lt;-  read_html (url30);url_tbl30 &lt;- url30 %&gt;%   html_nodes('table') %&gt;%   html_table(fill = TRUE) %&gt;%   .[[1]];url_tbl30 &lt;- data.table(url_tbl30);url_tbl30 &lt;- url_tbl30[, `:=` (url ='Dividend Yield', year =14),];</v>
      </c>
    </row>
    <row r="32" spans="1:14">
      <c r="A32" t="s">
        <v>65</v>
      </c>
      <c r="B32" t="s">
        <v>66</v>
      </c>
      <c r="C32" t="s">
        <v>38</v>
      </c>
      <c r="D32" t="str">
        <f t="shared" si="0"/>
        <v>Dividend%20Yield</v>
      </c>
      <c r="E32">
        <v>15</v>
      </c>
      <c r="F32" s="159" t="s">
        <v>3</v>
      </c>
      <c r="G32" t="s">
        <v>4</v>
      </c>
      <c r="H32" t="s">
        <v>5</v>
      </c>
      <c r="I32" t="str">
        <f t="shared" si="1"/>
        <v>url31 &lt;- 'https://www.advisorkhoj.com/mutual-funds-research/top-performing-systematic-investment-plan?category=Equity:%20Dividend%20Yield&amp;period=15&amp;amount=3000';</v>
      </c>
      <c r="J32" t="str">
        <f t="shared" si="2"/>
        <v>url31 &lt;-  read_html (url31);</v>
      </c>
      <c r="K32" t="str">
        <f t="shared" si="3"/>
        <v>url_tbl31 &lt;- url31 %&gt;%   html_nodes('table') %&gt;%   html_table(fill = TRUE) %&gt;%   .[[1]];</v>
      </c>
      <c r="L32" t="str">
        <f t="shared" si="4"/>
        <v>url_tbl31 &lt;- data.table(url_tbl31);</v>
      </c>
      <c r="M32" t="str">
        <f t="shared" si="5"/>
        <v>url_tbl31 &lt;- url_tbl31[, `:=` (url ='Dividend Yield', year =15),];</v>
      </c>
      <c r="N32" t="str">
        <f t="shared" si="6"/>
        <v>url31 &lt;- 'https://www.advisorkhoj.com/mutual-funds-research/top-performing-systematic-investment-plan?category=Equity:%20Dividend%20Yield&amp;period=15&amp;amount=3000';url31 &lt;-  read_html (url31);url_tbl31 &lt;- url31 %&gt;%   html_nodes('table') %&gt;%   html_table(fill = TRUE) %&gt;%   .[[1]];url_tbl31 &lt;- data.table(url_tbl31);url_tbl31 &lt;- url_tbl31[, `:=` (url ='Dividend Yield', year =15),];</v>
      </c>
    </row>
    <row r="33" spans="1:14">
      <c r="A33" t="s">
        <v>67</v>
      </c>
      <c r="B33" t="s">
        <v>68</v>
      </c>
      <c r="C33" t="s">
        <v>38</v>
      </c>
      <c r="D33" t="str">
        <f t="shared" si="0"/>
        <v>Dividend%20Yield</v>
      </c>
      <c r="E33">
        <v>16</v>
      </c>
      <c r="F33" s="159" t="s">
        <v>3</v>
      </c>
      <c r="G33" t="s">
        <v>4</v>
      </c>
      <c r="H33" t="s">
        <v>5</v>
      </c>
      <c r="I33" t="str">
        <f t="shared" si="1"/>
        <v>url32 &lt;- 'https://www.advisorkhoj.com/mutual-funds-research/top-performing-systematic-investment-plan?category=Equity:%20Dividend%20Yield&amp;period=16&amp;amount=3000';</v>
      </c>
      <c r="J33" t="str">
        <f t="shared" si="2"/>
        <v>url32 &lt;-  read_html (url32);</v>
      </c>
      <c r="K33" t="str">
        <f t="shared" si="3"/>
        <v>url_tbl32 &lt;- url32 %&gt;%   html_nodes('table') %&gt;%   html_table(fill = TRUE) %&gt;%   .[[1]];</v>
      </c>
      <c r="L33" t="str">
        <f t="shared" si="4"/>
        <v>url_tbl32 &lt;- data.table(url_tbl32);</v>
      </c>
      <c r="M33" t="str">
        <f t="shared" si="5"/>
        <v>url_tbl32 &lt;- url_tbl32[, `:=` (url ='Dividend Yield', year =16),];</v>
      </c>
      <c r="N33" t="str">
        <f t="shared" si="6"/>
        <v>url32 &lt;- 'https://www.advisorkhoj.com/mutual-funds-research/top-performing-systematic-investment-plan?category=Equity:%20Dividend%20Yield&amp;period=16&amp;amount=3000';url32 &lt;-  read_html (url32);url_tbl32 &lt;- url32 %&gt;%   html_nodes('table') %&gt;%   html_table(fill = TRUE) %&gt;%   .[[1]];url_tbl32 &lt;- data.table(url_tbl32);url_tbl32 &lt;- url_tbl32[, `:=` (url ='Dividend Yield', year =16),];</v>
      </c>
    </row>
    <row r="34" spans="1:14">
      <c r="A34" t="s">
        <v>69</v>
      </c>
      <c r="B34" t="s">
        <v>70</v>
      </c>
      <c r="C34" t="s">
        <v>38</v>
      </c>
      <c r="D34" t="str">
        <f t="shared" si="0"/>
        <v>Dividend%20Yield</v>
      </c>
      <c r="E34">
        <v>16</v>
      </c>
      <c r="F34" s="159" t="s">
        <v>3</v>
      </c>
      <c r="G34" t="s">
        <v>4</v>
      </c>
      <c r="H34" t="s">
        <v>5</v>
      </c>
      <c r="I34" t="str">
        <f t="shared" si="1"/>
        <v>url33 &lt;- 'https://www.advisorkhoj.com/mutual-funds-research/top-performing-systematic-investment-plan?category=Equity:%20Dividend%20Yield&amp;period=16&amp;amount=3000';</v>
      </c>
      <c r="J34" t="str">
        <f t="shared" si="2"/>
        <v>url33 &lt;-  read_html (url33);</v>
      </c>
      <c r="K34" t="str">
        <f t="shared" si="3"/>
        <v>url_tbl33 &lt;- url33 %&gt;%   html_nodes('table') %&gt;%   html_table(fill = TRUE) %&gt;%   .[[1]];</v>
      </c>
      <c r="L34" t="str">
        <f t="shared" si="4"/>
        <v>url_tbl33 &lt;- data.table(url_tbl33);</v>
      </c>
      <c r="M34" t="str">
        <f t="shared" si="5"/>
        <v>url_tbl33 &lt;- url_tbl33[, `:=` (url ='Dividend Yield', year =16),];</v>
      </c>
      <c r="N34" t="str">
        <f t="shared" si="6"/>
        <v>url33 &lt;- 'https://www.advisorkhoj.com/mutual-funds-research/top-performing-systematic-investment-plan?category=Equity:%20Dividend%20Yield&amp;period=16&amp;amount=3000';url33 &lt;-  read_html (url33);url_tbl33 &lt;- url33 %&gt;%   html_nodes('table') %&gt;%   html_table(fill = TRUE) %&gt;%   .[[1]];url_tbl33 &lt;- data.table(url_tbl33);url_tbl33 &lt;- url_tbl33[, `:=` (url ='Dividend Yield', year =16),];</v>
      </c>
    </row>
    <row r="35" spans="1:14">
      <c r="A35" t="s">
        <v>71</v>
      </c>
      <c r="B35" t="s">
        <v>72</v>
      </c>
      <c r="C35" t="s">
        <v>73</v>
      </c>
      <c r="D35" t="str">
        <f t="shared" si="0"/>
        <v>ELSS</v>
      </c>
      <c r="E35">
        <v>1</v>
      </c>
      <c r="F35" s="159" t="s">
        <v>3</v>
      </c>
      <c r="G35" t="s">
        <v>4</v>
      </c>
      <c r="H35" t="s">
        <v>5</v>
      </c>
      <c r="I35" t="str">
        <f t="shared" si="1"/>
        <v>url34 &lt;- 'https://www.advisorkhoj.com/mutual-funds-research/top-performing-systematic-investment-plan?category=Equity:%20ELSS&amp;period=1&amp;amount=3000';</v>
      </c>
      <c r="J35" t="str">
        <f t="shared" si="2"/>
        <v>url34 &lt;-  read_html (url34);</v>
      </c>
      <c r="K35" t="str">
        <f t="shared" si="3"/>
        <v>url_tbl34 &lt;- url34 %&gt;%   html_nodes('table') %&gt;%   html_table(fill = TRUE) %&gt;%   .[[1]];</v>
      </c>
      <c r="L35" t="str">
        <f t="shared" si="4"/>
        <v>url_tbl34 &lt;- data.table(url_tbl34);</v>
      </c>
      <c r="M35" t="str">
        <f t="shared" si="5"/>
        <v>url_tbl34 &lt;- url_tbl34[, `:=` (url ='ELSS', year =1),];</v>
      </c>
      <c r="N35" t="str">
        <f t="shared" si="6"/>
        <v>url34 &lt;- 'https://www.advisorkhoj.com/mutual-funds-research/top-performing-systematic-investment-plan?category=Equity:%20ELSS&amp;period=1&amp;amount=3000';url34 &lt;-  read_html (url34);url_tbl34 &lt;- url34 %&gt;%   html_nodes('table') %&gt;%   html_table(fill = TRUE) %&gt;%   .[[1]];url_tbl34 &lt;- data.table(url_tbl34);url_tbl34 &lt;- url_tbl34[, `:=` (url ='ELSS', year =1),];</v>
      </c>
    </row>
    <row r="36" spans="1:14">
      <c r="A36" t="s">
        <v>74</v>
      </c>
      <c r="B36" t="s">
        <v>75</v>
      </c>
      <c r="C36" t="s">
        <v>73</v>
      </c>
      <c r="D36" t="str">
        <f t="shared" si="0"/>
        <v>ELSS</v>
      </c>
      <c r="E36">
        <v>2</v>
      </c>
      <c r="F36" s="159" t="s">
        <v>3</v>
      </c>
      <c r="G36" t="s">
        <v>4</v>
      </c>
      <c r="H36" t="s">
        <v>5</v>
      </c>
      <c r="I36" t="str">
        <f t="shared" si="1"/>
        <v>url35 &lt;- 'https://www.advisorkhoj.com/mutual-funds-research/top-performing-systematic-investment-plan?category=Equity:%20ELSS&amp;period=2&amp;amount=3000';</v>
      </c>
      <c r="J36" t="str">
        <f t="shared" si="2"/>
        <v>url35 &lt;-  read_html (url35);</v>
      </c>
      <c r="K36" t="str">
        <f t="shared" si="3"/>
        <v>url_tbl35 &lt;- url35 %&gt;%   html_nodes('table') %&gt;%   html_table(fill = TRUE) %&gt;%   .[[1]];</v>
      </c>
      <c r="L36" t="str">
        <f t="shared" si="4"/>
        <v>url_tbl35 &lt;- data.table(url_tbl35);</v>
      </c>
      <c r="M36" t="str">
        <f t="shared" si="5"/>
        <v>url_tbl35 &lt;- url_tbl35[, `:=` (url ='ELSS', year =2),];</v>
      </c>
      <c r="N36" t="str">
        <f t="shared" si="6"/>
        <v>url35 &lt;- 'https://www.advisorkhoj.com/mutual-funds-research/top-performing-systematic-investment-plan?category=Equity:%20ELSS&amp;period=2&amp;amount=3000';url35 &lt;-  read_html (url35);url_tbl35 &lt;- url35 %&gt;%   html_nodes('table') %&gt;%   html_table(fill = TRUE) %&gt;%   .[[1]];url_tbl35 &lt;- data.table(url_tbl35);url_tbl35 &lt;- url_tbl35[, `:=` (url ='ELSS', year =2),];</v>
      </c>
    </row>
    <row r="37" spans="1:14">
      <c r="A37" t="s">
        <v>76</v>
      </c>
      <c r="B37" t="s">
        <v>77</v>
      </c>
      <c r="C37" t="s">
        <v>73</v>
      </c>
      <c r="D37" t="str">
        <f t="shared" si="0"/>
        <v>ELSS</v>
      </c>
      <c r="E37">
        <v>3</v>
      </c>
      <c r="F37" s="159" t="s">
        <v>3</v>
      </c>
      <c r="G37" t="s">
        <v>4</v>
      </c>
      <c r="H37" t="s">
        <v>5</v>
      </c>
      <c r="I37" t="str">
        <f t="shared" si="1"/>
        <v>url36 &lt;- 'https://www.advisorkhoj.com/mutual-funds-research/top-performing-systematic-investment-plan?category=Equity:%20ELSS&amp;period=3&amp;amount=3000';</v>
      </c>
      <c r="J37" t="str">
        <f t="shared" si="2"/>
        <v>url36 &lt;-  read_html (url36);</v>
      </c>
      <c r="K37" t="str">
        <f t="shared" si="3"/>
        <v>url_tbl36 &lt;- url36 %&gt;%   html_nodes('table') %&gt;%   html_table(fill = TRUE) %&gt;%   .[[1]];</v>
      </c>
      <c r="L37" t="str">
        <f t="shared" si="4"/>
        <v>url_tbl36 &lt;- data.table(url_tbl36);</v>
      </c>
      <c r="M37" t="str">
        <f t="shared" si="5"/>
        <v>url_tbl36 &lt;- url_tbl36[, `:=` (url ='ELSS', year =3),];</v>
      </c>
      <c r="N37" t="str">
        <f t="shared" si="6"/>
        <v>url36 &lt;- 'https://www.advisorkhoj.com/mutual-funds-research/top-performing-systematic-investment-plan?category=Equity:%20ELSS&amp;period=3&amp;amount=3000';url36 &lt;-  read_html (url36);url_tbl36 &lt;- url36 %&gt;%   html_nodes('table') %&gt;%   html_table(fill = TRUE) %&gt;%   .[[1]];url_tbl36 &lt;- data.table(url_tbl36);url_tbl36 &lt;- url_tbl36[, `:=` (url ='ELSS', year =3),];</v>
      </c>
    </row>
    <row r="38" spans="1:14">
      <c r="A38" t="s">
        <v>78</v>
      </c>
      <c r="B38" t="s">
        <v>79</v>
      </c>
      <c r="C38" t="s">
        <v>73</v>
      </c>
      <c r="D38" t="str">
        <f t="shared" si="0"/>
        <v>ELSS</v>
      </c>
      <c r="E38">
        <v>4</v>
      </c>
      <c r="F38" s="159" t="s">
        <v>3</v>
      </c>
      <c r="G38" t="s">
        <v>4</v>
      </c>
      <c r="H38" t="s">
        <v>5</v>
      </c>
      <c r="I38" t="str">
        <f t="shared" si="1"/>
        <v>url37 &lt;- 'https://www.advisorkhoj.com/mutual-funds-research/top-performing-systematic-investment-plan?category=Equity:%20ELSS&amp;period=4&amp;amount=3000';</v>
      </c>
      <c r="J38" t="str">
        <f t="shared" si="2"/>
        <v>url37 &lt;-  read_html (url37);</v>
      </c>
      <c r="K38" t="str">
        <f t="shared" si="3"/>
        <v>url_tbl37 &lt;- url37 %&gt;%   html_nodes('table') %&gt;%   html_table(fill = TRUE) %&gt;%   .[[1]];</v>
      </c>
      <c r="L38" t="str">
        <f t="shared" si="4"/>
        <v>url_tbl37 &lt;- data.table(url_tbl37);</v>
      </c>
      <c r="M38" t="str">
        <f t="shared" si="5"/>
        <v>url_tbl37 &lt;- url_tbl37[, `:=` (url ='ELSS', year =4),];</v>
      </c>
      <c r="N38" t="str">
        <f t="shared" si="6"/>
        <v>url37 &lt;- 'https://www.advisorkhoj.com/mutual-funds-research/top-performing-systematic-investment-plan?category=Equity:%20ELSS&amp;period=4&amp;amount=3000';url37 &lt;-  read_html (url37);url_tbl37 &lt;- url37 %&gt;%   html_nodes('table') %&gt;%   html_table(fill = TRUE) %&gt;%   .[[1]];url_tbl37 &lt;- data.table(url_tbl37);url_tbl37 &lt;- url_tbl37[, `:=` (url ='ELSS', year =4),];</v>
      </c>
    </row>
    <row r="39" spans="1:14">
      <c r="A39" t="s">
        <v>80</v>
      </c>
      <c r="B39" t="s">
        <v>81</v>
      </c>
      <c r="C39" t="s">
        <v>73</v>
      </c>
      <c r="D39" t="str">
        <f t="shared" si="0"/>
        <v>ELSS</v>
      </c>
      <c r="E39">
        <v>5</v>
      </c>
      <c r="F39" s="159" t="s">
        <v>3</v>
      </c>
      <c r="G39" t="s">
        <v>4</v>
      </c>
      <c r="H39" t="s">
        <v>5</v>
      </c>
      <c r="I39" t="str">
        <f t="shared" si="1"/>
        <v>url38 &lt;- 'https://www.advisorkhoj.com/mutual-funds-research/top-performing-systematic-investment-plan?category=Equity:%20ELSS&amp;period=5&amp;amount=3000';</v>
      </c>
      <c r="J39" t="str">
        <f t="shared" si="2"/>
        <v>url38 &lt;-  read_html (url38);</v>
      </c>
      <c r="K39" t="str">
        <f t="shared" si="3"/>
        <v>url_tbl38 &lt;- url38 %&gt;%   html_nodes('table') %&gt;%   html_table(fill = TRUE) %&gt;%   .[[1]];</v>
      </c>
      <c r="L39" t="str">
        <f t="shared" si="4"/>
        <v>url_tbl38 &lt;- data.table(url_tbl38);</v>
      </c>
      <c r="M39" t="str">
        <f t="shared" si="5"/>
        <v>url_tbl38 &lt;- url_tbl38[, `:=` (url ='ELSS', year =5),];</v>
      </c>
      <c r="N39" t="str">
        <f t="shared" si="6"/>
        <v>url38 &lt;- 'https://www.advisorkhoj.com/mutual-funds-research/top-performing-systematic-investment-plan?category=Equity:%20ELSS&amp;period=5&amp;amount=3000';url38 &lt;-  read_html (url38);url_tbl38 &lt;- url38 %&gt;%   html_nodes('table') %&gt;%   html_table(fill = TRUE) %&gt;%   .[[1]];url_tbl38 &lt;- data.table(url_tbl38);url_tbl38 &lt;- url_tbl38[, `:=` (url ='ELSS', year =5),];</v>
      </c>
    </row>
    <row r="40" spans="1:14">
      <c r="A40" t="s">
        <v>82</v>
      </c>
      <c r="B40" t="s">
        <v>83</v>
      </c>
      <c r="C40" t="s">
        <v>73</v>
      </c>
      <c r="D40" t="str">
        <f t="shared" si="0"/>
        <v>ELSS</v>
      </c>
      <c r="E40">
        <v>6</v>
      </c>
      <c r="F40" s="159" t="s">
        <v>3</v>
      </c>
      <c r="G40" t="s">
        <v>4</v>
      </c>
      <c r="H40" t="s">
        <v>5</v>
      </c>
      <c r="I40" t="str">
        <f t="shared" si="1"/>
        <v>url39 &lt;- 'https://www.advisorkhoj.com/mutual-funds-research/top-performing-systematic-investment-plan?category=Equity:%20ELSS&amp;period=6&amp;amount=3000';</v>
      </c>
      <c r="J40" t="str">
        <f t="shared" si="2"/>
        <v>url39 &lt;-  read_html (url39);</v>
      </c>
      <c r="K40" t="str">
        <f t="shared" si="3"/>
        <v>url_tbl39 &lt;- url39 %&gt;%   html_nodes('table') %&gt;%   html_table(fill = TRUE) %&gt;%   .[[1]];</v>
      </c>
      <c r="L40" t="str">
        <f t="shared" si="4"/>
        <v>url_tbl39 &lt;- data.table(url_tbl39);</v>
      </c>
      <c r="M40" t="str">
        <f t="shared" si="5"/>
        <v>url_tbl39 &lt;- url_tbl39[, `:=` (url ='ELSS', year =6),];</v>
      </c>
      <c r="N40" t="str">
        <f t="shared" si="6"/>
        <v>url39 &lt;- 'https://www.advisorkhoj.com/mutual-funds-research/top-performing-systematic-investment-plan?category=Equity:%20ELSS&amp;period=6&amp;amount=3000';url39 &lt;-  read_html (url39);url_tbl39 &lt;- url39 %&gt;%   html_nodes('table') %&gt;%   html_table(fill = TRUE) %&gt;%   .[[1]];url_tbl39 &lt;- data.table(url_tbl39);url_tbl39 &lt;- url_tbl39[, `:=` (url ='ELSS', year =6),];</v>
      </c>
    </row>
    <row r="41" spans="1:14">
      <c r="A41" t="s">
        <v>84</v>
      </c>
      <c r="B41" t="s">
        <v>85</v>
      </c>
      <c r="C41" t="s">
        <v>73</v>
      </c>
      <c r="D41" t="str">
        <f t="shared" si="0"/>
        <v>ELSS</v>
      </c>
      <c r="E41">
        <v>7</v>
      </c>
      <c r="F41" s="159" t="s">
        <v>3</v>
      </c>
      <c r="G41" t="s">
        <v>4</v>
      </c>
      <c r="H41" t="s">
        <v>5</v>
      </c>
      <c r="I41" t="str">
        <f t="shared" si="1"/>
        <v>url40 &lt;- 'https://www.advisorkhoj.com/mutual-funds-research/top-performing-systematic-investment-plan?category=Equity:%20ELSS&amp;period=7&amp;amount=3000';</v>
      </c>
      <c r="J41" t="str">
        <f t="shared" si="2"/>
        <v>url40 &lt;-  read_html (url40);</v>
      </c>
      <c r="K41" t="str">
        <f t="shared" si="3"/>
        <v>url_tbl40 &lt;- url40 %&gt;%   html_nodes('table') %&gt;%   html_table(fill = TRUE) %&gt;%   .[[1]];</v>
      </c>
      <c r="L41" t="str">
        <f t="shared" si="4"/>
        <v>url_tbl40 &lt;- data.table(url_tbl40);</v>
      </c>
      <c r="M41" t="str">
        <f t="shared" si="5"/>
        <v>url_tbl40 &lt;- url_tbl40[, `:=` (url ='ELSS', year =7),];</v>
      </c>
      <c r="N41" t="str">
        <f t="shared" si="6"/>
        <v>url40 &lt;- 'https://www.advisorkhoj.com/mutual-funds-research/top-performing-systematic-investment-plan?category=Equity:%20ELSS&amp;period=7&amp;amount=3000';url40 &lt;-  read_html (url40);url_tbl40 &lt;- url40 %&gt;%   html_nodes('table') %&gt;%   html_table(fill = TRUE) %&gt;%   .[[1]];url_tbl40 &lt;- data.table(url_tbl40);url_tbl40 &lt;- url_tbl40[, `:=` (url ='ELSS', year =7),];</v>
      </c>
    </row>
    <row r="42" spans="1:14">
      <c r="A42" t="s">
        <v>86</v>
      </c>
      <c r="B42" t="s">
        <v>87</v>
      </c>
      <c r="C42" t="s">
        <v>73</v>
      </c>
      <c r="D42" t="str">
        <f t="shared" si="0"/>
        <v>ELSS</v>
      </c>
      <c r="E42">
        <v>8</v>
      </c>
      <c r="F42" s="159" t="s">
        <v>3</v>
      </c>
      <c r="G42" t="s">
        <v>4</v>
      </c>
      <c r="H42" t="s">
        <v>5</v>
      </c>
      <c r="I42" t="str">
        <f t="shared" si="1"/>
        <v>url41 &lt;- 'https://www.advisorkhoj.com/mutual-funds-research/top-performing-systematic-investment-plan?category=Equity:%20ELSS&amp;period=8&amp;amount=3000';</v>
      </c>
      <c r="J42" t="str">
        <f t="shared" si="2"/>
        <v>url41 &lt;-  read_html (url41);</v>
      </c>
      <c r="K42" t="str">
        <f t="shared" si="3"/>
        <v>url_tbl41 &lt;- url41 %&gt;%   html_nodes('table') %&gt;%   html_table(fill = TRUE) %&gt;%   .[[1]];</v>
      </c>
      <c r="L42" t="str">
        <f t="shared" si="4"/>
        <v>url_tbl41 &lt;- data.table(url_tbl41);</v>
      </c>
      <c r="M42" t="str">
        <f t="shared" si="5"/>
        <v>url_tbl41 &lt;- url_tbl41[, `:=` (url ='ELSS', year =8),];</v>
      </c>
      <c r="N42" t="str">
        <f t="shared" si="6"/>
        <v>url41 &lt;- 'https://www.advisorkhoj.com/mutual-funds-research/top-performing-systematic-investment-plan?category=Equity:%20ELSS&amp;period=8&amp;amount=3000';url41 &lt;-  read_html (url41);url_tbl41 &lt;- url41 %&gt;%   html_nodes('table') %&gt;%   html_table(fill = TRUE) %&gt;%   .[[1]];url_tbl41 &lt;- data.table(url_tbl41);url_tbl41 &lt;- url_tbl41[, `:=` (url ='ELSS', year =8),];</v>
      </c>
    </row>
    <row r="43" spans="1:14">
      <c r="A43" t="s">
        <v>88</v>
      </c>
      <c r="B43" t="s">
        <v>89</v>
      </c>
      <c r="C43" t="s">
        <v>73</v>
      </c>
      <c r="D43" t="str">
        <f t="shared" si="0"/>
        <v>ELSS</v>
      </c>
      <c r="E43">
        <v>9</v>
      </c>
      <c r="F43" s="159" t="s">
        <v>3</v>
      </c>
      <c r="G43" t="s">
        <v>4</v>
      </c>
      <c r="H43" t="s">
        <v>5</v>
      </c>
      <c r="I43" t="str">
        <f t="shared" si="1"/>
        <v>url42 &lt;- 'https://www.advisorkhoj.com/mutual-funds-research/top-performing-systematic-investment-plan?category=Equity:%20ELSS&amp;period=9&amp;amount=3000';</v>
      </c>
      <c r="J43" t="str">
        <f t="shared" si="2"/>
        <v>url42 &lt;-  read_html (url42);</v>
      </c>
      <c r="K43" t="str">
        <f t="shared" si="3"/>
        <v>url_tbl42 &lt;- url42 %&gt;%   html_nodes('table') %&gt;%   html_table(fill = TRUE) %&gt;%   .[[1]];</v>
      </c>
      <c r="L43" t="str">
        <f t="shared" si="4"/>
        <v>url_tbl42 &lt;- data.table(url_tbl42);</v>
      </c>
      <c r="M43" t="str">
        <f t="shared" si="5"/>
        <v>url_tbl42 &lt;- url_tbl42[, `:=` (url ='ELSS', year =9),];</v>
      </c>
      <c r="N43" t="str">
        <f t="shared" si="6"/>
        <v>url42 &lt;- 'https://www.advisorkhoj.com/mutual-funds-research/top-performing-systematic-investment-plan?category=Equity:%20ELSS&amp;period=9&amp;amount=3000';url42 &lt;-  read_html (url42);url_tbl42 &lt;- url42 %&gt;%   html_nodes('table') %&gt;%   html_table(fill = TRUE) %&gt;%   .[[1]];url_tbl42 &lt;- data.table(url_tbl42);url_tbl42 &lt;- url_tbl42[, `:=` (url ='ELSS', year =9),];</v>
      </c>
    </row>
    <row r="44" spans="1:14">
      <c r="A44" t="s">
        <v>90</v>
      </c>
      <c r="B44" t="s">
        <v>91</v>
      </c>
      <c r="C44" t="s">
        <v>73</v>
      </c>
      <c r="D44" t="str">
        <f t="shared" si="0"/>
        <v>ELSS</v>
      </c>
      <c r="E44">
        <v>10</v>
      </c>
      <c r="F44" s="159" t="s">
        <v>3</v>
      </c>
      <c r="G44" t="s">
        <v>4</v>
      </c>
      <c r="H44" t="s">
        <v>5</v>
      </c>
      <c r="I44" t="str">
        <f t="shared" si="1"/>
        <v>url43 &lt;- 'https://www.advisorkhoj.com/mutual-funds-research/top-performing-systematic-investment-plan?category=Equity:%20ELSS&amp;period=10&amp;amount=3000';</v>
      </c>
      <c r="J44" t="str">
        <f t="shared" si="2"/>
        <v>url43 &lt;-  read_html (url43);</v>
      </c>
      <c r="K44" t="str">
        <f t="shared" si="3"/>
        <v>url_tbl43 &lt;- url43 %&gt;%   html_nodes('table') %&gt;%   html_table(fill = TRUE) %&gt;%   .[[1]];</v>
      </c>
      <c r="L44" t="str">
        <f t="shared" si="4"/>
        <v>url_tbl43 &lt;- data.table(url_tbl43);</v>
      </c>
      <c r="M44" t="str">
        <f t="shared" si="5"/>
        <v>url_tbl43 &lt;- url_tbl43[, `:=` (url ='ELSS', year =10),];</v>
      </c>
      <c r="N44" t="str">
        <f t="shared" si="6"/>
        <v>url43 &lt;- 'https://www.advisorkhoj.com/mutual-funds-research/top-performing-systematic-investment-plan?category=Equity:%20ELSS&amp;period=10&amp;amount=3000';url43 &lt;-  read_html (url43);url_tbl43 &lt;- url43 %&gt;%   html_nodes('table') %&gt;%   html_table(fill = TRUE) %&gt;%   .[[1]];url_tbl43 &lt;- data.table(url_tbl43);url_tbl43 &lt;- url_tbl43[, `:=` (url ='ELSS', year =10),];</v>
      </c>
    </row>
    <row r="45" spans="1:14">
      <c r="A45" t="s">
        <v>92</v>
      </c>
      <c r="B45" t="s">
        <v>93</v>
      </c>
      <c r="C45" t="s">
        <v>73</v>
      </c>
      <c r="D45" t="str">
        <f t="shared" si="0"/>
        <v>ELSS</v>
      </c>
      <c r="E45">
        <v>11</v>
      </c>
      <c r="F45" s="159" t="s">
        <v>3</v>
      </c>
      <c r="G45" t="s">
        <v>4</v>
      </c>
      <c r="H45" t="s">
        <v>5</v>
      </c>
      <c r="I45" t="str">
        <f t="shared" si="1"/>
        <v>url44 &lt;- 'https://www.advisorkhoj.com/mutual-funds-research/top-performing-systematic-investment-plan?category=Equity:%20ELSS&amp;period=11&amp;amount=3000';</v>
      </c>
      <c r="J45" t="str">
        <f t="shared" si="2"/>
        <v>url44 &lt;-  read_html (url44);</v>
      </c>
      <c r="K45" t="str">
        <f t="shared" si="3"/>
        <v>url_tbl44 &lt;- url44 %&gt;%   html_nodes('table') %&gt;%   html_table(fill = TRUE) %&gt;%   .[[1]];</v>
      </c>
      <c r="L45" t="str">
        <f t="shared" si="4"/>
        <v>url_tbl44 &lt;- data.table(url_tbl44);</v>
      </c>
      <c r="M45" t="str">
        <f t="shared" si="5"/>
        <v>url_tbl44 &lt;- url_tbl44[, `:=` (url ='ELSS', year =11),];</v>
      </c>
      <c r="N45" t="str">
        <f t="shared" si="6"/>
        <v>url44 &lt;- 'https://www.advisorkhoj.com/mutual-funds-research/top-performing-systematic-investment-plan?category=Equity:%20ELSS&amp;period=11&amp;amount=3000';url44 &lt;-  read_html (url44);url_tbl44 &lt;- url44 %&gt;%   html_nodes('table') %&gt;%   html_table(fill = TRUE) %&gt;%   .[[1]];url_tbl44 &lt;- data.table(url_tbl44);url_tbl44 &lt;- url_tbl44[, `:=` (url ='ELSS', year =11),];</v>
      </c>
    </row>
    <row r="46" spans="1:14">
      <c r="A46" t="s">
        <v>94</v>
      </c>
      <c r="B46" t="s">
        <v>95</v>
      </c>
      <c r="C46" t="s">
        <v>73</v>
      </c>
      <c r="D46" t="str">
        <f t="shared" si="0"/>
        <v>ELSS</v>
      </c>
      <c r="E46">
        <v>12</v>
      </c>
      <c r="F46" s="159" t="s">
        <v>3</v>
      </c>
      <c r="G46" t="s">
        <v>4</v>
      </c>
      <c r="H46" t="s">
        <v>5</v>
      </c>
      <c r="I46" t="str">
        <f t="shared" si="1"/>
        <v>url45 &lt;- 'https://www.advisorkhoj.com/mutual-funds-research/top-performing-systematic-investment-plan?category=Equity:%20ELSS&amp;period=12&amp;amount=3000';</v>
      </c>
      <c r="J46" t="str">
        <f t="shared" si="2"/>
        <v>url45 &lt;-  read_html (url45);</v>
      </c>
      <c r="K46" t="str">
        <f t="shared" si="3"/>
        <v>url_tbl45 &lt;- url45 %&gt;%   html_nodes('table') %&gt;%   html_table(fill = TRUE) %&gt;%   .[[1]];</v>
      </c>
      <c r="L46" t="str">
        <f t="shared" si="4"/>
        <v>url_tbl45 &lt;- data.table(url_tbl45);</v>
      </c>
      <c r="M46" t="str">
        <f t="shared" si="5"/>
        <v>url_tbl45 &lt;- url_tbl45[, `:=` (url ='ELSS', year =12),];</v>
      </c>
      <c r="N46" t="str">
        <f t="shared" si="6"/>
        <v>url45 &lt;- 'https://www.advisorkhoj.com/mutual-funds-research/top-performing-systematic-investment-plan?category=Equity:%20ELSS&amp;period=12&amp;amount=3000';url45 &lt;-  read_html (url45);url_tbl45 &lt;- url45 %&gt;%   html_nodes('table') %&gt;%   html_table(fill = TRUE) %&gt;%   .[[1]];url_tbl45 &lt;- data.table(url_tbl45);url_tbl45 &lt;- url_tbl45[, `:=` (url ='ELSS', year =12),];</v>
      </c>
    </row>
    <row r="47" spans="1:14">
      <c r="A47" t="s">
        <v>96</v>
      </c>
      <c r="B47" t="s">
        <v>97</v>
      </c>
      <c r="C47" t="s">
        <v>73</v>
      </c>
      <c r="D47" t="str">
        <f t="shared" si="0"/>
        <v>ELSS</v>
      </c>
      <c r="E47">
        <v>13</v>
      </c>
      <c r="F47" s="159" t="s">
        <v>3</v>
      </c>
      <c r="G47" t="s">
        <v>4</v>
      </c>
      <c r="H47" t="s">
        <v>5</v>
      </c>
      <c r="I47" t="str">
        <f t="shared" si="1"/>
        <v>url46 &lt;- 'https://www.advisorkhoj.com/mutual-funds-research/top-performing-systematic-investment-plan?category=Equity:%20ELSS&amp;period=13&amp;amount=3000';</v>
      </c>
      <c r="J47" t="str">
        <f t="shared" si="2"/>
        <v>url46 &lt;-  read_html (url46);</v>
      </c>
      <c r="K47" t="str">
        <f t="shared" si="3"/>
        <v>url_tbl46 &lt;- url46 %&gt;%   html_nodes('table') %&gt;%   html_table(fill = TRUE) %&gt;%   .[[1]];</v>
      </c>
      <c r="L47" t="str">
        <f t="shared" si="4"/>
        <v>url_tbl46 &lt;- data.table(url_tbl46);</v>
      </c>
      <c r="M47" t="str">
        <f t="shared" si="5"/>
        <v>url_tbl46 &lt;- url_tbl46[, `:=` (url ='ELSS', year =13),];</v>
      </c>
      <c r="N47" t="str">
        <f t="shared" si="6"/>
        <v>url46 &lt;- 'https://www.advisorkhoj.com/mutual-funds-research/top-performing-systematic-investment-plan?category=Equity:%20ELSS&amp;period=13&amp;amount=3000';url46 &lt;-  read_html (url46);url_tbl46 &lt;- url46 %&gt;%   html_nodes('table') %&gt;%   html_table(fill = TRUE) %&gt;%   .[[1]];url_tbl46 &lt;- data.table(url_tbl46);url_tbl46 &lt;- url_tbl46[, `:=` (url ='ELSS', year =13),];</v>
      </c>
    </row>
    <row r="48" spans="1:14">
      <c r="A48" t="s">
        <v>98</v>
      </c>
      <c r="B48" t="s">
        <v>99</v>
      </c>
      <c r="C48" t="s">
        <v>73</v>
      </c>
      <c r="D48" t="str">
        <f t="shared" si="0"/>
        <v>ELSS</v>
      </c>
      <c r="E48">
        <v>14</v>
      </c>
      <c r="F48" s="159" t="s">
        <v>3</v>
      </c>
      <c r="G48" t="s">
        <v>4</v>
      </c>
      <c r="H48" t="s">
        <v>5</v>
      </c>
      <c r="I48" t="str">
        <f t="shared" si="1"/>
        <v>url47 &lt;- 'https://www.advisorkhoj.com/mutual-funds-research/top-performing-systematic-investment-plan?category=Equity:%20ELSS&amp;period=14&amp;amount=3000';</v>
      </c>
      <c r="J48" t="str">
        <f t="shared" si="2"/>
        <v>url47 &lt;-  read_html (url47);</v>
      </c>
      <c r="K48" t="str">
        <f t="shared" si="3"/>
        <v>url_tbl47 &lt;- url47 %&gt;%   html_nodes('table') %&gt;%   html_table(fill = TRUE) %&gt;%   .[[1]];</v>
      </c>
      <c r="L48" t="str">
        <f t="shared" si="4"/>
        <v>url_tbl47 &lt;- data.table(url_tbl47);</v>
      </c>
      <c r="M48" t="str">
        <f t="shared" si="5"/>
        <v>url_tbl47 &lt;- url_tbl47[, `:=` (url ='ELSS', year =14),];</v>
      </c>
      <c r="N48" t="str">
        <f t="shared" si="6"/>
        <v>url47 &lt;- 'https://www.advisorkhoj.com/mutual-funds-research/top-performing-systematic-investment-plan?category=Equity:%20ELSS&amp;period=14&amp;amount=3000';url47 &lt;-  read_html (url47);url_tbl47 &lt;- url47 %&gt;%   html_nodes('table') %&gt;%   html_table(fill = TRUE) %&gt;%   .[[1]];url_tbl47 &lt;- data.table(url_tbl47);url_tbl47 &lt;- url_tbl47[, `:=` (url ='ELSS', year =14),];</v>
      </c>
    </row>
    <row r="49" spans="1:14">
      <c r="A49" t="s">
        <v>100</v>
      </c>
      <c r="B49" t="s">
        <v>101</v>
      </c>
      <c r="C49" t="s">
        <v>73</v>
      </c>
      <c r="D49" t="str">
        <f t="shared" si="0"/>
        <v>ELSS</v>
      </c>
      <c r="E49">
        <v>15</v>
      </c>
      <c r="F49" s="159" t="s">
        <v>3</v>
      </c>
      <c r="G49" t="s">
        <v>4</v>
      </c>
      <c r="H49" t="s">
        <v>5</v>
      </c>
      <c r="I49" t="str">
        <f t="shared" si="1"/>
        <v>url48 &lt;- 'https://www.advisorkhoj.com/mutual-funds-research/top-performing-systematic-investment-plan?category=Equity:%20ELSS&amp;period=15&amp;amount=3000';</v>
      </c>
      <c r="J49" t="str">
        <f t="shared" si="2"/>
        <v>url48 &lt;-  read_html (url48);</v>
      </c>
      <c r="K49" t="str">
        <f t="shared" si="3"/>
        <v>url_tbl48 &lt;- url48 %&gt;%   html_nodes('table') %&gt;%   html_table(fill = TRUE) %&gt;%   .[[1]];</v>
      </c>
      <c r="L49" t="str">
        <f t="shared" si="4"/>
        <v>url_tbl48 &lt;- data.table(url_tbl48);</v>
      </c>
      <c r="M49" t="str">
        <f t="shared" si="5"/>
        <v>url_tbl48 &lt;- url_tbl48[, `:=` (url ='ELSS', year =15),];</v>
      </c>
      <c r="N49" t="str">
        <f t="shared" si="6"/>
        <v>url48 &lt;- 'https://www.advisorkhoj.com/mutual-funds-research/top-performing-systematic-investment-plan?category=Equity:%20ELSS&amp;period=15&amp;amount=3000';url48 &lt;-  read_html (url48);url_tbl48 &lt;- url48 %&gt;%   html_nodes('table') %&gt;%   html_table(fill = TRUE) %&gt;%   .[[1]];url_tbl48 &lt;- data.table(url_tbl48);url_tbl48 &lt;- url_tbl48[, `:=` (url ='ELSS', year =15),];</v>
      </c>
    </row>
    <row r="50" spans="1:14">
      <c r="A50" t="s">
        <v>102</v>
      </c>
      <c r="B50" t="s">
        <v>103</v>
      </c>
      <c r="C50" t="s">
        <v>73</v>
      </c>
      <c r="D50" t="str">
        <f t="shared" si="0"/>
        <v>ELSS</v>
      </c>
      <c r="E50">
        <v>16</v>
      </c>
      <c r="F50" s="159" t="s">
        <v>3</v>
      </c>
      <c r="G50" t="s">
        <v>4</v>
      </c>
      <c r="H50" t="s">
        <v>5</v>
      </c>
      <c r="I50" t="str">
        <f t="shared" si="1"/>
        <v>url49 &lt;- 'https://www.advisorkhoj.com/mutual-funds-research/top-performing-systematic-investment-plan?category=Equity:%20ELSS&amp;period=16&amp;amount=3000';</v>
      </c>
      <c r="J50" t="str">
        <f t="shared" si="2"/>
        <v>url49 &lt;-  read_html (url49);</v>
      </c>
      <c r="K50" t="str">
        <f t="shared" si="3"/>
        <v>url_tbl49 &lt;- url49 %&gt;%   html_nodes('table') %&gt;%   html_table(fill = TRUE) %&gt;%   .[[1]];</v>
      </c>
      <c r="L50" t="str">
        <f t="shared" si="4"/>
        <v>url_tbl49 &lt;- data.table(url_tbl49);</v>
      </c>
      <c r="M50" t="str">
        <f t="shared" si="5"/>
        <v>url_tbl49 &lt;- url_tbl49[, `:=` (url ='ELSS', year =16),];</v>
      </c>
      <c r="N50" t="str">
        <f t="shared" si="6"/>
        <v>url49 &lt;- 'https://www.advisorkhoj.com/mutual-funds-research/top-performing-systematic-investment-plan?category=Equity:%20ELSS&amp;period=16&amp;amount=3000';url49 &lt;-  read_html (url49);url_tbl49 &lt;- url49 %&gt;%   html_nodes('table') %&gt;%   html_table(fill = TRUE) %&gt;%   .[[1]];url_tbl49 &lt;- data.table(url_tbl49);url_tbl49 &lt;- url_tbl49[, `:=` (url ='ELSS', year =16),];</v>
      </c>
    </row>
    <row r="51" spans="1:14">
      <c r="A51" t="s">
        <v>104</v>
      </c>
      <c r="B51" t="s">
        <v>105</v>
      </c>
      <c r="C51" t="s">
        <v>106</v>
      </c>
      <c r="D51" t="str">
        <f t="shared" si="0"/>
        <v>Flexi%20Cap</v>
      </c>
      <c r="E51">
        <v>1</v>
      </c>
      <c r="F51" s="159" t="s">
        <v>3</v>
      </c>
      <c r="G51" t="s">
        <v>4</v>
      </c>
      <c r="H51" t="s">
        <v>5</v>
      </c>
      <c r="I51" t="str">
        <f t="shared" si="1"/>
        <v>url50 &lt;- 'https://www.advisorkhoj.com/mutual-funds-research/top-performing-systematic-investment-plan?category=Equity:%20Flexi%20Cap&amp;period=1&amp;amount=3000';</v>
      </c>
      <c r="J51" t="str">
        <f t="shared" si="2"/>
        <v>url50 &lt;-  read_html (url50);</v>
      </c>
      <c r="K51" t="str">
        <f t="shared" si="3"/>
        <v>url_tbl50 &lt;- url50 %&gt;%   html_nodes('table') %&gt;%   html_table(fill = TRUE) %&gt;%   .[[1]];</v>
      </c>
      <c r="L51" t="str">
        <f t="shared" si="4"/>
        <v>url_tbl50 &lt;- data.table(url_tbl50);</v>
      </c>
      <c r="M51" t="str">
        <f t="shared" si="5"/>
        <v>url_tbl50 &lt;- url_tbl50[, `:=` (url ='Flexi Cap', year =1),];</v>
      </c>
      <c r="N51" t="str">
        <f t="shared" si="6"/>
        <v>url50 &lt;- 'https://www.advisorkhoj.com/mutual-funds-research/top-performing-systematic-investment-plan?category=Equity:%20Flexi%20Cap&amp;period=1&amp;amount=3000';url50 &lt;-  read_html (url50);url_tbl50 &lt;- url50 %&gt;%   html_nodes('table') %&gt;%   html_table(fill = TRUE) %&gt;%   .[[1]];url_tbl50 &lt;- data.table(url_tbl50);url_tbl50 &lt;- url_tbl50[, `:=` (url ='Flexi Cap', year =1),];</v>
      </c>
    </row>
    <row r="52" spans="1:14">
      <c r="A52" t="s">
        <v>107</v>
      </c>
      <c r="B52" t="s">
        <v>108</v>
      </c>
      <c r="C52" t="s">
        <v>106</v>
      </c>
      <c r="D52" t="str">
        <f t="shared" si="0"/>
        <v>Flexi%20Cap</v>
      </c>
      <c r="E52">
        <v>2</v>
      </c>
      <c r="F52" s="159" t="s">
        <v>3</v>
      </c>
      <c r="G52" t="s">
        <v>4</v>
      </c>
      <c r="H52" t="s">
        <v>5</v>
      </c>
      <c r="I52" t="str">
        <f t="shared" si="1"/>
        <v>url51 &lt;- 'https://www.advisorkhoj.com/mutual-funds-research/top-performing-systematic-investment-plan?category=Equity:%20Flexi%20Cap&amp;period=2&amp;amount=3000';</v>
      </c>
      <c r="J52" t="str">
        <f t="shared" si="2"/>
        <v>url51 &lt;-  read_html (url51);</v>
      </c>
      <c r="K52" t="str">
        <f t="shared" si="3"/>
        <v>url_tbl51 &lt;- url51 %&gt;%   html_nodes('table') %&gt;%   html_table(fill = TRUE) %&gt;%   .[[1]];</v>
      </c>
      <c r="L52" t="str">
        <f t="shared" si="4"/>
        <v>url_tbl51 &lt;- data.table(url_tbl51);</v>
      </c>
      <c r="M52" t="str">
        <f t="shared" si="5"/>
        <v>url_tbl51 &lt;- url_tbl51[, `:=` (url ='Flexi Cap', year =2),];</v>
      </c>
      <c r="N52" t="str">
        <f t="shared" si="6"/>
        <v>url51 &lt;- 'https://www.advisorkhoj.com/mutual-funds-research/top-performing-systematic-investment-plan?category=Equity:%20Flexi%20Cap&amp;period=2&amp;amount=3000';url51 &lt;-  read_html (url51);url_tbl51 &lt;- url51 %&gt;%   html_nodes('table') %&gt;%   html_table(fill = TRUE) %&gt;%   .[[1]];url_tbl51 &lt;- data.table(url_tbl51);url_tbl51 &lt;- url_tbl51[, `:=` (url ='Flexi Cap', year =2),];</v>
      </c>
    </row>
    <row r="53" spans="1:14">
      <c r="A53" t="s">
        <v>109</v>
      </c>
      <c r="B53" t="s">
        <v>110</v>
      </c>
      <c r="C53" t="s">
        <v>106</v>
      </c>
      <c r="D53" t="str">
        <f t="shared" si="0"/>
        <v>Flexi%20Cap</v>
      </c>
      <c r="E53">
        <v>3</v>
      </c>
      <c r="F53" s="159" t="s">
        <v>3</v>
      </c>
      <c r="G53" t="s">
        <v>4</v>
      </c>
      <c r="H53" t="s">
        <v>5</v>
      </c>
      <c r="I53" t="str">
        <f t="shared" si="1"/>
        <v>url52 &lt;- 'https://www.advisorkhoj.com/mutual-funds-research/top-performing-systematic-investment-plan?category=Equity:%20Flexi%20Cap&amp;period=3&amp;amount=3000';</v>
      </c>
      <c r="J53" t="str">
        <f t="shared" si="2"/>
        <v>url52 &lt;-  read_html (url52);</v>
      </c>
      <c r="K53" t="str">
        <f t="shared" si="3"/>
        <v>url_tbl52 &lt;- url52 %&gt;%   html_nodes('table') %&gt;%   html_table(fill = TRUE) %&gt;%   .[[1]];</v>
      </c>
      <c r="L53" t="str">
        <f t="shared" si="4"/>
        <v>url_tbl52 &lt;- data.table(url_tbl52);</v>
      </c>
      <c r="M53" t="str">
        <f t="shared" si="5"/>
        <v>url_tbl52 &lt;- url_tbl52[, `:=` (url ='Flexi Cap', year =3),];</v>
      </c>
      <c r="N53" t="str">
        <f t="shared" si="6"/>
        <v>url52 &lt;- 'https://www.advisorkhoj.com/mutual-funds-research/top-performing-systematic-investment-plan?category=Equity:%20Flexi%20Cap&amp;period=3&amp;amount=3000';url52 &lt;-  read_html (url52);url_tbl52 &lt;- url52 %&gt;%   html_nodes('table') %&gt;%   html_table(fill = TRUE) %&gt;%   .[[1]];url_tbl52 &lt;- data.table(url_tbl52);url_tbl52 &lt;- url_tbl52[, `:=` (url ='Flexi Cap', year =3),];</v>
      </c>
    </row>
    <row r="54" spans="1:14">
      <c r="A54" t="s">
        <v>111</v>
      </c>
      <c r="B54" t="s">
        <v>112</v>
      </c>
      <c r="C54" t="s">
        <v>106</v>
      </c>
      <c r="D54" t="str">
        <f t="shared" si="0"/>
        <v>Flexi%20Cap</v>
      </c>
      <c r="E54">
        <v>4</v>
      </c>
      <c r="F54" s="159" t="s">
        <v>3</v>
      </c>
      <c r="G54" t="s">
        <v>4</v>
      </c>
      <c r="H54" t="s">
        <v>5</v>
      </c>
      <c r="I54" t="str">
        <f t="shared" si="1"/>
        <v>url53 &lt;- 'https://www.advisorkhoj.com/mutual-funds-research/top-performing-systematic-investment-plan?category=Equity:%20Flexi%20Cap&amp;period=4&amp;amount=3000';</v>
      </c>
      <c r="J54" t="str">
        <f t="shared" si="2"/>
        <v>url53 &lt;-  read_html (url53);</v>
      </c>
      <c r="K54" t="str">
        <f t="shared" si="3"/>
        <v>url_tbl53 &lt;- url53 %&gt;%   html_nodes('table') %&gt;%   html_table(fill = TRUE) %&gt;%   .[[1]];</v>
      </c>
      <c r="L54" t="str">
        <f t="shared" si="4"/>
        <v>url_tbl53 &lt;- data.table(url_tbl53);</v>
      </c>
      <c r="M54" t="str">
        <f t="shared" si="5"/>
        <v>url_tbl53 &lt;- url_tbl53[, `:=` (url ='Flexi Cap', year =4),];</v>
      </c>
      <c r="N54" t="str">
        <f t="shared" si="6"/>
        <v>url53 &lt;- 'https://www.advisorkhoj.com/mutual-funds-research/top-performing-systematic-investment-plan?category=Equity:%20Flexi%20Cap&amp;period=4&amp;amount=3000';url53 &lt;-  read_html (url53);url_tbl53 &lt;- url53 %&gt;%   html_nodes('table') %&gt;%   html_table(fill = TRUE) %&gt;%   .[[1]];url_tbl53 &lt;- data.table(url_tbl53);url_tbl53 &lt;- url_tbl53[, `:=` (url ='Flexi Cap', year =4),];</v>
      </c>
    </row>
    <row r="55" spans="1:14">
      <c r="A55" t="s">
        <v>113</v>
      </c>
      <c r="B55" t="s">
        <v>114</v>
      </c>
      <c r="C55" t="s">
        <v>106</v>
      </c>
      <c r="D55" t="str">
        <f t="shared" si="0"/>
        <v>Flexi%20Cap</v>
      </c>
      <c r="E55">
        <v>5</v>
      </c>
      <c r="F55" s="159" t="s">
        <v>3</v>
      </c>
      <c r="G55" t="s">
        <v>4</v>
      </c>
      <c r="H55" t="s">
        <v>5</v>
      </c>
      <c r="I55" t="str">
        <f t="shared" si="1"/>
        <v>url54 &lt;- 'https://www.advisorkhoj.com/mutual-funds-research/top-performing-systematic-investment-plan?category=Equity:%20Flexi%20Cap&amp;period=5&amp;amount=3000';</v>
      </c>
      <c r="J55" t="str">
        <f t="shared" si="2"/>
        <v>url54 &lt;-  read_html (url54);</v>
      </c>
      <c r="K55" t="str">
        <f t="shared" si="3"/>
        <v>url_tbl54 &lt;- url54 %&gt;%   html_nodes('table') %&gt;%   html_table(fill = TRUE) %&gt;%   .[[1]];</v>
      </c>
      <c r="L55" t="str">
        <f t="shared" si="4"/>
        <v>url_tbl54 &lt;- data.table(url_tbl54);</v>
      </c>
      <c r="M55" t="str">
        <f t="shared" si="5"/>
        <v>url_tbl54 &lt;- url_tbl54[, `:=` (url ='Flexi Cap', year =5),];</v>
      </c>
      <c r="N55" t="str">
        <f t="shared" si="6"/>
        <v>url54 &lt;- 'https://www.advisorkhoj.com/mutual-funds-research/top-performing-systematic-investment-plan?category=Equity:%20Flexi%20Cap&amp;period=5&amp;amount=3000';url54 &lt;-  read_html (url54);url_tbl54 &lt;- url54 %&gt;%   html_nodes('table') %&gt;%   html_table(fill = TRUE) %&gt;%   .[[1]];url_tbl54 &lt;- data.table(url_tbl54);url_tbl54 &lt;- url_tbl54[, `:=` (url ='Flexi Cap', year =5),];</v>
      </c>
    </row>
    <row r="56" spans="1:14">
      <c r="A56" t="s">
        <v>115</v>
      </c>
      <c r="B56" t="s">
        <v>116</v>
      </c>
      <c r="C56" t="s">
        <v>106</v>
      </c>
      <c r="D56" t="str">
        <f t="shared" si="0"/>
        <v>Flexi%20Cap</v>
      </c>
      <c r="E56">
        <v>6</v>
      </c>
      <c r="F56" s="159" t="s">
        <v>3</v>
      </c>
      <c r="G56" t="s">
        <v>4</v>
      </c>
      <c r="H56" t="s">
        <v>5</v>
      </c>
      <c r="I56" t="str">
        <f t="shared" si="1"/>
        <v>url55 &lt;- 'https://www.advisorkhoj.com/mutual-funds-research/top-performing-systematic-investment-plan?category=Equity:%20Flexi%20Cap&amp;period=6&amp;amount=3000';</v>
      </c>
      <c r="J56" t="str">
        <f t="shared" si="2"/>
        <v>url55 &lt;-  read_html (url55);</v>
      </c>
      <c r="K56" t="str">
        <f t="shared" si="3"/>
        <v>url_tbl55 &lt;- url55 %&gt;%   html_nodes('table') %&gt;%   html_table(fill = TRUE) %&gt;%   .[[1]];</v>
      </c>
      <c r="L56" t="str">
        <f t="shared" si="4"/>
        <v>url_tbl55 &lt;- data.table(url_tbl55);</v>
      </c>
      <c r="M56" t="str">
        <f t="shared" si="5"/>
        <v>url_tbl55 &lt;- url_tbl55[, `:=` (url ='Flexi Cap', year =6),];</v>
      </c>
      <c r="N56" t="str">
        <f t="shared" si="6"/>
        <v>url55 &lt;- 'https://www.advisorkhoj.com/mutual-funds-research/top-performing-systematic-investment-plan?category=Equity:%20Flexi%20Cap&amp;period=6&amp;amount=3000';url55 &lt;-  read_html (url55);url_tbl55 &lt;- url55 %&gt;%   html_nodes('table') %&gt;%   html_table(fill = TRUE) %&gt;%   .[[1]];url_tbl55 &lt;- data.table(url_tbl55);url_tbl55 &lt;- url_tbl55[, `:=` (url ='Flexi Cap', year =6),];</v>
      </c>
    </row>
    <row r="57" spans="1:14">
      <c r="A57" t="s">
        <v>117</v>
      </c>
      <c r="B57" t="s">
        <v>118</v>
      </c>
      <c r="C57" t="s">
        <v>106</v>
      </c>
      <c r="D57" t="str">
        <f t="shared" si="0"/>
        <v>Flexi%20Cap</v>
      </c>
      <c r="E57">
        <v>7</v>
      </c>
      <c r="F57" s="159" t="s">
        <v>3</v>
      </c>
      <c r="G57" t="s">
        <v>4</v>
      </c>
      <c r="H57" t="s">
        <v>5</v>
      </c>
      <c r="I57" t="str">
        <f t="shared" si="1"/>
        <v>url56 &lt;- 'https://www.advisorkhoj.com/mutual-funds-research/top-performing-systematic-investment-plan?category=Equity:%20Flexi%20Cap&amp;period=7&amp;amount=3000';</v>
      </c>
      <c r="J57" t="str">
        <f t="shared" si="2"/>
        <v>url56 &lt;-  read_html (url56);</v>
      </c>
      <c r="K57" t="str">
        <f t="shared" si="3"/>
        <v>url_tbl56 &lt;- url56 %&gt;%   html_nodes('table') %&gt;%   html_table(fill = TRUE) %&gt;%   .[[1]];</v>
      </c>
      <c r="L57" t="str">
        <f t="shared" si="4"/>
        <v>url_tbl56 &lt;- data.table(url_tbl56);</v>
      </c>
      <c r="M57" t="str">
        <f t="shared" si="5"/>
        <v>url_tbl56 &lt;- url_tbl56[, `:=` (url ='Flexi Cap', year =7),];</v>
      </c>
      <c r="N57" t="str">
        <f t="shared" si="6"/>
        <v>url56 &lt;- 'https://www.advisorkhoj.com/mutual-funds-research/top-performing-systematic-investment-plan?category=Equity:%20Flexi%20Cap&amp;period=7&amp;amount=3000';url56 &lt;-  read_html (url56);url_tbl56 &lt;- url56 %&gt;%   html_nodes('table') %&gt;%   html_table(fill = TRUE) %&gt;%   .[[1]];url_tbl56 &lt;- data.table(url_tbl56);url_tbl56 &lt;- url_tbl56[, `:=` (url ='Flexi Cap', year =7),];</v>
      </c>
    </row>
    <row r="58" spans="1:14">
      <c r="A58" t="s">
        <v>119</v>
      </c>
      <c r="B58" t="s">
        <v>120</v>
      </c>
      <c r="C58" t="s">
        <v>106</v>
      </c>
      <c r="D58" t="str">
        <f t="shared" si="0"/>
        <v>Flexi%20Cap</v>
      </c>
      <c r="E58">
        <v>8</v>
      </c>
      <c r="F58" s="159" t="s">
        <v>3</v>
      </c>
      <c r="G58" t="s">
        <v>4</v>
      </c>
      <c r="H58" t="s">
        <v>5</v>
      </c>
      <c r="I58" t="str">
        <f t="shared" si="1"/>
        <v>url57 &lt;- 'https://www.advisorkhoj.com/mutual-funds-research/top-performing-systematic-investment-plan?category=Equity:%20Flexi%20Cap&amp;period=8&amp;amount=3000';</v>
      </c>
      <c r="J58" t="str">
        <f t="shared" si="2"/>
        <v>url57 &lt;-  read_html (url57);</v>
      </c>
      <c r="K58" t="str">
        <f t="shared" si="3"/>
        <v>url_tbl57 &lt;- url57 %&gt;%   html_nodes('table') %&gt;%   html_table(fill = TRUE) %&gt;%   .[[1]];</v>
      </c>
      <c r="L58" t="str">
        <f t="shared" si="4"/>
        <v>url_tbl57 &lt;- data.table(url_tbl57);</v>
      </c>
      <c r="M58" t="str">
        <f t="shared" si="5"/>
        <v>url_tbl57 &lt;- url_tbl57[, `:=` (url ='Flexi Cap', year =8),];</v>
      </c>
      <c r="N58" t="str">
        <f t="shared" si="6"/>
        <v>url57 &lt;- 'https://www.advisorkhoj.com/mutual-funds-research/top-performing-systematic-investment-plan?category=Equity:%20Flexi%20Cap&amp;period=8&amp;amount=3000';url57 &lt;-  read_html (url57);url_tbl57 &lt;- url57 %&gt;%   html_nodes('table') %&gt;%   html_table(fill = TRUE) %&gt;%   .[[1]];url_tbl57 &lt;- data.table(url_tbl57);url_tbl57 &lt;- url_tbl57[, `:=` (url ='Flexi Cap', year =8),];</v>
      </c>
    </row>
    <row r="59" spans="1:14">
      <c r="A59" t="s">
        <v>121</v>
      </c>
      <c r="B59" t="s">
        <v>122</v>
      </c>
      <c r="C59" t="s">
        <v>106</v>
      </c>
      <c r="D59" t="str">
        <f t="shared" si="0"/>
        <v>Flexi%20Cap</v>
      </c>
      <c r="E59">
        <v>9</v>
      </c>
      <c r="F59" s="159" t="s">
        <v>3</v>
      </c>
      <c r="G59" t="s">
        <v>4</v>
      </c>
      <c r="H59" t="s">
        <v>5</v>
      </c>
      <c r="I59" t="str">
        <f t="shared" si="1"/>
        <v>url58 &lt;- 'https://www.advisorkhoj.com/mutual-funds-research/top-performing-systematic-investment-plan?category=Equity:%20Flexi%20Cap&amp;period=9&amp;amount=3000';</v>
      </c>
      <c r="J59" t="str">
        <f t="shared" si="2"/>
        <v>url58 &lt;-  read_html (url58);</v>
      </c>
      <c r="K59" t="str">
        <f t="shared" si="3"/>
        <v>url_tbl58 &lt;- url58 %&gt;%   html_nodes('table') %&gt;%   html_table(fill = TRUE) %&gt;%   .[[1]];</v>
      </c>
      <c r="L59" t="str">
        <f t="shared" si="4"/>
        <v>url_tbl58 &lt;- data.table(url_tbl58);</v>
      </c>
      <c r="M59" t="str">
        <f t="shared" si="5"/>
        <v>url_tbl58 &lt;- url_tbl58[, `:=` (url ='Flexi Cap', year =9),];</v>
      </c>
      <c r="N59" t="str">
        <f t="shared" si="6"/>
        <v>url58 &lt;- 'https://www.advisorkhoj.com/mutual-funds-research/top-performing-systematic-investment-plan?category=Equity:%20Flexi%20Cap&amp;period=9&amp;amount=3000';url58 &lt;-  read_html (url58);url_tbl58 &lt;- url58 %&gt;%   html_nodes('table') %&gt;%   html_table(fill = TRUE) %&gt;%   .[[1]];url_tbl58 &lt;- data.table(url_tbl58);url_tbl58 &lt;- url_tbl58[, `:=` (url ='Flexi Cap', year =9),];</v>
      </c>
    </row>
    <row r="60" spans="1:14">
      <c r="A60" t="s">
        <v>123</v>
      </c>
      <c r="B60" t="s">
        <v>124</v>
      </c>
      <c r="C60" t="s">
        <v>106</v>
      </c>
      <c r="D60" t="str">
        <f t="shared" si="0"/>
        <v>Flexi%20Cap</v>
      </c>
      <c r="E60">
        <v>10</v>
      </c>
      <c r="F60" s="159" t="s">
        <v>3</v>
      </c>
      <c r="G60" t="s">
        <v>4</v>
      </c>
      <c r="H60" t="s">
        <v>5</v>
      </c>
      <c r="I60" t="str">
        <f t="shared" si="1"/>
        <v>url59 &lt;- 'https://www.advisorkhoj.com/mutual-funds-research/top-performing-systematic-investment-plan?category=Equity:%20Flexi%20Cap&amp;period=10&amp;amount=3000';</v>
      </c>
      <c r="J60" t="str">
        <f t="shared" si="2"/>
        <v>url59 &lt;-  read_html (url59);</v>
      </c>
      <c r="K60" t="str">
        <f t="shared" si="3"/>
        <v>url_tbl59 &lt;- url59 %&gt;%   html_nodes('table') %&gt;%   html_table(fill = TRUE) %&gt;%   .[[1]];</v>
      </c>
      <c r="L60" t="str">
        <f t="shared" si="4"/>
        <v>url_tbl59 &lt;- data.table(url_tbl59);</v>
      </c>
      <c r="M60" t="str">
        <f t="shared" si="5"/>
        <v>url_tbl59 &lt;- url_tbl59[, `:=` (url ='Flexi Cap', year =10),];</v>
      </c>
      <c r="N60" t="str">
        <f t="shared" si="6"/>
        <v>url59 &lt;- 'https://www.advisorkhoj.com/mutual-funds-research/top-performing-systematic-investment-plan?category=Equity:%20Flexi%20Cap&amp;period=10&amp;amount=3000';url59 &lt;-  read_html (url59);url_tbl59 &lt;- url59 %&gt;%   html_nodes('table') %&gt;%   html_table(fill = TRUE) %&gt;%   .[[1]];url_tbl59 &lt;- data.table(url_tbl59);url_tbl59 &lt;- url_tbl59[, `:=` (url ='Flexi Cap', year =10),];</v>
      </c>
    </row>
    <row r="61" spans="1:14">
      <c r="A61" t="s">
        <v>125</v>
      </c>
      <c r="B61" t="s">
        <v>126</v>
      </c>
      <c r="C61" t="s">
        <v>106</v>
      </c>
      <c r="D61" t="str">
        <f t="shared" si="0"/>
        <v>Flexi%20Cap</v>
      </c>
      <c r="E61">
        <v>11</v>
      </c>
      <c r="F61" s="159" t="s">
        <v>3</v>
      </c>
      <c r="G61" t="s">
        <v>4</v>
      </c>
      <c r="H61" t="s">
        <v>5</v>
      </c>
      <c r="I61" t="str">
        <f t="shared" si="1"/>
        <v>url60 &lt;- 'https://www.advisorkhoj.com/mutual-funds-research/top-performing-systematic-investment-plan?category=Equity:%20Flexi%20Cap&amp;period=11&amp;amount=3000';</v>
      </c>
      <c r="J61" t="str">
        <f t="shared" si="2"/>
        <v>url60 &lt;-  read_html (url60);</v>
      </c>
      <c r="K61" t="str">
        <f t="shared" si="3"/>
        <v>url_tbl60 &lt;- url60 %&gt;%   html_nodes('table') %&gt;%   html_table(fill = TRUE) %&gt;%   .[[1]];</v>
      </c>
      <c r="L61" t="str">
        <f t="shared" si="4"/>
        <v>url_tbl60 &lt;- data.table(url_tbl60);</v>
      </c>
      <c r="M61" t="str">
        <f t="shared" si="5"/>
        <v>url_tbl60 &lt;- url_tbl60[, `:=` (url ='Flexi Cap', year =11),];</v>
      </c>
      <c r="N61" t="str">
        <f t="shared" si="6"/>
        <v>url60 &lt;- 'https://www.advisorkhoj.com/mutual-funds-research/top-performing-systematic-investment-plan?category=Equity:%20Flexi%20Cap&amp;period=11&amp;amount=3000';url60 &lt;-  read_html (url60);url_tbl60 &lt;- url60 %&gt;%   html_nodes('table') %&gt;%   html_table(fill = TRUE) %&gt;%   .[[1]];url_tbl60 &lt;- data.table(url_tbl60);url_tbl60 &lt;- url_tbl60[, `:=` (url ='Flexi Cap', year =11),];</v>
      </c>
    </row>
    <row r="62" spans="1:14">
      <c r="A62" t="s">
        <v>127</v>
      </c>
      <c r="B62" t="s">
        <v>128</v>
      </c>
      <c r="C62" t="s">
        <v>106</v>
      </c>
      <c r="D62" t="str">
        <f t="shared" si="0"/>
        <v>Flexi%20Cap</v>
      </c>
      <c r="E62">
        <v>12</v>
      </c>
      <c r="F62" s="159" t="s">
        <v>3</v>
      </c>
      <c r="G62" t="s">
        <v>4</v>
      </c>
      <c r="H62" t="s">
        <v>5</v>
      </c>
      <c r="I62" t="str">
        <f t="shared" si="1"/>
        <v>url61 &lt;- 'https://www.advisorkhoj.com/mutual-funds-research/top-performing-systematic-investment-plan?category=Equity:%20Flexi%20Cap&amp;period=12&amp;amount=3000';</v>
      </c>
      <c r="J62" t="str">
        <f t="shared" si="2"/>
        <v>url61 &lt;-  read_html (url61);</v>
      </c>
      <c r="K62" t="str">
        <f t="shared" si="3"/>
        <v>url_tbl61 &lt;- url61 %&gt;%   html_nodes('table') %&gt;%   html_table(fill = TRUE) %&gt;%   .[[1]];</v>
      </c>
      <c r="L62" t="str">
        <f t="shared" si="4"/>
        <v>url_tbl61 &lt;- data.table(url_tbl61);</v>
      </c>
      <c r="M62" t="str">
        <f t="shared" si="5"/>
        <v>url_tbl61 &lt;- url_tbl61[, `:=` (url ='Flexi Cap', year =12),];</v>
      </c>
      <c r="N62" t="str">
        <f t="shared" si="6"/>
        <v>url61 &lt;- 'https://www.advisorkhoj.com/mutual-funds-research/top-performing-systematic-investment-plan?category=Equity:%20Flexi%20Cap&amp;period=12&amp;amount=3000';url61 &lt;-  read_html (url61);url_tbl61 &lt;- url61 %&gt;%   html_nodes('table') %&gt;%   html_table(fill = TRUE) %&gt;%   .[[1]];url_tbl61 &lt;- data.table(url_tbl61);url_tbl61 &lt;- url_tbl61[, `:=` (url ='Flexi Cap', year =12),];</v>
      </c>
    </row>
    <row r="63" spans="1:14">
      <c r="A63" t="s">
        <v>129</v>
      </c>
      <c r="B63" t="s">
        <v>130</v>
      </c>
      <c r="C63" t="s">
        <v>106</v>
      </c>
      <c r="D63" t="str">
        <f t="shared" si="0"/>
        <v>Flexi%20Cap</v>
      </c>
      <c r="E63">
        <v>13</v>
      </c>
      <c r="F63" s="159" t="s">
        <v>3</v>
      </c>
      <c r="G63" t="s">
        <v>4</v>
      </c>
      <c r="H63" t="s">
        <v>5</v>
      </c>
      <c r="I63" t="str">
        <f t="shared" si="1"/>
        <v>url62 &lt;- 'https://www.advisorkhoj.com/mutual-funds-research/top-performing-systematic-investment-plan?category=Equity:%20Flexi%20Cap&amp;period=13&amp;amount=3000';</v>
      </c>
      <c r="J63" t="str">
        <f t="shared" si="2"/>
        <v>url62 &lt;-  read_html (url62);</v>
      </c>
      <c r="K63" t="str">
        <f t="shared" si="3"/>
        <v>url_tbl62 &lt;- url62 %&gt;%   html_nodes('table') %&gt;%   html_table(fill = TRUE) %&gt;%   .[[1]];</v>
      </c>
      <c r="L63" t="str">
        <f t="shared" si="4"/>
        <v>url_tbl62 &lt;- data.table(url_tbl62);</v>
      </c>
      <c r="M63" t="str">
        <f t="shared" si="5"/>
        <v>url_tbl62 &lt;- url_tbl62[, `:=` (url ='Flexi Cap', year =13),];</v>
      </c>
      <c r="N63" t="str">
        <f t="shared" si="6"/>
        <v>url62 &lt;- 'https://www.advisorkhoj.com/mutual-funds-research/top-performing-systematic-investment-plan?category=Equity:%20Flexi%20Cap&amp;period=13&amp;amount=3000';url62 &lt;-  read_html (url62);url_tbl62 &lt;- url62 %&gt;%   html_nodes('table') %&gt;%   html_table(fill = TRUE) %&gt;%   .[[1]];url_tbl62 &lt;- data.table(url_tbl62);url_tbl62 &lt;- url_tbl62[, `:=` (url ='Flexi Cap', year =13),];</v>
      </c>
    </row>
    <row r="64" spans="1:14">
      <c r="A64" t="s">
        <v>131</v>
      </c>
      <c r="B64" t="s">
        <v>132</v>
      </c>
      <c r="C64" t="s">
        <v>106</v>
      </c>
      <c r="D64" t="str">
        <f t="shared" si="0"/>
        <v>Flexi%20Cap</v>
      </c>
      <c r="E64">
        <v>14</v>
      </c>
      <c r="F64" s="159" t="s">
        <v>3</v>
      </c>
      <c r="G64" t="s">
        <v>4</v>
      </c>
      <c r="H64" t="s">
        <v>5</v>
      </c>
      <c r="I64" t="str">
        <f t="shared" si="1"/>
        <v>url63 &lt;- 'https://www.advisorkhoj.com/mutual-funds-research/top-performing-systematic-investment-plan?category=Equity:%20Flexi%20Cap&amp;period=14&amp;amount=3000';</v>
      </c>
      <c r="J64" t="str">
        <f t="shared" si="2"/>
        <v>url63 &lt;-  read_html (url63);</v>
      </c>
      <c r="K64" t="str">
        <f t="shared" si="3"/>
        <v>url_tbl63 &lt;- url63 %&gt;%   html_nodes('table') %&gt;%   html_table(fill = TRUE) %&gt;%   .[[1]];</v>
      </c>
      <c r="L64" t="str">
        <f t="shared" si="4"/>
        <v>url_tbl63 &lt;- data.table(url_tbl63);</v>
      </c>
      <c r="M64" t="str">
        <f t="shared" si="5"/>
        <v>url_tbl63 &lt;- url_tbl63[, `:=` (url ='Flexi Cap', year =14),];</v>
      </c>
      <c r="N64" t="str">
        <f t="shared" si="6"/>
        <v>url63 &lt;- 'https://www.advisorkhoj.com/mutual-funds-research/top-performing-systematic-investment-plan?category=Equity:%20Flexi%20Cap&amp;period=14&amp;amount=3000';url63 &lt;-  read_html (url63);url_tbl63 &lt;- url63 %&gt;%   html_nodes('table') %&gt;%   html_table(fill = TRUE) %&gt;%   .[[1]];url_tbl63 &lt;- data.table(url_tbl63);url_tbl63 &lt;- url_tbl63[, `:=` (url ='Flexi Cap', year =14),];</v>
      </c>
    </row>
    <row r="65" spans="1:14">
      <c r="A65" t="s">
        <v>133</v>
      </c>
      <c r="B65" t="s">
        <v>134</v>
      </c>
      <c r="C65" t="s">
        <v>106</v>
      </c>
      <c r="D65" t="str">
        <f t="shared" si="0"/>
        <v>Flexi%20Cap</v>
      </c>
      <c r="E65">
        <v>15</v>
      </c>
      <c r="F65" s="159" t="s">
        <v>3</v>
      </c>
      <c r="G65" t="s">
        <v>4</v>
      </c>
      <c r="H65" t="s">
        <v>5</v>
      </c>
      <c r="I65" t="str">
        <f t="shared" si="1"/>
        <v>url64 &lt;- 'https://www.advisorkhoj.com/mutual-funds-research/top-performing-systematic-investment-plan?category=Equity:%20Flexi%20Cap&amp;period=15&amp;amount=3000';</v>
      </c>
      <c r="J65" t="str">
        <f t="shared" si="2"/>
        <v>url64 &lt;-  read_html (url64);</v>
      </c>
      <c r="K65" t="str">
        <f t="shared" si="3"/>
        <v>url_tbl64 &lt;- url64 %&gt;%   html_nodes('table') %&gt;%   html_table(fill = TRUE) %&gt;%   .[[1]];</v>
      </c>
      <c r="L65" t="str">
        <f t="shared" si="4"/>
        <v>url_tbl64 &lt;- data.table(url_tbl64);</v>
      </c>
      <c r="M65" t="str">
        <f t="shared" si="5"/>
        <v>url_tbl64 &lt;- url_tbl64[, `:=` (url ='Flexi Cap', year =15),];</v>
      </c>
      <c r="N65" t="str">
        <f t="shared" si="6"/>
        <v>url64 &lt;- 'https://www.advisorkhoj.com/mutual-funds-research/top-performing-systematic-investment-plan?category=Equity:%20Flexi%20Cap&amp;period=15&amp;amount=3000';url64 &lt;-  read_html (url64);url_tbl64 &lt;- url64 %&gt;%   html_nodes('table') %&gt;%   html_table(fill = TRUE) %&gt;%   .[[1]];url_tbl64 &lt;- data.table(url_tbl64);url_tbl64 &lt;- url_tbl64[, `:=` (url ='Flexi Cap', year =15),];</v>
      </c>
    </row>
    <row r="66" spans="1:14">
      <c r="A66" t="s">
        <v>135</v>
      </c>
      <c r="B66" t="s">
        <v>136</v>
      </c>
      <c r="C66" t="s">
        <v>106</v>
      </c>
      <c r="D66" t="str">
        <f t="shared" si="0"/>
        <v>Flexi%20Cap</v>
      </c>
      <c r="E66">
        <v>16</v>
      </c>
      <c r="F66" s="159" t="s">
        <v>3</v>
      </c>
      <c r="G66" t="s">
        <v>4</v>
      </c>
      <c r="H66" t="s">
        <v>5</v>
      </c>
      <c r="I66" t="str">
        <f t="shared" si="1"/>
        <v>url65 &lt;- 'https://www.advisorkhoj.com/mutual-funds-research/top-performing-systematic-investment-plan?category=Equity:%20Flexi%20Cap&amp;period=16&amp;amount=3000';</v>
      </c>
      <c r="J66" t="str">
        <f t="shared" si="2"/>
        <v>url65 &lt;-  read_html (url65);</v>
      </c>
      <c r="K66" t="str">
        <f t="shared" si="3"/>
        <v>url_tbl65 &lt;- url65 %&gt;%   html_nodes('table') %&gt;%   html_table(fill = TRUE) %&gt;%   .[[1]];</v>
      </c>
      <c r="L66" t="str">
        <f t="shared" si="4"/>
        <v>url_tbl65 &lt;- data.table(url_tbl65);</v>
      </c>
      <c r="M66" t="str">
        <f t="shared" si="5"/>
        <v>url_tbl65 &lt;- url_tbl65[, `:=` (url ='Flexi Cap', year =16),];</v>
      </c>
      <c r="N66" t="str">
        <f t="shared" si="6"/>
        <v>url65 &lt;- 'https://www.advisorkhoj.com/mutual-funds-research/top-performing-systematic-investment-plan?category=Equity:%20Flexi%20Cap&amp;period=16&amp;amount=3000';url65 &lt;-  read_html (url65);url_tbl65 &lt;- url65 %&gt;%   html_nodes('table') %&gt;%   html_table(fill = TRUE) %&gt;%   .[[1]];url_tbl65 &lt;- data.table(url_tbl65);url_tbl65 &lt;- url_tbl65[, `:=` (url ='Flexi Cap', year =16),];</v>
      </c>
    </row>
    <row r="67" spans="1:14">
      <c r="A67" t="s">
        <v>137</v>
      </c>
      <c r="B67" t="s">
        <v>138</v>
      </c>
      <c r="C67" t="s">
        <v>139</v>
      </c>
      <c r="D67" t="str">
        <f t="shared" ref="D67:D130" si="7">SUBSTITUTE(C67," ", "%20")</f>
        <v>Focused</v>
      </c>
      <c r="E67">
        <v>1</v>
      </c>
      <c r="F67" s="159" t="s">
        <v>3</v>
      </c>
      <c r="G67" t="s">
        <v>4</v>
      </c>
      <c r="H67" t="s">
        <v>5</v>
      </c>
      <c r="I67" t="str">
        <f t="shared" ref="I67:I130" si="8">CONCATENATE(A67, " &lt;- '", F67, D67, G67, E67, H67, "';")</f>
        <v>url66 &lt;- 'https://www.advisorkhoj.com/mutual-funds-research/top-performing-systematic-investment-plan?category=Equity:%20Focused&amp;period=1&amp;amount=3000';</v>
      </c>
      <c r="J67" t="str">
        <f t="shared" ref="J67:J130" si="9">CONCATENATE(A67, " &lt;-  read_html (", A67, ");")</f>
        <v>url66 &lt;-  read_html (url66);</v>
      </c>
      <c r="K67" t="str">
        <f t="shared" ref="K67:K130" si="10">CONCATENATE(B67, " &lt;- ", A67, " %&gt;%   html_nodes('table') %&gt;%   html_table(fill = TRUE) %&gt;%   .[[1]];")</f>
        <v>url_tbl66 &lt;- url66 %&gt;%   html_nodes('table') %&gt;%   html_table(fill = TRUE) %&gt;%   .[[1]];</v>
      </c>
      <c r="L67" t="str">
        <f t="shared" ref="L67:L130" si="11">CONCATENATE(B67, " &lt;- data.table(", B67, ");" )</f>
        <v>url_tbl66 &lt;- data.table(url_tbl66);</v>
      </c>
      <c r="M67" t="str">
        <f t="shared" ref="M67:M130" si="12">CONCATENATE(B67, " &lt;- ", B67, "[, `:=` (url ='",C67, "', year =", E67, "),];" )</f>
        <v>url_tbl66 &lt;- url_tbl66[, `:=` (url ='Focused', year =1),];</v>
      </c>
      <c r="N67" t="str">
        <f t="shared" ref="N67:N130" si="13">CONCATENATE(I67, J67, K67, L67, M67)</f>
        <v>url66 &lt;- 'https://www.advisorkhoj.com/mutual-funds-research/top-performing-systematic-investment-plan?category=Equity:%20Focused&amp;period=1&amp;amount=3000';url66 &lt;-  read_html (url66);url_tbl66 &lt;- url66 %&gt;%   html_nodes('table') %&gt;%   html_table(fill = TRUE) %&gt;%   .[[1]];url_tbl66 &lt;- data.table(url_tbl66);url_tbl66 &lt;- url_tbl66[, `:=` (url ='Focused', year =1),];</v>
      </c>
    </row>
    <row r="68" spans="1:14">
      <c r="A68" t="s">
        <v>140</v>
      </c>
      <c r="B68" t="s">
        <v>141</v>
      </c>
      <c r="C68" t="s">
        <v>139</v>
      </c>
      <c r="D68" t="str">
        <f t="shared" si="7"/>
        <v>Focused</v>
      </c>
      <c r="E68">
        <v>2</v>
      </c>
      <c r="F68" s="159" t="s">
        <v>3</v>
      </c>
      <c r="G68" t="s">
        <v>4</v>
      </c>
      <c r="H68" t="s">
        <v>5</v>
      </c>
      <c r="I68" t="str">
        <f t="shared" si="8"/>
        <v>url67 &lt;- 'https://www.advisorkhoj.com/mutual-funds-research/top-performing-systematic-investment-plan?category=Equity:%20Focused&amp;period=2&amp;amount=3000';</v>
      </c>
      <c r="J68" t="str">
        <f t="shared" si="9"/>
        <v>url67 &lt;-  read_html (url67);</v>
      </c>
      <c r="K68" t="str">
        <f t="shared" si="10"/>
        <v>url_tbl67 &lt;- url67 %&gt;%   html_nodes('table') %&gt;%   html_table(fill = TRUE) %&gt;%   .[[1]];</v>
      </c>
      <c r="L68" t="str">
        <f t="shared" si="11"/>
        <v>url_tbl67 &lt;- data.table(url_tbl67);</v>
      </c>
      <c r="M68" t="str">
        <f t="shared" si="12"/>
        <v>url_tbl67 &lt;- url_tbl67[, `:=` (url ='Focused', year =2),];</v>
      </c>
      <c r="N68" t="str">
        <f t="shared" si="13"/>
        <v>url67 &lt;- 'https://www.advisorkhoj.com/mutual-funds-research/top-performing-systematic-investment-plan?category=Equity:%20Focused&amp;period=2&amp;amount=3000';url67 &lt;-  read_html (url67);url_tbl67 &lt;- url67 %&gt;%   html_nodes('table') %&gt;%   html_table(fill = TRUE) %&gt;%   .[[1]];url_tbl67 &lt;- data.table(url_tbl67);url_tbl67 &lt;- url_tbl67[, `:=` (url ='Focused', year =2),];</v>
      </c>
    </row>
    <row r="69" spans="1:14">
      <c r="A69" t="s">
        <v>142</v>
      </c>
      <c r="B69" t="s">
        <v>143</v>
      </c>
      <c r="C69" t="s">
        <v>139</v>
      </c>
      <c r="D69" t="str">
        <f t="shared" si="7"/>
        <v>Focused</v>
      </c>
      <c r="E69">
        <v>3</v>
      </c>
      <c r="F69" s="159" t="s">
        <v>3</v>
      </c>
      <c r="G69" t="s">
        <v>4</v>
      </c>
      <c r="H69" t="s">
        <v>5</v>
      </c>
      <c r="I69" t="str">
        <f t="shared" si="8"/>
        <v>url68 &lt;- 'https://www.advisorkhoj.com/mutual-funds-research/top-performing-systematic-investment-plan?category=Equity:%20Focused&amp;period=3&amp;amount=3000';</v>
      </c>
      <c r="J69" t="str">
        <f t="shared" si="9"/>
        <v>url68 &lt;-  read_html (url68);</v>
      </c>
      <c r="K69" t="str">
        <f t="shared" si="10"/>
        <v>url_tbl68 &lt;- url68 %&gt;%   html_nodes('table') %&gt;%   html_table(fill = TRUE) %&gt;%   .[[1]];</v>
      </c>
      <c r="L69" t="str">
        <f t="shared" si="11"/>
        <v>url_tbl68 &lt;- data.table(url_tbl68);</v>
      </c>
      <c r="M69" t="str">
        <f t="shared" si="12"/>
        <v>url_tbl68 &lt;- url_tbl68[, `:=` (url ='Focused', year =3),];</v>
      </c>
      <c r="N69" t="str">
        <f t="shared" si="13"/>
        <v>url68 &lt;- 'https://www.advisorkhoj.com/mutual-funds-research/top-performing-systematic-investment-plan?category=Equity:%20Focused&amp;period=3&amp;amount=3000';url68 &lt;-  read_html (url68);url_tbl68 &lt;- url68 %&gt;%   html_nodes('table') %&gt;%   html_table(fill = TRUE) %&gt;%   .[[1]];url_tbl68 &lt;- data.table(url_tbl68);url_tbl68 &lt;- url_tbl68[, `:=` (url ='Focused', year =3),];</v>
      </c>
    </row>
    <row r="70" spans="1:14">
      <c r="A70" t="s">
        <v>144</v>
      </c>
      <c r="B70" t="s">
        <v>145</v>
      </c>
      <c r="C70" t="s">
        <v>139</v>
      </c>
      <c r="D70" t="str">
        <f t="shared" si="7"/>
        <v>Focused</v>
      </c>
      <c r="E70">
        <v>4</v>
      </c>
      <c r="F70" s="159" t="s">
        <v>3</v>
      </c>
      <c r="G70" t="s">
        <v>4</v>
      </c>
      <c r="H70" t="s">
        <v>5</v>
      </c>
      <c r="I70" t="str">
        <f t="shared" si="8"/>
        <v>url69 &lt;- 'https://www.advisorkhoj.com/mutual-funds-research/top-performing-systematic-investment-plan?category=Equity:%20Focused&amp;period=4&amp;amount=3000';</v>
      </c>
      <c r="J70" t="str">
        <f t="shared" si="9"/>
        <v>url69 &lt;-  read_html (url69);</v>
      </c>
      <c r="K70" t="str">
        <f t="shared" si="10"/>
        <v>url_tbl69 &lt;- url69 %&gt;%   html_nodes('table') %&gt;%   html_table(fill = TRUE) %&gt;%   .[[1]];</v>
      </c>
      <c r="L70" t="str">
        <f t="shared" si="11"/>
        <v>url_tbl69 &lt;- data.table(url_tbl69);</v>
      </c>
      <c r="M70" t="str">
        <f t="shared" si="12"/>
        <v>url_tbl69 &lt;- url_tbl69[, `:=` (url ='Focused', year =4),];</v>
      </c>
      <c r="N70" t="str">
        <f t="shared" si="13"/>
        <v>url69 &lt;- 'https://www.advisorkhoj.com/mutual-funds-research/top-performing-systematic-investment-plan?category=Equity:%20Focused&amp;period=4&amp;amount=3000';url69 &lt;-  read_html (url69);url_tbl69 &lt;- url69 %&gt;%   html_nodes('table') %&gt;%   html_table(fill = TRUE) %&gt;%   .[[1]];url_tbl69 &lt;- data.table(url_tbl69);url_tbl69 &lt;- url_tbl69[, `:=` (url ='Focused', year =4),];</v>
      </c>
    </row>
    <row r="71" spans="1:14">
      <c r="A71" t="s">
        <v>146</v>
      </c>
      <c r="B71" t="s">
        <v>147</v>
      </c>
      <c r="C71" t="s">
        <v>139</v>
      </c>
      <c r="D71" t="str">
        <f t="shared" si="7"/>
        <v>Focused</v>
      </c>
      <c r="E71">
        <v>5</v>
      </c>
      <c r="F71" s="159" t="s">
        <v>3</v>
      </c>
      <c r="G71" t="s">
        <v>4</v>
      </c>
      <c r="H71" t="s">
        <v>5</v>
      </c>
      <c r="I71" t="str">
        <f t="shared" si="8"/>
        <v>url70 &lt;- 'https://www.advisorkhoj.com/mutual-funds-research/top-performing-systematic-investment-plan?category=Equity:%20Focused&amp;period=5&amp;amount=3000';</v>
      </c>
      <c r="J71" t="str">
        <f t="shared" si="9"/>
        <v>url70 &lt;-  read_html (url70);</v>
      </c>
      <c r="K71" t="str">
        <f t="shared" si="10"/>
        <v>url_tbl70 &lt;- url70 %&gt;%   html_nodes('table') %&gt;%   html_table(fill = TRUE) %&gt;%   .[[1]];</v>
      </c>
      <c r="L71" t="str">
        <f t="shared" si="11"/>
        <v>url_tbl70 &lt;- data.table(url_tbl70);</v>
      </c>
      <c r="M71" t="str">
        <f t="shared" si="12"/>
        <v>url_tbl70 &lt;- url_tbl70[, `:=` (url ='Focused', year =5),];</v>
      </c>
      <c r="N71" t="str">
        <f t="shared" si="13"/>
        <v>url70 &lt;- 'https://www.advisorkhoj.com/mutual-funds-research/top-performing-systematic-investment-plan?category=Equity:%20Focused&amp;period=5&amp;amount=3000';url70 &lt;-  read_html (url70);url_tbl70 &lt;- url70 %&gt;%   html_nodes('table') %&gt;%   html_table(fill = TRUE) %&gt;%   .[[1]];url_tbl70 &lt;- data.table(url_tbl70);url_tbl70 &lt;- url_tbl70[, `:=` (url ='Focused', year =5),];</v>
      </c>
    </row>
    <row r="72" spans="1:14">
      <c r="A72" t="s">
        <v>148</v>
      </c>
      <c r="B72" t="s">
        <v>149</v>
      </c>
      <c r="C72" t="s">
        <v>139</v>
      </c>
      <c r="D72" t="str">
        <f t="shared" si="7"/>
        <v>Focused</v>
      </c>
      <c r="E72">
        <v>6</v>
      </c>
      <c r="F72" s="159" t="s">
        <v>3</v>
      </c>
      <c r="G72" t="s">
        <v>4</v>
      </c>
      <c r="H72" t="s">
        <v>5</v>
      </c>
      <c r="I72" t="str">
        <f t="shared" si="8"/>
        <v>url71 &lt;- 'https://www.advisorkhoj.com/mutual-funds-research/top-performing-systematic-investment-plan?category=Equity:%20Focused&amp;period=6&amp;amount=3000';</v>
      </c>
      <c r="J72" t="str">
        <f t="shared" si="9"/>
        <v>url71 &lt;-  read_html (url71);</v>
      </c>
      <c r="K72" t="str">
        <f t="shared" si="10"/>
        <v>url_tbl71 &lt;- url71 %&gt;%   html_nodes('table') %&gt;%   html_table(fill = TRUE) %&gt;%   .[[1]];</v>
      </c>
      <c r="L72" t="str">
        <f t="shared" si="11"/>
        <v>url_tbl71 &lt;- data.table(url_tbl71);</v>
      </c>
      <c r="M72" t="str">
        <f t="shared" si="12"/>
        <v>url_tbl71 &lt;- url_tbl71[, `:=` (url ='Focused', year =6),];</v>
      </c>
      <c r="N72" t="str">
        <f t="shared" si="13"/>
        <v>url71 &lt;- 'https://www.advisorkhoj.com/mutual-funds-research/top-performing-systematic-investment-plan?category=Equity:%20Focused&amp;period=6&amp;amount=3000';url71 &lt;-  read_html (url71);url_tbl71 &lt;- url71 %&gt;%   html_nodes('table') %&gt;%   html_table(fill = TRUE) %&gt;%   .[[1]];url_tbl71 &lt;- data.table(url_tbl71);url_tbl71 &lt;- url_tbl71[, `:=` (url ='Focused', year =6),];</v>
      </c>
    </row>
    <row r="73" spans="1:14">
      <c r="A73" t="s">
        <v>150</v>
      </c>
      <c r="B73" t="s">
        <v>151</v>
      </c>
      <c r="C73" t="s">
        <v>139</v>
      </c>
      <c r="D73" t="str">
        <f t="shared" si="7"/>
        <v>Focused</v>
      </c>
      <c r="E73">
        <v>7</v>
      </c>
      <c r="F73" s="159" t="s">
        <v>3</v>
      </c>
      <c r="G73" t="s">
        <v>4</v>
      </c>
      <c r="H73" t="s">
        <v>5</v>
      </c>
      <c r="I73" t="str">
        <f t="shared" si="8"/>
        <v>url72 &lt;- 'https://www.advisorkhoj.com/mutual-funds-research/top-performing-systematic-investment-plan?category=Equity:%20Focused&amp;period=7&amp;amount=3000';</v>
      </c>
      <c r="J73" t="str">
        <f t="shared" si="9"/>
        <v>url72 &lt;-  read_html (url72);</v>
      </c>
      <c r="K73" t="str">
        <f t="shared" si="10"/>
        <v>url_tbl72 &lt;- url72 %&gt;%   html_nodes('table') %&gt;%   html_table(fill = TRUE) %&gt;%   .[[1]];</v>
      </c>
      <c r="L73" t="str">
        <f t="shared" si="11"/>
        <v>url_tbl72 &lt;- data.table(url_tbl72);</v>
      </c>
      <c r="M73" t="str">
        <f t="shared" si="12"/>
        <v>url_tbl72 &lt;- url_tbl72[, `:=` (url ='Focused', year =7),];</v>
      </c>
      <c r="N73" t="str">
        <f t="shared" si="13"/>
        <v>url72 &lt;- 'https://www.advisorkhoj.com/mutual-funds-research/top-performing-systematic-investment-plan?category=Equity:%20Focused&amp;period=7&amp;amount=3000';url72 &lt;-  read_html (url72);url_tbl72 &lt;- url72 %&gt;%   html_nodes('table') %&gt;%   html_table(fill = TRUE) %&gt;%   .[[1]];url_tbl72 &lt;- data.table(url_tbl72);url_tbl72 &lt;- url_tbl72[, `:=` (url ='Focused', year =7),];</v>
      </c>
    </row>
    <row r="74" spans="1:14">
      <c r="A74" t="s">
        <v>152</v>
      </c>
      <c r="B74" t="s">
        <v>153</v>
      </c>
      <c r="C74" t="s">
        <v>139</v>
      </c>
      <c r="D74" t="str">
        <f t="shared" si="7"/>
        <v>Focused</v>
      </c>
      <c r="E74">
        <v>8</v>
      </c>
      <c r="F74" s="159" t="s">
        <v>3</v>
      </c>
      <c r="G74" t="s">
        <v>4</v>
      </c>
      <c r="H74" t="s">
        <v>5</v>
      </c>
      <c r="I74" t="str">
        <f t="shared" si="8"/>
        <v>url73 &lt;- 'https://www.advisorkhoj.com/mutual-funds-research/top-performing-systematic-investment-plan?category=Equity:%20Focused&amp;period=8&amp;amount=3000';</v>
      </c>
      <c r="J74" t="str">
        <f t="shared" si="9"/>
        <v>url73 &lt;-  read_html (url73);</v>
      </c>
      <c r="K74" t="str">
        <f t="shared" si="10"/>
        <v>url_tbl73 &lt;- url73 %&gt;%   html_nodes('table') %&gt;%   html_table(fill = TRUE) %&gt;%   .[[1]];</v>
      </c>
      <c r="L74" t="str">
        <f t="shared" si="11"/>
        <v>url_tbl73 &lt;- data.table(url_tbl73);</v>
      </c>
      <c r="M74" t="str">
        <f t="shared" si="12"/>
        <v>url_tbl73 &lt;- url_tbl73[, `:=` (url ='Focused', year =8),];</v>
      </c>
      <c r="N74" t="str">
        <f t="shared" si="13"/>
        <v>url73 &lt;- 'https://www.advisorkhoj.com/mutual-funds-research/top-performing-systematic-investment-plan?category=Equity:%20Focused&amp;period=8&amp;amount=3000';url73 &lt;-  read_html (url73);url_tbl73 &lt;- url73 %&gt;%   html_nodes('table') %&gt;%   html_table(fill = TRUE) %&gt;%   .[[1]];url_tbl73 &lt;- data.table(url_tbl73);url_tbl73 &lt;- url_tbl73[, `:=` (url ='Focused', year =8),];</v>
      </c>
    </row>
    <row r="75" spans="1:14">
      <c r="A75" t="s">
        <v>154</v>
      </c>
      <c r="B75" t="s">
        <v>155</v>
      </c>
      <c r="C75" t="s">
        <v>139</v>
      </c>
      <c r="D75" t="str">
        <f t="shared" si="7"/>
        <v>Focused</v>
      </c>
      <c r="E75">
        <v>9</v>
      </c>
      <c r="F75" s="159" t="s">
        <v>3</v>
      </c>
      <c r="G75" t="s">
        <v>4</v>
      </c>
      <c r="H75" t="s">
        <v>5</v>
      </c>
      <c r="I75" t="str">
        <f t="shared" si="8"/>
        <v>url74 &lt;- 'https://www.advisorkhoj.com/mutual-funds-research/top-performing-systematic-investment-plan?category=Equity:%20Focused&amp;period=9&amp;amount=3000';</v>
      </c>
      <c r="J75" t="str">
        <f t="shared" si="9"/>
        <v>url74 &lt;-  read_html (url74);</v>
      </c>
      <c r="K75" t="str">
        <f t="shared" si="10"/>
        <v>url_tbl74 &lt;- url74 %&gt;%   html_nodes('table') %&gt;%   html_table(fill = TRUE) %&gt;%   .[[1]];</v>
      </c>
      <c r="L75" t="str">
        <f t="shared" si="11"/>
        <v>url_tbl74 &lt;- data.table(url_tbl74);</v>
      </c>
      <c r="M75" t="str">
        <f t="shared" si="12"/>
        <v>url_tbl74 &lt;- url_tbl74[, `:=` (url ='Focused', year =9),];</v>
      </c>
      <c r="N75" t="str">
        <f t="shared" si="13"/>
        <v>url74 &lt;- 'https://www.advisorkhoj.com/mutual-funds-research/top-performing-systematic-investment-plan?category=Equity:%20Focused&amp;period=9&amp;amount=3000';url74 &lt;-  read_html (url74);url_tbl74 &lt;- url74 %&gt;%   html_nodes('table') %&gt;%   html_table(fill = TRUE) %&gt;%   .[[1]];url_tbl74 &lt;- data.table(url_tbl74);url_tbl74 &lt;- url_tbl74[, `:=` (url ='Focused', year =9),];</v>
      </c>
    </row>
    <row r="76" spans="1:14">
      <c r="A76" t="s">
        <v>156</v>
      </c>
      <c r="B76" t="s">
        <v>157</v>
      </c>
      <c r="C76" t="s">
        <v>139</v>
      </c>
      <c r="D76" t="str">
        <f t="shared" si="7"/>
        <v>Focused</v>
      </c>
      <c r="E76">
        <v>10</v>
      </c>
      <c r="F76" s="159" t="s">
        <v>3</v>
      </c>
      <c r="G76" t="s">
        <v>4</v>
      </c>
      <c r="H76" t="s">
        <v>5</v>
      </c>
      <c r="I76" t="str">
        <f t="shared" si="8"/>
        <v>url75 &lt;- 'https://www.advisorkhoj.com/mutual-funds-research/top-performing-systematic-investment-plan?category=Equity:%20Focused&amp;period=10&amp;amount=3000';</v>
      </c>
      <c r="J76" t="str">
        <f t="shared" si="9"/>
        <v>url75 &lt;-  read_html (url75);</v>
      </c>
      <c r="K76" t="str">
        <f t="shared" si="10"/>
        <v>url_tbl75 &lt;- url75 %&gt;%   html_nodes('table') %&gt;%   html_table(fill = TRUE) %&gt;%   .[[1]];</v>
      </c>
      <c r="L76" t="str">
        <f t="shared" si="11"/>
        <v>url_tbl75 &lt;- data.table(url_tbl75);</v>
      </c>
      <c r="M76" t="str">
        <f t="shared" si="12"/>
        <v>url_tbl75 &lt;- url_tbl75[, `:=` (url ='Focused', year =10),];</v>
      </c>
      <c r="N76" t="str">
        <f t="shared" si="13"/>
        <v>url75 &lt;- 'https://www.advisorkhoj.com/mutual-funds-research/top-performing-systematic-investment-plan?category=Equity:%20Focused&amp;period=10&amp;amount=3000';url75 &lt;-  read_html (url75);url_tbl75 &lt;- url75 %&gt;%   html_nodes('table') %&gt;%   html_table(fill = TRUE) %&gt;%   .[[1]];url_tbl75 &lt;- data.table(url_tbl75);url_tbl75 &lt;- url_tbl75[, `:=` (url ='Focused', year =10),];</v>
      </c>
    </row>
    <row r="77" spans="1:14">
      <c r="A77" t="s">
        <v>158</v>
      </c>
      <c r="B77" t="s">
        <v>159</v>
      </c>
      <c r="C77" t="s">
        <v>139</v>
      </c>
      <c r="D77" t="str">
        <f t="shared" si="7"/>
        <v>Focused</v>
      </c>
      <c r="E77">
        <v>11</v>
      </c>
      <c r="F77" s="159" t="s">
        <v>3</v>
      </c>
      <c r="G77" t="s">
        <v>4</v>
      </c>
      <c r="H77" t="s">
        <v>5</v>
      </c>
      <c r="I77" t="str">
        <f t="shared" si="8"/>
        <v>url76 &lt;- 'https://www.advisorkhoj.com/mutual-funds-research/top-performing-systematic-investment-plan?category=Equity:%20Focused&amp;period=11&amp;amount=3000';</v>
      </c>
      <c r="J77" t="str">
        <f t="shared" si="9"/>
        <v>url76 &lt;-  read_html (url76);</v>
      </c>
      <c r="K77" t="str">
        <f t="shared" si="10"/>
        <v>url_tbl76 &lt;- url76 %&gt;%   html_nodes('table') %&gt;%   html_table(fill = TRUE) %&gt;%   .[[1]];</v>
      </c>
      <c r="L77" t="str">
        <f t="shared" si="11"/>
        <v>url_tbl76 &lt;- data.table(url_tbl76);</v>
      </c>
      <c r="M77" t="str">
        <f t="shared" si="12"/>
        <v>url_tbl76 &lt;- url_tbl76[, `:=` (url ='Focused', year =11),];</v>
      </c>
      <c r="N77" t="str">
        <f t="shared" si="13"/>
        <v>url76 &lt;- 'https://www.advisorkhoj.com/mutual-funds-research/top-performing-systematic-investment-plan?category=Equity:%20Focused&amp;period=11&amp;amount=3000';url76 &lt;-  read_html (url76);url_tbl76 &lt;- url76 %&gt;%   html_nodes('table') %&gt;%   html_table(fill = TRUE) %&gt;%   .[[1]];url_tbl76 &lt;- data.table(url_tbl76);url_tbl76 &lt;- url_tbl76[, `:=` (url ='Focused', year =11),];</v>
      </c>
    </row>
    <row r="78" spans="1:14">
      <c r="A78" t="s">
        <v>160</v>
      </c>
      <c r="B78" t="s">
        <v>161</v>
      </c>
      <c r="C78" t="s">
        <v>139</v>
      </c>
      <c r="D78" t="str">
        <f t="shared" si="7"/>
        <v>Focused</v>
      </c>
      <c r="E78">
        <v>12</v>
      </c>
      <c r="F78" s="159" t="s">
        <v>3</v>
      </c>
      <c r="G78" t="s">
        <v>4</v>
      </c>
      <c r="H78" t="s">
        <v>5</v>
      </c>
      <c r="I78" t="str">
        <f t="shared" si="8"/>
        <v>url77 &lt;- 'https://www.advisorkhoj.com/mutual-funds-research/top-performing-systematic-investment-plan?category=Equity:%20Focused&amp;period=12&amp;amount=3000';</v>
      </c>
      <c r="J78" t="str">
        <f t="shared" si="9"/>
        <v>url77 &lt;-  read_html (url77);</v>
      </c>
      <c r="K78" t="str">
        <f t="shared" si="10"/>
        <v>url_tbl77 &lt;- url77 %&gt;%   html_nodes('table') %&gt;%   html_table(fill = TRUE) %&gt;%   .[[1]];</v>
      </c>
      <c r="L78" t="str">
        <f t="shared" si="11"/>
        <v>url_tbl77 &lt;- data.table(url_tbl77);</v>
      </c>
      <c r="M78" t="str">
        <f t="shared" si="12"/>
        <v>url_tbl77 &lt;- url_tbl77[, `:=` (url ='Focused', year =12),];</v>
      </c>
      <c r="N78" t="str">
        <f t="shared" si="13"/>
        <v>url77 &lt;- 'https://www.advisorkhoj.com/mutual-funds-research/top-performing-systematic-investment-plan?category=Equity:%20Focused&amp;period=12&amp;amount=3000';url77 &lt;-  read_html (url77);url_tbl77 &lt;- url77 %&gt;%   html_nodes('table') %&gt;%   html_table(fill = TRUE) %&gt;%   .[[1]];url_tbl77 &lt;- data.table(url_tbl77);url_tbl77 &lt;- url_tbl77[, `:=` (url ='Focused', year =12),];</v>
      </c>
    </row>
    <row r="79" spans="1:14">
      <c r="A79" t="s">
        <v>162</v>
      </c>
      <c r="B79" t="s">
        <v>163</v>
      </c>
      <c r="C79" t="s">
        <v>139</v>
      </c>
      <c r="D79" t="str">
        <f t="shared" si="7"/>
        <v>Focused</v>
      </c>
      <c r="E79">
        <v>13</v>
      </c>
      <c r="F79" s="159" t="s">
        <v>3</v>
      </c>
      <c r="G79" t="s">
        <v>4</v>
      </c>
      <c r="H79" t="s">
        <v>5</v>
      </c>
      <c r="I79" t="str">
        <f t="shared" si="8"/>
        <v>url78 &lt;- 'https://www.advisorkhoj.com/mutual-funds-research/top-performing-systematic-investment-plan?category=Equity:%20Focused&amp;period=13&amp;amount=3000';</v>
      </c>
      <c r="J79" t="str">
        <f t="shared" si="9"/>
        <v>url78 &lt;-  read_html (url78);</v>
      </c>
      <c r="K79" t="str">
        <f t="shared" si="10"/>
        <v>url_tbl78 &lt;- url78 %&gt;%   html_nodes('table') %&gt;%   html_table(fill = TRUE) %&gt;%   .[[1]];</v>
      </c>
      <c r="L79" t="str">
        <f t="shared" si="11"/>
        <v>url_tbl78 &lt;- data.table(url_tbl78);</v>
      </c>
      <c r="M79" t="str">
        <f t="shared" si="12"/>
        <v>url_tbl78 &lt;- url_tbl78[, `:=` (url ='Focused', year =13),];</v>
      </c>
      <c r="N79" t="str">
        <f t="shared" si="13"/>
        <v>url78 &lt;- 'https://www.advisorkhoj.com/mutual-funds-research/top-performing-systematic-investment-plan?category=Equity:%20Focused&amp;period=13&amp;amount=3000';url78 &lt;-  read_html (url78);url_tbl78 &lt;- url78 %&gt;%   html_nodes('table') %&gt;%   html_table(fill = TRUE) %&gt;%   .[[1]];url_tbl78 &lt;- data.table(url_tbl78);url_tbl78 &lt;- url_tbl78[, `:=` (url ='Focused', year =13),];</v>
      </c>
    </row>
    <row r="80" spans="1:14">
      <c r="A80" t="s">
        <v>164</v>
      </c>
      <c r="B80" t="s">
        <v>165</v>
      </c>
      <c r="C80" t="s">
        <v>139</v>
      </c>
      <c r="D80" t="str">
        <f t="shared" si="7"/>
        <v>Focused</v>
      </c>
      <c r="E80">
        <v>14</v>
      </c>
      <c r="F80" s="159" t="s">
        <v>3</v>
      </c>
      <c r="G80" t="s">
        <v>4</v>
      </c>
      <c r="H80" t="s">
        <v>5</v>
      </c>
      <c r="I80" t="str">
        <f t="shared" si="8"/>
        <v>url79 &lt;- 'https://www.advisorkhoj.com/mutual-funds-research/top-performing-systematic-investment-plan?category=Equity:%20Focused&amp;period=14&amp;amount=3000';</v>
      </c>
      <c r="J80" t="str">
        <f t="shared" si="9"/>
        <v>url79 &lt;-  read_html (url79);</v>
      </c>
      <c r="K80" t="str">
        <f t="shared" si="10"/>
        <v>url_tbl79 &lt;- url79 %&gt;%   html_nodes('table') %&gt;%   html_table(fill = TRUE) %&gt;%   .[[1]];</v>
      </c>
      <c r="L80" t="str">
        <f t="shared" si="11"/>
        <v>url_tbl79 &lt;- data.table(url_tbl79);</v>
      </c>
      <c r="M80" t="str">
        <f t="shared" si="12"/>
        <v>url_tbl79 &lt;- url_tbl79[, `:=` (url ='Focused', year =14),];</v>
      </c>
      <c r="N80" t="str">
        <f t="shared" si="13"/>
        <v>url79 &lt;- 'https://www.advisorkhoj.com/mutual-funds-research/top-performing-systematic-investment-plan?category=Equity:%20Focused&amp;period=14&amp;amount=3000';url79 &lt;-  read_html (url79);url_tbl79 &lt;- url79 %&gt;%   html_nodes('table') %&gt;%   html_table(fill = TRUE) %&gt;%   .[[1]];url_tbl79 &lt;- data.table(url_tbl79);url_tbl79 &lt;- url_tbl79[, `:=` (url ='Focused', year =14),];</v>
      </c>
    </row>
    <row r="81" spans="1:14">
      <c r="A81" t="s">
        <v>166</v>
      </c>
      <c r="B81" t="s">
        <v>167</v>
      </c>
      <c r="C81" t="s">
        <v>139</v>
      </c>
      <c r="D81" t="str">
        <f t="shared" si="7"/>
        <v>Focused</v>
      </c>
      <c r="E81">
        <v>15</v>
      </c>
      <c r="F81" s="159" t="s">
        <v>3</v>
      </c>
      <c r="G81" t="s">
        <v>4</v>
      </c>
      <c r="H81" t="s">
        <v>5</v>
      </c>
      <c r="I81" t="str">
        <f t="shared" si="8"/>
        <v>url80 &lt;- 'https://www.advisorkhoj.com/mutual-funds-research/top-performing-systematic-investment-plan?category=Equity:%20Focused&amp;period=15&amp;amount=3000';</v>
      </c>
      <c r="J81" t="str">
        <f t="shared" si="9"/>
        <v>url80 &lt;-  read_html (url80);</v>
      </c>
      <c r="K81" t="str">
        <f t="shared" si="10"/>
        <v>url_tbl80 &lt;- url80 %&gt;%   html_nodes('table') %&gt;%   html_table(fill = TRUE) %&gt;%   .[[1]];</v>
      </c>
      <c r="L81" t="str">
        <f t="shared" si="11"/>
        <v>url_tbl80 &lt;- data.table(url_tbl80);</v>
      </c>
      <c r="M81" t="str">
        <f t="shared" si="12"/>
        <v>url_tbl80 &lt;- url_tbl80[, `:=` (url ='Focused', year =15),];</v>
      </c>
      <c r="N81" t="str">
        <f t="shared" si="13"/>
        <v>url80 &lt;- 'https://www.advisorkhoj.com/mutual-funds-research/top-performing-systematic-investment-plan?category=Equity:%20Focused&amp;period=15&amp;amount=3000';url80 &lt;-  read_html (url80);url_tbl80 &lt;- url80 %&gt;%   html_nodes('table') %&gt;%   html_table(fill = TRUE) %&gt;%   .[[1]];url_tbl80 &lt;- data.table(url_tbl80);url_tbl80 &lt;- url_tbl80[, `:=` (url ='Focused', year =15),];</v>
      </c>
    </row>
    <row r="82" spans="1:14">
      <c r="A82" t="s">
        <v>168</v>
      </c>
      <c r="B82" t="s">
        <v>169</v>
      </c>
      <c r="C82" t="s">
        <v>139</v>
      </c>
      <c r="D82" t="str">
        <f t="shared" si="7"/>
        <v>Focused</v>
      </c>
      <c r="E82">
        <v>16</v>
      </c>
      <c r="F82" s="159" t="s">
        <v>3</v>
      </c>
      <c r="G82" t="s">
        <v>4</v>
      </c>
      <c r="H82" t="s">
        <v>5</v>
      </c>
      <c r="I82" t="str">
        <f t="shared" si="8"/>
        <v>url81 &lt;- 'https://www.advisorkhoj.com/mutual-funds-research/top-performing-systematic-investment-plan?category=Equity:%20Focused&amp;period=16&amp;amount=3000';</v>
      </c>
      <c r="J82" t="str">
        <f t="shared" si="9"/>
        <v>url81 &lt;-  read_html (url81);</v>
      </c>
      <c r="K82" t="str">
        <f t="shared" si="10"/>
        <v>url_tbl81 &lt;- url81 %&gt;%   html_nodes('table') %&gt;%   html_table(fill = TRUE) %&gt;%   .[[1]];</v>
      </c>
      <c r="L82" t="str">
        <f t="shared" si="11"/>
        <v>url_tbl81 &lt;- data.table(url_tbl81);</v>
      </c>
      <c r="M82" t="str">
        <f t="shared" si="12"/>
        <v>url_tbl81 &lt;- url_tbl81[, `:=` (url ='Focused', year =16),];</v>
      </c>
      <c r="N82" t="str">
        <f t="shared" si="13"/>
        <v>url81 &lt;- 'https://www.advisorkhoj.com/mutual-funds-research/top-performing-systematic-investment-plan?category=Equity:%20Focused&amp;period=16&amp;amount=3000';url81 &lt;-  read_html (url81);url_tbl81 &lt;- url81 %&gt;%   html_nodes('table') %&gt;%   html_table(fill = TRUE) %&gt;%   .[[1]];url_tbl81 &lt;- data.table(url_tbl81);url_tbl81 &lt;- url_tbl81[, `:=` (url ='Focused', year =16),];</v>
      </c>
    </row>
    <row r="83" spans="1:14">
      <c r="A83" t="s">
        <v>170</v>
      </c>
      <c r="B83" t="s">
        <v>171</v>
      </c>
      <c r="C83" t="s">
        <v>172</v>
      </c>
      <c r="D83" t="str">
        <f t="shared" si="7"/>
        <v>Large%20and%20Mid%20Cap</v>
      </c>
      <c r="E83">
        <v>1</v>
      </c>
      <c r="F83" s="159" t="s">
        <v>3</v>
      </c>
      <c r="G83" t="s">
        <v>4</v>
      </c>
      <c r="H83" t="s">
        <v>5</v>
      </c>
      <c r="I83" t="str">
        <f t="shared" si="8"/>
        <v>url82 &lt;- 'https://www.advisorkhoj.com/mutual-funds-research/top-performing-systematic-investment-plan?category=Equity:%20Large%20and%20Mid%20Cap&amp;period=1&amp;amount=3000';</v>
      </c>
      <c r="J83" t="str">
        <f t="shared" si="9"/>
        <v>url82 &lt;-  read_html (url82);</v>
      </c>
      <c r="K83" t="str">
        <f t="shared" si="10"/>
        <v>url_tbl82 &lt;- url82 %&gt;%   html_nodes('table') %&gt;%   html_table(fill = TRUE) %&gt;%   .[[1]];</v>
      </c>
      <c r="L83" t="str">
        <f t="shared" si="11"/>
        <v>url_tbl82 &lt;- data.table(url_tbl82);</v>
      </c>
      <c r="M83" t="str">
        <f t="shared" si="12"/>
        <v>url_tbl82 &lt;- url_tbl82[, `:=` (url ='Large and Mid Cap', year =1),];</v>
      </c>
      <c r="N83" t="str">
        <f t="shared" si="13"/>
        <v>url82 &lt;- 'https://www.advisorkhoj.com/mutual-funds-research/top-performing-systematic-investment-plan?category=Equity:%20Large%20and%20Mid%20Cap&amp;period=1&amp;amount=3000';url82 &lt;-  read_html (url82);url_tbl82 &lt;- url82 %&gt;%   html_nodes('table') %&gt;%   html_table(fill = TRUE) %&gt;%   .[[1]];url_tbl82 &lt;- data.table(url_tbl82);url_tbl82 &lt;- url_tbl82[, `:=` (url ='Large and Mid Cap', year =1),];</v>
      </c>
    </row>
    <row r="84" spans="1:14">
      <c r="A84" t="s">
        <v>173</v>
      </c>
      <c r="B84" t="s">
        <v>174</v>
      </c>
      <c r="C84" t="s">
        <v>172</v>
      </c>
      <c r="D84" t="str">
        <f t="shared" si="7"/>
        <v>Large%20and%20Mid%20Cap</v>
      </c>
      <c r="E84">
        <v>2</v>
      </c>
      <c r="F84" s="159" t="s">
        <v>3</v>
      </c>
      <c r="G84" t="s">
        <v>4</v>
      </c>
      <c r="H84" t="s">
        <v>5</v>
      </c>
      <c r="I84" t="str">
        <f t="shared" si="8"/>
        <v>url83 &lt;- 'https://www.advisorkhoj.com/mutual-funds-research/top-performing-systematic-investment-plan?category=Equity:%20Large%20and%20Mid%20Cap&amp;period=2&amp;amount=3000';</v>
      </c>
      <c r="J84" t="str">
        <f t="shared" si="9"/>
        <v>url83 &lt;-  read_html (url83);</v>
      </c>
      <c r="K84" t="str">
        <f t="shared" si="10"/>
        <v>url_tbl83 &lt;- url83 %&gt;%   html_nodes('table') %&gt;%   html_table(fill = TRUE) %&gt;%   .[[1]];</v>
      </c>
      <c r="L84" t="str">
        <f t="shared" si="11"/>
        <v>url_tbl83 &lt;- data.table(url_tbl83);</v>
      </c>
      <c r="M84" t="str">
        <f t="shared" si="12"/>
        <v>url_tbl83 &lt;- url_tbl83[, `:=` (url ='Large and Mid Cap', year =2),];</v>
      </c>
      <c r="N84" t="str">
        <f t="shared" si="13"/>
        <v>url83 &lt;- 'https://www.advisorkhoj.com/mutual-funds-research/top-performing-systematic-investment-plan?category=Equity:%20Large%20and%20Mid%20Cap&amp;period=2&amp;amount=3000';url83 &lt;-  read_html (url83);url_tbl83 &lt;- url83 %&gt;%   html_nodes('table') %&gt;%   html_table(fill = TRUE) %&gt;%   .[[1]];url_tbl83 &lt;- data.table(url_tbl83);url_tbl83 &lt;- url_tbl83[, `:=` (url ='Large and Mid Cap', year =2),];</v>
      </c>
    </row>
    <row r="85" spans="1:14">
      <c r="A85" t="s">
        <v>175</v>
      </c>
      <c r="B85" t="s">
        <v>176</v>
      </c>
      <c r="C85" t="s">
        <v>172</v>
      </c>
      <c r="D85" t="str">
        <f t="shared" si="7"/>
        <v>Large%20and%20Mid%20Cap</v>
      </c>
      <c r="E85">
        <v>3</v>
      </c>
      <c r="F85" s="159" t="s">
        <v>3</v>
      </c>
      <c r="G85" t="s">
        <v>4</v>
      </c>
      <c r="H85" t="s">
        <v>5</v>
      </c>
      <c r="I85" t="str">
        <f t="shared" si="8"/>
        <v>url84 &lt;- 'https://www.advisorkhoj.com/mutual-funds-research/top-performing-systematic-investment-plan?category=Equity:%20Large%20and%20Mid%20Cap&amp;period=3&amp;amount=3000';</v>
      </c>
      <c r="J85" t="str">
        <f t="shared" si="9"/>
        <v>url84 &lt;-  read_html (url84);</v>
      </c>
      <c r="K85" t="str">
        <f t="shared" si="10"/>
        <v>url_tbl84 &lt;- url84 %&gt;%   html_nodes('table') %&gt;%   html_table(fill = TRUE) %&gt;%   .[[1]];</v>
      </c>
      <c r="L85" t="str">
        <f t="shared" si="11"/>
        <v>url_tbl84 &lt;- data.table(url_tbl84);</v>
      </c>
      <c r="M85" t="str">
        <f t="shared" si="12"/>
        <v>url_tbl84 &lt;- url_tbl84[, `:=` (url ='Large and Mid Cap', year =3),];</v>
      </c>
      <c r="N85" t="str">
        <f t="shared" si="13"/>
        <v>url84 &lt;- 'https://www.advisorkhoj.com/mutual-funds-research/top-performing-systematic-investment-plan?category=Equity:%20Large%20and%20Mid%20Cap&amp;period=3&amp;amount=3000';url84 &lt;-  read_html (url84);url_tbl84 &lt;- url84 %&gt;%   html_nodes('table') %&gt;%   html_table(fill = TRUE) %&gt;%   .[[1]];url_tbl84 &lt;- data.table(url_tbl84);url_tbl84 &lt;- url_tbl84[, `:=` (url ='Large and Mid Cap', year =3),];</v>
      </c>
    </row>
    <row r="86" spans="1:14">
      <c r="A86" t="s">
        <v>177</v>
      </c>
      <c r="B86" t="s">
        <v>178</v>
      </c>
      <c r="C86" t="s">
        <v>172</v>
      </c>
      <c r="D86" t="str">
        <f t="shared" si="7"/>
        <v>Large%20and%20Mid%20Cap</v>
      </c>
      <c r="E86">
        <v>4</v>
      </c>
      <c r="F86" s="159" t="s">
        <v>3</v>
      </c>
      <c r="G86" t="s">
        <v>4</v>
      </c>
      <c r="H86" t="s">
        <v>5</v>
      </c>
      <c r="I86" t="str">
        <f t="shared" si="8"/>
        <v>url85 &lt;- 'https://www.advisorkhoj.com/mutual-funds-research/top-performing-systematic-investment-plan?category=Equity:%20Large%20and%20Mid%20Cap&amp;period=4&amp;amount=3000';</v>
      </c>
      <c r="J86" t="str">
        <f t="shared" si="9"/>
        <v>url85 &lt;-  read_html (url85);</v>
      </c>
      <c r="K86" t="str">
        <f t="shared" si="10"/>
        <v>url_tbl85 &lt;- url85 %&gt;%   html_nodes('table') %&gt;%   html_table(fill = TRUE) %&gt;%   .[[1]];</v>
      </c>
      <c r="L86" t="str">
        <f t="shared" si="11"/>
        <v>url_tbl85 &lt;- data.table(url_tbl85);</v>
      </c>
      <c r="M86" t="str">
        <f t="shared" si="12"/>
        <v>url_tbl85 &lt;- url_tbl85[, `:=` (url ='Large and Mid Cap', year =4),];</v>
      </c>
      <c r="N86" t="str">
        <f t="shared" si="13"/>
        <v>url85 &lt;- 'https://www.advisorkhoj.com/mutual-funds-research/top-performing-systematic-investment-plan?category=Equity:%20Large%20and%20Mid%20Cap&amp;period=4&amp;amount=3000';url85 &lt;-  read_html (url85);url_tbl85 &lt;- url85 %&gt;%   html_nodes('table') %&gt;%   html_table(fill = TRUE) %&gt;%   .[[1]];url_tbl85 &lt;- data.table(url_tbl85);url_tbl85 &lt;- url_tbl85[, `:=` (url ='Large and Mid Cap', year =4),];</v>
      </c>
    </row>
    <row r="87" spans="1:14">
      <c r="A87" t="s">
        <v>179</v>
      </c>
      <c r="B87" t="s">
        <v>180</v>
      </c>
      <c r="C87" t="s">
        <v>172</v>
      </c>
      <c r="D87" t="str">
        <f t="shared" si="7"/>
        <v>Large%20and%20Mid%20Cap</v>
      </c>
      <c r="E87">
        <v>5</v>
      </c>
      <c r="F87" s="159" t="s">
        <v>3</v>
      </c>
      <c r="G87" t="s">
        <v>4</v>
      </c>
      <c r="H87" t="s">
        <v>5</v>
      </c>
      <c r="I87" t="str">
        <f t="shared" si="8"/>
        <v>url86 &lt;- 'https://www.advisorkhoj.com/mutual-funds-research/top-performing-systematic-investment-plan?category=Equity:%20Large%20and%20Mid%20Cap&amp;period=5&amp;amount=3000';</v>
      </c>
      <c r="J87" t="str">
        <f t="shared" si="9"/>
        <v>url86 &lt;-  read_html (url86);</v>
      </c>
      <c r="K87" t="str">
        <f t="shared" si="10"/>
        <v>url_tbl86 &lt;- url86 %&gt;%   html_nodes('table') %&gt;%   html_table(fill = TRUE) %&gt;%   .[[1]];</v>
      </c>
      <c r="L87" t="str">
        <f t="shared" si="11"/>
        <v>url_tbl86 &lt;- data.table(url_tbl86);</v>
      </c>
      <c r="M87" t="str">
        <f t="shared" si="12"/>
        <v>url_tbl86 &lt;- url_tbl86[, `:=` (url ='Large and Mid Cap', year =5),];</v>
      </c>
      <c r="N87" t="str">
        <f t="shared" si="13"/>
        <v>url86 &lt;- 'https://www.advisorkhoj.com/mutual-funds-research/top-performing-systematic-investment-plan?category=Equity:%20Large%20and%20Mid%20Cap&amp;period=5&amp;amount=3000';url86 &lt;-  read_html (url86);url_tbl86 &lt;- url86 %&gt;%   html_nodes('table') %&gt;%   html_table(fill = TRUE) %&gt;%   .[[1]];url_tbl86 &lt;- data.table(url_tbl86);url_tbl86 &lt;- url_tbl86[, `:=` (url ='Large and Mid Cap', year =5),];</v>
      </c>
    </row>
    <row r="88" spans="1:14">
      <c r="A88" t="s">
        <v>181</v>
      </c>
      <c r="B88" t="s">
        <v>182</v>
      </c>
      <c r="C88" t="s">
        <v>172</v>
      </c>
      <c r="D88" t="str">
        <f t="shared" si="7"/>
        <v>Large%20and%20Mid%20Cap</v>
      </c>
      <c r="E88">
        <v>6</v>
      </c>
      <c r="F88" s="159" t="s">
        <v>3</v>
      </c>
      <c r="G88" t="s">
        <v>4</v>
      </c>
      <c r="H88" t="s">
        <v>5</v>
      </c>
      <c r="I88" t="str">
        <f t="shared" si="8"/>
        <v>url87 &lt;- 'https://www.advisorkhoj.com/mutual-funds-research/top-performing-systematic-investment-plan?category=Equity:%20Large%20and%20Mid%20Cap&amp;period=6&amp;amount=3000';</v>
      </c>
      <c r="J88" t="str">
        <f t="shared" si="9"/>
        <v>url87 &lt;-  read_html (url87);</v>
      </c>
      <c r="K88" t="str">
        <f t="shared" si="10"/>
        <v>url_tbl87 &lt;- url87 %&gt;%   html_nodes('table') %&gt;%   html_table(fill = TRUE) %&gt;%   .[[1]];</v>
      </c>
      <c r="L88" t="str">
        <f t="shared" si="11"/>
        <v>url_tbl87 &lt;- data.table(url_tbl87);</v>
      </c>
      <c r="M88" t="str">
        <f t="shared" si="12"/>
        <v>url_tbl87 &lt;- url_tbl87[, `:=` (url ='Large and Mid Cap', year =6),];</v>
      </c>
      <c r="N88" t="str">
        <f t="shared" si="13"/>
        <v>url87 &lt;- 'https://www.advisorkhoj.com/mutual-funds-research/top-performing-systematic-investment-plan?category=Equity:%20Large%20and%20Mid%20Cap&amp;period=6&amp;amount=3000';url87 &lt;-  read_html (url87);url_tbl87 &lt;- url87 %&gt;%   html_nodes('table') %&gt;%   html_table(fill = TRUE) %&gt;%   .[[1]];url_tbl87 &lt;- data.table(url_tbl87);url_tbl87 &lt;- url_tbl87[, `:=` (url ='Large and Mid Cap', year =6),];</v>
      </c>
    </row>
    <row r="89" spans="1:14">
      <c r="A89" t="s">
        <v>183</v>
      </c>
      <c r="B89" t="s">
        <v>184</v>
      </c>
      <c r="C89" t="s">
        <v>172</v>
      </c>
      <c r="D89" t="str">
        <f t="shared" si="7"/>
        <v>Large%20and%20Mid%20Cap</v>
      </c>
      <c r="E89">
        <v>7</v>
      </c>
      <c r="F89" s="159" t="s">
        <v>3</v>
      </c>
      <c r="G89" t="s">
        <v>4</v>
      </c>
      <c r="H89" t="s">
        <v>5</v>
      </c>
      <c r="I89" t="str">
        <f t="shared" si="8"/>
        <v>url88 &lt;- 'https://www.advisorkhoj.com/mutual-funds-research/top-performing-systematic-investment-plan?category=Equity:%20Large%20and%20Mid%20Cap&amp;period=7&amp;amount=3000';</v>
      </c>
      <c r="J89" t="str">
        <f t="shared" si="9"/>
        <v>url88 &lt;-  read_html (url88);</v>
      </c>
      <c r="K89" t="str">
        <f t="shared" si="10"/>
        <v>url_tbl88 &lt;- url88 %&gt;%   html_nodes('table') %&gt;%   html_table(fill = TRUE) %&gt;%   .[[1]];</v>
      </c>
      <c r="L89" t="str">
        <f t="shared" si="11"/>
        <v>url_tbl88 &lt;- data.table(url_tbl88);</v>
      </c>
      <c r="M89" t="str">
        <f t="shared" si="12"/>
        <v>url_tbl88 &lt;- url_tbl88[, `:=` (url ='Large and Mid Cap', year =7),];</v>
      </c>
      <c r="N89" t="str">
        <f t="shared" si="13"/>
        <v>url88 &lt;- 'https://www.advisorkhoj.com/mutual-funds-research/top-performing-systematic-investment-plan?category=Equity:%20Large%20and%20Mid%20Cap&amp;period=7&amp;amount=3000';url88 &lt;-  read_html (url88);url_tbl88 &lt;- url88 %&gt;%   html_nodes('table') %&gt;%   html_table(fill = TRUE) %&gt;%   .[[1]];url_tbl88 &lt;- data.table(url_tbl88);url_tbl88 &lt;- url_tbl88[, `:=` (url ='Large and Mid Cap', year =7),];</v>
      </c>
    </row>
    <row r="90" spans="1:14">
      <c r="A90" t="s">
        <v>185</v>
      </c>
      <c r="B90" t="s">
        <v>186</v>
      </c>
      <c r="C90" t="s">
        <v>172</v>
      </c>
      <c r="D90" t="str">
        <f t="shared" si="7"/>
        <v>Large%20and%20Mid%20Cap</v>
      </c>
      <c r="E90">
        <v>8</v>
      </c>
      <c r="F90" s="159" t="s">
        <v>3</v>
      </c>
      <c r="G90" t="s">
        <v>4</v>
      </c>
      <c r="H90" t="s">
        <v>5</v>
      </c>
      <c r="I90" t="str">
        <f t="shared" si="8"/>
        <v>url89 &lt;- 'https://www.advisorkhoj.com/mutual-funds-research/top-performing-systematic-investment-plan?category=Equity:%20Large%20and%20Mid%20Cap&amp;period=8&amp;amount=3000';</v>
      </c>
      <c r="J90" t="str">
        <f t="shared" si="9"/>
        <v>url89 &lt;-  read_html (url89);</v>
      </c>
      <c r="K90" t="str">
        <f t="shared" si="10"/>
        <v>url_tbl89 &lt;- url89 %&gt;%   html_nodes('table') %&gt;%   html_table(fill = TRUE) %&gt;%   .[[1]];</v>
      </c>
      <c r="L90" t="str">
        <f t="shared" si="11"/>
        <v>url_tbl89 &lt;- data.table(url_tbl89);</v>
      </c>
      <c r="M90" t="str">
        <f t="shared" si="12"/>
        <v>url_tbl89 &lt;- url_tbl89[, `:=` (url ='Large and Mid Cap', year =8),];</v>
      </c>
      <c r="N90" t="str">
        <f t="shared" si="13"/>
        <v>url89 &lt;- 'https://www.advisorkhoj.com/mutual-funds-research/top-performing-systematic-investment-plan?category=Equity:%20Large%20and%20Mid%20Cap&amp;period=8&amp;amount=3000';url89 &lt;-  read_html (url89);url_tbl89 &lt;- url89 %&gt;%   html_nodes('table') %&gt;%   html_table(fill = TRUE) %&gt;%   .[[1]];url_tbl89 &lt;- data.table(url_tbl89);url_tbl89 &lt;- url_tbl89[, `:=` (url ='Large and Mid Cap', year =8),];</v>
      </c>
    </row>
    <row r="91" spans="1:14">
      <c r="A91" t="s">
        <v>187</v>
      </c>
      <c r="B91" t="s">
        <v>188</v>
      </c>
      <c r="C91" t="s">
        <v>172</v>
      </c>
      <c r="D91" t="str">
        <f t="shared" si="7"/>
        <v>Large%20and%20Mid%20Cap</v>
      </c>
      <c r="E91">
        <v>9</v>
      </c>
      <c r="F91" s="159" t="s">
        <v>3</v>
      </c>
      <c r="G91" t="s">
        <v>4</v>
      </c>
      <c r="H91" t="s">
        <v>5</v>
      </c>
      <c r="I91" t="str">
        <f t="shared" si="8"/>
        <v>url90 &lt;- 'https://www.advisorkhoj.com/mutual-funds-research/top-performing-systematic-investment-plan?category=Equity:%20Large%20and%20Mid%20Cap&amp;period=9&amp;amount=3000';</v>
      </c>
      <c r="J91" t="str">
        <f t="shared" si="9"/>
        <v>url90 &lt;-  read_html (url90);</v>
      </c>
      <c r="K91" t="str">
        <f t="shared" si="10"/>
        <v>url_tbl90 &lt;- url90 %&gt;%   html_nodes('table') %&gt;%   html_table(fill = TRUE) %&gt;%   .[[1]];</v>
      </c>
      <c r="L91" t="str">
        <f t="shared" si="11"/>
        <v>url_tbl90 &lt;- data.table(url_tbl90);</v>
      </c>
      <c r="M91" t="str">
        <f t="shared" si="12"/>
        <v>url_tbl90 &lt;- url_tbl90[, `:=` (url ='Large and Mid Cap', year =9),];</v>
      </c>
      <c r="N91" t="str">
        <f t="shared" si="13"/>
        <v>url90 &lt;- 'https://www.advisorkhoj.com/mutual-funds-research/top-performing-systematic-investment-plan?category=Equity:%20Large%20and%20Mid%20Cap&amp;period=9&amp;amount=3000';url90 &lt;-  read_html (url90);url_tbl90 &lt;- url90 %&gt;%   html_nodes('table') %&gt;%   html_table(fill = TRUE) %&gt;%   .[[1]];url_tbl90 &lt;- data.table(url_tbl90);url_tbl90 &lt;- url_tbl90[, `:=` (url ='Large and Mid Cap', year =9),];</v>
      </c>
    </row>
    <row r="92" spans="1:14">
      <c r="A92" t="s">
        <v>189</v>
      </c>
      <c r="B92" t="s">
        <v>190</v>
      </c>
      <c r="C92" t="s">
        <v>172</v>
      </c>
      <c r="D92" t="str">
        <f t="shared" si="7"/>
        <v>Large%20and%20Mid%20Cap</v>
      </c>
      <c r="E92">
        <v>10</v>
      </c>
      <c r="F92" s="159" t="s">
        <v>3</v>
      </c>
      <c r="G92" t="s">
        <v>4</v>
      </c>
      <c r="H92" t="s">
        <v>5</v>
      </c>
      <c r="I92" t="str">
        <f t="shared" si="8"/>
        <v>url91 &lt;- 'https://www.advisorkhoj.com/mutual-funds-research/top-performing-systematic-investment-plan?category=Equity:%20Large%20and%20Mid%20Cap&amp;period=10&amp;amount=3000';</v>
      </c>
      <c r="J92" t="str">
        <f t="shared" si="9"/>
        <v>url91 &lt;-  read_html (url91);</v>
      </c>
      <c r="K92" t="str">
        <f t="shared" si="10"/>
        <v>url_tbl91 &lt;- url91 %&gt;%   html_nodes('table') %&gt;%   html_table(fill = TRUE) %&gt;%   .[[1]];</v>
      </c>
      <c r="L92" t="str">
        <f t="shared" si="11"/>
        <v>url_tbl91 &lt;- data.table(url_tbl91);</v>
      </c>
      <c r="M92" t="str">
        <f t="shared" si="12"/>
        <v>url_tbl91 &lt;- url_tbl91[, `:=` (url ='Large and Mid Cap', year =10),];</v>
      </c>
      <c r="N92" t="str">
        <f t="shared" si="13"/>
        <v>url91 &lt;- 'https://www.advisorkhoj.com/mutual-funds-research/top-performing-systematic-investment-plan?category=Equity:%20Large%20and%20Mid%20Cap&amp;period=10&amp;amount=3000';url91 &lt;-  read_html (url91);url_tbl91 &lt;- url91 %&gt;%   html_nodes('table') %&gt;%   html_table(fill = TRUE) %&gt;%   .[[1]];url_tbl91 &lt;- data.table(url_tbl91);url_tbl91 &lt;- url_tbl91[, `:=` (url ='Large and Mid Cap', year =10),];</v>
      </c>
    </row>
    <row r="93" spans="1:14">
      <c r="A93" t="s">
        <v>191</v>
      </c>
      <c r="B93" t="s">
        <v>192</v>
      </c>
      <c r="C93" t="s">
        <v>172</v>
      </c>
      <c r="D93" t="str">
        <f t="shared" si="7"/>
        <v>Large%20and%20Mid%20Cap</v>
      </c>
      <c r="E93">
        <v>11</v>
      </c>
      <c r="F93" s="159" t="s">
        <v>3</v>
      </c>
      <c r="G93" t="s">
        <v>4</v>
      </c>
      <c r="H93" t="s">
        <v>5</v>
      </c>
      <c r="I93" t="str">
        <f t="shared" si="8"/>
        <v>url92 &lt;- 'https://www.advisorkhoj.com/mutual-funds-research/top-performing-systematic-investment-plan?category=Equity:%20Large%20and%20Mid%20Cap&amp;period=11&amp;amount=3000';</v>
      </c>
      <c r="J93" t="str">
        <f t="shared" si="9"/>
        <v>url92 &lt;-  read_html (url92);</v>
      </c>
      <c r="K93" t="str">
        <f t="shared" si="10"/>
        <v>url_tbl92 &lt;- url92 %&gt;%   html_nodes('table') %&gt;%   html_table(fill = TRUE) %&gt;%   .[[1]];</v>
      </c>
      <c r="L93" t="str">
        <f t="shared" si="11"/>
        <v>url_tbl92 &lt;- data.table(url_tbl92);</v>
      </c>
      <c r="M93" t="str">
        <f t="shared" si="12"/>
        <v>url_tbl92 &lt;- url_tbl92[, `:=` (url ='Large and Mid Cap', year =11),];</v>
      </c>
      <c r="N93" t="str">
        <f t="shared" si="13"/>
        <v>url92 &lt;- 'https://www.advisorkhoj.com/mutual-funds-research/top-performing-systematic-investment-plan?category=Equity:%20Large%20and%20Mid%20Cap&amp;period=11&amp;amount=3000';url92 &lt;-  read_html (url92);url_tbl92 &lt;- url92 %&gt;%   html_nodes('table') %&gt;%   html_table(fill = TRUE) %&gt;%   .[[1]];url_tbl92 &lt;- data.table(url_tbl92);url_tbl92 &lt;- url_tbl92[, `:=` (url ='Large and Mid Cap', year =11),];</v>
      </c>
    </row>
    <row r="94" spans="1:14">
      <c r="A94" t="s">
        <v>193</v>
      </c>
      <c r="B94" t="s">
        <v>194</v>
      </c>
      <c r="C94" t="s">
        <v>172</v>
      </c>
      <c r="D94" t="str">
        <f t="shared" si="7"/>
        <v>Large%20and%20Mid%20Cap</v>
      </c>
      <c r="E94">
        <v>12</v>
      </c>
      <c r="F94" s="159" t="s">
        <v>3</v>
      </c>
      <c r="G94" t="s">
        <v>4</v>
      </c>
      <c r="H94" t="s">
        <v>5</v>
      </c>
      <c r="I94" t="str">
        <f t="shared" si="8"/>
        <v>url93 &lt;- 'https://www.advisorkhoj.com/mutual-funds-research/top-performing-systematic-investment-plan?category=Equity:%20Large%20and%20Mid%20Cap&amp;period=12&amp;amount=3000';</v>
      </c>
      <c r="J94" t="str">
        <f t="shared" si="9"/>
        <v>url93 &lt;-  read_html (url93);</v>
      </c>
      <c r="K94" t="str">
        <f t="shared" si="10"/>
        <v>url_tbl93 &lt;- url93 %&gt;%   html_nodes('table') %&gt;%   html_table(fill = TRUE) %&gt;%   .[[1]];</v>
      </c>
      <c r="L94" t="str">
        <f t="shared" si="11"/>
        <v>url_tbl93 &lt;- data.table(url_tbl93);</v>
      </c>
      <c r="M94" t="str">
        <f t="shared" si="12"/>
        <v>url_tbl93 &lt;- url_tbl93[, `:=` (url ='Large and Mid Cap', year =12),];</v>
      </c>
      <c r="N94" t="str">
        <f t="shared" si="13"/>
        <v>url93 &lt;- 'https://www.advisorkhoj.com/mutual-funds-research/top-performing-systematic-investment-plan?category=Equity:%20Large%20and%20Mid%20Cap&amp;period=12&amp;amount=3000';url93 &lt;-  read_html (url93);url_tbl93 &lt;- url93 %&gt;%   html_nodes('table') %&gt;%   html_table(fill = TRUE) %&gt;%   .[[1]];url_tbl93 &lt;- data.table(url_tbl93);url_tbl93 &lt;- url_tbl93[, `:=` (url ='Large and Mid Cap', year =12),];</v>
      </c>
    </row>
    <row r="95" spans="1:14">
      <c r="A95" t="s">
        <v>195</v>
      </c>
      <c r="B95" t="s">
        <v>196</v>
      </c>
      <c r="C95" t="s">
        <v>172</v>
      </c>
      <c r="D95" t="str">
        <f t="shared" si="7"/>
        <v>Large%20and%20Mid%20Cap</v>
      </c>
      <c r="E95">
        <v>13</v>
      </c>
      <c r="F95" s="159" t="s">
        <v>3</v>
      </c>
      <c r="G95" t="s">
        <v>4</v>
      </c>
      <c r="H95" t="s">
        <v>5</v>
      </c>
      <c r="I95" t="str">
        <f t="shared" si="8"/>
        <v>url94 &lt;- 'https://www.advisorkhoj.com/mutual-funds-research/top-performing-systematic-investment-plan?category=Equity:%20Large%20and%20Mid%20Cap&amp;period=13&amp;amount=3000';</v>
      </c>
      <c r="J95" t="str">
        <f t="shared" si="9"/>
        <v>url94 &lt;-  read_html (url94);</v>
      </c>
      <c r="K95" t="str">
        <f t="shared" si="10"/>
        <v>url_tbl94 &lt;- url94 %&gt;%   html_nodes('table') %&gt;%   html_table(fill = TRUE) %&gt;%   .[[1]];</v>
      </c>
      <c r="L95" t="str">
        <f t="shared" si="11"/>
        <v>url_tbl94 &lt;- data.table(url_tbl94);</v>
      </c>
      <c r="M95" t="str">
        <f t="shared" si="12"/>
        <v>url_tbl94 &lt;- url_tbl94[, `:=` (url ='Large and Mid Cap', year =13),];</v>
      </c>
      <c r="N95" t="str">
        <f t="shared" si="13"/>
        <v>url94 &lt;- 'https://www.advisorkhoj.com/mutual-funds-research/top-performing-systematic-investment-plan?category=Equity:%20Large%20and%20Mid%20Cap&amp;period=13&amp;amount=3000';url94 &lt;-  read_html (url94);url_tbl94 &lt;- url94 %&gt;%   html_nodes('table') %&gt;%   html_table(fill = TRUE) %&gt;%   .[[1]];url_tbl94 &lt;- data.table(url_tbl94);url_tbl94 &lt;- url_tbl94[, `:=` (url ='Large and Mid Cap', year =13),];</v>
      </c>
    </row>
    <row r="96" spans="1:14">
      <c r="A96" t="s">
        <v>197</v>
      </c>
      <c r="B96" t="s">
        <v>198</v>
      </c>
      <c r="C96" t="s">
        <v>172</v>
      </c>
      <c r="D96" t="str">
        <f t="shared" si="7"/>
        <v>Large%20and%20Mid%20Cap</v>
      </c>
      <c r="E96">
        <v>14</v>
      </c>
      <c r="F96" s="159" t="s">
        <v>3</v>
      </c>
      <c r="G96" t="s">
        <v>4</v>
      </c>
      <c r="H96" t="s">
        <v>5</v>
      </c>
      <c r="I96" t="str">
        <f t="shared" si="8"/>
        <v>url95 &lt;- 'https://www.advisorkhoj.com/mutual-funds-research/top-performing-systematic-investment-plan?category=Equity:%20Large%20and%20Mid%20Cap&amp;period=14&amp;amount=3000';</v>
      </c>
      <c r="J96" t="str">
        <f t="shared" si="9"/>
        <v>url95 &lt;-  read_html (url95);</v>
      </c>
      <c r="K96" t="str">
        <f t="shared" si="10"/>
        <v>url_tbl95 &lt;- url95 %&gt;%   html_nodes('table') %&gt;%   html_table(fill = TRUE) %&gt;%   .[[1]];</v>
      </c>
      <c r="L96" t="str">
        <f t="shared" si="11"/>
        <v>url_tbl95 &lt;- data.table(url_tbl95);</v>
      </c>
      <c r="M96" t="str">
        <f t="shared" si="12"/>
        <v>url_tbl95 &lt;- url_tbl95[, `:=` (url ='Large and Mid Cap', year =14),];</v>
      </c>
      <c r="N96" t="str">
        <f t="shared" si="13"/>
        <v>url95 &lt;- 'https://www.advisorkhoj.com/mutual-funds-research/top-performing-systematic-investment-plan?category=Equity:%20Large%20and%20Mid%20Cap&amp;period=14&amp;amount=3000';url95 &lt;-  read_html (url95);url_tbl95 &lt;- url95 %&gt;%   html_nodes('table') %&gt;%   html_table(fill = TRUE) %&gt;%   .[[1]];url_tbl95 &lt;- data.table(url_tbl95);url_tbl95 &lt;- url_tbl95[, `:=` (url ='Large and Mid Cap', year =14),];</v>
      </c>
    </row>
    <row r="97" spans="1:14">
      <c r="A97" t="s">
        <v>199</v>
      </c>
      <c r="B97" t="s">
        <v>200</v>
      </c>
      <c r="C97" t="s">
        <v>172</v>
      </c>
      <c r="D97" t="str">
        <f t="shared" si="7"/>
        <v>Large%20and%20Mid%20Cap</v>
      </c>
      <c r="E97">
        <v>15</v>
      </c>
      <c r="F97" s="159" t="s">
        <v>3</v>
      </c>
      <c r="G97" t="s">
        <v>4</v>
      </c>
      <c r="H97" t="s">
        <v>5</v>
      </c>
      <c r="I97" t="str">
        <f t="shared" si="8"/>
        <v>url96 &lt;- 'https://www.advisorkhoj.com/mutual-funds-research/top-performing-systematic-investment-plan?category=Equity:%20Large%20and%20Mid%20Cap&amp;period=15&amp;amount=3000';</v>
      </c>
      <c r="J97" t="str">
        <f t="shared" si="9"/>
        <v>url96 &lt;-  read_html (url96);</v>
      </c>
      <c r="K97" t="str">
        <f t="shared" si="10"/>
        <v>url_tbl96 &lt;- url96 %&gt;%   html_nodes('table') %&gt;%   html_table(fill = TRUE) %&gt;%   .[[1]];</v>
      </c>
      <c r="L97" t="str">
        <f t="shared" si="11"/>
        <v>url_tbl96 &lt;- data.table(url_tbl96);</v>
      </c>
      <c r="M97" t="str">
        <f t="shared" si="12"/>
        <v>url_tbl96 &lt;- url_tbl96[, `:=` (url ='Large and Mid Cap', year =15),];</v>
      </c>
      <c r="N97" t="str">
        <f t="shared" si="13"/>
        <v>url96 &lt;- 'https://www.advisorkhoj.com/mutual-funds-research/top-performing-systematic-investment-plan?category=Equity:%20Large%20and%20Mid%20Cap&amp;period=15&amp;amount=3000';url96 &lt;-  read_html (url96);url_tbl96 &lt;- url96 %&gt;%   html_nodes('table') %&gt;%   html_table(fill = TRUE) %&gt;%   .[[1]];url_tbl96 &lt;- data.table(url_tbl96);url_tbl96 &lt;- url_tbl96[, `:=` (url ='Large and Mid Cap', year =15),];</v>
      </c>
    </row>
    <row r="98" spans="1:14">
      <c r="A98" t="s">
        <v>201</v>
      </c>
      <c r="B98" t="s">
        <v>202</v>
      </c>
      <c r="C98" t="s">
        <v>172</v>
      </c>
      <c r="D98" t="str">
        <f t="shared" si="7"/>
        <v>Large%20and%20Mid%20Cap</v>
      </c>
      <c r="E98">
        <v>16</v>
      </c>
      <c r="F98" s="159" t="s">
        <v>3</v>
      </c>
      <c r="G98" t="s">
        <v>4</v>
      </c>
      <c r="H98" t="s">
        <v>5</v>
      </c>
      <c r="I98" t="str">
        <f t="shared" si="8"/>
        <v>url97 &lt;- 'https://www.advisorkhoj.com/mutual-funds-research/top-performing-systematic-investment-plan?category=Equity:%20Large%20and%20Mid%20Cap&amp;period=16&amp;amount=3000';</v>
      </c>
      <c r="J98" t="str">
        <f t="shared" si="9"/>
        <v>url97 &lt;-  read_html (url97);</v>
      </c>
      <c r="K98" t="str">
        <f t="shared" si="10"/>
        <v>url_tbl97 &lt;- url97 %&gt;%   html_nodes('table') %&gt;%   html_table(fill = TRUE) %&gt;%   .[[1]];</v>
      </c>
      <c r="L98" t="str">
        <f t="shared" si="11"/>
        <v>url_tbl97 &lt;- data.table(url_tbl97);</v>
      </c>
      <c r="M98" t="str">
        <f t="shared" si="12"/>
        <v>url_tbl97 &lt;- url_tbl97[, `:=` (url ='Large and Mid Cap', year =16),];</v>
      </c>
      <c r="N98" t="str">
        <f t="shared" si="13"/>
        <v>url97 &lt;- 'https://www.advisorkhoj.com/mutual-funds-research/top-performing-systematic-investment-plan?category=Equity:%20Large%20and%20Mid%20Cap&amp;period=16&amp;amount=3000';url97 &lt;-  read_html (url97);url_tbl97 &lt;- url97 %&gt;%   html_nodes('table') %&gt;%   html_table(fill = TRUE) %&gt;%   .[[1]];url_tbl97 &lt;- data.table(url_tbl97);url_tbl97 &lt;- url_tbl97[, `:=` (url ='Large and Mid Cap', year =16),];</v>
      </c>
    </row>
    <row r="99" spans="1:14">
      <c r="A99" t="s">
        <v>203</v>
      </c>
      <c r="B99" t="s">
        <v>204</v>
      </c>
      <c r="C99" t="s">
        <v>205</v>
      </c>
      <c r="D99" t="str">
        <f t="shared" si="7"/>
        <v>Large%20Cap</v>
      </c>
      <c r="E99">
        <v>1</v>
      </c>
      <c r="F99" s="159" t="s">
        <v>3</v>
      </c>
      <c r="G99" t="s">
        <v>4</v>
      </c>
      <c r="H99" t="s">
        <v>5</v>
      </c>
      <c r="I99" t="str">
        <f t="shared" si="8"/>
        <v>url98 &lt;- 'https://www.advisorkhoj.com/mutual-funds-research/top-performing-systematic-investment-plan?category=Equity:%20Large%20Cap&amp;period=1&amp;amount=3000';</v>
      </c>
      <c r="J99" t="str">
        <f t="shared" si="9"/>
        <v>url98 &lt;-  read_html (url98);</v>
      </c>
      <c r="K99" t="str">
        <f t="shared" si="10"/>
        <v>url_tbl98 &lt;- url98 %&gt;%   html_nodes('table') %&gt;%   html_table(fill = TRUE) %&gt;%   .[[1]];</v>
      </c>
      <c r="L99" t="str">
        <f t="shared" si="11"/>
        <v>url_tbl98 &lt;- data.table(url_tbl98);</v>
      </c>
      <c r="M99" t="str">
        <f t="shared" si="12"/>
        <v>url_tbl98 &lt;- url_tbl98[, `:=` (url ='Large Cap', year =1),];</v>
      </c>
      <c r="N99" t="str">
        <f t="shared" si="13"/>
        <v>url98 &lt;- 'https://www.advisorkhoj.com/mutual-funds-research/top-performing-systematic-investment-plan?category=Equity:%20Large%20Cap&amp;period=1&amp;amount=3000';url98 &lt;-  read_html (url98);url_tbl98 &lt;- url98 %&gt;%   html_nodes('table') %&gt;%   html_table(fill = TRUE) %&gt;%   .[[1]];url_tbl98 &lt;- data.table(url_tbl98);url_tbl98 &lt;- url_tbl98[, `:=` (url ='Large Cap', year =1),];</v>
      </c>
    </row>
    <row r="100" spans="1:14">
      <c r="A100" t="s">
        <v>206</v>
      </c>
      <c r="B100" t="s">
        <v>207</v>
      </c>
      <c r="C100" t="s">
        <v>205</v>
      </c>
      <c r="D100" t="str">
        <f t="shared" si="7"/>
        <v>Large%20Cap</v>
      </c>
      <c r="E100">
        <v>2</v>
      </c>
      <c r="F100" s="159" t="s">
        <v>3</v>
      </c>
      <c r="G100" t="s">
        <v>4</v>
      </c>
      <c r="H100" t="s">
        <v>5</v>
      </c>
      <c r="I100" t="str">
        <f t="shared" si="8"/>
        <v>url99 &lt;- 'https://www.advisorkhoj.com/mutual-funds-research/top-performing-systematic-investment-plan?category=Equity:%20Large%20Cap&amp;period=2&amp;amount=3000';</v>
      </c>
      <c r="J100" t="str">
        <f t="shared" si="9"/>
        <v>url99 &lt;-  read_html (url99);</v>
      </c>
      <c r="K100" t="str">
        <f t="shared" si="10"/>
        <v>url_tbl99 &lt;- url99 %&gt;%   html_nodes('table') %&gt;%   html_table(fill = TRUE) %&gt;%   .[[1]];</v>
      </c>
      <c r="L100" t="str">
        <f t="shared" si="11"/>
        <v>url_tbl99 &lt;- data.table(url_tbl99);</v>
      </c>
      <c r="M100" t="str">
        <f t="shared" si="12"/>
        <v>url_tbl99 &lt;- url_tbl99[, `:=` (url ='Large Cap', year =2),];</v>
      </c>
      <c r="N100" t="str">
        <f t="shared" si="13"/>
        <v>url99 &lt;- 'https://www.advisorkhoj.com/mutual-funds-research/top-performing-systematic-investment-plan?category=Equity:%20Large%20Cap&amp;period=2&amp;amount=3000';url99 &lt;-  read_html (url99);url_tbl99 &lt;- url99 %&gt;%   html_nodes('table') %&gt;%   html_table(fill = TRUE) %&gt;%   .[[1]];url_tbl99 &lt;- data.table(url_tbl99);url_tbl99 &lt;- url_tbl99[, `:=` (url ='Large Cap', year =2),];</v>
      </c>
    </row>
    <row r="101" spans="1:14">
      <c r="A101" t="s">
        <v>208</v>
      </c>
      <c r="B101" t="s">
        <v>209</v>
      </c>
      <c r="C101" t="s">
        <v>205</v>
      </c>
      <c r="D101" t="str">
        <f t="shared" si="7"/>
        <v>Large%20Cap</v>
      </c>
      <c r="E101">
        <v>3</v>
      </c>
      <c r="F101" s="159" t="s">
        <v>3</v>
      </c>
      <c r="G101" t="s">
        <v>4</v>
      </c>
      <c r="H101" t="s">
        <v>5</v>
      </c>
      <c r="I101" t="str">
        <f t="shared" si="8"/>
        <v>url100 &lt;- 'https://www.advisorkhoj.com/mutual-funds-research/top-performing-systematic-investment-plan?category=Equity:%20Large%20Cap&amp;period=3&amp;amount=3000';</v>
      </c>
      <c r="J101" t="str">
        <f t="shared" si="9"/>
        <v>url100 &lt;-  read_html (url100);</v>
      </c>
      <c r="K101" t="str">
        <f t="shared" si="10"/>
        <v>url_tbl100 &lt;- url100 %&gt;%   html_nodes('table') %&gt;%   html_table(fill = TRUE) %&gt;%   .[[1]];</v>
      </c>
      <c r="L101" t="str">
        <f t="shared" si="11"/>
        <v>url_tbl100 &lt;- data.table(url_tbl100);</v>
      </c>
      <c r="M101" t="str">
        <f t="shared" si="12"/>
        <v>url_tbl100 &lt;- url_tbl100[, `:=` (url ='Large Cap', year =3),];</v>
      </c>
      <c r="N101" t="str">
        <f t="shared" si="13"/>
        <v>url100 &lt;- 'https://www.advisorkhoj.com/mutual-funds-research/top-performing-systematic-investment-plan?category=Equity:%20Large%20Cap&amp;period=3&amp;amount=3000';url100 &lt;-  read_html (url100);url_tbl100 &lt;- url100 %&gt;%   html_nodes('table') %&gt;%   html_table(fill = TRUE) %&gt;%   .[[1]];url_tbl100 &lt;- data.table(url_tbl100);url_tbl100 &lt;- url_tbl100[, `:=` (url ='Large Cap', year =3),];</v>
      </c>
    </row>
    <row r="102" spans="1:14">
      <c r="A102" t="s">
        <v>210</v>
      </c>
      <c r="B102" t="s">
        <v>211</v>
      </c>
      <c r="C102" t="s">
        <v>205</v>
      </c>
      <c r="D102" t="str">
        <f t="shared" si="7"/>
        <v>Large%20Cap</v>
      </c>
      <c r="E102">
        <v>4</v>
      </c>
      <c r="F102" s="159" t="s">
        <v>3</v>
      </c>
      <c r="G102" t="s">
        <v>4</v>
      </c>
      <c r="H102" t="s">
        <v>5</v>
      </c>
      <c r="I102" t="str">
        <f t="shared" si="8"/>
        <v>url101 &lt;- 'https://www.advisorkhoj.com/mutual-funds-research/top-performing-systematic-investment-plan?category=Equity:%20Large%20Cap&amp;period=4&amp;amount=3000';</v>
      </c>
      <c r="J102" t="str">
        <f t="shared" si="9"/>
        <v>url101 &lt;-  read_html (url101);</v>
      </c>
      <c r="K102" t="str">
        <f t="shared" si="10"/>
        <v>url_tbl101 &lt;- url101 %&gt;%   html_nodes('table') %&gt;%   html_table(fill = TRUE) %&gt;%   .[[1]];</v>
      </c>
      <c r="L102" t="str">
        <f t="shared" si="11"/>
        <v>url_tbl101 &lt;- data.table(url_tbl101);</v>
      </c>
      <c r="M102" t="str">
        <f t="shared" si="12"/>
        <v>url_tbl101 &lt;- url_tbl101[, `:=` (url ='Large Cap', year =4),];</v>
      </c>
      <c r="N102" t="str">
        <f t="shared" si="13"/>
        <v>url101 &lt;- 'https://www.advisorkhoj.com/mutual-funds-research/top-performing-systematic-investment-plan?category=Equity:%20Large%20Cap&amp;period=4&amp;amount=3000';url101 &lt;-  read_html (url101);url_tbl101 &lt;- url101 %&gt;%   html_nodes('table') %&gt;%   html_table(fill = TRUE) %&gt;%   .[[1]];url_tbl101 &lt;- data.table(url_tbl101);url_tbl101 &lt;- url_tbl101[, `:=` (url ='Large Cap', year =4),];</v>
      </c>
    </row>
    <row r="103" spans="1:14">
      <c r="A103" t="s">
        <v>212</v>
      </c>
      <c r="B103" t="s">
        <v>213</v>
      </c>
      <c r="C103" t="s">
        <v>205</v>
      </c>
      <c r="D103" t="str">
        <f t="shared" si="7"/>
        <v>Large%20Cap</v>
      </c>
      <c r="E103">
        <v>5</v>
      </c>
      <c r="F103" s="159" t="s">
        <v>3</v>
      </c>
      <c r="G103" t="s">
        <v>4</v>
      </c>
      <c r="H103" t="s">
        <v>5</v>
      </c>
      <c r="I103" t="str">
        <f t="shared" si="8"/>
        <v>url102 &lt;- 'https://www.advisorkhoj.com/mutual-funds-research/top-performing-systematic-investment-plan?category=Equity:%20Large%20Cap&amp;period=5&amp;amount=3000';</v>
      </c>
      <c r="J103" t="str">
        <f t="shared" si="9"/>
        <v>url102 &lt;-  read_html (url102);</v>
      </c>
      <c r="K103" t="str">
        <f t="shared" si="10"/>
        <v>url_tbl102 &lt;- url102 %&gt;%   html_nodes('table') %&gt;%   html_table(fill = TRUE) %&gt;%   .[[1]];</v>
      </c>
      <c r="L103" t="str">
        <f t="shared" si="11"/>
        <v>url_tbl102 &lt;- data.table(url_tbl102);</v>
      </c>
      <c r="M103" t="str">
        <f t="shared" si="12"/>
        <v>url_tbl102 &lt;- url_tbl102[, `:=` (url ='Large Cap', year =5),];</v>
      </c>
      <c r="N103" t="str">
        <f t="shared" si="13"/>
        <v>url102 &lt;- 'https://www.advisorkhoj.com/mutual-funds-research/top-performing-systematic-investment-plan?category=Equity:%20Large%20Cap&amp;period=5&amp;amount=3000';url102 &lt;-  read_html (url102);url_tbl102 &lt;- url102 %&gt;%   html_nodes('table') %&gt;%   html_table(fill = TRUE) %&gt;%   .[[1]];url_tbl102 &lt;- data.table(url_tbl102);url_tbl102 &lt;- url_tbl102[, `:=` (url ='Large Cap', year =5),];</v>
      </c>
    </row>
    <row r="104" spans="1:14">
      <c r="A104" t="s">
        <v>214</v>
      </c>
      <c r="B104" t="s">
        <v>215</v>
      </c>
      <c r="C104" t="s">
        <v>205</v>
      </c>
      <c r="D104" t="str">
        <f t="shared" si="7"/>
        <v>Large%20Cap</v>
      </c>
      <c r="E104">
        <v>6</v>
      </c>
      <c r="F104" s="159" t="s">
        <v>3</v>
      </c>
      <c r="G104" t="s">
        <v>4</v>
      </c>
      <c r="H104" t="s">
        <v>5</v>
      </c>
      <c r="I104" t="str">
        <f t="shared" si="8"/>
        <v>url103 &lt;- 'https://www.advisorkhoj.com/mutual-funds-research/top-performing-systematic-investment-plan?category=Equity:%20Large%20Cap&amp;period=6&amp;amount=3000';</v>
      </c>
      <c r="J104" t="str">
        <f t="shared" si="9"/>
        <v>url103 &lt;-  read_html (url103);</v>
      </c>
      <c r="K104" t="str">
        <f t="shared" si="10"/>
        <v>url_tbl103 &lt;- url103 %&gt;%   html_nodes('table') %&gt;%   html_table(fill = TRUE) %&gt;%   .[[1]];</v>
      </c>
      <c r="L104" t="str">
        <f t="shared" si="11"/>
        <v>url_tbl103 &lt;- data.table(url_tbl103);</v>
      </c>
      <c r="M104" t="str">
        <f t="shared" si="12"/>
        <v>url_tbl103 &lt;- url_tbl103[, `:=` (url ='Large Cap', year =6),];</v>
      </c>
      <c r="N104" t="str">
        <f t="shared" si="13"/>
        <v>url103 &lt;- 'https://www.advisorkhoj.com/mutual-funds-research/top-performing-systematic-investment-plan?category=Equity:%20Large%20Cap&amp;period=6&amp;amount=3000';url103 &lt;-  read_html (url103);url_tbl103 &lt;- url103 %&gt;%   html_nodes('table') %&gt;%   html_table(fill = TRUE) %&gt;%   .[[1]];url_tbl103 &lt;- data.table(url_tbl103);url_tbl103 &lt;- url_tbl103[, `:=` (url ='Large Cap', year =6),];</v>
      </c>
    </row>
    <row r="105" spans="1:14">
      <c r="A105" t="s">
        <v>216</v>
      </c>
      <c r="B105" t="s">
        <v>217</v>
      </c>
      <c r="C105" t="s">
        <v>205</v>
      </c>
      <c r="D105" t="str">
        <f t="shared" si="7"/>
        <v>Large%20Cap</v>
      </c>
      <c r="E105">
        <v>7</v>
      </c>
      <c r="F105" s="159" t="s">
        <v>3</v>
      </c>
      <c r="G105" t="s">
        <v>4</v>
      </c>
      <c r="H105" t="s">
        <v>5</v>
      </c>
      <c r="I105" t="str">
        <f t="shared" si="8"/>
        <v>url104 &lt;- 'https://www.advisorkhoj.com/mutual-funds-research/top-performing-systematic-investment-plan?category=Equity:%20Large%20Cap&amp;period=7&amp;amount=3000';</v>
      </c>
      <c r="J105" t="str">
        <f t="shared" si="9"/>
        <v>url104 &lt;-  read_html (url104);</v>
      </c>
      <c r="K105" t="str">
        <f t="shared" si="10"/>
        <v>url_tbl104 &lt;- url104 %&gt;%   html_nodes('table') %&gt;%   html_table(fill = TRUE) %&gt;%   .[[1]];</v>
      </c>
      <c r="L105" t="str">
        <f t="shared" si="11"/>
        <v>url_tbl104 &lt;- data.table(url_tbl104);</v>
      </c>
      <c r="M105" t="str">
        <f t="shared" si="12"/>
        <v>url_tbl104 &lt;- url_tbl104[, `:=` (url ='Large Cap', year =7),];</v>
      </c>
      <c r="N105" t="str">
        <f t="shared" si="13"/>
        <v>url104 &lt;- 'https://www.advisorkhoj.com/mutual-funds-research/top-performing-systematic-investment-plan?category=Equity:%20Large%20Cap&amp;period=7&amp;amount=3000';url104 &lt;-  read_html (url104);url_tbl104 &lt;- url104 %&gt;%   html_nodes('table') %&gt;%   html_table(fill = TRUE) %&gt;%   .[[1]];url_tbl104 &lt;- data.table(url_tbl104);url_tbl104 &lt;- url_tbl104[, `:=` (url ='Large Cap', year =7),];</v>
      </c>
    </row>
    <row r="106" spans="1:14">
      <c r="A106" t="s">
        <v>218</v>
      </c>
      <c r="B106" t="s">
        <v>219</v>
      </c>
      <c r="C106" t="s">
        <v>205</v>
      </c>
      <c r="D106" t="str">
        <f t="shared" si="7"/>
        <v>Large%20Cap</v>
      </c>
      <c r="E106">
        <v>8</v>
      </c>
      <c r="F106" s="159" t="s">
        <v>3</v>
      </c>
      <c r="G106" t="s">
        <v>4</v>
      </c>
      <c r="H106" t="s">
        <v>5</v>
      </c>
      <c r="I106" t="str">
        <f t="shared" si="8"/>
        <v>url105 &lt;- 'https://www.advisorkhoj.com/mutual-funds-research/top-performing-systematic-investment-plan?category=Equity:%20Large%20Cap&amp;period=8&amp;amount=3000';</v>
      </c>
      <c r="J106" t="str">
        <f t="shared" si="9"/>
        <v>url105 &lt;-  read_html (url105);</v>
      </c>
      <c r="K106" t="str">
        <f t="shared" si="10"/>
        <v>url_tbl105 &lt;- url105 %&gt;%   html_nodes('table') %&gt;%   html_table(fill = TRUE) %&gt;%   .[[1]];</v>
      </c>
      <c r="L106" t="str">
        <f t="shared" si="11"/>
        <v>url_tbl105 &lt;- data.table(url_tbl105);</v>
      </c>
      <c r="M106" t="str">
        <f t="shared" si="12"/>
        <v>url_tbl105 &lt;- url_tbl105[, `:=` (url ='Large Cap', year =8),];</v>
      </c>
      <c r="N106" t="str">
        <f t="shared" si="13"/>
        <v>url105 &lt;- 'https://www.advisorkhoj.com/mutual-funds-research/top-performing-systematic-investment-plan?category=Equity:%20Large%20Cap&amp;period=8&amp;amount=3000';url105 &lt;-  read_html (url105);url_tbl105 &lt;- url105 %&gt;%   html_nodes('table') %&gt;%   html_table(fill = TRUE) %&gt;%   .[[1]];url_tbl105 &lt;- data.table(url_tbl105);url_tbl105 &lt;- url_tbl105[, `:=` (url ='Large Cap', year =8),];</v>
      </c>
    </row>
    <row r="107" spans="1:14">
      <c r="A107" t="s">
        <v>220</v>
      </c>
      <c r="B107" t="s">
        <v>221</v>
      </c>
      <c r="C107" t="s">
        <v>205</v>
      </c>
      <c r="D107" t="str">
        <f t="shared" si="7"/>
        <v>Large%20Cap</v>
      </c>
      <c r="E107">
        <v>9</v>
      </c>
      <c r="F107" s="159" t="s">
        <v>3</v>
      </c>
      <c r="G107" t="s">
        <v>4</v>
      </c>
      <c r="H107" t="s">
        <v>5</v>
      </c>
      <c r="I107" t="str">
        <f t="shared" si="8"/>
        <v>url106 &lt;- 'https://www.advisorkhoj.com/mutual-funds-research/top-performing-systematic-investment-plan?category=Equity:%20Large%20Cap&amp;period=9&amp;amount=3000';</v>
      </c>
      <c r="J107" t="str">
        <f t="shared" si="9"/>
        <v>url106 &lt;-  read_html (url106);</v>
      </c>
      <c r="K107" t="str">
        <f t="shared" si="10"/>
        <v>url_tbl106 &lt;- url106 %&gt;%   html_nodes('table') %&gt;%   html_table(fill = TRUE) %&gt;%   .[[1]];</v>
      </c>
      <c r="L107" t="str">
        <f t="shared" si="11"/>
        <v>url_tbl106 &lt;- data.table(url_tbl106);</v>
      </c>
      <c r="M107" t="str">
        <f t="shared" si="12"/>
        <v>url_tbl106 &lt;- url_tbl106[, `:=` (url ='Large Cap', year =9),];</v>
      </c>
      <c r="N107" t="str">
        <f t="shared" si="13"/>
        <v>url106 &lt;- 'https://www.advisorkhoj.com/mutual-funds-research/top-performing-systematic-investment-plan?category=Equity:%20Large%20Cap&amp;period=9&amp;amount=3000';url106 &lt;-  read_html (url106);url_tbl106 &lt;- url106 %&gt;%   html_nodes('table') %&gt;%   html_table(fill = TRUE) %&gt;%   .[[1]];url_tbl106 &lt;- data.table(url_tbl106);url_tbl106 &lt;- url_tbl106[, `:=` (url ='Large Cap', year =9),];</v>
      </c>
    </row>
    <row r="108" spans="1:14">
      <c r="A108" t="s">
        <v>222</v>
      </c>
      <c r="B108" t="s">
        <v>223</v>
      </c>
      <c r="C108" t="s">
        <v>205</v>
      </c>
      <c r="D108" t="str">
        <f t="shared" si="7"/>
        <v>Large%20Cap</v>
      </c>
      <c r="E108">
        <v>10</v>
      </c>
      <c r="F108" s="159" t="s">
        <v>3</v>
      </c>
      <c r="G108" t="s">
        <v>4</v>
      </c>
      <c r="H108" t="s">
        <v>5</v>
      </c>
      <c r="I108" t="str">
        <f t="shared" si="8"/>
        <v>url107 &lt;- 'https://www.advisorkhoj.com/mutual-funds-research/top-performing-systematic-investment-plan?category=Equity:%20Large%20Cap&amp;period=10&amp;amount=3000';</v>
      </c>
      <c r="J108" t="str">
        <f t="shared" si="9"/>
        <v>url107 &lt;-  read_html (url107);</v>
      </c>
      <c r="K108" t="str">
        <f t="shared" si="10"/>
        <v>url_tbl107 &lt;- url107 %&gt;%   html_nodes('table') %&gt;%   html_table(fill = TRUE) %&gt;%   .[[1]];</v>
      </c>
      <c r="L108" t="str">
        <f t="shared" si="11"/>
        <v>url_tbl107 &lt;- data.table(url_tbl107);</v>
      </c>
      <c r="M108" t="str">
        <f t="shared" si="12"/>
        <v>url_tbl107 &lt;- url_tbl107[, `:=` (url ='Large Cap', year =10),];</v>
      </c>
      <c r="N108" t="str">
        <f t="shared" si="13"/>
        <v>url107 &lt;- 'https://www.advisorkhoj.com/mutual-funds-research/top-performing-systematic-investment-plan?category=Equity:%20Large%20Cap&amp;period=10&amp;amount=3000';url107 &lt;-  read_html (url107);url_tbl107 &lt;- url107 %&gt;%   html_nodes('table') %&gt;%   html_table(fill = TRUE) %&gt;%   .[[1]];url_tbl107 &lt;- data.table(url_tbl107);url_tbl107 &lt;- url_tbl107[, `:=` (url ='Large Cap', year =10),];</v>
      </c>
    </row>
    <row r="109" spans="1:14">
      <c r="A109" t="s">
        <v>224</v>
      </c>
      <c r="B109" t="s">
        <v>225</v>
      </c>
      <c r="C109" t="s">
        <v>205</v>
      </c>
      <c r="D109" t="str">
        <f t="shared" si="7"/>
        <v>Large%20Cap</v>
      </c>
      <c r="E109">
        <v>11</v>
      </c>
      <c r="F109" s="159" t="s">
        <v>3</v>
      </c>
      <c r="G109" t="s">
        <v>4</v>
      </c>
      <c r="H109" t="s">
        <v>5</v>
      </c>
      <c r="I109" t="str">
        <f t="shared" si="8"/>
        <v>url108 &lt;- 'https://www.advisorkhoj.com/mutual-funds-research/top-performing-systematic-investment-plan?category=Equity:%20Large%20Cap&amp;period=11&amp;amount=3000';</v>
      </c>
      <c r="J109" t="str">
        <f t="shared" si="9"/>
        <v>url108 &lt;-  read_html (url108);</v>
      </c>
      <c r="K109" t="str">
        <f t="shared" si="10"/>
        <v>url_tbl108 &lt;- url108 %&gt;%   html_nodes('table') %&gt;%   html_table(fill = TRUE) %&gt;%   .[[1]];</v>
      </c>
      <c r="L109" t="str">
        <f t="shared" si="11"/>
        <v>url_tbl108 &lt;- data.table(url_tbl108);</v>
      </c>
      <c r="M109" t="str">
        <f t="shared" si="12"/>
        <v>url_tbl108 &lt;- url_tbl108[, `:=` (url ='Large Cap', year =11),];</v>
      </c>
      <c r="N109" t="str">
        <f t="shared" si="13"/>
        <v>url108 &lt;- 'https://www.advisorkhoj.com/mutual-funds-research/top-performing-systematic-investment-plan?category=Equity:%20Large%20Cap&amp;period=11&amp;amount=3000';url108 &lt;-  read_html (url108);url_tbl108 &lt;- url108 %&gt;%   html_nodes('table') %&gt;%   html_table(fill = TRUE) %&gt;%   .[[1]];url_tbl108 &lt;- data.table(url_tbl108);url_tbl108 &lt;- url_tbl108[, `:=` (url ='Large Cap', year =11),];</v>
      </c>
    </row>
    <row r="110" spans="1:14">
      <c r="A110" t="s">
        <v>226</v>
      </c>
      <c r="B110" t="s">
        <v>227</v>
      </c>
      <c r="C110" t="s">
        <v>205</v>
      </c>
      <c r="D110" t="str">
        <f t="shared" si="7"/>
        <v>Large%20Cap</v>
      </c>
      <c r="E110">
        <v>12</v>
      </c>
      <c r="F110" s="159" t="s">
        <v>3</v>
      </c>
      <c r="G110" t="s">
        <v>4</v>
      </c>
      <c r="H110" t="s">
        <v>5</v>
      </c>
      <c r="I110" t="str">
        <f t="shared" si="8"/>
        <v>url109 &lt;- 'https://www.advisorkhoj.com/mutual-funds-research/top-performing-systematic-investment-plan?category=Equity:%20Large%20Cap&amp;period=12&amp;amount=3000';</v>
      </c>
      <c r="J110" t="str">
        <f t="shared" si="9"/>
        <v>url109 &lt;-  read_html (url109);</v>
      </c>
      <c r="K110" t="str">
        <f t="shared" si="10"/>
        <v>url_tbl109 &lt;- url109 %&gt;%   html_nodes('table') %&gt;%   html_table(fill = TRUE) %&gt;%   .[[1]];</v>
      </c>
      <c r="L110" t="str">
        <f t="shared" si="11"/>
        <v>url_tbl109 &lt;- data.table(url_tbl109);</v>
      </c>
      <c r="M110" t="str">
        <f t="shared" si="12"/>
        <v>url_tbl109 &lt;- url_tbl109[, `:=` (url ='Large Cap', year =12),];</v>
      </c>
      <c r="N110" t="str">
        <f t="shared" si="13"/>
        <v>url109 &lt;- 'https://www.advisorkhoj.com/mutual-funds-research/top-performing-systematic-investment-plan?category=Equity:%20Large%20Cap&amp;period=12&amp;amount=3000';url109 &lt;-  read_html (url109);url_tbl109 &lt;- url109 %&gt;%   html_nodes('table') %&gt;%   html_table(fill = TRUE) %&gt;%   .[[1]];url_tbl109 &lt;- data.table(url_tbl109);url_tbl109 &lt;- url_tbl109[, `:=` (url ='Large Cap', year =12),];</v>
      </c>
    </row>
    <row r="111" spans="1:14">
      <c r="A111" t="s">
        <v>228</v>
      </c>
      <c r="B111" t="s">
        <v>229</v>
      </c>
      <c r="C111" t="s">
        <v>205</v>
      </c>
      <c r="D111" t="str">
        <f t="shared" si="7"/>
        <v>Large%20Cap</v>
      </c>
      <c r="E111">
        <v>13</v>
      </c>
      <c r="F111" s="159" t="s">
        <v>3</v>
      </c>
      <c r="G111" t="s">
        <v>4</v>
      </c>
      <c r="H111" t="s">
        <v>5</v>
      </c>
      <c r="I111" t="str">
        <f t="shared" si="8"/>
        <v>url110 &lt;- 'https://www.advisorkhoj.com/mutual-funds-research/top-performing-systematic-investment-plan?category=Equity:%20Large%20Cap&amp;period=13&amp;amount=3000';</v>
      </c>
      <c r="J111" t="str">
        <f t="shared" si="9"/>
        <v>url110 &lt;-  read_html (url110);</v>
      </c>
      <c r="K111" t="str">
        <f t="shared" si="10"/>
        <v>url_tbl110 &lt;- url110 %&gt;%   html_nodes('table') %&gt;%   html_table(fill = TRUE) %&gt;%   .[[1]];</v>
      </c>
      <c r="L111" t="str">
        <f t="shared" si="11"/>
        <v>url_tbl110 &lt;- data.table(url_tbl110);</v>
      </c>
      <c r="M111" t="str">
        <f t="shared" si="12"/>
        <v>url_tbl110 &lt;- url_tbl110[, `:=` (url ='Large Cap', year =13),];</v>
      </c>
      <c r="N111" t="str">
        <f t="shared" si="13"/>
        <v>url110 &lt;- 'https://www.advisorkhoj.com/mutual-funds-research/top-performing-systematic-investment-plan?category=Equity:%20Large%20Cap&amp;period=13&amp;amount=3000';url110 &lt;-  read_html (url110);url_tbl110 &lt;- url110 %&gt;%   html_nodes('table') %&gt;%   html_table(fill = TRUE) %&gt;%   .[[1]];url_tbl110 &lt;- data.table(url_tbl110);url_tbl110 &lt;- url_tbl110[, `:=` (url ='Large Cap', year =13),];</v>
      </c>
    </row>
    <row r="112" spans="1:14">
      <c r="A112" t="s">
        <v>230</v>
      </c>
      <c r="B112" t="s">
        <v>231</v>
      </c>
      <c r="C112" t="s">
        <v>205</v>
      </c>
      <c r="D112" t="str">
        <f t="shared" si="7"/>
        <v>Large%20Cap</v>
      </c>
      <c r="E112">
        <v>14</v>
      </c>
      <c r="F112" s="159" t="s">
        <v>3</v>
      </c>
      <c r="G112" t="s">
        <v>4</v>
      </c>
      <c r="H112" t="s">
        <v>5</v>
      </c>
      <c r="I112" t="str">
        <f t="shared" si="8"/>
        <v>url111 &lt;- 'https://www.advisorkhoj.com/mutual-funds-research/top-performing-systematic-investment-plan?category=Equity:%20Large%20Cap&amp;period=14&amp;amount=3000';</v>
      </c>
      <c r="J112" t="str">
        <f t="shared" si="9"/>
        <v>url111 &lt;-  read_html (url111);</v>
      </c>
      <c r="K112" t="str">
        <f t="shared" si="10"/>
        <v>url_tbl111 &lt;- url111 %&gt;%   html_nodes('table') %&gt;%   html_table(fill = TRUE) %&gt;%   .[[1]];</v>
      </c>
      <c r="L112" t="str">
        <f t="shared" si="11"/>
        <v>url_tbl111 &lt;- data.table(url_tbl111);</v>
      </c>
      <c r="M112" t="str">
        <f t="shared" si="12"/>
        <v>url_tbl111 &lt;- url_tbl111[, `:=` (url ='Large Cap', year =14),];</v>
      </c>
      <c r="N112" t="str">
        <f t="shared" si="13"/>
        <v>url111 &lt;- 'https://www.advisorkhoj.com/mutual-funds-research/top-performing-systematic-investment-plan?category=Equity:%20Large%20Cap&amp;period=14&amp;amount=3000';url111 &lt;-  read_html (url111);url_tbl111 &lt;- url111 %&gt;%   html_nodes('table') %&gt;%   html_table(fill = TRUE) %&gt;%   .[[1]];url_tbl111 &lt;- data.table(url_tbl111);url_tbl111 &lt;- url_tbl111[, `:=` (url ='Large Cap', year =14),];</v>
      </c>
    </row>
    <row r="113" spans="1:14">
      <c r="A113" t="s">
        <v>232</v>
      </c>
      <c r="B113" t="s">
        <v>233</v>
      </c>
      <c r="C113" t="s">
        <v>205</v>
      </c>
      <c r="D113" t="str">
        <f t="shared" si="7"/>
        <v>Large%20Cap</v>
      </c>
      <c r="E113">
        <v>15</v>
      </c>
      <c r="F113" s="159" t="s">
        <v>3</v>
      </c>
      <c r="G113" t="s">
        <v>4</v>
      </c>
      <c r="H113" t="s">
        <v>5</v>
      </c>
      <c r="I113" t="str">
        <f t="shared" si="8"/>
        <v>url112 &lt;- 'https://www.advisorkhoj.com/mutual-funds-research/top-performing-systematic-investment-plan?category=Equity:%20Large%20Cap&amp;period=15&amp;amount=3000';</v>
      </c>
      <c r="J113" t="str">
        <f t="shared" si="9"/>
        <v>url112 &lt;-  read_html (url112);</v>
      </c>
      <c r="K113" t="str">
        <f t="shared" si="10"/>
        <v>url_tbl112 &lt;- url112 %&gt;%   html_nodes('table') %&gt;%   html_table(fill = TRUE) %&gt;%   .[[1]];</v>
      </c>
      <c r="L113" t="str">
        <f t="shared" si="11"/>
        <v>url_tbl112 &lt;- data.table(url_tbl112);</v>
      </c>
      <c r="M113" t="str">
        <f t="shared" si="12"/>
        <v>url_tbl112 &lt;- url_tbl112[, `:=` (url ='Large Cap', year =15),];</v>
      </c>
      <c r="N113" t="str">
        <f t="shared" si="13"/>
        <v>url112 &lt;- 'https://www.advisorkhoj.com/mutual-funds-research/top-performing-systematic-investment-plan?category=Equity:%20Large%20Cap&amp;period=15&amp;amount=3000';url112 &lt;-  read_html (url112);url_tbl112 &lt;- url112 %&gt;%   html_nodes('table') %&gt;%   html_table(fill = TRUE) %&gt;%   .[[1]];url_tbl112 &lt;- data.table(url_tbl112);url_tbl112 &lt;- url_tbl112[, `:=` (url ='Large Cap', year =15),];</v>
      </c>
    </row>
    <row r="114" spans="1:14">
      <c r="A114" t="s">
        <v>234</v>
      </c>
      <c r="B114" t="s">
        <v>235</v>
      </c>
      <c r="C114" t="s">
        <v>205</v>
      </c>
      <c r="D114" t="str">
        <f t="shared" si="7"/>
        <v>Large%20Cap</v>
      </c>
      <c r="E114">
        <v>16</v>
      </c>
      <c r="F114" s="159" t="s">
        <v>3</v>
      </c>
      <c r="G114" t="s">
        <v>4</v>
      </c>
      <c r="H114" t="s">
        <v>5</v>
      </c>
      <c r="I114" t="str">
        <f t="shared" si="8"/>
        <v>url113 &lt;- 'https://www.advisorkhoj.com/mutual-funds-research/top-performing-systematic-investment-plan?category=Equity:%20Large%20Cap&amp;period=16&amp;amount=3000';</v>
      </c>
      <c r="J114" t="str">
        <f t="shared" si="9"/>
        <v>url113 &lt;-  read_html (url113);</v>
      </c>
      <c r="K114" t="str">
        <f t="shared" si="10"/>
        <v>url_tbl113 &lt;- url113 %&gt;%   html_nodes('table') %&gt;%   html_table(fill = TRUE) %&gt;%   .[[1]];</v>
      </c>
      <c r="L114" t="str">
        <f t="shared" si="11"/>
        <v>url_tbl113 &lt;- data.table(url_tbl113);</v>
      </c>
      <c r="M114" t="str">
        <f t="shared" si="12"/>
        <v>url_tbl113 &lt;- url_tbl113[, `:=` (url ='Large Cap', year =16),];</v>
      </c>
      <c r="N114" t="str">
        <f t="shared" si="13"/>
        <v>url113 &lt;- 'https://www.advisorkhoj.com/mutual-funds-research/top-performing-systematic-investment-plan?category=Equity:%20Large%20Cap&amp;period=16&amp;amount=3000';url113 &lt;-  read_html (url113);url_tbl113 &lt;- url113 %&gt;%   html_nodes('table') %&gt;%   html_table(fill = TRUE) %&gt;%   .[[1]];url_tbl113 &lt;- data.table(url_tbl113);url_tbl113 &lt;- url_tbl113[, `:=` (url ='Large Cap', year =16),];</v>
      </c>
    </row>
    <row r="115" spans="1:14">
      <c r="A115" t="s">
        <v>236</v>
      </c>
      <c r="B115" t="s">
        <v>237</v>
      </c>
      <c r="C115" t="s">
        <v>238</v>
      </c>
      <c r="D115" t="str">
        <f t="shared" si="7"/>
        <v>Mid%20Cap</v>
      </c>
      <c r="E115">
        <v>1</v>
      </c>
      <c r="F115" s="159" t="s">
        <v>3</v>
      </c>
      <c r="G115" t="s">
        <v>4</v>
      </c>
      <c r="H115" t="s">
        <v>5</v>
      </c>
      <c r="I115" t="str">
        <f t="shared" si="8"/>
        <v>url114 &lt;- 'https://www.advisorkhoj.com/mutual-funds-research/top-performing-systematic-investment-plan?category=Equity:%20Mid%20Cap&amp;period=1&amp;amount=3000';</v>
      </c>
      <c r="J115" t="str">
        <f t="shared" si="9"/>
        <v>url114 &lt;-  read_html (url114);</v>
      </c>
      <c r="K115" t="str">
        <f t="shared" si="10"/>
        <v>url_tbl114 &lt;- url114 %&gt;%   html_nodes('table') %&gt;%   html_table(fill = TRUE) %&gt;%   .[[1]];</v>
      </c>
      <c r="L115" t="str">
        <f t="shared" si="11"/>
        <v>url_tbl114 &lt;- data.table(url_tbl114);</v>
      </c>
      <c r="M115" t="str">
        <f t="shared" si="12"/>
        <v>url_tbl114 &lt;- url_tbl114[, `:=` (url ='Mid Cap', year =1),];</v>
      </c>
      <c r="N115" t="str">
        <f t="shared" si="13"/>
        <v>url114 &lt;- 'https://www.advisorkhoj.com/mutual-funds-research/top-performing-systematic-investment-plan?category=Equity:%20Mid%20Cap&amp;period=1&amp;amount=3000';url114 &lt;-  read_html (url114);url_tbl114 &lt;- url114 %&gt;%   html_nodes('table') %&gt;%   html_table(fill = TRUE) %&gt;%   .[[1]];url_tbl114 &lt;- data.table(url_tbl114);url_tbl114 &lt;- url_tbl114[, `:=` (url ='Mid Cap', year =1),];</v>
      </c>
    </row>
    <row r="116" spans="1:14">
      <c r="A116" t="s">
        <v>239</v>
      </c>
      <c r="B116" t="s">
        <v>240</v>
      </c>
      <c r="C116" t="s">
        <v>238</v>
      </c>
      <c r="D116" t="str">
        <f t="shared" si="7"/>
        <v>Mid%20Cap</v>
      </c>
      <c r="E116">
        <v>2</v>
      </c>
      <c r="F116" s="159" t="s">
        <v>3</v>
      </c>
      <c r="G116" t="s">
        <v>4</v>
      </c>
      <c r="H116" t="s">
        <v>5</v>
      </c>
      <c r="I116" t="str">
        <f t="shared" si="8"/>
        <v>url115 &lt;- 'https://www.advisorkhoj.com/mutual-funds-research/top-performing-systematic-investment-plan?category=Equity:%20Mid%20Cap&amp;period=2&amp;amount=3000';</v>
      </c>
      <c r="J116" t="str">
        <f t="shared" si="9"/>
        <v>url115 &lt;-  read_html (url115);</v>
      </c>
      <c r="K116" t="str">
        <f t="shared" si="10"/>
        <v>url_tbl115 &lt;- url115 %&gt;%   html_nodes('table') %&gt;%   html_table(fill = TRUE) %&gt;%   .[[1]];</v>
      </c>
      <c r="L116" t="str">
        <f t="shared" si="11"/>
        <v>url_tbl115 &lt;- data.table(url_tbl115);</v>
      </c>
      <c r="M116" t="str">
        <f t="shared" si="12"/>
        <v>url_tbl115 &lt;- url_tbl115[, `:=` (url ='Mid Cap', year =2),];</v>
      </c>
      <c r="N116" t="str">
        <f t="shared" si="13"/>
        <v>url115 &lt;- 'https://www.advisorkhoj.com/mutual-funds-research/top-performing-systematic-investment-plan?category=Equity:%20Mid%20Cap&amp;period=2&amp;amount=3000';url115 &lt;-  read_html (url115);url_tbl115 &lt;- url115 %&gt;%   html_nodes('table') %&gt;%   html_table(fill = TRUE) %&gt;%   .[[1]];url_tbl115 &lt;- data.table(url_tbl115);url_tbl115 &lt;- url_tbl115[, `:=` (url ='Mid Cap', year =2),];</v>
      </c>
    </row>
    <row r="117" spans="1:14">
      <c r="A117" t="s">
        <v>241</v>
      </c>
      <c r="B117" t="s">
        <v>242</v>
      </c>
      <c r="C117" t="s">
        <v>238</v>
      </c>
      <c r="D117" t="str">
        <f t="shared" si="7"/>
        <v>Mid%20Cap</v>
      </c>
      <c r="E117">
        <v>3</v>
      </c>
      <c r="F117" s="159" t="s">
        <v>3</v>
      </c>
      <c r="G117" t="s">
        <v>4</v>
      </c>
      <c r="H117" t="s">
        <v>5</v>
      </c>
      <c r="I117" t="str">
        <f t="shared" si="8"/>
        <v>url116 &lt;- 'https://www.advisorkhoj.com/mutual-funds-research/top-performing-systematic-investment-plan?category=Equity:%20Mid%20Cap&amp;period=3&amp;amount=3000';</v>
      </c>
      <c r="J117" t="str">
        <f t="shared" si="9"/>
        <v>url116 &lt;-  read_html (url116);</v>
      </c>
      <c r="K117" t="str">
        <f t="shared" si="10"/>
        <v>url_tbl116 &lt;- url116 %&gt;%   html_nodes('table') %&gt;%   html_table(fill = TRUE) %&gt;%   .[[1]];</v>
      </c>
      <c r="L117" t="str">
        <f t="shared" si="11"/>
        <v>url_tbl116 &lt;- data.table(url_tbl116);</v>
      </c>
      <c r="M117" t="str">
        <f t="shared" si="12"/>
        <v>url_tbl116 &lt;- url_tbl116[, `:=` (url ='Mid Cap', year =3),];</v>
      </c>
      <c r="N117" t="str">
        <f t="shared" si="13"/>
        <v>url116 &lt;- 'https://www.advisorkhoj.com/mutual-funds-research/top-performing-systematic-investment-plan?category=Equity:%20Mid%20Cap&amp;period=3&amp;amount=3000';url116 &lt;-  read_html (url116);url_tbl116 &lt;- url116 %&gt;%   html_nodes('table') %&gt;%   html_table(fill = TRUE) %&gt;%   .[[1]];url_tbl116 &lt;- data.table(url_tbl116);url_tbl116 &lt;- url_tbl116[, `:=` (url ='Mid Cap', year =3),];</v>
      </c>
    </row>
    <row r="118" spans="1:14">
      <c r="A118" t="s">
        <v>243</v>
      </c>
      <c r="B118" t="s">
        <v>244</v>
      </c>
      <c r="C118" t="s">
        <v>238</v>
      </c>
      <c r="D118" t="str">
        <f t="shared" si="7"/>
        <v>Mid%20Cap</v>
      </c>
      <c r="E118">
        <v>4</v>
      </c>
      <c r="F118" s="159" t="s">
        <v>3</v>
      </c>
      <c r="G118" t="s">
        <v>4</v>
      </c>
      <c r="H118" t="s">
        <v>5</v>
      </c>
      <c r="I118" t="str">
        <f t="shared" si="8"/>
        <v>url117 &lt;- 'https://www.advisorkhoj.com/mutual-funds-research/top-performing-systematic-investment-plan?category=Equity:%20Mid%20Cap&amp;period=4&amp;amount=3000';</v>
      </c>
      <c r="J118" t="str">
        <f t="shared" si="9"/>
        <v>url117 &lt;-  read_html (url117);</v>
      </c>
      <c r="K118" t="str">
        <f t="shared" si="10"/>
        <v>url_tbl117 &lt;- url117 %&gt;%   html_nodes('table') %&gt;%   html_table(fill = TRUE) %&gt;%   .[[1]];</v>
      </c>
      <c r="L118" t="str">
        <f t="shared" si="11"/>
        <v>url_tbl117 &lt;- data.table(url_tbl117);</v>
      </c>
      <c r="M118" t="str">
        <f t="shared" si="12"/>
        <v>url_tbl117 &lt;- url_tbl117[, `:=` (url ='Mid Cap', year =4),];</v>
      </c>
      <c r="N118" t="str">
        <f t="shared" si="13"/>
        <v>url117 &lt;- 'https://www.advisorkhoj.com/mutual-funds-research/top-performing-systematic-investment-plan?category=Equity:%20Mid%20Cap&amp;period=4&amp;amount=3000';url117 &lt;-  read_html (url117);url_tbl117 &lt;- url117 %&gt;%   html_nodes('table') %&gt;%   html_table(fill = TRUE) %&gt;%   .[[1]];url_tbl117 &lt;- data.table(url_tbl117);url_tbl117 &lt;- url_tbl117[, `:=` (url ='Mid Cap', year =4),];</v>
      </c>
    </row>
    <row r="119" spans="1:14">
      <c r="A119" t="s">
        <v>245</v>
      </c>
      <c r="B119" t="s">
        <v>246</v>
      </c>
      <c r="C119" t="s">
        <v>238</v>
      </c>
      <c r="D119" t="str">
        <f t="shared" si="7"/>
        <v>Mid%20Cap</v>
      </c>
      <c r="E119">
        <v>5</v>
      </c>
      <c r="F119" s="159" t="s">
        <v>3</v>
      </c>
      <c r="G119" t="s">
        <v>4</v>
      </c>
      <c r="H119" t="s">
        <v>5</v>
      </c>
      <c r="I119" t="str">
        <f t="shared" si="8"/>
        <v>url118 &lt;- 'https://www.advisorkhoj.com/mutual-funds-research/top-performing-systematic-investment-plan?category=Equity:%20Mid%20Cap&amp;period=5&amp;amount=3000';</v>
      </c>
      <c r="J119" t="str">
        <f t="shared" si="9"/>
        <v>url118 &lt;-  read_html (url118);</v>
      </c>
      <c r="K119" t="str">
        <f t="shared" si="10"/>
        <v>url_tbl118 &lt;- url118 %&gt;%   html_nodes('table') %&gt;%   html_table(fill = TRUE) %&gt;%   .[[1]];</v>
      </c>
      <c r="L119" t="str">
        <f t="shared" si="11"/>
        <v>url_tbl118 &lt;- data.table(url_tbl118);</v>
      </c>
      <c r="M119" t="str">
        <f t="shared" si="12"/>
        <v>url_tbl118 &lt;- url_tbl118[, `:=` (url ='Mid Cap', year =5),];</v>
      </c>
      <c r="N119" t="str">
        <f t="shared" si="13"/>
        <v>url118 &lt;- 'https://www.advisorkhoj.com/mutual-funds-research/top-performing-systematic-investment-plan?category=Equity:%20Mid%20Cap&amp;period=5&amp;amount=3000';url118 &lt;-  read_html (url118);url_tbl118 &lt;- url118 %&gt;%   html_nodes('table') %&gt;%   html_table(fill = TRUE) %&gt;%   .[[1]];url_tbl118 &lt;- data.table(url_tbl118);url_tbl118 &lt;- url_tbl118[, `:=` (url ='Mid Cap', year =5),];</v>
      </c>
    </row>
    <row r="120" spans="1:14">
      <c r="A120" t="s">
        <v>247</v>
      </c>
      <c r="B120" t="s">
        <v>248</v>
      </c>
      <c r="C120" t="s">
        <v>238</v>
      </c>
      <c r="D120" t="str">
        <f t="shared" si="7"/>
        <v>Mid%20Cap</v>
      </c>
      <c r="E120">
        <v>6</v>
      </c>
      <c r="F120" s="159" t="s">
        <v>3</v>
      </c>
      <c r="G120" t="s">
        <v>4</v>
      </c>
      <c r="H120" t="s">
        <v>5</v>
      </c>
      <c r="I120" t="str">
        <f t="shared" si="8"/>
        <v>url119 &lt;- 'https://www.advisorkhoj.com/mutual-funds-research/top-performing-systematic-investment-plan?category=Equity:%20Mid%20Cap&amp;period=6&amp;amount=3000';</v>
      </c>
      <c r="J120" t="str">
        <f t="shared" si="9"/>
        <v>url119 &lt;-  read_html (url119);</v>
      </c>
      <c r="K120" t="str">
        <f t="shared" si="10"/>
        <v>url_tbl119 &lt;- url119 %&gt;%   html_nodes('table') %&gt;%   html_table(fill = TRUE) %&gt;%   .[[1]];</v>
      </c>
      <c r="L120" t="str">
        <f t="shared" si="11"/>
        <v>url_tbl119 &lt;- data.table(url_tbl119);</v>
      </c>
      <c r="M120" t="str">
        <f t="shared" si="12"/>
        <v>url_tbl119 &lt;- url_tbl119[, `:=` (url ='Mid Cap', year =6),];</v>
      </c>
      <c r="N120" t="str">
        <f t="shared" si="13"/>
        <v>url119 &lt;- 'https://www.advisorkhoj.com/mutual-funds-research/top-performing-systematic-investment-plan?category=Equity:%20Mid%20Cap&amp;period=6&amp;amount=3000';url119 &lt;-  read_html (url119);url_tbl119 &lt;- url119 %&gt;%   html_nodes('table') %&gt;%   html_table(fill = TRUE) %&gt;%   .[[1]];url_tbl119 &lt;- data.table(url_tbl119);url_tbl119 &lt;- url_tbl119[, `:=` (url ='Mid Cap', year =6),];</v>
      </c>
    </row>
    <row r="121" spans="1:14">
      <c r="A121" t="s">
        <v>249</v>
      </c>
      <c r="B121" t="s">
        <v>250</v>
      </c>
      <c r="C121" t="s">
        <v>238</v>
      </c>
      <c r="D121" t="str">
        <f t="shared" si="7"/>
        <v>Mid%20Cap</v>
      </c>
      <c r="E121">
        <v>7</v>
      </c>
      <c r="F121" s="159" t="s">
        <v>3</v>
      </c>
      <c r="G121" t="s">
        <v>4</v>
      </c>
      <c r="H121" t="s">
        <v>5</v>
      </c>
      <c r="I121" t="str">
        <f t="shared" si="8"/>
        <v>url120 &lt;- 'https://www.advisorkhoj.com/mutual-funds-research/top-performing-systematic-investment-plan?category=Equity:%20Mid%20Cap&amp;period=7&amp;amount=3000';</v>
      </c>
      <c r="J121" t="str">
        <f t="shared" si="9"/>
        <v>url120 &lt;-  read_html (url120);</v>
      </c>
      <c r="K121" t="str">
        <f t="shared" si="10"/>
        <v>url_tbl120 &lt;- url120 %&gt;%   html_nodes('table') %&gt;%   html_table(fill = TRUE) %&gt;%   .[[1]];</v>
      </c>
      <c r="L121" t="str">
        <f t="shared" si="11"/>
        <v>url_tbl120 &lt;- data.table(url_tbl120);</v>
      </c>
      <c r="M121" t="str">
        <f t="shared" si="12"/>
        <v>url_tbl120 &lt;- url_tbl120[, `:=` (url ='Mid Cap', year =7),];</v>
      </c>
      <c r="N121" t="str">
        <f t="shared" si="13"/>
        <v>url120 &lt;- 'https://www.advisorkhoj.com/mutual-funds-research/top-performing-systematic-investment-plan?category=Equity:%20Mid%20Cap&amp;period=7&amp;amount=3000';url120 &lt;-  read_html (url120);url_tbl120 &lt;- url120 %&gt;%   html_nodes('table') %&gt;%   html_table(fill = TRUE) %&gt;%   .[[1]];url_tbl120 &lt;- data.table(url_tbl120);url_tbl120 &lt;- url_tbl120[, `:=` (url ='Mid Cap', year =7),];</v>
      </c>
    </row>
    <row r="122" spans="1:14">
      <c r="A122" t="s">
        <v>251</v>
      </c>
      <c r="B122" t="s">
        <v>252</v>
      </c>
      <c r="C122" t="s">
        <v>238</v>
      </c>
      <c r="D122" t="str">
        <f t="shared" si="7"/>
        <v>Mid%20Cap</v>
      </c>
      <c r="E122">
        <v>8</v>
      </c>
      <c r="F122" s="159" t="s">
        <v>3</v>
      </c>
      <c r="G122" t="s">
        <v>4</v>
      </c>
      <c r="H122" t="s">
        <v>5</v>
      </c>
      <c r="I122" t="str">
        <f t="shared" si="8"/>
        <v>url121 &lt;- 'https://www.advisorkhoj.com/mutual-funds-research/top-performing-systematic-investment-plan?category=Equity:%20Mid%20Cap&amp;period=8&amp;amount=3000';</v>
      </c>
      <c r="J122" t="str">
        <f t="shared" si="9"/>
        <v>url121 &lt;-  read_html (url121);</v>
      </c>
      <c r="K122" t="str">
        <f t="shared" si="10"/>
        <v>url_tbl121 &lt;- url121 %&gt;%   html_nodes('table') %&gt;%   html_table(fill = TRUE) %&gt;%   .[[1]];</v>
      </c>
      <c r="L122" t="str">
        <f t="shared" si="11"/>
        <v>url_tbl121 &lt;- data.table(url_tbl121);</v>
      </c>
      <c r="M122" t="str">
        <f t="shared" si="12"/>
        <v>url_tbl121 &lt;- url_tbl121[, `:=` (url ='Mid Cap', year =8),];</v>
      </c>
      <c r="N122" t="str">
        <f t="shared" si="13"/>
        <v>url121 &lt;- 'https://www.advisorkhoj.com/mutual-funds-research/top-performing-systematic-investment-plan?category=Equity:%20Mid%20Cap&amp;period=8&amp;amount=3000';url121 &lt;-  read_html (url121);url_tbl121 &lt;- url121 %&gt;%   html_nodes('table') %&gt;%   html_table(fill = TRUE) %&gt;%   .[[1]];url_tbl121 &lt;- data.table(url_tbl121);url_tbl121 &lt;- url_tbl121[, `:=` (url ='Mid Cap', year =8),];</v>
      </c>
    </row>
    <row r="123" spans="1:14">
      <c r="A123" t="s">
        <v>253</v>
      </c>
      <c r="B123" t="s">
        <v>254</v>
      </c>
      <c r="C123" t="s">
        <v>238</v>
      </c>
      <c r="D123" t="str">
        <f t="shared" si="7"/>
        <v>Mid%20Cap</v>
      </c>
      <c r="E123">
        <v>9</v>
      </c>
      <c r="F123" s="159" t="s">
        <v>3</v>
      </c>
      <c r="G123" t="s">
        <v>4</v>
      </c>
      <c r="H123" t="s">
        <v>5</v>
      </c>
      <c r="I123" t="str">
        <f t="shared" si="8"/>
        <v>url122 &lt;- 'https://www.advisorkhoj.com/mutual-funds-research/top-performing-systematic-investment-plan?category=Equity:%20Mid%20Cap&amp;period=9&amp;amount=3000';</v>
      </c>
      <c r="J123" t="str">
        <f t="shared" si="9"/>
        <v>url122 &lt;-  read_html (url122);</v>
      </c>
      <c r="K123" t="str">
        <f t="shared" si="10"/>
        <v>url_tbl122 &lt;- url122 %&gt;%   html_nodes('table') %&gt;%   html_table(fill = TRUE) %&gt;%   .[[1]];</v>
      </c>
      <c r="L123" t="str">
        <f t="shared" si="11"/>
        <v>url_tbl122 &lt;- data.table(url_tbl122);</v>
      </c>
      <c r="M123" t="str">
        <f t="shared" si="12"/>
        <v>url_tbl122 &lt;- url_tbl122[, `:=` (url ='Mid Cap', year =9),];</v>
      </c>
      <c r="N123" t="str">
        <f t="shared" si="13"/>
        <v>url122 &lt;- 'https://www.advisorkhoj.com/mutual-funds-research/top-performing-systematic-investment-plan?category=Equity:%20Mid%20Cap&amp;period=9&amp;amount=3000';url122 &lt;-  read_html (url122);url_tbl122 &lt;- url122 %&gt;%   html_nodes('table') %&gt;%   html_table(fill = TRUE) %&gt;%   .[[1]];url_tbl122 &lt;- data.table(url_tbl122);url_tbl122 &lt;- url_tbl122[, `:=` (url ='Mid Cap', year =9),];</v>
      </c>
    </row>
    <row r="124" spans="1:14">
      <c r="A124" t="s">
        <v>255</v>
      </c>
      <c r="B124" t="s">
        <v>256</v>
      </c>
      <c r="C124" t="s">
        <v>238</v>
      </c>
      <c r="D124" t="str">
        <f t="shared" si="7"/>
        <v>Mid%20Cap</v>
      </c>
      <c r="E124">
        <v>10</v>
      </c>
      <c r="F124" s="159" t="s">
        <v>3</v>
      </c>
      <c r="G124" t="s">
        <v>4</v>
      </c>
      <c r="H124" t="s">
        <v>5</v>
      </c>
      <c r="I124" t="str">
        <f t="shared" si="8"/>
        <v>url123 &lt;- 'https://www.advisorkhoj.com/mutual-funds-research/top-performing-systematic-investment-plan?category=Equity:%20Mid%20Cap&amp;period=10&amp;amount=3000';</v>
      </c>
      <c r="J124" t="str">
        <f t="shared" si="9"/>
        <v>url123 &lt;-  read_html (url123);</v>
      </c>
      <c r="K124" t="str">
        <f t="shared" si="10"/>
        <v>url_tbl123 &lt;- url123 %&gt;%   html_nodes('table') %&gt;%   html_table(fill = TRUE) %&gt;%   .[[1]];</v>
      </c>
      <c r="L124" t="str">
        <f t="shared" si="11"/>
        <v>url_tbl123 &lt;- data.table(url_tbl123);</v>
      </c>
      <c r="M124" t="str">
        <f t="shared" si="12"/>
        <v>url_tbl123 &lt;- url_tbl123[, `:=` (url ='Mid Cap', year =10),];</v>
      </c>
      <c r="N124" t="str">
        <f t="shared" si="13"/>
        <v>url123 &lt;- 'https://www.advisorkhoj.com/mutual-funds-research/top-performing-systematic-investment-plan?category=Equity:%20Mid%20Cap&amp;period=10&amp;amount=3000';url123 &lt;-  read_html (url123);url_tbl123 &lt;- url123 %&gt;%   html_nodes('table') %&gt;%   html_table(fill = TRUE) %&gt;%   .[[1]];url_tbl123 &lt;- data.table(url_tbl123);url_tbl123 &lt;- url_tbl123[, `:=` (url ='Mid Cap', year =10),];</v>
      </c>
    </row>
    <row r="125" spans="1:14">
      <c r="A125" t="s">
        <v>257</v>
      </c>
      <c r="B125" t="s">
        <v>258</v>
      </c>
      <c r="C125" t="s">
        <v>238</v>
      </c>
      <c r="D125" t="str">
        <f t="shared" si="7"/>
        <v>Mid%20Cap</v>
      </c>
      <c r="E125">
        <v>11</v>
      </c>
      <c r="F125" s="159" t="s">
        <v>3</v>
      </c>
      <c r="G125" t="s">
        <v>4</v>
      </c>
      <c r="H125" t="s">
        <v>5</v>
      </c>
      <c r="I125" t="str">
        <f t="shared" si="8"/>
        <v>url124 &lt;- 'https://www.advisorkhoj.com/mutual-funds-research/top-performing-systematic-investment-plan?category=Equity:%20Mid%20Cap&amp;period=11&amp;amount=3000';</v>
      </c>
      <c r="J125" t="str">
        <f t="shared" si="9"/>
        <v>url124 &lt;-  read_html (url124);</v>
      </c>
      <c r="K125" t="str">
        <f t="shared" si="10"/>
        <v>url_tbl124 &lt;- url124 %&gt;%   html_nodes('table') %&gt;%   html_table(fill = TRUE) %&gt;%   .[[1]];</v>
      </c>
      <c r="L125" t="str">
        <f t="shared" si="11"/>
        <v>url_tbl124 &lt;- data.table(url_tbl124);</v>
      </c>
      <c r="M125" t="str">
        <f t="shared" si="12"/>
        <v>url_tbl124 &lt;- url_tbl124[, `:=` (url ='Mid Cap', year =11),];</v>
      </c>
      <c r="N125" t="str">
        <f t="shared" si="13"/>
        <v>url124 &lt;- 'https://www.advisorkhoj.com/mutual-funds-research/top-performing-systematic-investment-plan?category=Equity:%20Mid%20Cap&amp;period=11&amp;amount=3000';url124 &lt;-  read_html (url124);url_tbl124 &lt;- url124 %&gt;%   html_nodes('table') %&gt;%   html_table(fill = TRUE) %&gt;%   .[[1]];url_tbl124 &lt;- data.table(url_tbl124);url_tbl124 &lt;- url_tbl124[, `:=` (url ='Mid Cap', year =11),];</v>
      </c>
    </row>
    <row r="126" spans="1:14">
      <c r="A126" t="s">
        <v>259</v>
      </c>
      <c r="B126" t="s">
        <v>260</v>
      </c>
      <c r="C126" t="s">
        <v>238</v>
      </c>
      <c r="D126" t="str">
        <f t="shared" si="7"/>
        <v>Mid%20Cap</v>
      </c>
      <c r="E126">
        <v>12</v>
      </c>
      <c r="F126" s="159" t="s">
        <v>3</v>
      </c>
      <c r="G126" t="s">
        <v>4</v>
      </c>
      <c r="H126" t="s">
        <v>5</v>
      </c>
      <c r="I126" t="str">
        <f t="shared" si="8"/>
        <v>url125 &lt;- 'https://www.advisorkhoj.com/mutual-funds-research/top-performing-systematic-investment-plan?category=Equity:%20Mid%20Cap&amp;period=12&amp;amount=3000';</v>
      </c>
      <c r="J126" t="str">
        <f t="shared" si="9"/>
        <v>url125 &lt;-  read_html (url125);</v>
      </c>
      <c r="K126" t="str">
        <f t="shared" si="10"/>
        <v>url_tbl125 &lt;- url125 %&gt;%   html_nodes('table') %&gt;%   html_table(fill = TRUE) %&gt;%   .[[1]];</v>
      </c>
      <c r="L126" t="str">
        <f t="shared" si="11"/>
        <v>url_tbl125 &lt;- data.table(url_tbl125);</v>
      </c>
      <c r="M126" t="str">
        <f t="shared" si="12"/>
        <v>url_tbl125 &lt;- url_tbl125[, `:=` (url ='Mid Cap', year =12),];</v>
      </c>
      <c r="N126" t="str">
        <f t="shared" si="13"/>
        <v>url125 &lt;- 'https://www.advisorkhoj.com/mutual-funds-research/top-performing-systematic-investment-plan?category=Equity:%20Mid%20Cap&amp;period=12&amp;amount=3000';url125 &lt;-  read_html (url125);url_tbl125 &lt;- url125 %&gt;%   html_nodes('table') %&gt;%   html_table(fill = TRUE) %&gt;%   .[[1]];url_tbl125 &lt;- data.table(url_tbl125);url_tbl125 &lt;- url_tbl125[, `:=` (url ='Mid Cap', year =12),];</v>
      </c>
    </row>
    <row r="127" spans="1:14">
      <c r="A127" t="s">
        <v>261</v>
      </c>
      <c r="B127" t="s">
        <v>262</v>
      </c>
      <c r="C127" t="s">
        <v>238</v>
      </c>
      <c r="D127" t="str">
        <f t="shared" si="7"/>
        <v>Mid%20Cap</v>
      </c>
      <c r="E127">
        <v>13</v>
      </c>
      <c r="F127" s="159" t="s">
        <v>3</v>
      </c>
      <c r="G127" t="s">
        <v>4</v>
      </c>
      <c r="H127" t="s">
        <v>5</v>
      </c>
      <c r="I127" t="str">
        <f t="shared" si="8"/>
        <v>url126 &lt;- 'https://www.advisorkhoj.com/mutual-funds-research/top-performing-systematic-investment-plan?category=Equity:%20Mid%20Cap&amp;period=13&amp;amount=3000';</v>
      </c>
      <c r="J127" t="str">
        <f t="shared" si="9"/>
        <v>url126 &lt;-  read_html (url126);</v>
      </c>
      <c r="K127" t="str">
        <f t="shared" si="10"/>
        <v>url_tbl126 &lt;- url126 %&gt;%   html_nodes('table') %&gt;%   html_table(fill = TRUE) %&gt;%   .[[1]];</v>
      </c>
      <c r="L127" t="str">
        <f t="shared" si="11"/>
        <v>url_tbl126 &lt;- data.table(url_tbl126);</v>
      </c>
      <c r="M127" t="str">
        <f t="shared" si="12"/>
        <v>url_tbl126 &lt;- url_tbl126[, `:=` (url ='Mid Cap', year =13),];</v>
      </c>
      <c r="N127" t="str">
        <f t="shared" si="13"/>
        <v>url126 &lt;- 'https://www.advisorkhoj.com/mutual-funds-research/top-performing-systematic-investment-plan?category=Equity:%20Mid%20Cap&amp;period=13&amp;amount=3000';url126 &lt;-  read_html (url126);url_tbl126 &lt;- url126 %&gt;%   html_nodes('table') %&gt;%   html_table(fill = TRUE) %&gt;%   .[[1]];url_tbl126 &lt;- data.table(url_tbl126);url_tbl126 &lt;- url_tbl126[, `:=` (url ='Mid Cap', year =13),];</v>
      </c>
    </row>
    <row r="128" spans="1:14">
      <c r="A128" t="s">
        <v>263</v>
      </c>
      <c r="B128" t="s">
        <v>264</v>
      </c>
      <c r="C128" t="s">
        <v>238</v>
      </c>
      <c r="D128" t="str">
        <f t="shared" si="7"/>
        <v>Mid%20Cap</v>
      </c>
      <c r="E128">
        <v>14</v>
      </c>
      <c r="F128" s="159" t="s">
        <v>3</v>
      </c>
      <c r="G128" t="s">
        <v>4</v>
      </c>
      <c r="H128" t="s">
        <v>5</v>
      </c>
      <c r="I128" t="str">
        <f t="shared" si="8"/>
        <v>url127 &lt;- 'https://www.advisorkhoj.com/mutual-funds-research/top-performing-systematic-investment-plan?category=Equity:%20Mid%20Cap&amp;period=14&amp;amount=3000';</v>
      </c>
      <c r="J128" t="str">
        <f t="shared" si="9"/>
        <v>url127 &lt;-  read_html (url127);</v>
      </c>
      <c r="K128" t="str">
        <f t="shared" si="10"/>
        <v>url_tbl127 &lt;- url127 %&gt;%   html_nodes('table') %&gt;%   html_table(fill = TRUE) %&gt;%   .[[1]];</v>
      </c>
      <c r="L128" t="str">
        <f t="shared" si="11"/>
        <v>url_tbl127 &lt;- data.table(url_tbl127);</v>
      </c>
      <c r="M128" t="str">
        <f t="shared" si="12"/>
        <v>url_tbl127 &lt;- url_tbl127[, `:=` (url ='Mid Cap', year =14),];</v>
      </c>
      <c r="N128" t="str">
        <f t="shared" si="13"/>
        <v>url127 &lt;- 'https://www.advisorkhoj.com/mutual-funds-research/top-performing-systematic-investment-plan?category=Equity:%20Mid%20Cap&amp;period=14&amp;amount=3000';url127 &lt;-  read_html (url127);url_tbl127 &lt;- url127 %&gt;%   html_nodes('table') %&gt;%   html_table(fill = TRUE) %&gt;%   .[[1]];url_tbl127 &lt;- data.table(url_tbl127);url_tbl127 &lt;- url_tbl127[, `:=` (url ='Mid Cap', year =14),];</v>
      </c>
    </row>
    <row r="129" spans="1:14">
      <c r="A129" t="s">
        <v>265</v>
      </c>
      <c r="B129" t="s">
        <v>266</v>
      </c>
      <c r="C129" t="s">
        <v>238</v>
      </c>
      <c r="D129" t="str">
        <f t="shared" si="7"/>
        <v>Mid%20Cap</v>
      </c>
      <c r="E129">
        <v>15</v>
      </c>
      <c r="F129" s="159" t="s">
        <v>3</v>
      </c>
      <c r="G129" t="s">
        <v>4</v>
      </c>
      <c r="H129" t="s">
        <v>5</v>
      </c>
      <c r="I129" t="str">
        <f t="shared" si="8"/>
        <v>url128 &lt;- 'https://www.advisorkhoj.com/mutual-funds-research/top-performing-systematic-investment-plan?category=Equity:%20Mid%20Cap&amp;period=15&amp;amount=3000';</v>
      </c>
      <c r="J129" t="str">
        <f t="shared" si="9"/>
        <v>url128 &lt;-  read_html (url128);</v>
      </c>
      <c r="K129" t="str">
        <f t="shared" si="10"/>
        <v>url_tbl128 &lt;- url128 %&gt;%   html_nodes('table') %&gt;%   html_table(fill = TRUE) %&gt;%   .[[1]];</v>
      </c>
      <c r="L129" t="str">
        <f t="shared" si="11"/>
        <v>url_tbl128 &lt;- data.table(url_tbl128);</v>
      </c>
      <c r="M129" t="str">
        <f t="shared" si="12"/>
        <v>url_tbl128 &lt;- url_tbl128[, `:=` (url ='Mid Cap', year =15),];</v>
      </c>
      <c r="N129" t="str">
        <f t="shared" si="13"/>
        <v>url128 &lt;- 'https://www.advisorkhoj.com/mutual-funds-research/top-performing-systematic-investment-plan?category=Equity:%20Mid%20Cap&amp;period=15&amp;amount=3000';url128 &lt;-  read_html (url128);url_tbl128 &lt;- url128 %&gt;%   html_nodes('table') %&gt;%   html_table(fill = TRUE) %&gt;%   .[[1]];url_tbl128 &lt;- data.table(url_tbl128);url_tbl128 &lt;- url_tbl128[, `:=` (url ='Mid Cap', year =15),];</v>
      </c>
    </row>
    <row r="130" spans="1:14">
      <c r="A130" t="s">
        <v>267</v>
      </c>
      <c r="B130" t="s">
        <v>268</v>
      </c>
      <c r="C130" t="s">
        <v>238</v>
      </c>
      <c r="D130" t="str">
        <f t="shared" si="7"/>
        <v>Mid%20Cap</v>
      </c>
      <c r="E130">
        <v>16</v>
      </c>
      <c r="F130" s="159" t="s">
        <v>3</v>
      </c>
      <c r="G130" t="s">
        <v>4</v>
      </c>
      <c r="H130" t="s">
        <v>5</v>
      </c>
      <c r="I130" t="str">
        <f t="shared" si="8"/>
        <v>url129 &lt;- 'https://www.advisorkhoj.com/mutual-funds-research/top-performing-systematic-investment-plan?category=Equity:%20Mid%20Cap&amp;period=16&amp;amount=3000';</v>
      </c>
      <c r="J130" t="str">
        <f t="shared" si="9"/>
        <v>url129 &lt;-  read_html (url129);</v>
      </c>
      <c r="K130" t="str">
        <f t="shared" si="10"/>
        <v>url_tbl129 &lt;- url129 %&gt;%   html_nodes('table') %&gt;%   html_table(fill = TRUE) %&gt;%   .[[1]];</v>
      </c>
      <c r="L130" t="str">
        <f t="shared" si="11"/>
        <v>url_tbl129 &lt;- data.table(url_tbl129);</v>
      </c>
      <c r="M130" t="str">
        <f t="shared" si="12"/>
        <v>url_tbl129 &lt;- url_tbl129[, `:=` (url ='Mid Cap', year =16),];</v>
      </c>
      <c r="N130" t="str">
        <f t="shared" si="13"/>
        <v>url129 &lt;- 'https://www.advisorkhoj.com/mutual-funds-research/top-performing-systematic-investment-plan?category=Equity:%20Mid%20Cap&amp;period=16&amp;amount=3000';url129 &lt;-  read_html (url129);url_tbl129 &lt;- url129 %&gt;%   html_nodes('table') %&gt;%   html_table(fill = TRUE) %&gt;%   .[[1]];url_tbl129 &lt;- data.table(url_tbl129);url_tbl129 &lt;- url_tbl129[, `:=` (url ='Mid Cap', year =16),];</v>
      </c>
    </row>
    <row r="131" spans="1:14">
      <c r="A131" t="s">
        <v>269</v>
      </c>
      <c r="B131" t="s">
        <v>270</v>
      </c>
      <c r="C131" t="s">
        <v>271</v>
      </c>
      <c r="D131" t="str">
        <f t="shared" ref="D131:D194" si="14">SUBSTITUTE(C131," ", "%20")</f>
        <v>Multi%20Cap</v>
      </c>
      <c r="E131">
        <v>1</v>
      </c>
      <c r="F131" s="159" t="s">
        <v>3</v>
      </c>
      <c r="G131" t="s">
        <v>4</v>
      </c>
      <c r="H131" t="s">
        <v>5</v>
      </c>
      <c r="I131" t="str">
        <f t="shared" ref="I131:I194" si="15">CONCATENATE(A131, " &lt;- '", F131, D131, G131, E131, H131, "';")</f>
        <v>url130 &lt;- 'https://www.advisorkhoj.com/mutual-funds-research/top-performing-systematic-investment-plan?category=Equity:%20Multi%20Cap&amp;period=1&amp;amount=3000';</v>
      </c>
      <c r="J131" t="str">
        <f t="shared" ref="J131:J194" si="16">CONCATENATE(A131, " &lt;-  read_html (", A131, ");")</f>
        <v>url130 &lt;-  read_html (url130);</v>
      </c>
      <c r="K131" t="str">
        <f t="shared" ref="K131:K194" si="17">CONCATENATE(B131, " &lt;- ", A131, " %&gt;%   html_nodes('table') %&gt;%   html_table(fill = TRUE) %&gt;%   .[[1]];")</f>
        <v>url_tbl130 &lt;- url130 %&gt;%   html_nodes('table') %&gt;%   html_table(fill = TRUE) %&gt;%   .[[1]];</v>
      </c>
      <c r="L131" t="str">
        <f t="shared" ref="L131:L194" si="18">CONCATENATE(B131, " &lt;- data.table(", B131, ");" )</f>
        <v>url_tbl130 &lt;- data.table(url_tbl130);</v>
      </c>
      <c r="M131" t="str">
        <f t="shared" ref="M131:M194" si="19">CONCATENATE(B131, " &lt;- ", B131, "[, `:=` (url ='",C131, "', year =", E131, "),];" )</f>
        <v>url_tbl130 &lt;- url_tbl130[, `:=` (url ='Multi Cap', year =1),];</v>
      </c>
      <c r="N131" t="str">
        <f t="shared" ref="N131:N194" si="20">CONCATENATE(I131, J131, K131, L131, M131)</f>
        <v>url130 &lt;- 'https://www.advisorkhoj.com/mutual-funds-research/top-performing-systematic-investment-plan?category=Equity:%20Multi%20Cap&amp;period=1&amp;amount=3000';url130 &lt;-  read_html (url130);url_tbl130 &lt;- url130 %&gt;%   html_nodes('table') %&gt;%   html_table(fill = TRUE) %&gt;%   .[[1]];url_tbl130 &lt;- data.table(url_tbl130);url_tbl130 &lt;- url_tbl130[, `:=` (url ='Multi Cap', year =1),];</v>
      </c>
    </row>
    <row r="132" spans="1:14">
      <c r="A132" t="s">
        <v>272</v>
      </c>
      <c r="B132" t="s">
        <v>273</v>
      </c>
      <c r="C132" t="s">
        <v>271</v>
      </c>
      <c r="D132" t="str">
        <f t="shared" si="14"/>
        <v>Multi%20Cap</v>
      </c>
      <c r="E132">
        <v>2</v>
      </c>
      <c r="F132" s="159" t="s">
        <v>3</v>
      </c>
      <c r="G132" t="s">
        <v>4</v>
      </c>
      <c r="H132" t="s">
        <v>5</v>
      </c>
      <c r="I132" t="str">
        <f t="shared" si="15"/>
        <v>url131 &lt;- 'https://www.advisorkhoj.com/mutual-funds-research/top-performing-systematic-investment-plan?category=Equity:%20Multi%20Cap&amp;period=2&amp;amount=3000';</v>
      </c>
      <c r="J132" t="str">
        <f t="shared" si="16"/>
        <v>url131 &lt;-  read_html (url131);</v>
      </c>
      <c r="K132" t="str">
        <f t="shared" si="17"/>
        <v>url_tbl131 &lt;- url131 %&gt;%   html_nodes('table') %&gt;%   html_table(fill = TRUE) %&gt;%   .[[1]];</v>
      </c>
      <c r="L132" t="str">
        <f t="shared" si="18"/>
        <v>url_tbl131 &lt;- data.table(url_tbl131);</v>
      </c>
      <c r="M132" t="str">
        <f t="shared" si="19"/>
        <v>url_tbl131 &lt;- url_tbl131[, `:=` (url ='Multi Cap', year =2),];</v>
      </c>
      <c r="N132" t="str">
        <f t="shared" si="20"/>
        <v>url131 &lt;- 'https://www.advisorkhoj.com/mutual-funds-research/top-performing-systematic-investment-plan?category=Equity:%20Multi%20Cap&amp;period=2&amp;amount=3000';url131 &lt;-  read_html (url131);url_tbl131 &lt;- url131 %&gt;%   html_nodes('table') %&gt;%   html_table(fill = TRUE) %&gt;%   .[[1]];url_tbl131 &lt;- data.table(url_tbl131);url_tbl131 &lt;- url_tbl131[, `:=` (url ='Multi Cap', year =2),];</v>
      </c>
    </row>
    <row r="133" spans="1:14">
      <c r="A133" t="s">
        <v>274</v>
      </c>
      <c r="B133" t="s">
        <v>275</v>
      </c>
      <c r="C133" t="s">
        <v>271</v>
      </c>
      <c r="D133" t="str">
        <f t="shared" si="14"/>
        <v>Multi%20Cap</v>
      </c>
      <c r="E133">
        <v>3</v>
      </c>
      <c r="F133" s="159" t="s">
        <v>3</v>
      </c>
      <c r="G133" t="s">
        <v>4</v>
      </c>
      <c r="H133" t="s">
        <v>5</v>
      </c>
      <c r="I133" t="str">
        <f t="shared" si="15"/>
        <v>url132 &lt;- 'https://www.advisorkhoj.com/mutual-funds-research/top-performing-systematic-investment-plan?category=Equity:%20Multi%20Cap&amp;period=3&amp;amount=3000';</v>
      </c>
      <c r="J133" t="str">
        <f t="shared" si="16"/>
        <v>url132 &lt;-  read_html (url132);</v>
      </c>
      <c r="K133" t="str">
        <f t="shared" si="17"/>
        <v>url_tbl132 &lt;- url132 %&gt;%   html_nodes('table') %&gt;%   html_table(fill = TRUE) %&gt;%   .[[1]];</v>
      </c>
      <c r="L133" t="str">
        <f t="shared" si="18"/>
        <v>url_tbl132 &lt;- data.table(url_tbl132);</v>
      </c>
      <c r="M133" t="str">
        <f t="shared" si="19"/>
        <v>url_tbl132 &lt;- url_tbl132[, `:=` (url ='Multi Cap', year =3),];</v>
      </c>
      <c r="N133" t="str">
        <f t="shared" si="20"/>
        <v>url132 &lt;- 'https://www.advisorkhoj.com/mutual-funds-research/top-performing-systematic-investment-plan?category=Equity:%20Multi%20Cap&amp;period=3&amp;amount=3000';url132 &lt;-  read_html (url132);url_tbl132 &lt;- url132 %&gt;%   html_nodes('table') %&gt;%   html_table(fill = TRUE) %&gt;%   .[[1]];url_tbl132 &lt;- data.table(url_tbl132);url_tbl132 &lt;- url_tbl132[, `:=` (url ='Multi Cap', year =3),];</v>
      </c>
    </row>
    <row r="134" spans="1:14">
      <c r="A134" t="s">
        <v>276</v>
      </c>
      <c r="B134" t="s">
        <v>277</v>
      </c>
      <c r="C134" t="s">
        <v>271</v>
      </c>
      <c r="D134" t="str">
        <f t="shared" si="14"/>
        <v>Multi%20Cap</v>
      </c>
      <c r="E134">
        <v>4</v>
      </c>
      <c r="F134" s="159" t="s">
        <v>3</v>
      </c>
      <c r="G134" t="s">
        <v>4</v>
      </c>
      <c r="H134" t="s">
        <v>5</v>
      </c>
      <c r="I134" t="str">
        <f t="shared" si="15"/>
        <v>url133 &lt;- 'https://www.advisorkhoj.com/mutual-funds-research/top-performing-systematic-investment-plan?category=Equity:%20Multi%20Cap&amp;period=4&amp;amount=3000';</v>
      </c>
      <c r="J134" t="str">
        <f t="shared" si="16"/>
        <v>url133 &lt;-  read_html (url133);</v>
      </c>
      <c r="K134" t="str">
        <f t="shared" si="17"/>
        <v>url_tbl133 &lt;- url133 %&gt;%   html_nodes('table') %&gt;%   html_table(fill = TRUE) %&gt;%   .[[1]];</v>
      </c>
      <c r="L134" t="str">
        <f t="shared" si="18"/>
        <v>url_tbl133 &lt;- data.table(url_tbl133);</v>
      </c>
      <c r="M134" t="str">
        <f t="shared" si="19"/>
        <v>url_tbl133 &lt;- url_tbl133[, `:=` (url ='Multi Cap', year =4),];</v>
      </c>
      <c r="N134" t="str">
        <f t="shared" si="20"/>
        <v>url133 &lt;- 'https://www.advisorkhoj.com/mutual-funds-research/top-performing-systematic-investment-plan?category=Equity:%20Multi%20Cap&amp;period=4&amp;amount=3000';url133 &lt;-  read_html (url133);url_tbl133 &lt;- url133 %&gt;%   html_nodes('table') %&gt;%   html_table(fill = TRUE) %&gt;%   .[[1]];url_tbl133 &lt;- data.table(url_tbl133);url_tbl133 &lt;- url_tbl133[, `:=` (url ='Multi Cap', year =4),];</v>
      </c>
    </row>
    <row r="135" spans="1:14">
      <c r="A135" t="s">
        <v>278</v>
      </c>
      <c r="B135" t="s">
        <v>279</v>
      </c>
      <c r="C135" t="s">
        <v>271</v>
      </c>
      <c r="D135" t="str">
        <f t="shared" si="14"/>
        <v>Multi%20Cap</v>
      </c>
      <c r="E135">
        <v>5</v>
      </c>
      <c r="F135" s="159" t="s">
        <v>3</v>
      </c>
      <c r="G135" t="s">
        <v>4</v>
      </c>
      <c r="H135" t="s">
        <v>5</v>
      </c>
      <c r="I135" t="str">
        <f t="shared" si="15"/>
        <v>url134 &lt;- 'https://www.advisorkhoj.com/mutual-funds-research/top-performing-systematic-investment-plan?category=Equity:%20Multi%20Cap&amp;period=5&amp;amount=3000';</v>
      </c>
      <c r="J135" t="str">
        <f t="shared" si="16"/>
        <v>url134 &lt;-  read_html (url134);</v>
      </c>
      <c r="K135" t="str">
        <f t="shared" si="17"/>
        <v>url_tbl134 &lt;- url134 %&gt;%   html_nodes('table') %&gt;%   html_table(fill = TRUE) %&gt;%   .[[1]];</v>
      </c>
      <c r="L135" t="str">
        <f t="shared" si="18"/>
        <v>url_tbl134 &lt;- data.table(url_tbl134);</v>
      </c>
      <c r="M135" t="str">
        <f t="shared" si="19"/>
        <v>url_tbl134 &lt;- url_tbl134[, `:=` (url ='Multi Cap', year =5),];</v>
      </c>
      <c r="N135" t="str">
        <f t="shared" si="20"/>
        <v>url134 &lt;- 'https://www.advisorkhoj.com/mutual-funds-research/top-performing-systematic-investment-plan?category=Equity:%20Multi%20Cap&amp;period=5&amp;amount=3000';url134 &lt;-  read_html (url134);url_tbl134 &lt;- url134 %&gt;%   html_nodes('table') %&gt;%   html_table(fill = TRUE) %&gt;%   .[[1]];url_tbl134 &lt;- data.table(url_tbl134);url_tbl134 &lt;- url_tbl134[, `:=` (url ='Multi Cap', year =5),];</v>
      </c>
    </row>
    <row r="136" spans="1:14">
      <c r="A136" t="s">
        <v>280</v>
      </c>
      <c r="B136" t="s">
        <v>281</v>
      </c>
      <c r="C136" t="s">
        <v>271</v>
      </c>
      <c r="D136" t="str">
        <f t="shared" si="14"/>
        <v>Multi%20Cap</v>
      </c>
      <c r="E136">
        <v>6</v>
      </c>
      <c r="F136" s="159" t="s">
        <v>3</v>
      </c>
      <c r="G136" t="s">
        <v>4</v>
      </c>
      <c r="H136" t="s">
        <v>5</v>
      </c>
      <c r="I136" t="str">
        <f t="shared" si="15"/>
        <v>url135 &lt;- 'https://www.advisorkhoj.com/mutual-funds-research/top-performing-systematic-investment-plan?category=Equity:%20Multi%20Cap&amp;period=6&amp;amount=3000';</v>
      </c>
      <c r="J136" t="str">
        <f t="shared" si="16"/>
        <v>url135 &lt;-  read_html (url135);</v>
      </c>
      <c r="K136" t="str">
        <f t="shared" si="17"/>
        <v>url_tbl135 &lt;- url135 %&gt;%   html_nodes('table') %&gt;%   html_table(fill = TRUE) %&gt;%   .[[1]];</v>
      </c>
      <c r="L136" t="str">
        <f t="shared" si="18"/>
        <v>url_tbl135 &lt;- data.table(url_tbl135);</v>
      </c>
      <c r="M136" t="str">
        <f t="shared" si="19"/>
        <v>url_tbl135 &lt;- url_tbl135[, `:=` (url ='Multi Cap', year =6),];</v>
      </c>
      <c r="N136" t="str">
        <f t="shared" si="20"/>
        <v>url135 &lt;- 'https://www.advisorkhoj.com/mutual-funds-research/top-performing-systematic-investment-plan?category=Equity:%20Multi%20Cap&amp;period=6&amp;amount=3000';url135 &lt;-  read_html (url135);url_tbl135 &lt;- url135 %&gt;%   html_nodes('table') %&gt;%   html_table(fill = TRUE) %&gt;%   .[[1]];url_tbl135 &lt;- data.table(url_tbl135);url_tbl135 &lt;- url_tbl135[, `:=` (url ='Multi Cap', year =6),];</v>
      </c>
    </row>
    <row r="137" spans="1:14">
      <c r="A137" t="s">
        <v>282</v>
      </c>
      <c r="B137" t="s">
        <v>283</v>
      </c>
      <c r="C137" t="s">
        <v>271</v>
      </c>
      <c r="D137" t="str">
        <f t="shared" si="14"/>
        <v>Multi%20Cap</v>
      </c>
      <c r="E137">
        <v>7</v>
      </c>
      <c r="F137" s="159" t="s">
        <v>3</v>
      </c>
      <c r="G137" t="s">
        <v>4</v>
      </c>
      <c r="H137" t="s">
        <v>5</v>
      </c>
      <c r="I137" t="str">
        <f t="shared" si="15"/>
        <v>url136 &lt;- 'https://www.advisorkhoj.com/mutual-funds-research/top-performing-systematic-investment-plan?category=Equity:%20Multi%20Cap&amp;period=7&amp;amount=3000';</v>
      </c>
      <c r="J137" t="str">
        <f t="shared" si="16"/>
        <v>url136 &lt;-  read_html (url136);</v>
      </c>
      <c r="K137" t="str">
        <f t="shared" si="17"/>
        <v>url_tbl136 &lt;- url136 %&gt;%   html_nodes('table') %&gt;%   html_table(fill = TRUE) %&gt;%   .[[1]];</v>
      </c>
      <c r="L137" t="str">
        <f t="shared" si="18"/>
        <v>url_tbl136 &lt;- data.table(url_tbl136);</v>
      </c>
      <c r="M137" t="str">
        <f t="shared" si="19"/>
        <v>url_tbl136 &lt;- url_tbl136[, `:=` (url ='Multi Cap', year =7),];</v>
      </c>
      <c r="N137" t="str">
        <f t="shared" si="20"/>
        <v>url136 &lt;- 'https://www.advisorkhoj.com/mutual-funds-research/top-performing-systematic-investment-plan?category=Equity:%20Multi%20Cap&amp;period=7&amp;amount=3000';url136 &lt;-  read_html (url136);url_tbl136 &lt;- url136 %&gt;%   html_nodes('table') %&gt;%   html_table(fill = TRUE) %&gt;%   .[[1]];url_tbl136 &lt;- data.table(url_tbl136);url_tbl136 &lt;- url_tbl136[, `:=` (url ='Multi Cap', year =7),];</v>
      </c>
    </row>
    <row r="138" spans="1:14">
      <c r="A138" t="s">
        <v>284</v>
      </c>
      <c r="B138" t="s">
        <v>285</v>
      </c>
      <c r="C138" t="s">
        <v>271</v>
      </c>
      <c r="D138" t="str">
        <f t="shared" si="14"/>
        <v>Multi%20Cap</v>
      </c>
      <c r="E138">
        <v>8</v>
      </c>
      <c r="F138" s="159" t="s">
        <v>3</v>
      </c>
      <c r="G138" t="s">
        <v>4</v>
      </c>
      <c r="H138" t="s">
        <v>5</v>
      </c>
      <c r="I138" t="str">
        <f t="shared" si="15"/>
        <v>url137 &lt;- 'https://www.advisorkhoj.com/mutual-funds-research/top-performing-systematic-investment-plan?category=Equity:%20Multi%20Cap&amp;period=8&amp;amount=3000';</v>
      </c>
      <c r="J138" t="str">
        <f t="shared" si="16"/>
        <v>url137 &lt;-  read_html (url137);</v>
      </c>
      <c r="K138" t="str">
        <f t="shared" si="17"/>
        <v>url_tbl137 &lt;- url137 %&gt;%   html_nodes('table') %&gt;%   html_table(fill = TRUE) %&gt;%   .[[1]];</v>
      </c>
      <c r="L138" t="str">
        <f t="shared" si="18"/>
        <v>url_tbl137 &lt;- data.table(url_tbl137);</v>
      </c>
      <c r="M138" t="str">
        <f t="shared" si="19"/>
        <v>url_tbl137 &lt;- url_tbl137[, `:=` (url ='Multi Cap', year =8),];</v>
      </c>
      <c r="N138" t="str">
        <f t="shared" si="20"/>
        <v>url137 &lt;- 'https://www.advisorkhoj.com/mutual-funds-research/top-performing-systematic-investment-plan?category=Equity:%20Multi%20Cap&amp;period=8&amp;amount=3000';url137 &lt;-  read_html (url137);url_tbl137 &lt;- url137 %&gt;%   html_nodes('table') %&gt;%   html_table(fill = TRUE) %&gt;%   .[[1]];url_tbl137 &lt;- data.table(url_tbl137);url_tbl137 &lt;- url_tbl137[, `:=` (url ='Multi Cap', year =8),];</v>
      </c>
    </row>
    <row r="139" spans="1:14">
      <c r="A139" t="s">
        <v>286</v>
      </c>
      <c r="B139" t="s">
        <v>287</v>
      </c>
      <c r="C139" t="s">
        <v>271</v>
      </c>
      <c r="D139" t="str">
        <f t="shared" si="14"/>
        <v>Multi%20Cap</v>
      </c>
      <c r="E139">
        <v>9</v>
      </c>
      <c r="F139" s="159" t="s">
        <v>3</v>
      </c>
      <c r="G139" t="s">
        <v>4</v>
      </c>
      <c r="H139" t="s">
        <v>5</v>
      </c>
      <c r="I139" t="str">
        <f t="shared" si="15"/>
        <v>url138 &lt;- 'https://www.advisorkhoj.com/mutual-funds-research/top-performing-systematic-investment-plan?category=Equity:%20Multi%20Cap&amp;period=9&amp;amount=3000';</v>
      </c>
      <c r="J139" t="str">
        <f t="shared" si="16"/>
        <v>url138 &lt;-  read_html (url138);</v>
      </c>
      <c r="K139" t="str">
        <f t="shared" si="17"/>
        <v>url_tbl138 &lt;- url138 %&gt;%   html_nodes('table') %&gt;%   html_table(fill = TRUE) %&gt;%   .[[1]];</v>
      </c>
      <c r="L139" t="str">
        <f t="shared" si="18"/>
        <v>url_tbl138 &lt;- data.table(url_tbl138);</v>
      </c>
      <c r="M139" t="str">
        <f t="shared" si="19"/>
        <v>url_tbl138 &lt;- url_tbl138[, `:=` (url ='Multi Cap', year =9),];</v>
      </c>
      <c r="N139" t="str">
        <f t="shared" si="20"/>
        <v>url138 &lt;- 'https://www.advisorkhoj.com/mutual-funds-research/top-performing-systematic-investment-plan?category=Equity:%20Multi%20Cap&amp;period=9&amp;amount=3000';url138 &lt;-  read_html (url138);url_tbl138 &lt;- url138 %&gt;%   html_nodes('table') %&gt;%   html_table(fill = TRUE) %&gt;%   .[[1]];url_tbl138 &lt;- data.table(url_tbl138);url_tbl138 &lt;- url_tbl138[, `:=` (url ='Multi Cap', year =9),];</v>
      </c>
    </row>
    <row r="140" spans="1:14">
      <c r="A140" t="s">
        <v>288</v>
      </c>
      <c r="B140" t="s">
        <v>289</v>
      </c>
      <c r="C140" t="s">
        <v>271</v>
      </c>
      <c r="D140" t="str">
        <f t="shared" si="14"/>
        <v>Multi%20Cap</v>
      </c>
      <c r="E140">
        <v>10</v>
      </c>
      <c r="F140" s="159" t="s">
        <v>3</v>
      </c>
      <c r="G140" t="s">
        <v>4</v>
      </c>
      <c r="H140" t="s">
        <v>5</v>
      </c>
      <c r="I140" t="str">
        <f t="shared" si="15"/>
        <v>url139 &lt;- 'https://www.advisorkhoj.com/mutual-funds-research/top-performing-systematic-investment-plan?category=Equity:%20Multi%20Cap&amp;period=10&amp;amount=3000';</v>
      </c>
      <c r="J140" t="str">
        <f t="shared" si="16"/>
        <v>url139 &lt;-  read_html (url139);</v>
      </c>
      <c r="K140" t="str">
        <f t="shared" si="17"/>
        <v>url_tbl139 &lt;- url139 %&gt;%   html_nodes('table') %&gt;%   html_table(fill = TRUE) %&gt;%   .[[1]];</v>
      </c>
      <c r="L140" t="str">
        <f t="shared" si="18"/>
        <v>url_tbl139 &lt;- data.table(url_tbl139);</v>
      </c>
      <c r="M140" t="str">
        <f t="shared" si="19"/>
        <v>url_tbl139 &lt;- url_tbl139[, `:=` (url ='Multi Cap', year =10),];</v>
      </c>
      <c r="N140" t="str">
        <f t="shared" si="20"/>
        <v>url139 &lt;- 'https://www.advisorkhoj.com/mutual-funds-research/top-performing-systematic-investment-plan?category=Equity:%20Multi%20Cap&amp;period=10&amp;amount=3000';url139 &lt;-  read_html (url139);url_tbl139 &lt;- url139 %&gt;%   html_nodes('table') %&gt;%   html_table(fill = TRUE) %&gt;%   .[[1]];url_tbl139 &lt;- data.table(url_tbl139);url_tbl139 &lt;- url_tbl139[, `:=` (url ='Multi Cap', year =10),];</v>
      </c>
    </row>
    <row r="141" spans="1:14">
      <c r="A141" t="s">
        <v>290</v>
      </c>
      <c r="B141" t="s">
        <v>291</v>
      </c>
      <c r="C141" t="s">
        <v>271</v>
      </c>
      <c r="D141" t="str">
        <f t="shared" si="14"/>
        <v>Multi%20Cap</v>
      </c>
      <c r="E141">
        <v>11</v>
      </c>
      <c r="F141" s="159" t="s">
        <v>3</v>
      </c>
      <c r="G141" t="s">
        <v>4</v>
      </c>
      <c r="H141" t="s">
        <v>5</v>
      </c>
      <c r="I141" t="str">
        <f t="shared" si="15"/>
        <v>url140 &lt;- 'https://www.advisorkhoj.com/mutual-funds-research/top-performing-systematic-investment-plan?category=Equity:%20Multi%20Cap&amp;period=11&amp;amount=3000';</v>
      </c>
      <c r="J141" t="str">
        <f t="shared" si="16"/>
        <v>url140 &lt;-  read_html (url140);</v>
      </c>
      <c r="K141" t="str">
        <f t="shared" si="17"/>
        <v>url_tbl140 &lt;- url140 %&gt;%   html_nodes('table') %&gt;%   html_table(fill = TRUE) %&gt;%   .[[1]];</v>
      </c>
      <c r="L141" t="str">
        <f t="shared" si="18"/>
        <v>url_tbl140 &lt;- data.table(url_tbl140);</v>
      </c>
      <c r="M141" t="str">
        <f t="shared" si="19"/>
        <v>url_tbl140 &lt;- url_tbl140[, `:=` (url ='Multi Cap', year =11),];</v>
      </c>
      <c r="N141" t="str">
        <f t="shared" si="20"/>
        <v>url140 &lt;- 'https://www.advisorkhoj.com/mutual-funds-research/top-performing-systematic-investment-plan?category=Equity:%20Multi%20Cap&amp;period=11&amp;amount=3000';url140 &lt;-  read_html (url140);url_tbl140 &lt;- url140 %&gt;%   html_nodes('table') %&gt;%   html_table(fill = TRUE) %&gt;%   .[[1]];url_tbl140 &lt;- data.table(url_tbl140);url_tbl140 &lt;- url_tbl140[, `:=` (url ='Multi Cap', year =11),];</v>
      </c>
    </row>
    <row r="142" spans="1:14">
      <c r="A142" t="s">
        <v>292</v>
      </c>
      <c r="B142" t="s">
        <v>293</v>
      </c>
      <c r="C142" t="s">
        <v>271</v>
      </c>
      <c r="D142" t="str">
        <f t="shared" si="14"/>
        <v>Multi%20Cap</v>
      </c>
      <c r="E142">
        <v>12</v>
      </c>
      <c r="F142" s="159" t="s">
        <v>3</v>
      </c>
      <c r="G142" t="s">
        <v>4</v>
      </c>
      <c r="H142" t="s">
        <v>5</v>
      </c>
      <c r="I142" t="str">
        <f t="shared" si="15"/>
        <v>url141 &lt;- 'https://www.advisorkhoj.com/mutual-funds-research/top-performing-systematic-investment-plan?category=Equity:%20Multi%20Cap&amp;period=12&amp;amount=3000';</v>
      </c>
      <c r="J142" t="str">
        <f t="shared" si="16"/>
        <v>url141 &lt;-  read_html (url141);</v>
      </c>
      <c r="K142" t="str">
        <f t="shared" si="17"/>
        <v>url_tbl141 &lt;- url141 %&gt;%   html_nodes('table') %&gt;%   html_table(fill = TRUE) %&gt;%   .[[1]];</v>
      </c>
      <c r="L142" t="str">
        <f t="shared" si="18"/>
        <v>url_tbl141 &lt;- data.table(url_tbl141);</v>
      </c>
      <c r="M142" t="str">
        <f t="shared" si="19"/>
        <v>url_tbl141 &lt;- url_tbl141[, `:=` (url ='Multi Cap', year =12),];</v>
      </c>
      <c r="N142" t="str">
        <f t="shared" si="20"/>
        <v>url141 &lt;- 'https://www.advisorkhoj.com/mutual-funds-research/top-performing-systematic-investment-plan?category=Equity:%20Multi%20Cap&amp;period=12&amp;amount=3000';url141 &lt;-  read_html (url141);url_tbl141 &lt;- url141 %&gt;%   html_nodes('table') %&gt;%   html_table(fill = TRUE) %&gt;%   .[[1]];url_tbl141 &lt;- data.table(url_tbl141);url_tbl141 &lt;- url_tbl141[, `:=` (url ='Multi Cap', year =12),];</v>
      </c>
    </row>
    <row r="143" spans="1:14">
      <c r="A143" t="s">
        <v>294</v>
      </c>
      <c r="B143" t="s">
        <v>295</v>
      </c>
      <c r="C143" t="s">
        <v>271</v>
      </c>
      <c r="D143" t="str">
        <f t="shared" si="14"/>
        <v>Multi%20Cap</v>
      </c>
      <c r="E143">
        <v>13</v>
      </c>
      <c r="F143" s="159" t="s">
        <v>3</v>
      </c>
      <c r="G143" t="s">
        <v>4</v>
      </c>
      <c r="H143" t="s">
        <v>5</v>
      </c>
      <c r="I143" t="str">
        <f t="shared" si="15"/>
        <v>url142 &lt;- 'https://www.advisorkhoj.com/mutual-funds-research/top-performing-systematic-investment-plan?category=Equity:%20Multi%20Cap&amp;period=13&amp;amount=3000';</v>
      </c>
      <c r="J143" t="str">
        <f t="shared" si="16"/>
        <v>url142 &lt;-  read_html (url142);</v>
      </c>
      <c r="K143" t="str">
        <f t="shared" si="17"/>
        <v>url_tbl142 &lt;- url142 %&gt;%   html_nodes('table') %&gt;%   html_table(fill = TRUE) %&gt;%   .[[1]];</v>
      </c>
      <c r="L143" t="str">
        <f t="shared" si="18"/>
        <v>url_tbl142 &lt;- data.table(url_tbl142);</v>
      </c>
      <c r="M143" t="str">
        <f t="shared" si="19"/>
        <v>url_tbl142 &lt;- url_tbl142[, `:=` (url ='Multi Cap', year =13),];</v>
      </c>
      <c r="N143" t="str">
        <f t="shared" si="20"/>
        <v>url142 &lt;- 'https://www.advisorkhoj.com/mutual-funds-research/top-performing-systematic-investment-plan?category=Equity:%20Multi%20Cap&amp;period=13&amp;amount=3000';url142 &lt;-  read_html (url142);url_tbl142 &lt;- url142 %&gt;%   html_nodes('table') %&gt;%   html_table(fill = TRUE) %&gt;%   .[[1]];url_tbl142 &lt;- data.table(url_tbl142);url_tbl142 &lt;- url_tbl142[, `:=` (url ='Multi Cap', year =13),];</v>
      </c>
    </row>
    <row r="144" spans="1:14">
      <c r="A144" t="s">
        <v>296</v>
      </c>
      <c r="B144" t="s">
        <v>297</v>
      </c>
      <c r="C144" t="s">
        <v>271</v>
      </c>
      <c r="D144" t="str">
        <f t="shared" si="14"/>
        <v>Multi%20Cap</v>
      </c>
      <c r="E144">
        <v>14</v>
      </c>
      <c r="F144" s="159" t="s">
        <v>3</v>
      </c>
      <c r="G144" t="s">
        <v>4</v>
      </c>
      <c r="H144" t="s">
        <v>5</v>
      </c>
      <c r="I144" t="str">
        <f t="shared" si="15"/>
        <v>url143 &lt;- 'https://www.advisorkhoj.com/mutual-funds-research/top-performing-systematic-investment-plan?category=Equity:%20Multi%20Cap&amp;period=14&amp;amount=3000';</v>
      </c>
      <c r="J144" t="str">
        <f t="shared" si="16"/>
        <v>url143 &lt;-  read_html (url143);</v>
      </c>
      <c r="K144" t="str">
        <f t="shared" si="17"/>
        <v>url_tbl143 &lt;- url143 %&gt;%   html_nodes('table') %&gt;%   html_table(fill = TRUE) %&gt;%   .[[1]];</v>
      </c>
      <c r="L144" t="str">
        <f t="shared" si="18"/>
        <v>url_tbl143 &lt;- data.table(url_tbl143);</v>
      </c>
      <c r="M144" t="str">
        <f t="shared" si="19"/>
        <v>url_tbl143 &lt;- url_tbl143[, `:=` (url ='Multi Cap', year =14),];</v>
      </c>
      <c r="N144" t="str">
        <f t="shared" si="20"/>
        <v>url143 &lt;- 'https://www.advisorkhoj.com/mutual-funds-research/top-performing-systematic-investment-plan?category=Equity:%20Multi%20Cap&amp;period=14&amp;amount=3000';url143 &lt;-  read_html (url143);url_tbl143 &lt;- url143 %&gt;%   html_nodes('table') %&gt;%   html_table(fill = TRUE) %&gt;%   .[[1]];url_tbl143 &lt;- data.table(url_tbl143);url_tbl143 &lt;- url_tbl143[, `:=` (url ='Multi Cap', year =14),];</v>
      </c>
    </row>
    <row r="145" spans="1:14">
      <c r="A145" t="s">
        <v>298</v>
      </c>
      <c r="B145" t="s">
        <v>299</v>
      </c>
      <c r="C145" t="s">
        <v>271</v>
      </c>
      <c r="D145" t="str">
        <f t="shared" si="14"/>
        <v>Multi%20Cap</v>
      </c>
      <c r="E145">
        <v>15</v>
      </c>
      <c r="F145" s="159" t="s">
        <v>3</v>
      </c>
      <c r="G145" t="s">
        <v>4</v>
      </c>
      <c r="H145" t="s">
        <v>5</v>
      </c>
      <c r="I145" t="str">
        <f t="shared" si="15"/>
        <v>url144 &lt;- 'https://www.advisorkhoj.com/mutual-funds-research/top-performing-systematic-investment-plan?category=Equity:%20Multi%20Cap&amp;period=15&amp;amount=3000';</v>
      </c>
      <c r="J145" t="str">
        <f t="shared" si="16"/>
        <v>url144 &lt;-  read_html (url144);</v>
      </c>
      <c r="K145" t="str">
        <f t="shared" si="17"/>
        <v>url_tbl144 &lt;- url144 %&gt;%   html_nodes('table') %&gt;%   html_table(fill = TRUE) %&gt;%   .[[1]];</v>
      </c>
      <c r="L145" t="str">
        <f t="shared" si="18"/>
        <v>url_tbl144 &lt;- data.table(url_tbl144);</v>
      </c>
      <c r="M145" t="str">
        <f t="shared" si="19"/>
        <v>url_tbl144 &lt;- url_tbl144[, `:=` (url ='Multi Cap', year =15),];</v>
      </c>
      <c r="N145" t="str">
        <f t="shared" si="20"/>
        <v>url144 &lt;- 'https://www.advisorkhoj.com/mutual-funds-research/top-performing-systematic-investment-plan?category=Equity:%20Multi%20Cap&amp;period=15&amp;amount=3000';url144 &lt;-  read_html (url144);url_tbl144 &lt;- url144 %&gt;%   html_nodes('table') %&gt;%   html_table(fill = TRUE) %&gt;%   .[[1]];url_tbl144 &lt;- data.table(url_tbl144);url_tbl144 &lt;- url_tbl144[, `:=` (url ='Multi Cap', year =15),];</v>
      </c>
    </row>
    <row r="146" spans="1:14">
      <c r="A146" t="s">
        <v>300</v>
      </c>
      <c r="B146" t="s">
        <v>301</v>
      </c>
      <c r="C146" t="s">
        <v>271</v>
      </c>
      <c r="D146" t="str">
        <f t="shared" si="14"/>
        <v>Multi%20Cap</v>
      </c>
      <c r="E146">
        <v>16</v>
      </c>
      <c r="F146" s="159" t="s">
        <v>3</v>
      </c>
      <c r="G146" t="s">
        <v>4</v>
      </c>
      <c r="H146" t="s">
        <v>5</v>
      </c>
      <c r="I146" t="str">
        <f t="shared" si="15"/>
        <v>url145 &lt;- 'https://www.advisorkhoj.com/mutual-funds-research/top-performing-systematic-investment-plan?category=Equity:%20Multi%20Cap&amp;period=16&amp;amount=3000';</v>
      </c>
      <c r="J146" t="str">
        <f t="shared" si="16"/>
        <v>url145 &lt;-  read_html (url145);</v>
      </c>
      <c r="K146" t="str">
        <f t="shared" si="17"/>
        <v>url_tbl145 &lt;- url145 %&gt;%   html_nodes('table') %&gt;%   html_table(fill = TRUE) %&gt;%   .[[1]];</v>
      </c>
      <c r="L146" t="str">
        <f t="shared" si="18"/>
        <v>url_tbl145 &lt;- data.table(url_tbl145);</v>
      </c>
      <c r="M146" t="str">
        <f t="shared" si="19"/>
        <v>url_tbl145 &lt;- url_tbl145[, `:=` (url ='Multi Cap', year =16),];</v>
      </c>
      <c r="N146" t="str">
        <f t="shared" si="20"/>
        <v>url145 &lt;- 'https://www.advisorkhoj.com/mutual-funds-research/top-performing-systematic-investment-plan?category=Equity:%20Multi%20Cap&amp;period=16&amp;amount=3000';url145 &lt;-  read_html (url145);url_tbl145 &lt;- url145 %&gt;%   html_nodes('table') %&gt;%   html_table(fill = TRUE) %&gt;%   .[[1]];url_tbl145 &lt;- data.table(url_tbl145);url_tbl145 &lt;- url_tbl145[, `:=` (url ='Multi Cap', year =16),];</v>
      </c>
    </row>
    <row r="147" spans="1:14">
      <c r="A147" t="s">
        <v>302</v>
      </c>
      <c r="B147" t="s">
        <v>303</v>
      </c>
      <c r="C147" t="s">
        <v>304</v>
      </c>
      <c r="D147" t="str">
        <f t="shared" si="14"/>
        <v>Sectoral-Banking%20and%20Financial</v>
      </c>
      <c r="E147">
        <v>1</v>
      </c>
      <c r="F147" s="159" t="s">
        <v>3</v>
      </c>
      <c r="G147" t="s">
        <v>4</v>
      </c>
      <c r="H147" t="s">
        <v>5</v>
      </c>
      <c r="I147" t="str">
        <f t="shared" si="15"/>
        <v>url146 &lt;- 'https://www.advisorkhoj.com/mutual-funds-research/top-performing-systematic-investment-plan?category=Equity:%20Sectoral-Banking%20and%20Financial&amp;period=1&amp;amount=3000';</v>
      </c>
      <c r="J147" t="str">
        <f t="shared" si="16"/>
        <v>url146 &lt;-  read_html (url146);</v>
      </c>
      <c r="K147" t="str">
        <f t="shared" si="17"/>
        <v>url_tbl146 &lt;- url146 %&gt;%   html_nodes('table') %&gt;%   html_table(fill = TRUE) %&gt;%   .[[1]];</v>
      </c>
      <c r="L147" t="str">
        <f t="shared" si="18"/>
        <v>url_tbl146 &lt;- data.table(url_tbl146);</v>
      </c>
      <c r="M147" t="str">
        <f t="shared" si="19"/>
        <v>url_tbl146 &lt;- url_tbl146[, `:=` (url ='Sectoral-Banking and Financial', year =1),];</v>
      </c>
      <c r="N147" t="str">
        <f t="shared" si="20"/>
        <v>url146 &lt;- 'https://www.advisorkhoj.com/mutual-funds-research/top-performing-systematic-investment-plan?category=Equity:%20Sectoral-Banking%20and%20Financial&amp;period=1&amp;amount=3000';url146 &lt;-  read_html (url146);url_tbl146 &lt;- url146 %&gt;%   html_nodes('table') %&gt;%   html_table(fill = TRUE) %&gt;%   .[[1]];url_tbl146 &lt;- data.table(url_tbl146);url_tbl146 &lt;- url_tbl146[, `:=` (url ='Sectoral-Banking and Financial', year =1),];</v>
      </c>
    </row>
    <row r="148" spans="1:14">
      <c r="A148" t="s">
        <v>305</v>
      </c>
      <c r="B148" t="s">
        <v>306</v>
      </c>
      <c r="C148" t="s">
        <v>304</v>
      </c>
      <c r="D148" t="str">
        <f t="shared" si="14"/>
        <v>Sectoral-Banking%20and%20Financial</v>
      </c>
      <c r="E148">
        <v>2</v>
      </c>
      <c r="F148" s="159" t="s">
        <v>3</v>
      </c>
      <c r="G148" t="s">
        <v>4</v>
      </c>
      <c r="H148" t="s">
        <v>5</v>
      </c>
      <c r="I148" t="str">
        <f t="shared" si="15"/>
        <v>url147 &lt;- 'https://www.advisorkhoj.com/mutual-funds-research/top-performing-systematic-investment-plan?category=Equity:%20Sectoral-Banking%20and%20Financial&amp;period=2&amp;amount=3000';</v>
      </c>
      <c r="J148" t="str">
        <f t="shared" si="16"/>
        <v>url147 &lt;-  read_html (url147);</v>
      </c>
      <c r="K148" t="str">
        <f t="shared" si="17"/>
        <v>url_tbl147 &lt;- url147 %&gt;%   html_nodes('table') %&gt;%   html_table(fill = TRUE) %&gt;%   .[[1]];</v>
      </c>
      <c r="L148" t="str">
        <f t="shared" si="18"/>
        <v>url_tbl147 &lt;- data.table(url_tbl147);</v>
      </c>
      <c r="M148" t="str">
        <f t="shared" si="19"/>
        <v>url_tbl147 &lt;- url_tbl147[, `:=` (url ='Sectoral-Banking and Financial', year =2),];</v>
      </c>
      <c r="N148" t="str">
        <f t="shared" si="20"/>
        <v>url147 &lt;- 'https://www.advisorkhoj.com/mutual-funds-research/top-performing-systematic-investment-plan?category=Equity:%20Sectoral-Banking%20and%20Financial&amp;period=2&amp;amount=3000';url147 &lt;-  read_html (url147);url_tbl147 &lt;- url147 %&gt;%   html_nodes('table') %&gt;%   html_table(fill = TRUE) %&gt;%   .[[1]];url_tbl147 &lt;- data.table(url_tbl147);url_tbl147 &lt;- url_tbl147[, `:=` (url ='Sectoral-Banking and Financial', year =2),];</v>
      </c>
    </row>
    <row r="149" spans="1:14">
      <c r="A149" t="s">
        <v>307</v>
      </c>
      <c r="B149" t="s">
        <v>308</v>
      </c>
      <c r="C149" t="s">
        <v>304</v>
      </c>
      <c r="D149" t="str">
        <f t="shared" si="14"/>
        <v>Sectoral-Banking%20and%20Financial</v>
      </c>
      <c r="E149">
        <v>3</v>
      </c>
      <c r="F149" s="159" t="s">
        <v>3</v>
      </c>
      <c r="G149" t="s">
        <v>4</v>
      </c>
      <c r="H149" t="s">
        <v>5</v>
      </c>
      <c r="I149" t="str">
        <f t="shared" si="15"/>
        <v>url148 &lt;- 'https://www.advisorkhoj.com/mutual-funds-research/top-performing-systematic-investment-plan?category=Equity:%20Sectoral-Banking%20and%20Financial&amp;period=3&amp;amount=3000';</v>
      </c>
      <c r="J149" t="str">
        <f t="shared" si="16"/>
        <v>url148 &lt;-  read_html (url148);</v>
      </c>
      <c r="K149" t="str">
        <f t="shared" si="17"/>
        <v>url_tbl148 &lt;- url148 %&gt;%   html_nodes('table') %&gt;%   html_table(fill = TRUE) %&gt;%   .[[1]];</v>
      </c>
      <c r="L149" t="str">
        <f t="shared" si="18"/>
        <v>url_tbl148 &lt;- data.table(url_tbl148);</v>
      </c>
      <c r="M149" t="str">
        <f t="shared" si="19"/>
        <v>url_tbl148 &lt;- url_tbl148[, `:=` (url ='Sectoral-Banking and Financial', year =3),];</v>
      </c>
      <c r="N149" t="str">
        <f t="shared" si="20"/>
        <v>url148 &lt;- 'https://www.advisorkhoj.com/mutual-funds-research/top-performing-systematic-investment-plan?category=Equity:%20Sectoral-Banking%20and%20Financial&amp;period=3&amp;amount=3000';url148 &lt;-  read_html (url148);url_tbl148 &lt;- url148 %&gt;%   html_nodes('table') %&gt;%   html_table(fill = TRUE) %&gt;%   .[[1]];url_tbl148 &lt;- data.table(url_tbl148);url_tbl148 &lt;- url_tbl148[, `:=` (url ='Sectoral-Banking and Financial', year =3),];</v>
      </c>
    </row>
    <row r="150" spans="1:14">
      <c r="A150" t="s">
        <v>309</v>
      </c>
      <c r="B150" t="s">
        <v>310</v>
      </c>
      <c r="C150" t="s">
        <v>304</v>
      </c>
      <c r="D150" t="str">
        <f t="shared" si="14"/>
        <v>Sectoral-Banking%20and%20Financial</v>
      </c>
      <c r="E150">
        <v>4</v>
      </c>
      <c r="F150" s="159" t="s">
        <v>3</v>
      </c>
      <c r="G150" t="s">
        <v>4</v>
      </c>
      <c r="H150" t="s">
        <v>5</v>
      </c>
      <c r="I150" t="str">
        <f t="shared" si="15"/>
        <v>url149 &lt;- 'https://www.advisorkhoj.com/mutual-funds-research/top-performing-systematic-investment-plan?category=Equity:%20Sectoral-Banking%20and%20Financial&amp;period=4&amp;amount=3000';</v>
      </c>
      <c r="J150" t="str">
        <f t="shared" si="16"/>
        <v>url149 &lt;-  read_html (url149);</v>
      </c>
      <c r="K150" t="str">
        <f t="shared" si="17"/>
        <v>url_tbl149 &lt;- url149 %&gt;%   html_nodes('table') %&gt;%   html_table(fill = TRUE) %&gt;%   .[[1]];</v>
      </c>
      <c r="L150" t="str">
        <f t="shared" si="18"/>
        <v>url_tbl149 &lt;- data.table(url_tbl149);</v>
      </c>
      <c r="M150" t="str">
        <f t="shared" si="19"/>
        <v>url_tbl149 &lt;- url_tbl149[, `:=` (url ='Sectoral-Banking and Financial', year =4),];</v>
      </c>
      <c r="N150" t="str">
        <f t="shared" si="20"/>
        <v>url149 &lt;- 'https://www.advisorkhoj.com/mutual-funds-research/top-performing-systematic-investment-plan?category=Equity:%20Sectoral-Banking%20and%20Financial&amp;period=4&amp;amount=3000';url149 &lt;-  read_html (url149);url_tbl149 &lt;- url149 %&gt;%   html_nodes('table') %&gt;%   html_table(fill = TRUE) %&gt;%   .[[1]];url_tbl149 &lt;- data.table(url_tbl149);url_tbl149 &lt;- url_tbl149[, `:=` (url ='Sectoral-Banking and Financial', year =4),];</v>
      </c>
    </row>
    <row r="151" spans="1:14">
      <c r="A151" t="s">
        <v>311</v>
      </c>
      <c r="B151" t="s">
        <v>312</v>
      </c>
      <c r="C151" t="s">
        <v>304</v>
      </c>
      <c r="D151" t="str">
        <f t="shared" si="14"/>
        <v>Sectoral-Banking%20and%20Financial</v>
      </c>
      <c r="E151">
        <v>5</v>
      </c>
      <c r="F151" s="159" t="s">
        <v>3</v>
      </c>
      <c r="G151" t="s">
        <v>4</v>
      </c>
      <c r="H151" t="s">
        <v>5</v>
      </c>
      <c r="I151" t="str">
        <f t="shared" si="15"/>
        <v>url150 &lt;- 'https://www.advisorkhoj.com/mutual-funds-research/top-performing-systematic-investment-plan?category=Equity:%20Sectoral-Banking%20and%20Financial&amp;period=5&amp;amount=3000';</v>
      </c>
      <c r="J151" t="str">
        <f t="shared" si="16"/>
        <v>url150 &lt;-  read_html (url150);</v>
      </c>
      <c r="K151" t="str">
        <f t="shared" si="17"/>
        <v>url_tbl150 &lt;- url150 %&gt;%   html_nodes('table') %&gt;%   html_table(fill = TRUE) %&gt;%   .[[1]];</v>
      </c>
      <c r="L151" t="str">
        <f t="shared" si="18"/>
        <v>url_tbl150 &lt;- data.table(url_tbl150);</v>
      </c>
      <c r="M151" t="str">
        <f t="shared" si="19"/>
        <v>url_tbl150 &lt;- url_tbl150[, `:=` (url ='Sectoral-Banking and Financial', year =5),];</v>
      </c>
      <c r="N151" t="str">
        <f t="shared" si="20"/>
        <v>url150 &lt;- 'https://www.advisorkhoj.com/mutual-funds-research/top-performing-systematic-investment-plan?category=Equity:%20Sectoral-Banking%20and%20Financial&amp;period=5&amp;amount=3000';url150 &lt;-  read_html (url150);url_tbl150 &lt;- url150 %&gt;%   html_nodes('table') %&gt;%   html_table(fill = TRUE) %&gt;%   .[[1]];url_tbl150 &lt;- data.table(url_tbl150);url_tbl150 &lt;- url_tbl150[, `:=` (url ='Sectoral-Banking and Financial', year =5),];</v>
      </c>
    </row>
    <row r="152" spans="1:14">
      <c r="A152" t="s">
        <v>313</v>
      </c>
      <c r="B152" t="s">
        <v>314</v>
      </c>
      <c r="C152" t="s">
        <v>304</v>
      </c>
      <c r="D152" t="str">
        <f t="shared" si="14"/>
        <v>Sectoral-Banking%20and%20Financial</v>
      </c>
      <c r="E152">
        <v>6</v>
      </c>
      <c r="F152" s="159" t="s">
        <v>3</v>
      </c>
      <c r="G152" t="s">
        <v>4</v>
      </c>
      <c r="H152" t="s">
        <v>5</v>
      </c>
      <c r="I152" t="str">
        <f t="shared" si="15"/>
        <v>url151 &lt;- 'https://www.advisorkhoj.com/mutual-funds-research/top-performing-systematic-investment-plan?category=Equity:%20Sectoral-Banking%20and%20Financial&amp;period=6&amp;amount=3000';</v>
      </c>
      <c r="J152" t="str">
        <f t="shared" si="16"/>
        <v>url151 &lt;-  read_html (url151);</v>
      </c>
      <c r="K152" t="str">
        <f t="shared" si="17"/>
        <v>url_tbl151 &lt;- url151 %&gt;%   html_nodes('table') %&gt;%   html_table(fill = TRUE) %&gt;%   .[[1]];</v>
      </c>
      <c r="L152" t="str">
        <f t="shared" si="18"/>
        <v>url_tbl151 &lt;- data.table(url_tbl151);</v>
      </c>
      <c r="M152" t="str">
        <f t="shared" si="19"/>
        <v>url_tbl151 &lt;- url_tbl151[, `:=` (url ='Sectoral-Banking and Financial', year =6),];</v>
      </c>
      <c r="N152" t="str">
        <f t="shared" si="20"/>
        <v>url151 &lt;- 'https://www.advisorkhoj.com/mutual-funds-research/top-performing-systematic-investment-plan?category=Equity:%20Sectoral-Banking%20and%20Financial&amp;period=6&amp;amount=3000';url151 &lt;-  read_html (url151);url_tbl151 &lt;- url151 %&gt;%   html_nodes('table') %&gt;%   html_table(fill = TRUE) %&gt;%   .[[1]];url_tbl151 &lt;- data.table(url_tbl151);url_tbl151 &lt;- url_tbl151[, `:=` (url ='Sectoral-Banking and Financial', year =6),];</v>
      </c>
    </row>
    <row r="153" spans="1:14">
      <c r="A153" t="s">
        <v>315</v>
      </c>
      <c r="B153" t="s">
        <v>316</v>
      </c>
      <c r="C153" t="s">
        <v>304</v>
      </c>
      <c r="D153" t="str">
        <f t="shared" si="14"/>
        <v>Sectoral-Banking%20and%20Financial</v>
      </c>
      <c r="E153">
        <v>7</v>
      </c>
      <c r="F153" s="159" t="s">
        <v>3</v>
      </c>
      <c r="G153" t="s">
        <v>4</v>
      </c>
      <c r="H153" t="s">
        <v>5</v>
      </c>
      <c r="I153" t="str">
        <f t="shared" si="15"/>
        <v>url152 &lt;- 'https://www.advisorkhoj.com/mutual-funds-research/top-performing-systematic-investment-plan?category=Equity:%20Sectoral-Banking%20and%20Financial&amp;period=7&amp;amount=3000';</v>
      </c>
      <c r="J153" t="str">
        <f t="shared" si="16"/>
        <v>url152 &lt;-  read_html (url152);</v>
      </c>
      <c r="K153" t="str">
        <f t="shared" si="17"/>
        <v>url_tbl152 &lt;- url152 %&gt;%   html_nodes('table') %&gt;%   html_table(fill = TRUE) %&gt;%   .[[1]];</v>
      </c>
      <c r="L153" t="str">
        <f t="shared" si="18"/>
        <v>url_tbl152 &lt;- data.table(url_tbl152);</v>
      </c>
      <c r="M153" t="str">
        <f t="shared" si="19"/>
        <v>url_tbl152 &lt;- url_tbl152[, `:=` (url ='Sectoral-Banking and Financial', year =7),];</v>
      </c>
      <c r="N153" t="str">
        <f t="shared" si="20"/>
        <v>url152 &lt;- 'https://www.advisorkhoj.com/mutual-funds-research/top-performing-systematic-investment-plan?category=Equity:%20Sectoral-Banking%20and%20Financial&amp;period=7&amp;amount=3000';url152 &lt;-  read_html (url152);url_tbl152 &lt;- url152 %&gt;%   html_nodes('table') %&gt;%   html_table(fill = TRUE) %&gt;%   .[[1]];url_tbl152 &lt;- data.table(url_tbl152);url_tbl152 &lt;- url_tbl152[, `:=` (url ='Sectoral-Banking and Financial', year =7),];</v>
      </c>
    </row>
    <row r="154" spans="1:14">
      <c r="A154" t="s">
        <v>317</v>
      </c>
      <c r="B154" t="s">
        <v>318</v>
      </c>
      <c r="C154" t="s">
        <v>304</v>
      </c>
      <c r="D154" t="str">
        <f t="shared" si="14"/>
        <v>Sectoral-Banking%20and%20Financial</v>
      </c>
      <c r="E154">
        <v>8</v>
      </c>
      <c r="F154" s="159" t="s">
        <v>3</v>
      </c>
      <c r="G154" t="s">
        <v>4</v>
      </c>
      <c r="H154" t="s">
        <v>5</v>
      </c>
      <c r="I154" t="str">
        <f t="shared" si="15"/>
        <v>url153 &lt;- 'https://www.advisorkhoj.com/mutual-funds-research/top-performing-systematic-investment-plan?category=Equity:%20Sectoral-Banking%20and%20Financial&amp;period=8&amp;amount=3000';</v>
      </c>
      <c r="J154" t="str">
        <f t="shared" si="16"/>
        <v>url153 &lt;-  read_html (url153);</v>
      </c>
      <c r="K154" t="str">
        <f t="shared" si="17"/>
        <v>url_tbl153 &lt;- url153 %&gt;%   html_nodes('table') %&gt;%   html_table(fill = TRUE) %&gt;%   .[[1]];</v>
      </c>
      <c r="L154" t="str">
        <f t="shared" si="18"/>
        <v>url_tbl153 &lt;- data.table(url_tbl153);</v>
      </c>
      <c r="M154" t="str">
        <f t="shared" si="19"/>
        <v>url_tbl153 &lt;- url_tbl153[, `:=` (url ='Sectoral-Banking and Financial', year =8),];</v>
      </c>
      <c r="N154" t="str">
        <f t="shared" si="20"/>
        <v>url153 &lt;- 'https://www.advisorkhoj.com/mutual-funds-research/top-performing-systematic-investment-plan?category=Equity:%20Sectoral-Banking%20and%20Financial&amp;period=8&amp;amount=3000';url153 &lt;-  read_html (url153);url_tbl153 &lt;- url153 %&gt;%   html_nodes('table') %&gt;%   html_table(fill = TRUE) %&gt;%   .[[1]];url_tbl153 &lt;- data.table(url_tbl153);url_tbl153 &lt;- url_tbl153[, `:=` (url ='Sectoral-Banking and Financial', year =8),];</v>
      </c>
    </row>
    <row r="155" spans="1:14">
      <c r="A155" t="s">
        <v>319</v>
      </c>
      <c r="B155" t="s">
        <v>320</v>
      </c>
      <c r="C155" t="s">
        <v>304</v>
      </c>
      <c r="D155" t="str">
        <f t="shared" si="14"/>
        <v>Sectoral-Banking%20and%20Financial</v>
      </c>
      <c r="E155">
        <v>9</v>
      </c>
      <c r="F155" s="159" t="s">
        <v>3</v>
      </c>
      <c r="G155" t="s">
        <v>4</v>
      </c>
      <c r="H155" t="s">
        <v>5</v>
      </c>
      <c r="I155" t="str">
        <f t="shared" si="15"/>
        <v>url154 &lt;- 'https://www.advisorkhoj.com/mutual-funds-research/top-performing-systematic-investment-plan?category=Equity:%20Sectoral-Banking%20and%20Financial&amp;period=9&amp;amount=3000';</v>
      </c>
      <c r="J155" t="str">
        <f t="shared" si="16"/>
        <v>url154 &lt;-  read_html (url154);</v>
      </c>
      <c r="K155" t="str">
        <f t="shared" si="17"/>
        <v>url_tbl154 &lt;- url154 %&gt;%   html_nodes('table') %&gt;%   html_table(fill = TRUE) %&gt;%   .[[1]];</v>
      </c>
      <c r="L155" t="str">
        <f t="shared" si="18"/>
        <v>url_tbl154 &lt;- data.table(url_tbl154);</v>
      </c>
      <c r="M155" t="str">
        <f t="shared" si="19"/>
        <v>url_tbl154 &lt;- url_tbl154[, `:=` (url ='Sectoral-Banking and Financial', year =9),];</v>
      </c>
      <c r="N155" t="str">
        <f t="shared" si="20"/>
        <v>url154 &lt;- 'https://www.advisorkhoj.com/mutual-funds-research/top-performing-systematic-investment-plan?category=Equity:%20Sectoral-Banking%20and%20Financial&amp;period=9&amp;amount=3000';url154 &lt;-  read_html (url154);url_tbl154 &lt;- url154 %&gt;%   html_nodes('table') %&gt;%   html_table(fill = TRUE) %&gt;%   .[[1]];url_tbl154 &lt;- data.table(url_tbl154);url_tbl154 &lt;- url_tbl154[, `:=` (url ='Sectoral-Banking and Financial', year =9),];</v>
      </c>
    </row>
    <row r="156" spans="1:14">
      <c r="A156" t="s">
        <v>321</v>
      </c>
      <c r="B156" t="s">
        <v>322</v>
      </c>
      <c r="C156" t="s">
        <v>304</v>
      </c>
      <c r="D156" t="str">
        <f t="shared" si="14"/>
        <v>Sectoral-Banking%20and%20Financial</v>
      </c>
      <c r="E156">
        <v>10</v>
      </c>
      <c r="F156" s="159" t="s">
        <v>3</v>
      </c>
      <c r="G156" t="s">
        <v>4</v>
      </c>
      <c r="H156" t="s">
        <v>5</v>
      </c>
      <c r="I156" t="str">
        <f t="shared" si="15"/>
        <v>url155 &lt;- 'https://www.advisorkhoj.com/mutual-funds-research/top-performing-systematic-investment-plan?category=Equity:%20Sectoral-Banking%20and%20Financial&amp;period=10&amp;amount=3000';</v>
      </c>
      <c r="J156" t="str">
        <f t="shared" si="16"/>
        <v>url155 &lt;-  read_html (url155);</v>
      </c>
      <c r="K156" t="str">
        <f t="shared" si="17"/>
        <v>url_tbl155 &lt;- url155 %&gt;%   html_nodes('table') %&gt;%   html_table(fill = TRUE) %&gt;%   .[[1]];</v>
      </c>
      <c r="L156" t="str">
        <f t="shared" si="18"/>
        <v>url_tbl155 &lt;- data.table(url_tbl155);</v>
      </c>
      <c r="M156" t="str">
        <f t="shared" si="19"/>
        <v>url_tbl155 &lt;- url_tbl155[, `:=` (url ='Sectoral-Banking and Financial', year =10),];</v>
      </c>
      <c r="N156" t="str">
        <f t="shared" si="20"/>
        <v>url155 &lt;- 'https://www.advisorkhoj.com/mutual-funds-research/top-performing-systematic-investment-plan?category=Equity:%20Sectoral-Banking%20and%20Financial&amp;period=10&amp;amount=3000';url155 &lt;-  read_html (url155);url_tbl155 &lt;- url155 %&gt;%   html_nodes('table') %&gt;%   html_table(fill = TRUE) %&gt;%   .[[1]];url_tbl155 &lt;- data.table(url_tbl155);url_tbl155 &lt;- url_tbl155[, `:=` (url ='Sectoral-Banking and Financial', year =10),];</v>
      </c>
    </row>
    <row r="157" spans="1:14">
      <c r="A157" t="s">
        <v>323</v>
      </c>
      <c r="B157" t="s">
        <v>324</v>
      </c>
      <c r="C157" t="s">
        <v>304</v>
      </c>
      <c r="D157" t="str">
        <f t="shared" si="14"/>
        <v>Sectoral-Banking%20and%20Financial</v>
      </c>
      <c r="E157">
        <v>11</v>
      </c>
      <c r="F157" s="159" t="s">
        <v>3</v>
      </c>
      <c r="G157" t="s">
        <v>4</v>
      </c>
      <c r="H157" t="s">
        <v>5</v>
      </c>
      <c r="I157" t="str">
        <f t="shared" si="15"/>
        <v>url156 &lt;- 'https://www.advisorkhoj.com/mutual-funds-research/top-performing-systematic-investment-plan?category=Equity:%20Sectoral-Banking%20and%20Financial&amp;period=11&amp;amount=3000';</v>
      </c>
      <c r="J157" t="str">
        <f t="shared" si="16"/>
        <v>url156 &lt;-  read_html (url156);</v>
      </c>
      <c r="K157" t="str">
        <f t="shared" si="17"/>
        <v>url_tbl156 &lt;- url156 %&gt;%   html_nodes('table') %&gt;%   html_table(fill = TRUE) %&gt;%   .[[1]];</v>
      </c>
      <c r="L157" t="str">
        <f t="shared" si="18"/>
        <v>url_tbl156 &lt;- data.table(url_tbl156);</v>
      </c>
      <c r="M157" t="str">
        <f t="shared" si="19"/>
        <v>url_tbl156 &lt;- url_tbl156[, `:=` (url ='Sectoral-Banking and Financial', year =11),];</v>
      </c>
      <c r="N157" t="str">
        <f t="shared" si="20"/>
        <v>url156 &lt;- 'https://www.advisorkhoj.com/mutual-funds-research/top-performing-systematic-investment-plan?category=Equity:%20Sectoral-Banking%20and%20Financial&amp;period=11&amp;amount=3000';url156 &lt;-  read_html (url156);url_tbl156 &lt;- url156 %&gt;%   html_nodes('table') %&gt;%   html_table(fill = TRUE) %&gt;%   .[[1]];url_tbl156 &lt;- data.table(url_tbl156);url_tbl156 &lt;- url_tbl156[, `:=` (url ='Sectoral-Banking and Financial', year =11),];</v>
      </c>
    </row>
    <row r="158" spans="1:14">
      <c r="A158" t="s">
        <v>325</v>
      </c>
      <c r="B158" t="s">
        <v>326</v>
      </c>
      <c r="C158" t="s">
        <v>304</v>
      </c>
      <c r="D158" t="str">
        <f t="shared" si="14"/>
        <v>Sectoral-Banking%20and%20Financial</v>
      </c>
      <c r="E158">
        <v>12</v>
      </c>
      <c r="F158" s="159" t="s">
        <v>3</v>
      </c>
      <c r="G158" t="s">
        <v>4</v>
      </c>
      <c r="H158" t="s">
        <v>5</v>
      </c>
      <c r="I158" t="str">
        <f t="shared" si="15"/>
        <v>url157 &lt;- 'https://www.advisorkhoj.com/mutual-funds-research/top-performing-systematic-investment-plan?category=Equity:%20Sectoral-Banking%20and%20Financial&amp;period=12&amp;amount=3000';</v>
      </c>
      <c r="J158" t="str">
        <f t="shared" si="16"/>
        <v>url157 &lt;-  read_html (url157);</v>
      </c>
      <c r="K158" t="str">
        <f t="shared" si="17"/>
        <v>url_tbl157 &lt;- url157 %&gt;%   html_nodes('table') %&gt;%   html_table(fill = TRUE) %&gt;%   .[[1]];</v>
      </c>
      <c r="L158" t="str">
        <f t="shared" si="18"/>
        <v>url_tbl157 &lt;- data.table(url_tbl157);</v>
      </c>
      <c r="M158" t="str">
        <f t="shared" si="19"/>
        <v>url_tbl157 &lt;- url_tbl157[, `:=` (url ='Sectoral-Banking and Financial', year =12),];</v>
      </c>
      <c r="N158" t="str">
        <f t="shared" si="20"/>
        <v>url157 &lt;- 'https://www.advisorkhoj.com/mutual-funds-research/top-performing-systematic-investment-plan?category=Equity:%20Sectoral-Banking%20and%20Financial&amp;period=12&amp;amount=3000';url157 &lt;-  read_html (url157);url_tbl157 &lt;- url157 %&gt;%   html_nodes('table') %&gt;%   html_table(fill = TRUE) %&gt;%   .[[1]];url_tbl157 &lt;- data.table(url_tbl157);url_tbl157 &lt;- url_tbl157[, `:=` (url ='Sectoral-Banking and Financial', year =12),];</v>
      </c>
    </row>
    <row r="159" spans="1:14">
      <c r="A159" t="s">
        <v>327</v>
      </c>
      <c r="B159" t="s">
        <v>328</v>
      </c>
      <c r="C159" t="s">
        <v>304</v>
      </c>
      <c r="D159" t="str">
        <f t="shared" si="14"/>
        <v>Sectoral-Banking%20and%20Financial</v>
      </c>
      <c r="E159">
        <v>13</v>
      </c>
      <c r="F159" s="159" t="s">
        <v>3</v>
      </c>
      <c r="G159" t="s">
        <v>4</v>
      </c>
      <c r="H159" t="s">
        <v>5</v>
      </c>
      <c r="I159" t="str">
        <f t="shared" si="15"/>
        <v>url158 &lt;- 'https://www.advisorkhoj.com/mutual-funds-research/top-performing-systematic-investment-plan?category=Equity:%20Sectoral-Banking%20and%20Financial&amp;period=13&amp;amount=3000';</v>
      </c>
      <c r="J159" t="str">
        <f t="shared" si="16"/>
        <v>url158 &lt;-  read_html (url158);</v>
      </c>
      <c r="K159" t="str">
        <f t="shared" si="17"/>
        <v>url_tbl158 &lt;- url158 %&gt;%   html_nodes('table') %&gt;%   html_table(fill = TRUE) %&gt;%   .[[1]];</v>
      </c>
      <c r="L159" t="str">
        <f t="shared" si="18"/>
        <v>url_tbl158 &lt;- data.table(url_tbl158);</v>
      </c>
      <c r="M159" t="str">
        <f t="shared" si="19"/>
        <v>url_tbl158 &lt;- url_tbl158[, `:=` (url ='Sectoral-Banking and Financial', year =13),];</v>
      </c>
      <c r="N159" t="str">
        <f t="shared" si="20"/>
        <v>url158 &lt;- 'https://www.advisorkhoj.com/mutual-funds-research/top-performing-systematic-investment-plan?category=Equity:%20Sectoral-Banking%20and%20Financial&amp;period=13&amp;amount=3000';url158 &lt;-  read_html (url158);url_tbl158 &lt;- url158 %&gt;%   html_nodes('table') %&gt;%   html_table(fill = TRUE) %&gt;%   .[[1]];url_tbl158 &lt;- data.table(url_tbl158);url_tbl158 &lt;- url_tbl158[, `:=` (url ='Sectoral-Banking and Financial', year =13),];</v>
      </c>
    </row>
    <row r="160" spans="1:14">
      <c r="A160" t="s">
        <v>329</v>
      </c>
      <c r="B160" t="s">
        <v>330</v>
      </c>
      <c r="C160" t="s">
        <v>304</v>
      </c>
      <c r="D160" t="str">
        <f t="shared" si="14"/>
        <v>Sectoral-Banking%20and%20Financial</v>
      </c>
      <c r="E160">
        <v>14</v>
      </c>
      <c r="F160" s="159" t="s">
        <v>3</v>
      </c>
      <c r="G160" t="s">
        <v>4</v>
      </c>
      <c r="H160" t="s">
        <v>5</v>
      </c>
      <c r="I160" t="str">
        <f t="shared" si="15"/>
        <v>url159 &lt;- 'https://www.advisorkhoj.com/mutual-funds-research/top-performing-systematic-investment-plan?category=Equity:%20Sectoral-Banking%20and%20Financial&amp;period=14&amp;amount=3000';</v>
      </c>
      <c r="J160" t="str">
        <f t="shared" si="16"/>
        <v>url159 &lt;-  read_html (url159);</v>
      </c>
      <c r="K160" t="str">
        <f t="shared" si="17"/>
        <v>url_tbl159 &lt;- url159 %&gt;%   html_nodes('table') %&gt;%   html_table(fill = TRUE) %&gt;%   .[[1]];</v>
      </c>
      <c r="L160" t="str">
        <f t="shared" si="18"/>
        <v>url_tbl159 &lt;- data.table(url_tbl159);</v>
      </c>
      <c r="M160" t="str">
        <f t="shared" si="19"/>
        <v>url_tbl159 &lt;- url_tbl159[, `:=` (url ='Sectoral-Banking and Financial', year =14),];</v>
      </c>
      <c r="N160" t="str">
        <f t="shared" si="20"/>
        <v>url159 &lt;- 'https://www.advisorkhoj.com/mutual-funds-research/top-performing-systematic-investment-plan?category=Equity:%20Sectoral-Banking%20and%20Financial&amp;period=14&amp;amount=3000';url159 &lt;-  read_html (url159);url_tbl159 &lt;- url159 %&gt;%   html_nodes('table') %&gt;%   html_table(fill = TRUE) %&gt;%   .[[1]];url_tbl159 &lt;- data.table(url_tbl159);url_tbl159 &lt;- url_tbl159[, `:=` (url ='Sectoral-Banking and Financial', year =14),];</v>
      </c>
    </row>
    <row r="161" spans="1:14">
      <c r="A161" t="s">
        <v>331</v>
      </c>
      <c r="B161" t="s">
        <v>332</v>
      </c>
      <c r="C161" t="s">
        <v>304</v>
      </c>
      <c r="D161" t="str">
        <f t="shared" si="14"/>
        <v>Sectoral-Banking%20and%20Financial</v>
      </c>
      <c r="E161">
        <v>15</v>
      </c>
      <c r="F161" s="159" t="s">
        <v>3</v>
      </c>
      <c r="G161" t="s">
        <v>4</v>
      </c>
      <c r="H161" t="s">
        <v>5</v>
      </c>
      <c r="I161" t="str">
        <f t="shared" si="15"/>
        <v>url160 &lt;- 'https://www.advisorkhoj.com/mutual-funds-research/top-performing-systematic-investment-plan?category=Equity:%20Sectoral-Banking%20and%20Financial&amp;period=15&amp;amount=3000';</v>
      </c>
      <c r="J161" t="str">
        <f t="shared" si="16"/>
        <v>url160 &lt;-  read_html (url160);</v>
      </c>
      <c r="K161" t="str">
        <f t="shared" si="17"/>
        <v>url_tbl160 &lt;- url160 %&gt;%   html_nodes('table') %&gt;%   html_table(fill = TRUE) %&gt;%   .[[1]];</v>
      </c>
      <c r="L161" t="str">
        <f t="shared" si="18"/>
        <v>url_tbl160 &lt;- data.table(url_tbl160);</v>
      </c>
      <c r="M161" t="str">
        <f t="shared" si="19"/>
        <v>url_tbl160 &lt;- url_tbl160[, `:=` (url ='Sectoral-Banking and Financial', year =15),];</v>
      </c>
      <c r="N161" t="str">
        <f t="shared" si="20"/>
        <v>url160 &lt;- 'https://www.advisorkhoj.com/mutual-funds-research/top-performing-systematic-investment-plan?category=Equity:%20Sectoral-Banking%20and%20Financial&amp;period=15&amp;amount=3000';url160 &lt;-  read_html (url160);url_tbl160 &lt;- url160 %&gt;%   html_nodes('table') %&gt;%   html_table(fill = TRUE) %&gt;%   .[[1]];url_tbl160 &lt;- data.table(url_tbl160);url_tbl160 &lt;- url_tbl160[, `:=` (url ='Sectoral-Banking and Financial', year =15),];</v>
      </c>
    </row>
    <row r="162" spans="1:14">
      <c r="A162" t="s">
        <v>333</v>
      </c>
      <c r="B162" t="s">
        <v>334</v>
      </c>
      <c r="C162" t="s">
        <v>304</v>
      </c>
      <c r="D162" t="str">
        <f t="shared" si="14"/>
        <v>Sectoral-Banking%20and%20Financial</v>
      </c>
      <c r="E162">
        <v>16</v>
      </c>
      <c r="F162" s="159" t="s">
        <v>3</v>
      </c>
      <c r="G162" t="s">
        <v>4</v>
      </c>
      <c r="H162" t="s">
        <v>5</v>
      </c>
      <c r="I162" t="str">
        <f t="shared" si="15"/>
        <v>url161 &lt;- 'https://www.advisorkhoj.com/mutual-funds-research/top-performing-systematic-investment-plan?category=Equity:%20Sectoral-Banking%20and%20Financial&amp;period=16&amp;amount=3000';</v>
      </c>
      <c r="J162" t="str">
        <f t="shared" si="16"/>
        <v>url161 &lt;-  read_html (url161);</v>
      </c>
      <c r="K162" t="str">
        <f t="shared" si="17"/>
        <v>url_tbl161 &lt;- url161 %&gt;%   html_nodes('table') %&gt;%   html_table(fill = TRUE) %&gt;%   .[[1]];</v>
      </c>
      <c r="L162" t="str">
        <f t="shared" si="18"/>
        <v>url_tbl161 &lt;- data.table(url_tbl161);</v>
      </c>
      <c r="M162" t="str">
        <f t="shared" si="19"/>
        <v>url_tbl161 &lt;- url_tbl161[, `:=` (url ='Sectoral-Banking and Financial', year =16),];</v>
      </c>
      <c r="N162" t="str">
        <f t="shared" si="20"/>
        <v>url161 &lt;- 'https://www.advisorkhoj.com/mutual-funds-research/top-performing-systematic-investment-plan?category=Equity:%20Sectoral-Banking%20and%20Financial&amp;period=16&amp;amount=3000';url161 &lt;-  read_html (url161);url_tbl161 &lt;- url161 %&gt;%   html_nodes('table') %&gt;%   html_table(fill = TRUE) %&gt;%   .[[1]];url_tbl161 &lt;- data.table(url_tbl161);url_tbl161 &lt;- url_tbl161[, `:=` (url ='Sectoral-Banking and Financial', year =16),];</v>
      </c>
    </row>
    <row r="163" spans="1:14">
      <c r="A163" t="s">
        <v>335</v>
      </c>
      <c r="B163" t="s">
        <v>336</v>
      </c>
      <c r="C163" t="s">
        <v>337</v>
      </c>
      <c r="D163" t="str">
        <f t="shared" si="14"/>
        <v>Sectoral-Infrastructure</v>
      </c>
      <c r="E163">
        <v>1</v>
      </c>
      <c r="F163" s="159" t="s">
        <v>3</v>
      </c>
      <c r="G163" t="s">
        <v>4</v>
      </c>
      <c r="H163" t="s">
        <v>5</v>
      </c>
      <c r="I163" t="str">
        <f t="shared" si="15"/>
        <v>url162 &lt;- 'https://www.advisorkhoj.com/mutual-funds-research/top-performing-systematic-investment-plan?category=Equity:%20Sectoral-Infrastructure&amp;period=1&amp;amount=3000';</v>
      </c>
      <c r="J163" t="str">
        <f t="shared" si="16"/>
        <v>url162 &lt;-  read_html (url162);</v>
      </c>
      <c r="K163" t="str">
        <f t="shared" si="17"/>
        <v>url_tbl162 &lt;- url162 %&gt;%   html_nodes('table') %&gt;%   html_table(fill = TRUE) %&gt;%   .[[1]];</v>
      </c>
      <c r="L163" t="str">
        <f t="shared" si="18"/>
        <v>url_tbl162 &lt;- data.table(url_tbl162);</v>
      </c>
      <c r="M163" t="str">
        <f t="shared" si="19"/>
        <v>url_tbl162 &lt;- url_tbl162[, `:=` (url ='Sectoral-Infrastructure', year =1),];</v>
      </c>
      <c r="N163" t="str">
        <f t="shared" si="20"/>
        <v>url162 &lt;- 'https://www.advisorkhoj.com/mutual-funds-research/top-performing-systematic-investment-plan?category=Equity:%20Sectoral-Infrastructure&amp;period=1&amp;amount=3000';url162 &lt;-  read_html (url162);url_tbl162 &lt;- url162 %&gt;%   html_nodes('table') %&gt;%   html_table(fill = TRUE) %&gt;%   .[[1]];url_tbl162 &lt;- data.table(url_tbl162);url_tbl162 &lt;- url_tbl162[, `:=` (url ='Sectoral-Infrastructure', year =1),];</v>
      </c>
    </row>
    <row r="164" spans="1:14">
      <c r="A164" t="s">
        <v>338</v>
      </c>
      <c r="B164" t="s">
        <v>339</v>
      </c>
      <c r="C164" t="s">
        <v>337</v>
      </c>
      <c r="D164" t="str">
        <f t="shared" si="14"/>
        <v>Sectoral-Infrastructure</v>
      </c>
      <c r="E164">
        <v>2</v>
      </c>
      <c r="F164" s="159" t="s">
        <v>3</v>
      </c>
      <c r="G164" t="s">
        <v>4</v>
      </c>
      <c r="H164" t="s">
        <v>5</v>
      </c>
      <c r="I164" t="str">
        <f t="shared" si="15"/>
        <v>url163 &lt;- 'https://www.advisorkhoj.com/mutual-funds-research/top-performing-systematic-investment-plan?category=Equity:%20Sectoral-Infrastructure&amp;period=2&amp;amount=3000';</v>
      </c>
      <c r="J164" t="str">
        <f t="shared" si="16"/>
        <v>url163 &lt;-  read_html (url163);</v>
      </c>
      <c r="K164" t="str">
        <f t="shared" si="17"/>
        <v>url_tbl163 &lt;- url163 %&gt;%   html_nodes('table') %&gt;%   html_table(fill = TRUE) %&gt;%   .[[1]];</v>
      </c>
      <c r="L164" t="str">
        <f t="shared" si="18"/>
        <v>url_tbl163 &lt;- data.table(url_tbl163);</v>
      </c>
      <c r="M164" t="str">
        <f t="shared" si="19"/>
        <v>url_tbl163 &lt;- url_tbl163[, `:=` (url ='Sectoral-Infrastructure', year =2),];</v>
      </c>
      <c r="N164" t="str">
        <f t="shared" si="20"/>
        <v>url163 &lt;- 'https://www.advisorkhoj.com/mutual-funds-research/top-performing-systematic-investment-plan?category=Equity:%20Sectoral-Infrastructure&amp;period=2&amp;amount=3000';url163 &lt;-  read_html (url163);url_tbl163 &lt;- url163 %&gt;%   html_nodes('table') %&gt;%   html_table(fill = TRUE) %&gt;%   .[[1]];url_tbl163 &lt;- data.table(url_tbl163);url_tbl163 &lt;- url_tbl163[, `:=` (url ='Sectoral-Infrastructure', year =2),];</v>
      </c>
    </row>
    <row r="165" spans="1:14">
      <c r="A165" t="s">
        <v>340</v>
      </c>
      <c r="B165" t="s">
        <v>341</v>
      </c>
      <c r="C165" t="s">
        <v>337</v>
      </c>
      <c r="D165" t="str">
        <f t="shared" si="14"/>
        <v>Sectoral-Infrastructure</v>
      </c>
      <c r="E165">
        <v>3</v>
      </c>
      <c r="F165" s="159" t="s">
        <v>3</v>
      </c>
      <c r="G165" t="s">
        <v>4</v>
      </c>
      <c r="H165" t="s">
        <v>5</v>
      </c>
      <c r="I165" t="str">
        <f t="shared" si="15"/>
        <v>url164 &lt;- 'https://www.advisorkhoj.com/mutual-funds-research/top-performing-systematic-investment-plan?category=Equity:%20Sectoral-Infrastructure&amp;period=3&amp;amount=3000';</v>
      </c>
      <c r="J165" t="str">
        <f t="shared" si="16"/>
        <v>url164 &lt;-  read_html (url164);</v>
      </c>
      <c r="K165" t="str">
        <f t="shared" si="17"/>
        <v>url_tbl164 &lt;- url164 %&gt;%   html_nodes('table') %&gt;%   html_table(fill = TRUE) %&gt;%   .[[1]];</v>
      </c>
      <c r="L165" t="str">
        <f t="shared" si="18"/>
        <v>url_tbl164 &lt;- data.table(url_tbl164);</v>
      </c>
      <c r="M165" t="str">
        <f t="shared" si="19"/>
        <v>url_tbl164 &lt;- url_tbl164[, `:=` (url ='Sectoral-Infrastructure', year =3),];</v>
      </c>
      <c r="N165" t="str">
        <f t="shared" si="20"/>
        <v>url164 &lt;- 'https://www.advisorkhoj.com/mutual-funds-research/top-performing-systematic-investment-plan?category=Equity:%20Sectoral-Infrastructure&amp;period=3&amp;amount=3000';url164 &lt;-  read_html (url164);url_tbl164 &lt;- url164 %&gt;%   html_nodes('table') %&gt;%   html_table(fill = TRUE) %&gt;%   .[[1]];url_tbl164 &lt;- data.table(url_tbl164);url_tbl164 &lt;- url_tbl164[, `:=` (url ='Sectoral-Infrastructure', year =3),];</v>
      </c>
    </row>
    <row r="166" spans="1:14">
      <c r="A166" t="s">
        <v>342</v>
      </c>
      <c r="B166" t="s">
        <v>343</v>
      </c>
      <c r="C166" t="s">
        <v>337</v>
      </c>
      <c r="D166" t="str">
        <f t="shared" si="14"/>
        <v>Sectoral-Infrastructure</v>
      </c>
      <c r="E166">
        <v>4</v>
      </c>
      <c r="F166" s="159" t="s">
        <v>3</v>
      </c>
      <c r="G166" t="s">
        <v>4</v>
      </c>
      <c r="H166" t="s">
        <v>5</v>
      </c>
      <c r="I166" t="str">
        <f t="shared" si="15"/>
        <v>url165 &lt;- 'https://www.advisorkhoj.com/mutual-funds-research/top-performing-systematic-investment-plan?category=Equity:%20Sectoral-Infrastructure&amp;period=4&amp;amount=3000';</v>
      </c>
      <c r="J166" t="str">
        <f t="shared" si="16"/>
        <v>url165 &lt;-  read_html (url165);</v>
      </c>
      <c r="K166" t="str">
        <f t="shared" si="17"/>
        <v>url_tbl165 &lt;- url165 %&gt;%   html_nodes('table') %&gt;%   html_table(fill = TRUE) %&gt;%   .[[1]];</v>
      </c>
      <c r="L166" t="str">
        <f t="shared" si="18"/>
        <v>url_tbl165 &lt;- data.table(url_tbl165);</v>
      </c>
      <c r="M166" t="str">
        <f t="shared" si="19"/>
        <v>url_tbl165 &lt;- url_tbl165[, `:=` (url ='Sectoral-Infrastructure', year =4),];</v>
      </c>
      <c r="N166" t="str">
        <f t="shared" si="20"/>
        <v>url165 &lt;- 'https://www.advisorkhoj.com/mutual-funds-research/top-performing-systematic-investment-plan?category=Equity:%20Sectoral-Infrastructure&amp;period=4&amp;amount=3000';url165 &lt;-  read_html (url165);url_tbl165 &lt;- url165 %&gt;%   html_nodes('table') %&gt;%   html_table(fill = TRUE) %&gt;%   .[[1]];url_tbl165 &lt;- data.table(url_tbl165);url_tbl165 &lt;- url_tbl165[, `:=` (url ='Sectoral-Infrastructure', year =4),];</v>
      </c>
    </row>
    <row r="167" spans="1:14">
      <c r="A167" t="s">
        <v>344</v>
      </c>
      <c r="B167" t="s">
        <v>345</v>
      </c>
      <c r="C167" t="s">
        <v>337</v>
      </c>
      <c r="D167" t="str">
        <f t="shared" si="14"/>
        <v>Sectoral-Infrastructure</v>
      </c>
      <c r="E167">
        <v>5</v>
      </c>
      <c r="F167" s="159" t="s">
        <v>3</v>
      </c>
      <c r="G167" t="s">
        <v>4</v>
      </c>
      <c r="H167" t="s">
        <v>5</v>
      </c>
      <c r="I167" t="str">
        <f t="shared" si="15"/>
        <v>url166 &lt;- 'https://www.advisorkhoj.com/mutual-funds-research/top-performing-systematic-investment-plan?category=Equity:%20Sectoral-Infrastructure&amp;period=5&amp;amount=3000';</v>
      </c>
      <c r="J167" t="str">
        <f t="shared" si="16"/>
        <v>url166 &lt;-  read_html (url166);</v>
      </c>
      <c r="K167" t="str">
        <f t="shared" si="17"/>
        <v>url_tbl166 &lt;- url166 %&gt;%   html_nodes('table') %&gt;%   html_table(fill = TRUE) %&gt;%   .[[1]];</v>
      </c>
      <c r="L167" t="str">
        <f t="shared" si="18"/>
        <v>url_tbl166 &lt;- data.table(url_tbl166);</v>
      </c>
      <c r="M167" t="str">
        <f t="shared" si="19"/>
        <v>url_tbl166 &lt;- url_tbl166[, `:=` (url ='Sectoral-Infrastructure', year =5),];</v>
      </c>
      <c r="N167" t="str">
        <f t="shared" si="20"/>
        <v>url166 &lt;- 'https://www.advisorkhoj.com/mutual-funds-research/top-performing-systematic-investment-plan?category=Equity:%20Sectoral-Infrastructure&amp;period=5&amp;amount=3000';url166 &lt;-  read_html (url166);url_tbl166 &lt;- url166 %&gt;%   html_nodes('table') %&gt;%   html_table(fill = TRUE) %&gt;%   .[[1]];url_tbl166 &lt;- data.table(url_tbl166);url_tbl166 &lt;- url_tbl166[, `:=` (url ='Sectoral-Infrastructure', year =5),];</v>
      </c>
    </row>
    <row r="168" spans="1:14">
      <c r="A168" t="s">
        <v>346</v>
      </c>
      <c r="B168" t="s">
        <v>347</v>
      </c>
      <c r="C168" t="s">
        <v>337</v>
      </c>
      <c r="D168" t="str">
        <f t="shared" si="14"/>
        <v>Sectoral-Infrastructure</v>
      </c>
      <c r="E168">
        <v>6</v>
      </c>
      <c r="F168" s="159" t="s">
        <v>3</v>
      </c>
      <c r="G168" t="s">
        <v>4</v>
      </c>
      <c r="H168" t="s">
        <v>5</v>
      </c>
      <c r="I168" t="str">
        <f t="shared" si="15"/>
        <v>url167 &lt;- 'https://www.advisorkhoj.com/mutual-funds-research/top-performing-systematic-investment-plan?category=Equity:%20Sectoral-Infrastructure&amp;period=6&amp;amount=3000';</v>
      </c>
      <c r="J168" t="str">
        <f t="shared" si="16"/>
        <v>url167 &lt;-  read_html (url167);</v>
      </c>
      <c r="K168" t="str">
        <f t="shared" si="17"/>
        <v>url_tbl167 &lt;- url167 %&gt;%   html_nodes('table') %&gt;%   html_table(fill = TRUE) %&gt;%   .[[1]];</v>
      </c>
      <c r="L168" t="str">
        <f t="shared" si="18"/>
        <v>url_tbl167 &lt;- data.table(url_tbl167);</v>
      </c>
      <c r="M168" t="str">
        <f t="shared" si="19"/>
        <v>url_tbl167 &lt;- url_tbl167[, `:=` (url ='Sectoral-Infrastructure', year =6),];</v>
      </c>
      <c r="N168" t="str">
        <f t="shared" si="20"/>
        <v>url167 &lt;- 'https://www.advisorkhoj.com/mutual-funds-research/top-performing-systematic-investment-plan?category=Equity:%20Sectoral-Infrastructure&amp;period=6&amp;amount=3000';url167 &lt;-  read_html (url167);url_tbl167 &lt;- url167 %&gt;%   html_nodes('table') %&gt;%   html_table(fill = TRUE) %&gt;%   .[[1]];url_tbl167 &lt;- data.table(url_tbl167);url_tbl167 &lt;- url_tbl167[, `:=` (url ='Sectoral-Infrastructure', year =6),];</v>
      </c>
    </row>
    <row r="169" spans="1:14">
      <c r="A169" t="s">
        <v>348</v>
      </c>
      <c r="B169" t="s">
        <v>349</v>
      </c>
      <c r="C169" t="s">
        <v>337</v>
      </c>
      <c r="D169" t="str">
        <f t="shared" si="14"/>
        <v>Sectoral-Infrastructure</v>
      </c>
      <c r="E169">
        <v>7</v>
      </c>
      <c r="F169" s="159" t="s">
        <v>3</v>
      </c>
      <c r="G169" t="s">
        <v>4</v>
      </c>
      <c r="H169" t="s">
        <v>5</v>
      </c>
      <c r="I169" t="str">
        <f t="shared" si="15"/>
        <v>url168 &lt;- 'https://www.advisorkhoj.com/mutual-funds-research/top-performing-systematic-investment-plan?category=Equity:%20Sectoral-Infrastructure&amp;period=7&amp;amount=3000';</v>
      </c>
      <c r="J169" t="str">
        <f t="shared" si="16"/>
        <v>url168 &lt;-  read_html (url168);</v>
      </c>
      <c r="K169" t="str">
        <f t="shared" si="17"/>
        <v>url_tbl168 &lt;- url168 %&gt;%   html_nodes('table') %&gt;%   html_table(fill = TRUE) %&gt;%   .[[1]];</v>
      </c>
      <c r="L169" t="str">
        <f t="shared" si="18"/>
        <v>url_tbl168 &lt;- data.table(url_tbl168);</v>
      </c>
      <c r="M169" t="str">
        <f t="shared" si="19"/>
        <v>url_tbl168 &lt;- url_tbl168[, `:=` (url ='Sectoral-Infrastructure', year =7),];</v>
      </c>
      <c r="N169" t="str">
        <f t="shared" si="20"/>
        <v>url168 &lt;- 'https://www.advisorkhoj.com/mutual-funds-research/top-performing-systematic-investment-plan?category=Equity:%20Sectoral-Infrastructure&amp;period=7&amp;amount=3000';url168 &lt;-  read_html (url168);url_tbl168 &lt;- url168 %&gt;%   html_nodes('table') %&gt;%   html_table(fill = TRUE) %&gt;%   .[[1]];url_tbl168 &lt;- data.table(url_tbl168);url_tbl168 &lt;- url_tbl168[, `:=` (url ='Sectoral-Infrastructure', year =7),];</v>
      </c>
    </row>
    <row r="170" spans="1:14">
      <c r="A170" t="s">
        <v>350</v>
      </c>
      <c r="B170" t="s">
        <v>351</v>
      </c>
      <c r="C170" t="s">
        <v>337</v>
      </c>
      <c r="D170" t="str">
        <f t="shared" si="14"/>
        <v>Sectoral-Infrastructure</v>
      </c>
      <c r="E170">
        <v>8</v>
      </c>
      <c r="F170" s="159" t="s">
        <v>3</v>
      </c>
      <c r="G170" t="s">
        <v>4</v>
      </c>
      <c r="H170" t="s">
        <v>5</v>
      </c>
      <c r="I170" t="str">
        <f t="shared" si="15"/>
        <v>url169 &lt;- 'https://www.advisorkhoj.com/mutual-funds-research/top-performing-systematic-investment-plan?category=Equity:%20Sectoral-Infrastructure&amp;period=8&amp;amount=3000';</v>
      </c>
      <c r="J170" t="str">
        <f t="shared" si="16"/>
        <v>url169 &lt;-  read_html (url169);</v>
      </c>
      <c r="K170" t="str">
        <f t="shared" si="17"/>
        <v>url_tbl169 &lt;- url169 %&gt;%   html_nodes('table') %&gt;%   html_table(fill = TRUE) %&gt;%   .[[1]];</v>
      </c>
      <c r="L170" t="str">
        <f t="shared" si="18"/>
        <v>url_tbl169 &lt;- data.table(url_tbl169);</v>
      </c>
      <c r="M170" t="str">
        <f t="shared" si="19"/>
        <v>url_tbl169 &lt;- url_tbl169[, `:=` (url ='Sectoral-Infrastructure', year =8),];</v>
      </c>
      <c r="N170" t="str">
        <f t="shared" si="20"/>
        <v>url169 &lt;- 'https://www.advisorkhoj.com/mutual-funds-research/top-performing-systematic-investment-plan?category=Equity:%20Sectoral-Infrastructure&amp;period=8&amp;amount=3000';url169 &lt;-  read_html (url169);url_tbl169 &lt;- url169 %&gt;%   html_nodes('table') %&gt;%   html_table(fill = TRUE) %&gt;%   .[[1]];url_tbl169 &lt;- data.table(url_tbl169);url_tbl169 &lt;- url_tbl169[, `:=` (url ='Sectoral-Infrastructure', year =8),];</v>
      </c>
    </row>
    <row r="171" spans="1:14">
      <c r="A171" t="s">
        <v>352</v>
      </c>
      <c r="B171" t="s">
        <v>353</v>
      </c>
      <c r="C171" t="s">
        <v>337</v>
      </c>
      <c r="D171" t="str">
        <f t="shared" si="14"/>
        <v>Sectoral-Infrastructure</v>
      </c>
      <c r="E171">
        <v>9</v>
      </c>
      <c r="F171" s="159" t="s">
        <v>3</v>
      </c>
      <c r="G171" t="s">
        <v>4</v>
      </c>
      <c r="H171" t="s">
        <v>5</v>
      </c>
      <c r="I171" t="str">
        <f t="shared" si="15"/>
        <v>url170 &lt;- 'https://www.advisorkhoj.com/mutual-funds-research/top-performing-systematic-investment-plan?category=Equity:%20Sectoral-Infrastructure&amp;period=9&amp;amount=3000';</v>
      </c>
      <c r="J171" t="str">
        <f t="shared" si="16"/>
        <v>url170 &lt;-  read_html (url170);</v>
      </c>
      <c r="K171" t="str">
        <f t="shared" si="17"/>
        <v>url_tbl170 &lt;- url170 %&gt;%   html_nodes('table') %&gt;%   html_table(fill = TRUE) %&gt;%   .[[1]];</v>
      </c>
      <c r="L171" t="str">
        <f t="shared" si="18"/>
        <v>url_tbl170 &lt;- data.table(url_tbl170);</v>
      </c>
      <c r="M171" t="str">
        <f t="shared" si="19"/>
        <v>url_tbl170 &lt;- url_tbl170[, `:=` (url ='Sectoral-Infrastructure', year =9),];</v>
      </c>
      <c r="N171" t="str">
        <f t="shared" si="20"/>
        <v>url170 &lt;- 'https://www.advisorkhoj.com/mutual-funds-research/top-performing-systematic-investment-plan?category=Equity:%20Sectoral-Infrastructure&amp;period=9&amp;amount=3000';url170 &lt;-  read_html (url170);url_tbl170 &lt;- url170 %&gt;%   html_nodes('table') %&gt;%   html_table(fill = TRUE) %&gt;%   .[[1]];url_tbl170 &lt;- data.table(url_tbl170);url_tbl170 &lt;- url_tbl170[, `:=` (url ='Sectoral-Infrastructure', year =9),];</v>
      </c>
    </row>
    <row r="172" spans="1:14">
      <c r="A172" t="s">
        <v>354</v>
      </c>
      <c r="B172" t="s">
        <v>355</v>
      </c>
      <c r="C172" t="s">
        <v>337</v>
      </c>
      <c r="D172" t="str">
        <f t="shared" si="14"/>
        <v>Sectoral-Infrastructure</v>
      </c>
      <c r="E172">
        <v>10</v>
      </c>
      <c r="F172" s="159" t="s">
        <v>3</v>
      </c>
      <c r="G172" t="s">
        <v>4</v>
      </c>
      <c r="H172" t="s">
        <v>5</v>
      </c>
      <c r="I172" t="str">
        <f t="shared" si="15"/>
        <v>url171 &lt;- 'https://www.advisorkhoj.com/mutual-funds-research/top-performing-systematic-investment-plan?category=Equity:%20Sectoral-Infrastructure&amp;period=10&amp;amount=3000';</v>
      </c>
      <c r="J172" t="str">
        <f t="shared" si="16"/>
        <v>url171 &lt;-  read_html (url171);</v>
      </c>
      <c r="K172" t="str">
        <f t="shared" si="17"/>
        <v>url_tbl171 &lt;- url171 %&gt;%   html_nodes('table') %&gt;%   html_table(fill = TRUE) %&gt;%   .[[1]];</v>
      </c>
      <c r="L172" t="str">
        <f t="shared" si="18"/>
        <v>url_tbl171 &lt;- data.table(url_tbl171);</v>
      </c>
      <c r="M172" t="str">
        <f t="shared" si="19"/>
        <v>url_tbl171 &lt;- url_tbl171[, `:=` (url ='Sectoral-Infrastructure', year =10),];</v>
      </c>
      <c r="N172" t="str">
        <f t="shared" si="20"/>
        <v>url171 &lt;- 'https://www.advisorkhoj.com/mutual-funds-research/top-performing-systematic-investment-plan?category=Equity:%20Sectoral-Infrastructure&amp;period=10&amp;amount=3000';url171 &lt;-  read_html (url171);url_tbl171 &lt;- url171 %&gt;%   html_nodes('table') %&gt;%   html_table(fill = TRUE) %&gt;%   .[[1]];url_tbl171 &lt;- data.table(url_tbl171);url_tbl171 &lt;- url_tbl171[, `:=` (url ='Sectoral-Infrastructure', year =10),];</v>
      </c>
    </row>
    <row r="173" spans="1:14">
      <c r="A173" t="s">
        <v>356</v>
      </c>
      <c r="B173" t="s">
        <v>357</v>
      </c>
      <c r="C173" t="s">
        <v>337</v>
      </c>
      <c r="D173" t="str">
        <f t="shared" si="14"/>
        <v>Sectoral-Infrastructure</v>
      </c>
      <c r="E173">
        <v>11</v>
      </c>
      <c r="F173" s="159" t="s">
        <v>3</v>
      </c>
      <c r="G173" t="s">
        <v>4</v>
      </c>
      <c r="H173" t="s">
        <v>5</v>
      </c>
      <c r="I173" t="str">
        <f t="shared" si="15"/>
        <v>url172 &lt;- 'https://www.advisorkhoj.com/mutual-funds-research/top-performing-systematic-investment-plan?category=Equity:%20Sectoral-Infrastructure&amp;period=11&amp;amount=3000';</v>
      </c>
      <c r="J173" t="str">
        <f t="shared" si="16"/>
        <v>url172 &lt;-  read_html (url172);</v>
      </c>
      <c r="K173" t="str">
        <f t="shared" si="17"/>
        <v>url_tbl172 &lt;- url172 %&gt;%   html_nodes('table') %&gt;%   html_table(fill = TRUE) %&gt;%   .[[1]];</v>
      </c>
      <c r="L173" t="str">
        <f t="shared" si="18"/>
        <v>url_tbl172 &lt;- data.table(url_tbl172);</v>
      </c>
      <c r="M173" t="str">
        <f t="shared" si="19"/>
        <v>url_tbl172 &lt;- url_tbl172[, `:=` (url ='Sectoral-Infrastructure', year =11),];</v>
      </c>
      <c r="N173" t="str">
        <f t="shared" si="20"/>
        <v>url172 &lt;- 'https://www.advisorkhoj.com/mutual-funds-research/top-performing-systematic-investment-plan?category=Equity:%20Sectoral-Infrastructure&amp;period=11&amp;amount=3000';url172 &lt;-  read_html (url172);url_tbl172 &lt;- url172 %&gt;%   html_nodes('table') %&gt;%   html_table(fill = TRUE) %&gt;%   .[[1]];url_tbl172 &lt;- data.table(url_tbl172);url_tbl172 &lt;- url_tbl172[, `:=` (url ='Sectoral-Infrastructure', year =11),];</v>
      </c>
    </row>
    <row r="174" spans="1:14">
      <c r="A174" t="s">
        <v>358</v>
      </c>
      <c r="B174" t="s">
        <v>359</v>
      </c>
      <c r="C174" t="s">
        <v>337</v>
      </c>
      <c r="D174" t="str">
        <f t="shared" si="14"/>
        <v>Sectoral-Infrastructure</v>
      </c>
      <c r="E174">
        <v>12</v>
      </c>
      <c r="F174" s="159" t="s">
        <v>3</v>
      </c>
      <c r="G174" t="s">
        <v>4</v>
      </c>
      <c r="H174" t="s">
        <v>5</v>
      </c>
      <c r="I174" t="str">
        <f t="shared" si="15"/>
        <v>url173 &lt;- 'https://www.advisorkhoj.com/mutual-funds-research/top-performing-systematic-investment-plan?category=Equity:%20Sectoral-Infrastructure&amp;period=12&amp;amount=3000';</v>
      </c>
      <c r="J174" t="str">
        <f t="shared" si="16"/>
        <v>url173 &lt;-  read_html (url173);</v>
      </c>
      <c r="K174" t="str">
        <f t="shared" si="17"/>
        <v>url_tbl173 &lt;- url173 %&gt;%   html_nodes('table') %&gt;%   html_table(fill = TRUE) %&gt;%   .[[1]];</v>
      </c>
      <c r="L174" t="str">
        <f t="shared" si="18"/>
        <v>url_tbl173 &lt;- data.table(url_tbl173);</v>
      </c>
      <c r="M174" t="str">
        <f t="shared" si="19"/>
        <v>url_tbl173 &lt;- url_tbl173[, `:=` (url ='Sectoral-Infrastructure', year =12),];</v>
      </c>
      <c r="N174" t="str">
        <f t="shared" si="20"/>
        <v>url173 &lt;- 'https://www.advisorkhoj.com/mutual-funds-research/top-performing-systematic-investment-plan?category=Equity:%20Sectoral-Infrastructure&amp;period=12&amp;amount=3000';url173 &lt;-  read_html (url173);url_tbl173 &lt;- url173 %&gt;%   html_nodes('table') %&gt;%   html_table(fill = TRUE) %&gt;%   .[[1]];url_tbl173 &lt;- data.table(url_tbl173);url_tbl173 &lt;- url_tbl173[, `:=` (url ='Sectoral-Infrastructure', year =12),];</v>
      </c>
    </row>
    <row r="175" spans="1:14">
      <c r="A175" t="s">
        <v>360</v>
      </c>
      <c r="B175" t="s">
        <v>361</v>
      </c>
      <c r="C175" t="s">
        <v>337</v>
      </c>
      <c r="D175" t="str">
        <f t="shared" si="14"/>
        <v>Sectoral-Infrastructure</v>
      </c>
      <c r="E175">
        <v>13</v>
      </c>
      <c r="F175" s="159" t="s">
        <v>3</v>
      </c>
      <c r="G175" t="s">
        <v>4</v>
      </c>
      <c r="H175" t="s">
        <v>5</v>
      </c>
      <c r="I175" t="str">
        <f t="shared" si="15"/>
        <v>url174 &lt;- 'https://www.advisorkhoj.com/mutual-funds-research/top-performing-systematic-investment-plan?category=Equity:%20Sectoral-Infrastructure&amp;period=13&amp;amount=3000';</v>
      </c>
      <c r="J175" t="str">
        <f t="shared" si="16"/>
        <v>url174 &lt;-  read_html (url174);</v>
      </c>
      <c r="K175" t="str">
        <f t="shared" si="17"/>
        <v>url_tbl174 &lt;- url174 %&gt;%   html_nodes('table') %&gt;%   html_table(fill = TRUE) %&gt;%   .[[1]];</v>
      </c>
      <c r="L175" t="str">
        <f t="shared" si="18"/>
        <v>url_tbl174 &lt;- data.table(url_tbl174);</v>
      </c>
      <c r="M175" t="str">
        <f t="shared" si="19"/>
        <v>url_tbl174 &lt;- url_tbl174[, `:=` (url ='Sectoral-Infrastructure', year =13),];</v>
      </c>
      <c r="N175" t="str">
        <f t="shared" si="20"/>
        <v>url174 &lt;- 'https://www.advisorkhoj.com/mutual-funds-research/top-performing-systematic-investment-plan?category=Equity:%20Sectoral-Infrastructure&amp;period=13&amp;amount=3000';url174 &lt;-  read_html (url174);url_tbl174 &lt;- url174 %&gt;%   html_nodes('table') %&gt;%   html_table(fill = TRUE) %&gt;%   .[[1]];url_tbl174 &lt;- data.table(url_tbl174);url_tbl174 &lt;- url_tbl174[, `:=` (url ='Sectoral-Infrastructure', year =13),];</v>
      </c>
    </row>
    <row r="176" spans="1:14">
      <c r="A176" t="s">
        <v>362</v>
      </c>
      <c r="B176" t="s">
        <v>363</v>
      </c>
      <c r="C176" t="s">
        <v>337</v>
      </c>
      <c r="D176" t="str">
        <f t="shared" si="14"/>
        <v>Sectoral-Infrastructure</v>
      </c>
      <c r="E176">
        <v>14</v>
      </c>
      <c r="F176" s="159" t="s">
        <v>3</v>
      </c>
      <c r="G176" t="s">
        <v>4</v>
      </c>
      <c r="H176" t="s">
        <v>5</v>
      </c>
      <c r="I176" t="str">
        <f t="shared" si="15"/>
        <v>url175 &lt;- 'https://www.advisorkhoj.com/mutual-funds-research/top-performing-systematic-investment-plan?category=Equity:%20Sectoral-Infrastructure&amp;period=14&amp;amount=3000';</v>
      </c>
      <c r="J176" t="str">
        <f t="shared" si="16"/>
        <v>url175 &lt;-  read_html (url175);</v>
      </c>
      <c r="K176" t="str">
        <f t="shared" si="17"/>
        <v>url_tbl175 &lt;- url175 %&gt;%   html_nodes('table') %&gt;%   html_table(fill = TRUE) %&gt;%   .[[1]];</v>
      </c>
      <c r="L176" t="str">
        <f t="shared" si="18"/>
        <v>url_tbl175 &lt;- data.table(url_tbl175);</v>
      </c>
      <c r="M176" t="str">
        <f t="shared" si="19"/>
        <v>url_tbl175 &lt;- url_tbl175[, `:=` (url ='Sectoral-Infrastructure', year =14),];</v>
      </c>
      <c r="N176" t="str">
        <f t="shared" si="20"/>
        <v>url175 &lt;- 'https://www.advisorkhoj.com/mutual-funds-research/top-performing-systematic-investment-plan?category=Equity:%20Sectoral-Infrastructure&amp;period=14&amp;amount=3000';url175 &lt;-  read_html (url175);url_tbl175 &lt;- url175 %&gt;%   html_nodes('table') %&gt;%   html_table(fill = TRUE) %&gt;%   .[[1]];url_tbl175 &lt;- data.table(url_tbl175);url_tbl175 &lt;- url_tbl175[, `:=` (url ='Sectoral-Infrastructure', year =14),];</v>
      </c>
    </row>
    <row r="177" spans="1:14">
      <c r="A177" t="s">
        <v>364</v>
      </c>
      <c r="B177" t="s">
        <v>365</v>
      </c>
      <c r="C177" t="s">
        <v>337</v>
      </c>
      <c r="D177" t="str">
        <f t="shared" si="14"/>
        <v>Sectoral-Infrastructure</v>
      </c>
      <c r="E177">
        <v>15</v>
      </c>
      <c r="F177" s="159" t="s">
        <v>3</v>
      </c>
      <c r="G177" t="s">
        <v>4</v>
      </c>
      <c r="H177" t="s">
        <v>5</v>
      </c>
      <c r="I177" t="str">
        <f t="shared" si="15"/>
        <v>url176 &lt;- 'https://www.advisorkhoj.com/mutual-funds-research/top-performing-systematic-investment-plan?category=Equity:%20Sectoral-Infrastructure&amp;period=15&amp;amount=3000';</v>
      </c>
      <c r="J177" t="str">
        <f t="shared" si="16"/>
        <v>url176 &lt;-  read_html (url176);</v>
      </c>
      <c r="K177" t="str">
        <f t="shared" si="17"/>
        <v>url_tbl176 &lt;- url176 %&gt;%   html_nodes('table') %&gt;%   html_table(fill = TRUE) %&gt;%   .[[1]];</v>
      </c>
      <c r="L177" t="str">
        <f t="shared" si="18"/>
        <v>url_tbl176 &lt;- data.table(url_tbl176);</v>
      </c>
      <c r="M177" t="str">
        <f t="shared" si="19"/>
        <v>url_tbl176 &lt;- url_tbl176[, `:=` (url ='Sectoral-Infrastructure', year =15),];</v>
      </c>
      <c r="N177" t="str">
        <f t="shared" si="20"/>
        <v>url176 &lt;- 'https://www.advisorkhoj.com/mutual-funds-research/top-performing-systematic-investment-plan?category=Equity:%20Sectoral-Infrastructure&amp;period=15&amp;amount=3000';url176 &lt;-  read_html (url176);url_tbl176 &lt;- url176 %&gt;%   html_nodes('table') %&gt;%   html_table(fill = TRUE) %&gt;%   .[[1]];url_tbl176 &lt;- data.table(url_tbl176);url_tbl176 &lt;- url_tbl176[, `:=` (url ='Sectoral-Infrastructure', year =15),];</v>
      </c>
    </row>
    <row r="178" spans="1:14">
      <c r="A178" t="s">
        <v>366</v>
      </c>
      <c r="B178" t="s">
        <v>367</v>
      </c>
      <c r="C178" t="s">
        <v>337</v>
      </c>
      <c r="D178" t="str">
        <f t="shared" si="14"/>
        <v>Sectoral-Infrastructure</v>
      </c>
      <c r="E178">
        <v>16</v>
      </c>
      <c r="F178" s="159" t="s">
        <v>3</v>
      </c>
      <c r="G178" t="s">
        <v>4</v>
      </c>
      <c r="H178" t="s">
        <v>5</v>
      </c>
      <c r="I178" t="str">
        <f t="shared" si="15"/>
        <v>url177 &lt;- 'https://www.advisorkhoj.com/mutual-funds-research/top-performing-systematic-investment-plan?category=Equity:%20Sectoral-Infrastructure&amp;period=16&amp;amount=3000';</v>
      </c>
      <c r="J178" t="str">
        <f t="shared" si="16"/>
        <v>url177 &lt;-  read_html (url177);</v>
      </c>
      <c r="K178" t="str">
        <f t="shared" si="17"/>
        <v>url_tbl177 &lt;- url177 %&gt;%   html_nodes('table') %&gt;%   html_table(fill = TRUE) %&gt;%   .[[1]];</v>
      </c>
      <c r="L178" t="str">
        <f t="shared" si="18"/>
        <v>url_tbl177 &lt;- data.table(url_tbl177);</v>
      </c>
      <c r="M178" t="str">
        <f t="shared" si="19"/>
        <v>url_tbl177 &lt;- url_tbl177[, `:=` (url ='Sectoral-Infrastructure', year =16),];</v>
      </c>
      <c r="N178" t="str">
        <f t="shared" si="20"/>
        <v>url177 &lt;- 'https://www.advisorkhoj.com/mutual-funds-research/top-performing-systematic-investment-plan?category=Equity:%20Sectoral-Infrastructure&amp;period=16&amp;amount=3000';url177 &lt;-  read_html (url177);url_tbl177 &lt;- url177 %&gt;%   html_nodes('table') %&gt;%   html_table(fill = TRUE) %&gt;%   .[[1]];url_tbl177 &lt;- data.table(url_tbl177);url_tbl177 &lt;- url_tbl177[, `:=` (url ='Sectoral-Infrastructure', year =16),];</v>
      </c>
    </row>
    <row r="179" spans="1:14">
      <c r="A179" t="s">
        <v>368</v>
      </c>
      <c r="B179" t="s">
        <v>369</v>
      </c>
      <c r="C179" t="s">
        <v>370</v>
      </c>
      <c r="D179" t="str">
        <f t="shared" si="14"/>
        <v>Sectoral-Pharma%20and%20Healthcare</v>
      </c>
      <c r="E179">
        <v>1</v>
      </c>
      <c r="F179" s="159" t="s">
        <v>3</v>
      </c>
      <c r="G179" t="s">
        <v>4</v>
      </c>
      <c r="H179" t="s">
        <v>5</v>
      </c>
      <c r="I179" t="str">
        <f t="shared" si="15"/>
        <v>url178 &lt;- 'https://www.advisorkhoj.com/mutual-funds-research/top-performing-systematic-investment-plan?category=Equity:%20Sectoral-Pharma%20and%20Healthcare&amp;period=1&amp;amount=3000';</v>
      </c>
      <c r="J179" t="str">
        <f t="shared" si="16"/>
        <v>url178 &lt;-  read_html (url178);</v>
      </c>
      <c r="K179" t="str">
        <f t="shared" si="17"/>
        <v>url_tbl178 &lt;- url178 %&gt;%   html_nodes('table') %&gt;%   html_table(fill = TRUE) %&gt;%   .[[1]];</v>
      </c>
      <c r="L179" t="str">
        <f t="shared" si="18"/>
        <v>url_tbl178 &lt;- data.table(url_tbl178);</v>
      </c>
      <c r="M179" t="str">
        <f t="shared" si="19"/>
        <v>url_tbl178 &lt;- url_tbl178[, `:=` (url ='Sectoral-Pharma and Healthcare', year =1),];</v>
      </c>
      <c r="N179" t="str">
        <f t="shared" si="20"/>
        <v>url178 &lt;- 'https://www.advisorkhoj.com/mutual-funds-research/top-performing-systematic-investment-plan?category=Equity:%20Sectoral-Pharma%20and%20Healthcare&amp;period=1&amp;amount=3000';url178 &lt;-  read_html (url178);url_tbl178 &lt;- url178 %&gt;%   html_nodes('table') %&gt;%   html_table(fill = TRUE) %&gt;%   .[[1]];url_tbl178 &lt;- data.table(url_tbl178);url_tbl178 &lt;- url_tbl178[, `:=` (url ='Sectoral-Pharma and Healthcare', year =1),];</v>
      </c>
    </row>
    <row r="180" spans="1:14">
      <c r="A180" t="s">
        <v>371</v>
      </c>
      <c r="B180" t="s">
        <v>372</v>
      </c>
      <c r="C180" t="s">
        <v>370</v>
      </c>
      <c r="D180" t="str">
        <f t="shared" si="14"/>
        <v>Sectoral-Pharma%20and%20Healthcare</v>
      </c>
      <c r="E180">
        <v>2</v>
      </c>
      <c r="F180" s="159" t="s">
        <v>3</v>
      </c>
      <c r="G180" t="s">
        <v>4</v>
      </c>
      <c r="H180" t="s">
        <v>5</v>
      </c>
      <c r="I180" t="str">
        <f t="shared" si="15"/>
        <v>url179 &lt;- 'https://www.advisorkhoj.com/mutual-funds-research/top-performing-systematic-investment-plan?category=Equity:%20Sectoral-Pharma%20and%20Healthcare&amp;period=2&amp;amount=3000';</v>
      </c>
      <c r="J180" t="str">
        <f t="shared" si="16"/>
        <v>url179 &lt;-  read_html (url179);</v>
      </c>
      <c r="K180" t="str">
        <f t="shared" si="17"/>
        <v>url_tbl179 &lt;- url179 %&gt;%   html_nodes('table') %&gt;%   html_table(fill = TRUE) %&gt;%   .[[1]];</v>
      </c>
      <c r="L180" t="str">
        <f t="shared" si="18"/>
        <v>url_tbl179 &lt;- data.table(url_tbl179);</v>
      </c>
      <c r="M180" t="str">
        <f t="shared" si="19"/>
        <v>url_tbl179 &lt;- url_tbl179[, `:=` (url ='Sectoral-Pharma and Healthcare', year =2),];</v>
      </c>
      <c r="N180" t="str">
        <f t="shared" si="20"/>
        <v>url179 &lt;- 'https://www.advisorkhoj.com/mutual-funds-research/top-performing-systematic-investment-plan?category=Equity:%20Sectoral-Pharma%20and%20Healthcare&amp;period=2&amp;amount=3000';url179 &lt;-  read_html (url179);url_tbl179 &lt;- url179 %&gt;%   html_nodes('table') %&gt;%   html_table(fill = TRUE) %&gt;%   .[[1]];url_tbl179 &lt;- data.table(url_tbl179);url_tbl179 &lt;- url_tbl179[, `:=` (url ='Sectoral-Pharma and Healthcare', year =2),];</v>
      </c>
    </row>
    <row r="181" spans="1:14">
      <c r="A181" t="s">
        <v>373</v>
      </c>
      <c r="B181" t="s">
        <v>374</v>
      </c>
      <c r="C181" t="s">
        <v>370</v>
      </c>
      <c r="D181" t="str">
        <f t="shared" si="14"/>
        <v>Sectoral-Pharma%20and%20Healthcare</v>
      </c>
      <c r="E181">
        <v>3</v>
      </c>
      <c r="F181" s="159" t="s">
        <v>3</v>
      </c>
      <c r="G181" t="s">
        <v>4</v>
      </c>
      <c r="H181" t="s">
        <v>5</v>
      </c>
      <c r="I181" t="str">
        <f t="shared" si="15"/>
        <v>url180 &lt;- 'https://www.advisorkhoj.com/mutual-funds-research/top-performing-systematic-investment-plan?category=Equity:%20Sectoral-Pharma%20and%20Healthcare&amp;period=3&amp;amount=3000';</v>
      </c>
      <c r="J181" t="str">
        <f t="shared" si="16"/>
        <v>url180 &lt;-  read_html (url180);</v>
      </c>
      <c r="K181" t="str">
        <f t="shared" si="17"/>
        <v>url_tbl180 &lt;- url180 %&gt;%   html_nodes('table') %&gt;%   html_table(fill = TRUE) %&gt;%   .[[1]];</v>
      </c>
      <c r="L181" t="str">
        <f t="shared" si="18"/>
        <v>url_tbl180 &lt;- data.table(url_tbl180);</v>
      </c>
      <c r="M181" t="str">
        <f t="shared" si="19"/>
        <v>url_tbl180 &lt;- url_tbl180[, `:=` (url ='Sectoral-Pharma and Healthcare', year =3),];</v>
      </c>
      <c r="N181" t="str">
        <f t="shared" si="20"/>
        <v>url180 &lt;- 'https://www.advisorkhoj.com/mutual-funds-research/top-performing-systematic-investment-plan?category=Equity:%20Sectoral-Pharma%20and%20Healthcare&amp;period=3&amp;amount=3000';url180 &lt;-  read_html (url180);url_tbl180 &lt;- url180 %&gt;%   html_nodes('table') %&gt;%   html_table(fill = TRUE) %&gt;%   .[[1]];url_tbl180 &lt;- data.table(url_tbl180);url_tbl180 &lt;- url_tbl180[, `:=` (url ='Sectoral-Pharma and Healthcare', year =3),];</v>
      </c>
    </row>
    <row r="182" spans="1:14">
      <c r="A182" t="s">
        <v>375</v>
      </c>
      <c r="B182" t="s">
        <v>376</v>
      </c>
      <c r="C182" t="s">
        <v>370</v>
      </c>
      <c r="D182" t="str">
        <f t="shared" si="14"/>
        <v>Sectoral-Pharma%20and%20Healthcare</v>
      </c>
      <c r="E182">
        <v>4</v>
      </c>
      <c r="F182" s="159" t="s">
        <v>3</v>
      </c>
      <c r="G182" t="s">
        <v>4</v>
      </c>
      <c r="H182" t="s">
        <v>5</v>
      </c>
      <c r="I182" t="str">
        <f t="shared" si="15"/>
        <v>url181 &lt;- 'https://www.advisorkhoj.com/mutual-funds-research/top-performing-systematic-investment-plan?category=Equity:%20Sectoral-Pharma%20and%20Healthcare&amp;period=4&amp;amount=3000';</v>
      </c>
      <c r="J182" t="str">
        <f t="shared" si="16"/>
        <v>url181 &lt;-  read_html (url181);</v>
      </c>
      <c r="K182" t="str">
        <f t="shared" si="17"/>
        <v>url_tbl181 &lt;- url181 %&gt;%   html_nodes('table') %&gt;%   html_table(fill = TRUE) %&gt;%   .[[1]];</v>
      </c>
      <c r="L182" t="str">
        <f t="shared" si="18"/>
        <v>url_tbl181 &lt;- data.table(url_tbl181);</v>
      </c>
      <c r="M182" t="str">
        <f t="shared" si="19"/>
        <v>url_tbl181 &lt;- url_tbl181[, `:=` (url ='Sectoral-Pharma and Healthcare', year =4),];</v>
      </c>
      <c r="N182" t="str">
        <f t="shared" si="20"/>
        <v>url181 &lt;- 'https://www.advisorkhoj.com/mutual-funds-research/top-performing-systematic-investment-plan?category=Equity:%20Sectoral-Pharma%20and%20Healthcare&amp;period=4&amp;amount=3000';url181 &lt;-  read_html (url181);url_tbl181 &lt;- url181 %&gt;%   html_nodes('table') %&gt;%   html_table(fill = TRUE) %&gt;%   .[[1]];url_tbl181 &lt;- data.table(url_tbl181);url_tbl181 &lt;- url_tbl181[, `:=` (url ='Sectoral-Pharma and Healthcare', year =4),];</v>
      </c>
    </row>
    <row r="183" spans="1:14">
      <c r="A183" t="s">
        <v>377</v>
      </c>
      <c r="B183" t="s">
        <v>378</v>
      </c>
      <c r="C183" t="s">
        <v>370</v>
      </c>
      <c r="D183" t="str">
        <f t="shared" si="14"/>
        <v>Sectoral-Pharma%20and%20Healthcare</v>
      </c>
      <c r="E183">
        <v>5</v>
      </c>
      <c r="F183" s="159" t="s">
        <v>3</v>
      </c>
      <c r="G183" t="s">
        <v>4</v>
      </c>
      <c r="H183" t="s">
        <v>5</v>
      </c>
      <c r="I183" t="str">
        <f t="shared" si="15"/>
        <v>url182 &lt;- 'https://www.advisorkhoj.com/mutual-funds-research/top-performing-systematic-investment-plan?category=Equity:%20Sectoral-Pharma%20and%20Healthcare&amp;period=5&amp;amount=3000';</v>
      </c>
      <c r="J183" t="str">
        <f t="shared" si="16"/>
        <v>url182 &lt;-  read_html (url182);</v>
      </c>
      <c r="K183" t="str">
        <f t="shared" si="17"/>
        <v>url_tbl182 &lt;- url182 %&gt;%   html_nodes('table') %&gt;%   html_table(fill = TRUE) %&gt;%   .[[1]];</v>
      </c>
      <c r="L183" t="str">
        <f t="shared" si="18"/>
        <v>url_tbl182 &lt;- data.table(url_tbl182);</v>
      </c>
      <c r="M183" t="str">
        <f t="shared" si="19"/>
        <v>url_tbl182 &lt;- url_tbl182[, `:=` (url ='Sectoral-Pharma and Healthcare', year =5),];</v>
      </c>
      <c r="N183" t="str">
        <f t="shared" si="20"/>
        <v>url182 &lt;- 'https://www.advisorkhoj.com/mutual-funds-research/top-performing-systematic-investment-plan?category=Equity:%20Sectoral-Pharma%20and%20Healthcare&amp;period=5&amp;amount=3000';url182 &lt;-  read_html (url182);url_tbl182 &lt;- url182 %&gt;%   html_nodes('table') %&gt;%   html_table(fill = TRUE) %&gt;%   .[[1]];url_tbl182 &lt;- data.table(url_tbl182);url_tbl182 &lt;- url_tbl182[, `:=` (url ='Sectoral-Pharma and Healthcare', year =5),];</v>
      </c>
    </row>
    <row r="184" spans="1:14">
      <c r="A184" t="s">
        <v>379</v>
      </c>
      <c r="B184" t="s">
        <v>380</v>
      </c>
      <c r="C184" t="s">
        <v>370</v>
      </c>
      <c r="D184" t="str">
        <f t="shared" si="14"/>
        <v>Sectoral-Pharma%20and%20Healthcare</v>
      </c>
      <c r="E184">
        <v>6</v>
      </c>
      <c r="F184" s="159" t="s">
        <v>3</v>
      </c>
      <c r="G184" t="s">
        <v>4</v>
      </c>
      <c r="H184" t="s">
        <v>5</v>
      </c>
      <c r="I184" t="str">
        <f t="shared" si="15"/>
        <v>url183 &lt;- 'https://www.advisorkhoj.com/mutual-funds-research/top-performing-systematic-investment-plan?category=Equity:%20Sectoral-Pharma%20and%20Healthcare&amp;period=6&amp;amount=3000';</v>
      </c>
      <c r="J184" t="str">
        <f t="shared" si="16"/>
        <v>url183 &lt;-  read_html (url183);</v>
      </c>
      <c r="K184" t="str">
        <f t="shared" si="17"/>
        <v>url_tbl183 &lt;- url183 %&gt;%   html_nodes('table') %&gt;%   html_table(fill = TRUE) %&gt;%   .[[1]];</v>
      </c>
      <c r="L184" t="str">
        <f t="shared" si="18"/>
        <v>url_tbl183 &lt;- data.table(url_tbl183);</v>
      </c>
      <c r="M184" t="str">
        <f t="shared" si="19"/>
        <v>url_tbl183 &lt;- url_tbl183[, `:=` (url ='Sectoral-Pharma and Healthcare', year =6),];</v>
      </c>
      <c r="N184" t="str">
        <f t="shared" si="20"/>
        <v>url183 &lt;- 'https://www.advisorkhoj.com/mutual-funds-research/top-performing-systematic-investment-plan?category=Equity:%20Sectoral-Pharma%20and%20Healthcare&amp;period=6&amp;amount=3000';url183 &lt;-  read_html (url183);url_tbl183 &lt;- url183 %&gt;%   html_nodes('table') %&gt;%   html_table(fill = TRUE) %&gt;%   .[[1]];url_tbl183 &lt;- data.table(url_tbl183);url_tbl183 &lt;- url_tbl183[, `:=` (url ='Sectoral-Pharma and Healthcare', year =6),];</v>
      </c>
    </row>
    <row r="185" spans="1:14">
      <c r="A185" t="s">
        <v>381</v>
      </c>
      <c r="B185" t="s">
        <v>382</v>
      </c>
      <c r="C185" t="s">
        <v>370</v>
      </c>
      <c r="D185" t="str">
        <f t="shared" si="14"/>
        <v>Sectoral-Pharma%20and%20Healthcare</v>
      </c>
      <c r="E185">
        <v>7</v>
      </c>
      <c r="F185" s="159" t="s">
        <v>3</v>
      </c>
      <c r="G185" t="s">
        <v>4</v>
      </c>
      <c r="H185" t="s">
        <v>5</v>
      </c>
      <c r="I185" t="str">
        <f t="shared" si="15"/>
        <v>url184 &lt;- 'https://www.advisorkhoj.com/mutual-funds-research/top-performing-systematic-investment-plan?category=Equity:%20Sectoral-Pharma%20and%20Healthcare&amp;period=7&amp;amount=3000';</v>
      </c>
      <c r="J185" t="str">
        <f t="shared" si="16"/>
        <v>url184 &lt;-  read_html (url184);</v>
      </c>
      <c r="K185" t="str">
        <f t="shared" si="17"/>
        <v>url_tbl184 &lt;- url184 %&gt;%   html_nodes('table') %&gt;%   html_table(fill = TRUE) %&gt;%   .[[1]];</v>
      </c>
      <c r="L185" t="str">
        <f t="shared" si="18"/>
        <v>url_tbl184 &lt;- data.table(url_tbl184);</v>
      </c>
      <c r="M185" t="str">
        <f t="shared" si="19"/>
        <v>url_tbl184 &lt;- url_tbl184[, `:=` (url ='Sectoral-Pharma and Healthcare', year =7),];</v>
      </c>
      <c r="N185" t="str">
        <f t="shared" si="20"/>
        <v>url184 &lt;- 'https://www.advisorkhoj.com/mutual-funds-research/top-performing-systematic-investment-plan?category=Equity:%20Sectoral-Pharma%20and%20Healthcare&amp;period=7&amp;amount=3000';url184 &lt;-  read_html (url184);url_tbl184 &lt;- url184 %&gt;%   html_nodes('table') %&gt;%   html_table(fill = TRUE) %&gt;%   .[[1]];url_tbl184 &lt;- data.table(url_tbl184);url_tbl184 &lt;- url_tbl184[, `:=` (url ='Sectoral-Pharma and Healthcare', year =7),];</v>
      </c>
    </row>
    <row r="186" spans="1:14">
      <c r="A186" t="s">
        <v>383</v>
      </c>
      <c r="B186" t="s">
        <v>384</v>
      </c>
      <c r="C186" t="s">
        <v>370</v>
      </c>
      <c r="D186" t="str">
        <f t="shared" si="14"/>
        <v>Sectoral-Pharma%20and%20Healthcare</v>
      </c>
      <c r="E186">
        <v>8</v>
      </c>
      <c r="F186" s="159" t="s">
        <v>3</v>
      </c>
      <c r="G186" t="s">
        <v>4</v>
      </c>
      <c r="H186" t="s">
        <v>5</v>
      </c>
      <c r="I186" t="str">
        <f t="shared" si="15"/>
        <v>url185 &lt;- 'https://www.advisorkhoj.com/mutual-funds-research/top-performing-systematic-investment-plan?category=Equity:%20Sectoral-Pharma%20and%20Healthcare&amp;period=8&amp;amount=3000';</v>
      </c>
      <c r="J186" t="str">
        <f t="shared" si="16"/>
        <v>url185 &lt;-  read_html (url185);</v>
      </c>
      <c r="K186" t="str">
        <f t="shared" si="17"/>
        <v>url_tbl185 &lt;- url185 %&gt;%   html_nodes('table') %&gt;%   html_table(fill = TRUE) %&gt;%   .[[1]];</v>
      </c>
      <c r="L186" t="str">
        <f t="shared" si="18"/>
        <v>url_tbl185 &lt;- data.table(url_tbl185);</v>
      </c>
      <c r="M186" t="str">
        <f t="shared" si="19"/>
        <v>url_tbl185 &lt;- url_tbl185[, `:=` (url ='Sectoral-Pharma and Healthcare', year =8),];</v>
      </c>
      <c r="N186" t="str">
        <f t="shared" si="20"/>
        <v>url185 &lt;- 'https://www.advisorkhoj.com/mutual-funds-research/top-performing-systematic-investment-plan?category=Equity:%20Sectoral-Pharma%20and%20Healthcare&amp;period=8&amp;amount=3000';url185 &lt;-  read_html (url185);url_tbl185 &lt;- url185 %&gt;%   html_nodes('table') %&gt;%   html_table(fill = TRUE) %&gt;%   .[[1]];url_tbl185 &lt;- data.table(url_tbl185);url_tbl185 &lt;- url_tbl185[, `:=` (url ='Sectoral-Pharma and Healthcare', year =8),];</v>
      </c>
    </row>
    <row r="187" spans="1:14">
      <c r="A187" t="s">
        <v>385</v>
      </c>
      <c r="B187" t="s">
        <v>386</v>
      </c>
      <c r="C187" t="s">
        <v>370</v>
      </c>
      <c r="D187" t="str">
        <f t="shared" si="14"/>
        <v>Sectoral-Pharma%20and%20Healthcare</v>
      </c>
      <c r="E187">
        <v>9</v>
      </c>
      <c r="F187" s="159" t="s">
        <v>3</v>
      </c>
      <c r="G187" t="s">
        <v>4</v>
      </c>
      <c r="H187" t="s">
        <v>5</v>
      </c>
      <c r="I187" t="str">
        <f t="shared" si="15"/>
        <v>url186 &lt;- 'https://www.advisorkhoj.com/mutual-funds-research/top-performing-systematic-investment-plan?category=Equity:%20Sectoral-Pharma%20and%20Healthcare&amp;period=9&amp;amount=3000';</v>
      </c>
      <c r="J187" t="str">
        <f t="shared" si="16"/>
        <v>url186 &lt;-  read_html (url186);</v>
      </c>
      <c r="K187" t="str">
        <f t="shared" si="17"/>
        <v>url_tbl186 &lt;- url186 %&gt;%   html_nodes('table') %&gt;%   html_table(fill = TRUE) %&gt;%   .[[1]];</v>
      </c>
      <c r="L187" t="str">
        <f t="shared" si="18"/>
        <v>url_tbl186 &lt;- data.table(url_tbl186);</v>
      </c>
      <c r="M187" t="str">
        <f t="shared" si="19"/>
        <v>url_tbl186 &lt;- url_tbl186[, `:=` (url ='Sectoral-Pharma and Healthcare', year =9),];</v>
      </c>
      <c r="N187" t="str">
        <f t="shared" si="20"/>
        <v>url186 &lt;- 'https://www.advisorkhoj.com/mutual-funds-research/top-performing-systematic-investment-plan?category=Equity:%20Sectoral-Pharma%20and%20Healthcare&amp;period=9&amp;amount=3000';url186 &lt;-  read_html (url186);url_tbl186 &lt;- url186 %&gt;%   html_nodes('table') %&gt;%   html_table(fill = TRUE) %&gt;%   .[[1]];url_tbl186 &lt;- data.table(url_tbl186);url_tbl186 &lt;- url_tbl186[, `:=` (url ='Sectoral-Pharma and Healthcare', year =9),];</v>
      </c>
    </row>
    <row r="188" spans="1:14">
      <c r="A188" t="s">
        <v>387</v>
      </c>
      <c r="B188" t="s">
        <v>388</v>
      </c>
      <c r="C188" t="s">
        <v>370</v>
      </c>
      <c r="D188" t="str">
        <f t="shared" si="14"/>
        <v>Sectoral-Pharma%20and%20Healthcare</v>
      </c>
      <c r="E188">
        <v>10</v>
      </c>
      <c r="F188" s="159" t="s">
        <v>3</v>
      </c>
      <c r="G188" t="s">
        <v>4</v>
      </c>
      <c r="H188" t="s">
        <v>5</v>
      </c>
      <c r="I188" t="str">
        <f t="shared" si="15"/>
        <v>url187 &lt;- 'https://www.advisorkhoj.com/mutual-funds-research/top-performing-systematic-investment-plan?category=Equity:%20Sectoral-Pharma%20and%20Healthcare&amp;period=10&amp;amount=3000';</v>
      </c>
      <c r="J188" t="str">
        <f t="shared" si="16"/>
        <v>url187 &lt;-  read_html (url187);</v>
      </c>
      <c r="K188" t="str">
        <f t="shared" si="17"/>
        <v>url_tbl187 &lt;- url187 %&gt;%   html_nodes('table') %&gt;%   html_table(fill = TRUE) %&gt;%   .[[1]];</v>
      </c>
      <c r="L188" t="str">
        <f t="shared" si="18"/>
        <v>url_tbl187 &lt;- data.table(url_tbl187);</v>
      </c>
      <c r="M188" t="str">
        <f t="shared" si="19"/>
        <v>url_tbl187 &lt;- url_tbl187[, `:=` (url ='Sectoral-Pharma and Healthcare', year =10),];</v>
      </c>
      <c r="N188" t="str">
        <f t="shared" si="20"/>
        <v>url187 &lt;- 'https://www.advisorkhoj.com/mutual-funds-research/top-performing-systematic-investment-plan?category=Equity:%20Sectoral-Pharma%20and%20Healthcare&amp;period=10&amp;amount=3000';url187 &lt;-  read_html (url187);url_tbl187 &lt;- url187 %&gt;%   html_nodes('table') %&gt;%   html_table(fill = TRUE) %&gt;%   .[[1]];url_tbl187 &lt;- data.table(url_tbl187);url_tbl187 &lt;- url_tbl187[, `:=` (url ='Sectoral-Pharma and Healthcare', year =10),];</v>
      </c>
    </row>
    <row r="189" spans="1:14">
      <c r="A189" t="s">
        <v>389</v>
      </c>
      <c r="B189" t="s">
        <v>390</v>
      </c>
      <c r="C189" t="s">
        <v>370</v>
      </c>
      <c r="D189" t="str">
        <f t="shared" si="14"/>
        <v>Sectoral-Pharma%20and%20Healthcare</v>
      </c>
      <c r="E189">
        <v>11</v>
      </c>
      <c r="F189" s="159" t="s">
        <v>3</v>
      </c>
      <c r="G189" t="s">
        <v>4</v>
      </c>
      <c r="H189" t="s">
        <v>5</v>
      </c>
      <c r="I189" t="str">
        <f t="shared" si="15"/>
        <v>url188 &lt;- 'https://www.advisorkhoj.com/mutual-funds-research/top-performing-systematic-investment-plan?category=Equity:%20Sectoral-Pharma%20and%20Healthcare&amp;period=11&amp;amount=3000';</v>
      </c>
      <c r="J189" t="str">
        <f t="shared" si="16"/>
        <v>url188 &lt;-  read_html (url188);</v>
      </c>
      <c r="K189" t="str">
        <f t="shared" si="17"/>
        <v>url_tbl188 &lt;- url188 %&gt;%   html_nodes('table') %&gt;%   html_table(fill = TRUE) %&gt;%   .[[1]];</v>
      </c>
      <c r="L189" t="str">
        <f t="shared" si="18"/>
        <v>url_tbl188 &lt;- data.table(url_tbl188);</v>
      </c>
      <c r="M189" t="str">
        <f t="shared" si="19"/>
        <v>url_tbl188 &lt;- url_tbl188[, `:=` (url ='Sectoral-Pharma and Healthcare', year =11),];</v>
      </c>
      <c r="N189" t="str">
        <f t="shared" si="20"/>
        <v>url188 &lt;- 'https://www.advisorkhoj.com/mutual-funds-research/top-performing-systematic-investment-plan?category=Equity:%20Sectoral-Pharma%20and%20Healthcare&amp;period=11&amp;amount=3000';url188 &lt;-  read_html (url188);url_tbl188 &lt;- url188 %&gt;%   html_nodes('table') %&gt;%   html_table(fill = TRUE) %&gt;%   .[[1]];url_tbl188 &lt;- data.table(url_tbl188);url_tbl188 &lt;- url_tbl188[, `:=` (url ='Sectoral-Pharma and Healthcare', year =11),];</v>
      </c>
    </row>
    <row r="190" spans="1:14">
      <c r="A190" t="s">
        <v>391</v>
      </c>
      <c r="B190" t="s">
        <v>392</v>
      </c>
      <c r="C190" t="s">
        <v>370</v>
      </c>
      <c r="D190" t="str">
        <f t="shared" si="14"/>
        <v>Sectoral-Pharma%20and%20Healthcare</v>
      </c>
      <c r="E190">
        <v>12</v>
      </c>
      <c r="F190" s="159" t="s">
        <v>3</v>
      </c>
      <c r="G190" t="s">
        <v>4</v>
      </c>
      <c r="H190" t="s">
        <v>5</v>
      </c>
      <c r="I190" t="str">
        <f t="shared" si="15"/>
        <v>url189 &lt;- 'https://www.advisorkhoj.com/mutual-funds-research/top-performing-systematic-investment-plan?category=Equity:%20Sectoral-Pharma%20and%20Healthcare&amp;period=12&amp;amount=3000';</v>
      </c>
      <c r="J190" t="str">
        <f t="shared" si="16"/>
        <v>url189 &lt;-  read_html (url189);</v>
      </c>
      <c r="K190" t="str">
        <f t="shared" si="17"/>
        <v>url_tbl189 &lt;- url189 %&gt;%   html_nodes('table') %&gt;%   html_table(fill = TRUE) %&gt;%   .[[1]];</v>
      </c>
      <c r="L190" t="str">
        <f t="shared" si="18"/>
        <v>url_tbl189 &lt;- data.table(url_tbl189);</v>
      </c>
      <c r="M190" t="str">
        <f t="shared" si="19"/>
        <v>url_tbl189 &lt;- url_tbl189[, `:=` (url ='Sectoral-Pharma and Healthcare', year =12),];</v>
      </c>
      <c r="N190" t="str">
        <f t="shared" si="20"/>
        <v>url189 &lt;- 'https://www.advisorkhoj.com/mutual-funds-research/top-performing-systematic-investment-plan?category=Equity:%20Sectoral-Pharma%20and%20Healthcare&amp;period=12&amp;amount=3000';url189 &lt;-  read_html (url189);url_tbl189 &lt;- url189 %&gt;%   html_nodes('table') %&gt;%   html_table(fill = TRUE) %&gt;%   .[[1]];url_tbl189 &lt;- data.table(url_tbl189);url_tbl189 &lt;- url_tbl189[, `:=` (url ='Sectoral-Pharma and Healthcare', year =12),];</v>
      </c>
    </row>
    <row r="191" spans="1:14">
      <c r="A191" t="s">
        <v>393</v>
      </c>
      <c r="B191" t="s">
        <v>394</v>
      </c>
      <c r="C191" t="s">
        <v>370</v>
      </c>
      <c r="D191" t="str">
        <f t="shared" si="14"/>
        <v>Sectoral-Pharma%20and%20Healthcare</v>
      </c>
      <c r="E191">
        <v>13</v>
      </c>
      <c r="F191" s="159" t="s">
        <v>3</v>
      </c>
      <c r="G191" t="s">
        <v>4</v>
      </c>
      <c r="H191" t="s">
        <v>5</v>
      </c>
      <c r="I191" t="str">
        <f t="shared" si="15"/>
        <v>url190 &lt;- 'https://www.advisorkhoj.com/mutual-funds-research/top-performing-systematic-investment-plan?category=Equity:%20Sectoral-Pharma%20and%20Healthcare&amp;period=13&amp;amount=3000';</v>
      </c>
      <c r="J191" t="str">
        <f t="shared" si="16"/>
        <v>url190 &lt;-  read_html (url190);</v>
      </c>
      <c r="K191" t="str">
        <f t="shared" si="17"/>
        <v>url_tbl190 &lt;- url190 %&gt;%   html_nodes('table') %&gt;%   html_table(fill = TRUE) %&gt;%   .[[1]];</v>
      </c>
      <c r="L191" t="str">
        <f t="shared" si="18"/>
        <v>url_tbl190 &lt;- data.table(url_tbl190);</v>
      </c>
      <c r="M191" t="str">
        <f t="shared" si="19"/>
        <v>url_tbl190 &lt;- url_tbl190[, `:=` (url ='Sectoral-Pharma and Healthcare', year =13),];</v>
      </c>
      <c r="N191" t="str">
        <f t="shared" si="20"/>
        <v>url190 &lt;- 'https://www.advisorkhoj.com/mutual-funds-research/top-performing-systematic-investment-plan?category=Equity:%20Sectoral-Pharma%20and%20Healthcare&amp;period=13&amp;amount=3000';url190 &lt;-  read_html (url190);url_tbl190 &lt;- url190 %&gt;%   html_nodes('table') %&gt;%   html_table(fill = TRUE) %&gt;%   .[[1]];url_tbl190 &lt;- data.table(url_tbl190);url_tbl190 &lt;- url_tbl190[, `:=` (url ='Sectoral-Pharma and Healthcare', year =13),];</v>
      </c>
    </row>
    <row r="192" spans="1:14">
      <c r="A192" t="s">
        <v>395</v>
      </c>
      <c r="B192" t="s">
        <v>396</v>
      </c>
      <c r="C192" t="s">
        <v>370</v>
      </c>
      <c r="D192" t="str">
        <f t="shared" si="14"/>
        <v>Sectoral-Pharma%20and%20Healthcare</v>
      </c>
      <c r="E192">
        <v>14</v>
      </c>
      <c r="F192" s="159" t="s">
        <v>3</v>
      </c>
      <c r="G192" t="s">
        <v>4</v>
      </c>
      <c r="H192" t="s">
        <v>5</v>
      </c>
      <c r="I192" t="str">
        <f t="shared" si="15"/>
        <v>url191 &lt;- 'https://www.advisorkhoj.com/mutual-funds-research/top-performing-systematic-investment-plan?category=Equity:%20Sectoral-Pharma%20and%20Healthcare&amp;period=14&amp;amount=3000';</v>
      </c>
      <c r="J192" t="str">
        <f t="shared" si="16"/>
        <v>url191 &lt;-  read_html (url191);</v>
      </c>
      <c r="K192" t="str">
        <f t="shared" si="17"/>
        <v>url_tbl191 &lt;- url191 %&gt;%   html_nodes('table') %&gt;%   html_table(fill = TRUE) %&gt;%   .[[1]];</v>
      </c>
      <c r="L192" t="str">
        <f t="shared" si="18"/>
        <v>url_tbl191 &lt;- data.table(url_tbl191);</v>
      </c>
      <c r="M192" t="str">
        <f t="shared" si="19"/>
        <v>url_tbl191 &lt;- url_tbl191[, `:=` (url ='Sectoral-Pharma and Healthcare', year =14),];</v>
      </c>
      <c r="N192" t="str">
        <f t="shared" si="20"/>
        <v>url191 &lt;- 'https://www.advisorkhoj.com/mutual-funds-research/top-performing-systematic-investment-plan?category=Equity:%20Sectoral-Pharma%20and%20Healthcare&amp;period=14&amp;amount=3000';url191 &lt;-  read_html (url191);url_tbl191 &lt;- url191 %&gt;%   html_nodes('table') %&gt;%   html_table(fill = TRUE) %&gt;%   .[[1]];url_tbl191 &lt;- data.table(url_tbl191);url_tbl191 &lt;- url_tbl191[, `:=` (url ='Sectoral-Pharma and Healthcare', year =14),];</v>
      </c>
    </row>
    <row r="193" spans="1:14">
      <c r="A193" t="s">
        <v>397</v>
      </c>
      <c r="B193" t="s">
        <v>398</v>
      </c>
      <c r="C193" t="s">
        <v>370</v>
      </c>
      <c r="D193" t="str">
        <f t="shared" si="14"/>
        <v>Sectoral-Pharma%20and%20Healthcare</v>
      </c>
      <c r="E193">
        <v>15</v>
      </c>
      <c r="F193" s="159" t="s">
        <v>3</v>
      </c>
      <c r="G193" t="s">
        <v>4</v>
      </c>
      <c r="H193" t="s">
        <v>5</v>
      </c>
      <c r="I193" t="str">
        <f t="shared" si="15"/>
        <v>url192 &lt;- 'https://www.advisorkhoj.com/mutual-funds-research/top-performing-systematic-investment-plan?category=Equity:%20Sectoral-Pharma%20and%20Healthcare&amp;period=15&amp;amount=3000';</v>
      </c>
      <c r="J193" t="str">
        <f t="shared" si="16"/>
        <v>url192 &lt;-  read_html (url192);</v>
      </c>
      <c r="K193" t="str">
        <f t="shared" si="17"/>
        <v>url_tbl192 &lt;- url192 %&gt;%   html_nodes('table') %&gt;%   html_table(fill = TRUE) %&gt;%   .[[1]];</v>
      </c>
      <c r="L193" t="str">
        <f t="shared" si="18"/>
        <v>url_tbl192 &lt;- data.table(url_tbl192);</v>
      </c>
      <c r="M193" t="str">
        <f t="shared" si="19"/>
        <v>url_tbl192 &lt;- url_tbl192[, `:=` (url ='Sectoral-Pharma and Healthcare', year =15),];</v>
      </c>
      <c r="N193" t="str">
        <f t="shared" si="20"/>
        <v>url192 &lt;- 'https://www.advisorkhoj.com/mutual-funds-research/top-performing-systematic-investment-plan?category=Equity:%20Sectoral-Pharma%20and%20Healthcare&amp;period=15&amp;amount=3000';url192 &lt;-  read_html (url192);url_tbl192 &lt;- url192 %&gt;%   html_nodes('table') %&gt;%   html_table(fill = TRUE) %&gt;%   .[[1]];url_tbl192 &lt;- data.table(url_tbl192);url_tbl192 &lt;- url_tbl192[, `:=` (url ='Sectoral-Pharma and Healthcare', year =15),];</v>
      </c>
    </row>
    <row r="194" spans="1:14">
      <c r="A194" t="s">
        <v>399</v>
      </c>
      <c r="B194" t="s">
        <v>400</v>
      </c>
      <c r="C194" t="s">
        <v>370</v>
      </c>
      <c r="D194" t="str">
        <f t="shared" si="14"/>
        <v>Sectoral-Pharma%20and%20Healthcare</v>
      </c>
      <c r="E194">
        <v>16</v>
      </c>
      <c r="F194" s="159" t="s">
        <v>3</v>
      </c>
      <c r="G194" t="s">
        <v>4</v>
      </c>
      <c r="H194" t="s">
        <v>5</v>
      </c>
      <c r="I194" t="str">
        <f t="shared" si="15"/>
        <v>url193 &lt;- 'https://www.advisorkhoj.com/mutual-funds-research/top-performing-systematic-investment-plan?category=Equity:%20Sectoral-Pharma%20and%20Healthcare&amp;period=16&amp;amount=3000';</v>
      </c>
      <c r="J194" t="str">
        <f t="shared" si="16"/>
        <v>url193 &lt;-  read_html (url193);</v>
      </c>
      <c r="K194" t="str">
        <f t="shared" si="17"/>
        <v>url_tbl193 &lt;- url193 %&gt;%   html_nodes('table') %&gt;%   html_table(fill = TRUE) %&gt;%   .[[1]];</v>
      </c>
      <c r="L194" t="str">
        <f t="shared" si="18"/>
        <v>url_tbl193 &lt;- data.table(url_tbl193);</v>
      </c>
      <c r="M194" t="str">
        <f t="shared" si="19"/>
        <v>url_tbl193 &lt;- url_tbl193[, `:=` (url ='Sectoral-Pharma and Healthcare', year =16),];</v>
      </c>
      <c r="N194" t="str">
        <f t="shared" si="20"/>
        <v>url193 &lt;- 'https://www.advisorkhoj.com/mutual-funds-research/top-performing-systematic-investment-plan?category=Equity:%20Sectoral-Pharma%20and%20Healthcare&amp;period=16&amp;amount=3000';url193 &lt;-  read_html (url193);url_tbl193 &lt;- url193 %&gt;%   html_nodes('table') %&gt;%   html_table(fill = TRUE) %&gt;%   .[[1]];url_tbl193 &lt;- data.table(url_tbl193);url_tbl193 &lt;- url_tbl193[, `:=` (url ='Sectoral-Pharma and Healthcare', year =16),];</v>
      </c>
    </row>
    <row r="195" spans="1:14">
      <c r="A195" t="s">
        <v>401</v>
      </c>
      <c r="B195" t="s">
        <v>402</v>
      </c>
      <c r="C195" t="s">
        <v>403</v>
      </c>
      <c r="D195" t="str">
        <f t="shared" ref="D195:D258" si="21">SUBSTITUTE(C195," ", "%20")</f>
        <v>Sectoral-Technology</v>
      </c>
      <c r="E195">
        <v>1</v>
      </c>
      <c r="F195" s="159" t="s">
        <v>3</v>
      </c>
      <c r="G195" t="s">
        <v>4</v>
      </c>
      <c r="H195" t="s">
        <v>5</v>
      </c>
      <c r="I195" t="str">
        <f t="shared" ref="I195:I258" si="22">CONCATENATE(A195, " &lt;- '", F195, D195, G195, E195, H195, "';")</f>
        <v>url194 &lt;- 'https://www.advisorkhoj.com/mutual-funds-research/top-performing-systematic-investment-plan?category=Equity:%20Sectoral-Technology&amp;period=1&amp;amount=3000';</v>
      </c>
      <c r="J195" t="str">
        <f t="shared" ref="J195:J258" si="23">CONCATENATE(A195, " &lt;-  read_html (", A195, ");")</f>
        <v>url194 &lt;-  read_html (url194);</v>
      </c>
      <c r="K195" t="str">
        <f t="shared" ref="K195:K258" si="24">CONCATENATE(B195, " &lt;- ", A195, " %&gt;%   html_nodes('table') %&gt;%   html_table(fill = TRUE) %&gt;%   .[[1]];")</f>
        <v>url_tbl194 &lt;- url194 %&gt;%   html_nodes('table') %&gt;%   html_table(fill = TRUE) %&gt;%   .[[1]];</v>
      </c>
      <c r="L195" t="str">
        <f t="shared" ref="L195:L258" si="25">CONCATENATE(B195, " &lt;- data.table(", B195, ");" )</f>
        <v>url_tbl194 &lt;- data.table(url_tbl194);</v>
      </c>
      <c r="M195" t="str">
        <f t="shared" ref="M195:M258" si="26">CONCATENATE(B195, " &lt;- ", B195, "[, `:=` (url ='",C195, "', year =", E195, "),];" )</f>
        <v>url_tbl194 &lt;- url_tbl194[, `:=` (url ='Sectoral-Technology', year =1),];</v>
      </c>
      <c r="N195" t="str">
        <f t="shared" ref="N195:N258" si="27">CONCATENATE(I195, J195, K195, L195, M195)</f>
        <v>url194 &lt;- 'https://www.advisorkhoj.com/mutual-funds-research/top-performing-systematic-investment-plan?category=Equity:%20Sectoral-Technology&amp;period=1&amp;amount=3000';url194 &lt;-  read_html (url194);url_tbl194 &lt;- url194 %&gt;%   html_nodes('table') %&gt;%   html_table(fill = TRUE) %&gt;%   .[[1]];url_tbl194 &lt;- data.table(url_tbl194);url_tbl194 &lt;- url_tbl194[, `:=` (url ='Sectoral-Technology', year =1),];</v>
      </c>
    </row>
    <row r="196" spans="1:14">
      <c r="A196" t="s">
        <v>404</v>
      </c>
      <c r="B196" t="s">
        <v>405</v>
      </c>
      <c r="C196" t="s">
        <v>403</v>
      </c>
      <c r="D196" t="str">
        <f t="shared" si="21"/>
        <v>Sectoral-Technology</v>
      </c>
      <c r="E196">
        <v>2</v>
      </c>
      <c r="F196" s="159" t="s">
        <v>3</v>
      </c>
      <c r="G196" t="s">
        <v>4</v>
      </c>
      <c r="H196" t="s">
        <v>5</v>
      </c>
      <c r="I196" t="str">
        <f t="shared" si="22"/>
        <v>url195 &lt;- 'https://www.advisorkhoj.com/mutual-funds-research/top-performing-systematic-investment-plan?category=Equity:%20Sectoral-Technology&amp;period=2&amp;amount=3000';</v>
      </c>
      <c r="J196" t="str">
        <f t="shared" si="23"/>
        <v>url195 &lt;-  read_html (url195);</v>
      </c>
      <c r="K196" t="str">
        <f t="shared" si="24"/>
        <v>url_tbl195 &lt;- url195 %&gt;%   html_nodes('table') %&gt;%   html_table(fill = TRUE) %&gt;%   .[[1]];</v>
      </c>
      <c r="L196" t="str">
        <f t="shared" si="25"/>
        <v>url_tbl195 &lt;- data.table(url_tbl195);</v>
      </c>
      <c r="M196" t="str">
        <f t="shared" si="26"/>
        <v>url_tbl195 &lt;- url_tbl195[, `:=` (url ='Sectoral-Technology', year =2),];</v>
      </c>
      <c r="N196" t="str">
        <f t="shared" si="27"/>
        <v>url195 &lt;- 'https://www.advisorkhoj.com/mutual-funds-research/top-performing-systematic-investment-plan?category=Equity:%20Sectoral-Technology&amp;period=2&amp;amount=3000';url195 &lt;-  read_html (url195);url_tbl195 &lt;- url195 %&gt;%   html_nodes('table') %&gt;%   html_table(fill = TRUE) %&gt;%   .[[1]];url_tbl195 &lt;- data.table(url_tbl195);url_tbl195 &lt;- url_tbl195[, `:=` (url ='Sectoral-Technology', year =2),];</v>
      </c>
    </row>
    <row r="197" spans="1:14">
      <c r="A197" t="s">
        <v>406</v>
      </c>
      <c r="B197" t="s">
        <v>407</v>
      </c>
      <c r="C197" t="s">
        <v>403</v>
      </c>
      <c r="D197" t="str">
        <f t="shared" si="21"/>
        <v>Sectoral-Technology</v>
      </c>
      <c r="E197">
        <v>3</v>
      </c>
      <c r="F197" s="159" t="s">
        <v>3</v>
      </c>
      <c r="G197" t="s">
        <v>4</v>
      </c>
      <c r="H197" t="s">
        <v>5</v>
      </c>
      <c r="I197" t="str">
        <f t="shared" si="22"/>
        <v>url196 &lt;- 'https://www.advisorkhoj.com/mutual-funds-research/top-performing-systematic-investment-plan?category=Equity:%20Sectoral-Technology&amp;period=3&amp;amount=3000';</v>
      </c>
      <c r="J197" t="str">
        <f t="shared" si="23"/>
        <v>url196 &lt;-  read_html (url196);</v>
      </c>
      <c r="K197" t="str">
        <f t="shared" si="24"/>
        <v>url_tbl196 &lt;- url196 %&gt;%   html_nodes('table') %&gt;%   html_table(fill = TRUE) %&gt;%   .[[1]];</v>
      </c>
      <c r="L197" t="str">
        <f t="shared" si="25"/>
        <v>url_tbl196 &lt;- data.table(url_tbl196);</v>
      </c>
      <c r="M197" t="str">
        <f t="shared" si="26"/>
        <v>url_tbl196 &lt;- url_tbl196[, `:=` (url ='Sectoral-Technology', year =3),];</v>
      </c>
      <c r="N197" t="str">
        <f t="shared" si="27"/>
        <v>url196 &lt;- 'https://www.advisorkhoj.com/mutual-funds-research/top-performing-systematic-investment-plan?category=Equity:%20Sectoral-Technology&amp;period=3&amp;amount=3000';url196 &lt;-  read_html (url196);url_tbl196 &lt;- url196 %&gt;%   html_nodes('table') %&gt;%   html_table(fill = TRUE) %&gt;%   .[[1]];url_tbl196 &lt;- data.table(url_tbl196);url_tbl196 &lt;- url_tbl196[, `:=` (url ='Sectoral-Technology', year =3),];</v>
      </c>
    </row>
    <row r="198" spans="1:14">
      <c r="A198" t="s">
        <v>408</v>
      </c>
      <c r="B198" t="s">
        <v>409</v>
      </c>
      <c r="C198" t="s">
        <v>403</v>
      </c>
      <c r="D198" t="str">
        <f t="shared" si="21"/>
        <v>Sectoral-Technology</v>
      </c>
      <c r="E198">
        <v>4</v>
      </c>
      <c r="F198" s="159" t="s">
        <v>3</v>
      </c>
      <c r="G198" t="s">
        <v>4</v>
      </c>
      <c r="H198" t="s">
        <v>5</v>
      </c>
      <c r="I198" t="str">
        <f t="shared" si="22"/>
        <v>url197 &lt;- 'https://www.advisorkhoj.com/mutual-funds-research/top-performing-systematic-investment-plan?category=Equity:%20Sectoral-Technology&amp;period=4&amp;amount=3000';</v>
      </c>
      <c r="J198" t="str">
        <f t="shared" si="23"/>
        <v>url197 &lt;-  read_html (url197);</v>
      </c>
      <c r="K198" t="str">
        <f t="shared" si="24"/>
        <v>url_tbl197 &lt;- url197 %&gt;%   html_nodes('table') %&gt;%   html_table(fill = TRUE) %&gt;%   .[[1]];</v>
      </c>
      <c r="L198" t="str">
        <f t="shared" si="25"/>
        <v>url_tbl197 &lt;- data.table(url_tbl197);</v>
      </c>
      <c r="M198" t="str">
        <f t="shared" si="26"/>
        <v>url_tbl197 &lt;- url_tbl197[, `:=` (url ='Sectoral-Technology', year =4),];</v>
      </c>
      <c r="N198" t="str">
        <f t="shared" si="27"/>
        <v>url197 &lt;- 'https://www.advisorkhoj.com/mutual-funds-research/top-performing-systematic-investment-plan?category=Equity:%20Sectoral-Technology&amp;period=4&amp;amount=3000';url197 &lt;-  read_html (url197);url_tbl197 &lt;- url197 %&gt;%   html_nodes('table') %&gt;%   html_table(fill = TRUE) %&gt;%   .[[1]];url_tbl197 &lt;- data.table(url_tbl197);url_tbl197 &lt;- url_tbl197[, `:=` (url ='Sectoral-Technology', year =4),];</v>
      </c>
    </row>
    <row r="199" spans="1:14">
      <c r="A199" t="s">
        <v>410</v>
      </c>
      <c r="B199" t="s">
        <v>411</v>
      </c>
      <c r="C199" t="s">
        <v>403</v>
      </c>
      <c r="D199" t="str">
        <f t="shared" si="21"/>
        <v>Sectoral-Technology</v>
      </c>
      <c r="E199">
        <v>5</v>
      </c>
      <c r="F199" s="159" t="s">
        <v>3</v>
      </c>
      <c r="G199" t="s">
        <v>4</v>
      </c>
      <c r="H199" t="s">
        <v>5</v>
      </c>
      <c r="I199" t="str">
        <f t="shared" si="22"/>
        <v>url198 &lt;- 'https://www.advisorkhoj.com/mutual-funds-research/top-performing-systematic-investment-plan?category=Equity:%20Sectoral-Technology&amp;period=5&amp;amount=3000';</v>
      </c>
      <c r="J199" t="str">
        <f t="shared" si="23"/>
        <v>url198 &lt;-  read_html (url198);</v>
      </c>
      <c r="K199" t="str">
        <f t="shared" si="24"/>
        <v>url_tbl198 &lt;- url198 %&gt;%   html_nodes('table') %&gt;%   html_table(fill = TRUE) %&gt;%   .[[1]];</v>
      </c>
      <c r="L199" t="str">
        <f t="shared" si="25"/>
        <v>url_tbl198 &lt;- data.table(url_tbl198);</v>
      </c>
      <c r="M199" t="str">
        <f t="shared" si="26"/>
        <v>url_tbl198 &lt;- url_tbl198[, `:=` (url ='Sectoral-Technology', year =5),];</v>
      </c>
      <c r="N199" t="str">
        <f t="shared" si="27"/>
        <v>url198 &lt;- 'https://www.advisorkhoj.com/mutual-funds-research/top-performing-systematic-investment-plan?category=Equity:%20Sectoral-Technology&amp;period=5&amp;amount=3000';url198 &lt;-  read_html (url198);url_tbl198 &lt;- url198 %&gt;%   html_nodes('table') %&gt;%   html_table(fill = TRUE) %&gt;%   .[[1]];url_tbl198 &lt;- data.table(url_tbl198);url_tbl198 &lt;- url_tbl198[, `:=` (url ='Sectoral-Technology', year =5),];</v>
      </c>
    </row>
    <row r="200" spans="1:14">
      <c r="A200" t="s">
        <v>412</v>
      </c>
      <c r="B200" t="s">
        <v>413</v>
      </c>
      <c r="C200" t="s">
        <v>403</v>
      </c>
      <c r="D200" t="str">
        <f t="shared" si="21"/>
        <v>Sectoral-Technology</v>
      </c>
      <c r="E200">
        <v>6</v>
      </c>
      <c r="F200" s="159" t="s">
        <v>3</v>
      </c>
      <c r="G200" t="s">
        <v>4</v>
      </c>
      <c r="H200" t="s">
        <v>5</v>
      </c>
      <c r="I200" t="str">
        <f t="shared" si="22"/>
        <v>url199 &lt;- 'https://www.advisorkhoj.com/mutual-funds-research/top-performing-systematic-investment-plan?category=Equity:%20Sectoral-Technology&amp;period=6&amp;amount=3000';</v>
      </c>
      <c r="J200" t="str">
        <f t="shared" si="23"/>
        <v>url199 &lt;-  read_html (url199);</v>
      </c>
      <c r="K200" t="str">
        <f t="shared" si="24"/>
        <v>url_tbl199 &lt;- url199 %&gt;%   html_nodes('table') %&gt;%   html_table(fill = TRUE) %&gt;%   .[[1]];</v>
      </c>
      <c r="L200" t="str">
        <f t="shared" si="25"/>
        <v>url_tbl199 &lt;- data.table(url_tbl199);</v>
      </c>
      <c r="M200" t="str">
        <f t="shared" si="26"/>
        <v>url_tbl199 &lt;- url_tbl199[, `:=` (url ='Sectoral-Technology', year =6),];</v>
      </c>
      <c r="N200" t="str">
        <f t="shared" si="27"/>
        <v>url199 &lt;- 'https://www.advisorkhoj.com/mutual-funds-research/top-performing-systematic-investment-plan?category=Equity:%20Sectoral-Technology&amp;period=6&amp;amount=3000';url199 &lt;-  read_html (url199);url_tbl199 &lt;- url199 %&gt;%   html_nodes('table') %&gt;%   html_table(fill = TRUE) %&gt;%   .[[1]];url_tbl199 &lt;- data.table(url_tbl199);url_tbl199 &lt;- url_tbl199[, `:=` (url ='Sectoral-Technology', year =6),];</v>
      </c>
    </row>
    <row r="201" spans="1:14">
      <c r="A201" t="s">
        <v>414</v>
      </c>
      <c r="B201" t="s">
        <v>415</v>
      </c>
      <c r="C201" t="s">
        <v>403</v>
      </c>
      <c r="D201" t="str">
        <f t="shared" si="21"/>
        <v>Sectoral-Technology</v>
      </c>
      <c r="E201">
        <v>7</v>
      </c>
      <c r="F201" s="159" t="s">
        <v>3</v>
      </c>
      <c r="G201" t="s">
        <v>4</v>
      </c>
      <c r="H201" t="s">
        <v>5</v>
      </c>
      <c r="I201" t="str">
        <f t="shared" si="22"/>
        <v>url200 &lt;- 'https://www.advisorkhoj.com/mutual-funds-research/top-performing-systematic-investment-plan?category=Equity:%20Sectoral-Technology&amp;period=7&amp;amount=3000';</v>
      </c>
      <c r="J201" t="str">
        <f t="shared" si="23"/>
        <v>url200 &lt;-  read_html (url200);</v>
      </c>
      <c r="K201" t="str">
        <f t="shared" si="24"/>
        <v>url_tbl200 &lt;- url200 %&gt;%   html_nodes('table') %&gt;%   html_table(fill = TRUE) %&gt;%   .[[1]];</v>
      </c>
      <c r="L201" t="str">
        <f t="shared" si="25"/>
        <v>url_tbl200 &lt;- data.table(url_tbl200);</v>
      </c>
      <c r="M201" t="str">
        <f t="shared" si="26"/>
        <v>url_tbl200 &lt;- url_tbl200[, `:=` (url ='Sectoral-Technology', year =7),];</v>
      </c>
      <c r="N201" t="str">
        <f t="shared" si="27"/>
        <v>url200 &lt;- 'https://www.advisorkhoj.com/mutual-funds-research/top-performing-systematic-investment-plan?category=Equity:%20Sectoral-Technology&amp;period=7&amp;amount=3000';url200 &lt;-  read_html (url200);url_tbl200 &lt;- url200 %&gt;%   html_nodes('table') %&gt;%   html_table(fill = TRUE) %&gt;%   .[[1]];url_tbl200 &lt;- data.table(url_tbl200);url_tbl200 &lt;- url_tbl200[, `:=` (url ='Sectoral-Technology', year =7),];</v>
      </c>
    </row>
    <row r="202" spans="1:14">
      <c r="A202" t="s">
        <v>416</v>
      </c>
      <c r="B202" t="s">
        <v>417</v>
      </c>
      <c r="C202" t="s">
        <v>403</v>
      </c>
      <c r="D202" t="str">
        <f t="shared" si="21"/>
        <v>Sectoral-Technology</v>
      </c>
      <c r="E202">
        <v>8</v>
      </c>
      <c r="F202" s="159" t="s">
        <v>3</v>
      </c>
      <c r="G202" t="s">
        <v>4</v>
      </c>
      <c r="H202" t="s">
        <v>5</v>
      </c>
      <c r="I202" t="str">
        <f t="shared" si="22"/>
        <v>url201 &lt;- 'https://www.advisorkhoj.com/mutual-funds-research/top-performing-systematic-investment-plan?category=Equity:%20Sectoral-Technology&amp;period=8&amp;amount=3000';</v>
      </c>
      <c r="J202" t="str">
        <f t="shared" si="23"/>
        <v>url201 &lt;-  read_html (url201);</v>
      </c>
      <c r="K202" t="str">
        <f t="shared" si="24"/>
        <v>url_tbl201 &lt;- url201 %&gt;%   html_nodes('table') %&gt;%   html_table(fill = TRUE) %&gt;%   .[[1]];</v>
      </c>
      <c r="L202" t="str">
        <f t="shared" si="25"/>
        <v>url_tbl201 &lt;- data.table(url_tbl201);</v>
      </c>
      <c r="M202" t="str">
        <f t="shared" si="26"/>
        <v>url_tbl201 &lt;- url_tbl201[, `:=` (url ='Sectoral-Technology', year =8),];</v>
      </c>
      <c r="N202" t="str">
        <f t="shared" si="27"/>
        <v>url201 &lt;- 'https://www.advisorkhoj.com/mutual-funds-research/top-performing-systematic-investment-plan?category=Equity:%20Sectoral-Technology&amp;period=8&amp;amount=3000';url201 &lt;-  read_html (url201);url_tbl201 &lt;- url201 %&gt;%   html_nodes('table') %&gt;%   html_table(fill = TRUE) %&gt;%   .[[1]];url_tbl201 &lt;- data.table(url_tbl201);url_tbl201 &lt;- url_tbl201[, `:=` (url ='Sectoral-Technology', year =8),];</v>
      </c>
    </row>
    <row r="203" spans="1:14">
      <c r="A203" t="s">
        <v>418</v>
      </c>
      <c r="B203" t="s">
        <v>419</v>
      </c>
      <c r="C203" t="s">
        <v>403</v>
      </c>
      <c r="D203" t="str">
        <f t="shared" si="21"/>
        <v>Sectoral-Technology</v>
      </c>
      <c r="E203">
        <v>9</v>
      </c>
      <c r="F203" s="159" t="s">
        <v>3</v>
      </c>
      <c r="G203" t="s">
        <v>4</v>
      </c>
      <c r="H203" t="s">
        <v>5</v>
      </c>
      <c r="I203" t="str">
        <f t="shared" si="22"/>
        <v>url202 &lt;- 'https://www.advisorkhoj.com/mutual-funds-research/top-performing-systematic-investment-plan?category=Equity:%20Sectoral-Technology&amp;period=9&amp;amount=3000';</v>
      </c>
      <c r="J203" t="str">
        <f t="shared" si="23"/>
        <v>url202 &lt;-  read_html (url202);</v>
      </c>
      <c r="K203" t="str">
        <f t="shared" si="24"/>
        <v>url_tbl202 &lt;- url202 %&gt;%   html_nodes('table') %&gt;%   html_table(fill = TRUE) %&gt;%   .[[1]];</v>
      </c>
      <c r="L203" t="str">
        <f t="shared" si="25"/>
        <v>url_tbl202 &lt;- data.table(url_tbl202);</v>
      </c>
      <c r="M203" t="str">
        <f t="shared" si="26"/>
        <v>url_tbl202 &lt;- url_tbl202[, `:=` (url ='Sectoral-Technology', year =9),];</v>
      </c>
      <c r="N203" t="str">
        <f t="shared" si="27"/>
        <v>url202 &lt;- 'https://www.advisorkhoj.com/mutual-funds-research/top-performing-systematic-investment-plan?category=Equity:%20Sectoral-Technology&amp;period=9&amp;amount=3000';url202 &lt;-  read_html (url202);url_tbl202 &lt;- url202 %&gt;%   html_nodes('table') %&gt;%   html_table(fill = TRUE) %&gt;%   .[[1]];url_tbl202 &lt;- data.table(url_tbl202);url_tbl202 &lt;- url_tbl202[, `:=` (url ='Sectoral-Technology', year =9),];</v>
      </c>
    </row>
    <row r="204" spans="1:14">
      <c r="A204" t="s">
        <v>420</v>
      </c>
      <c r="B204" t="s">
        <v>421</v>
      </c>
      <c r="C204" t="s">
        <v>403</v>
      </c>
      <c r="D204" t="str">
        <f t="shared" si="21"/>
        <v>Sectoral-Technology</v>
      </c>
      <c r="E204">
        <v>10</v>
      </c>
      <c r="F204" s="159" t="s">
        <v>3</v>
      </c>
      <c r="G204" t="s">
        <v>4</v>
      </c>
      <c r="H204" t="s">
        <v>5</v>
      </c>
      <c r="I204" t="str">
        <f t="shared" si="22"/>
        <v>url203 &lt;- 'https://www.advisorkhoj.com/mutual-funds-research/top-performing-systematic-investment-plan?category=Equity:%20Sectoral-Technology&amp;period=10&amp;amount=3000';</v>
      </c>
      <c r="J204" t="str">
        <f t="shared" si="23"/>
        <v>url203 &lt;-  read_html (url203);</v>
      </c>
      <c r="K204" t="str">
        <f t="shared" si="24"/>
        <v>url_tbl203 &lt;- url203 %&gt;%   html_nodes('table') %&gt;%   html_table(fill = TRUE) %&gt;%   .[[1]];</v>
      </c>
      <c r="L204" t="str">
        <f t="shared" si="25"/>
        <v>url_tbl203 &lt;- data.table(url_tbl203);</v>
      </c>
      <c r="M204" t="str">
        <f t="shared" si="26"/>
        <v>url_tbl203 &lt;- url_tbl203[, `:=` (url ='Sectoral-Technology', year =10),];</v>
      </c>
      <c r="N204" t="str">
        <f t="shared" si="27"/>
        <v>url203 &lt;- 'https://www.advisorkhoj.com/mutual-funds-research/top-performing-systematic-investment-plan?category=Equity:%20Sectoral-Technology&amp;period=10&amp;amount=3000';url203 &lt;-  read_html (url203);url_tbl203 &lt;- url203 %&gt;%   html_nodes('table') %&gt;%   html_table(fill = TRUE) %&gt;%   .[[1]];url_tbl203 &lt;- data.table(url_tbl203);url_tbl203 &lt;- url_tbl203[, `:=` (url ='Sectoral-Technology', year =10),];</v>
      </c>
    </row>
    <row r="205" spans="1:14">
      <c r="A205" t="s">
        <v>422</v>
      </c>
      <c r="B205" t="s">
        <v>423</v>
      </c>
      <c r="C205" t="s">
        <v>403</v>
      </c>
      <c r="D205" t="str">
        <f t="shared" si="21"/>
        <v>Sectoral-Technology</v>
      </c>
      <c r="E205">
        <v>11</v>
      </c>
      <c r="F205" s="159" t="s">
        <v>3</v>
      </c>
      <c r="G205" t="s">
        <v>4</v>
      </c>
      <c r="H205" t="s">
        <v>5</v>
      </c>
      <c r="I205" t="str">
        <f t="shared" si="22"/>
        <v>url204 &lt;- 'https://www.advisorkhoj.com/mutual-funds-research/top-performing-systematic-investment-plan?category=Equity:%20Sectoral-Technology&amp;period=11&amp;amount=3000';</v>
      </c>
      <c r="J205" t="str">
        <f t="shared" si="23"/>
        <v>url204 &lt;-  read_html (url204);</v>
      </c>
      <c r="K205" t="str">
        <f t="shared" si="24"/>
        <v>url_tbl204 &lt;- url204 %&gt;%   html_nodes('table') %&gt;%   html_table(fill = TRUE) %&gt;%   .[[1]];</v>
      </c>
      <c r="L205" t="str">
        <f t="shared" si="25"/>
        <v>url_tbl204 &lt;- data.table(url_tbl204);</v>
      </c>
      <c r="M205" t="str">
        <f t="shared" si="26"/>
        <v>url_tbl204 &lt;- url_tbl204[, `:=` (url ='Sectoral-Technology', year =11),];</v>
      </c>
      <c r="N205" t="str">
        <f t="shared" si="27"/>
        <v>url204 &lt;- 'https://www.advisorkhoj.com/mutual-funds-research/top-performing-systematic-investment-plan?category=Equity:%20Sectoral-Technology&amp;period=11&amp;amount=3000';url204 &lt;-  read_html (url204);url_tbl204 &lt;- url204 %&gt;%   html_nodes('table') %&gt;%   html_table(fill = TRUE) %&gt;%   .[[1]];url_tbl204 &lt;- data.table(url_tbl204);url_tbl204 &lt;- url_tbl204[, `:=` (url ='Sectoral-Technology', year =11),];</v>
      </c>
    </row>
    <row r="206" spans="1:14">
      <c r="A206" t="s">
        <v>424</v>
      </c>
      <c r="B206" t="s">
        <v>425</v>
      </c>
      <c r="C206" t="s">
        <v>403</v>
      </c>
      <c r="D206" t="str">
        <f t="shared" si="21"/>
        <v>Sectoral-Technology</v>
      </c>
      <c r="E206">
        <v>12</v>
      </c>
      <c r="F206" s="159" t="s">
        <v>3</v>
      </c>
      <c r="G206" t="s">
        <v>4</v>
      </c>
      <c r="H206" t="s">
        <v>5</v>
      </c>
      <c r="I206" t="str">
        <f t="shared" si="22"/>
        <v>url205 &lt;- 'https://www.advisorkhoj.com/mutual-funds-research/top-performing-systematic-investment-plan?category=Equity:%20Sectoral-Technology&amp;period=12&amp;amount=3000';</v>
      </c>
      <c r="J206" t="str">
        <f t="shared" si="23"/>
        <v>url205 &lt;-  read_html (url205);</v>
      </c>
      <c r="K206" t="str">
        <f t="shared" si="24"/>
        <v>url_tbl205 &lt;- url205 %&gt;%   html_nodes('table') %&gt;%   html_table(fill = TRUE) %&gt;%   .[[1]];</v>
      </c>
      <c r="L206" t="str">
        <f t="shared" si="25"/>
        <v>url_tbl205 &lt;- data.table(url_tbl205);</v>
      </c>
      <c r="M206" t="str">
        <f t="shared" si="26"/>
        <v>url_tbl205 &lt;- url_tbl205[, `:=` (url ='Sectoral-Technology', year =12),];</v>
      </c>
      <c r="N206" t="str">
        <f t="shared" si="27"/>
        <v>url205 &lt;- 'https://www.advisorkhoj.com/mutual-funds-research/top-performing-systematic-investment-plan?category=Equity:%20Sectoral-Technology&amp;period=12&amp;amount=3000';url205 &lt;-  read_html (url205);url_tbl205 &lt;- url205 %&gt;%   html_nodes('table') %&gt;%   html_table(fill = TRUE) %&gt;%   .[[1]];url_tbl205 &lt;- data.table(url_tbl205);url_tbl205 &lt;- url_tbl205[, `:=` (url ='Sectoral-Technology', year =12),];</v>
      </c>
    </row>
    <row r="207" spans="1:14">
      <c r="A207" t="s">
        <v>426</v>
      </c>
      <c r="B207" t="s">
        <v>427</v>
      </c>
      <c r="C207" t="s">
        <v>403</v>
      </c>
      <c r="D207" t="str">
        <f t="shared" si="21"/>
        <v>Sectoral-Technology</v>
      </c>
      <c r="E207">
        <v>13</v>
      </c>
      <c r="F207" s="159" t="s">
        <v>3</v>
      </c>
      <c r="G207" t="s">
        <v>4</v>
      </c>
      <c r="H207" t="s">
        <v>5</v>
      </c>
      <c r="I207" t="str">
        <f t="shared" si="22"/>
        <v>url206 &lt;- 'https://www.advisorkhoj.com/mutual-funds-research/top-performing-systematic-investment-plan?category=Equity:%20Sectoral-Technology&amp;period=13&amp;amount=3000';</v>
      </c>
      <c r="J207" t="str">
        <f t="shared" si="23"/>
        <v>url206 &lt;-  read_html (url206);</v>
      </c>
      <c r="K207" t="str">
        <f t="shared" si="24"/>
        <v>url_tbl206 &lt;- url206 %&gt;%   html_nodes('table') %&gt;%   html_table(fill = TRUE) %&gt;%   .[[1]];</v>
      </c>
      <c r="L207" t="str">
        <f t="shared" si="25"/>
        <v>url_tbl206 &lt;- data.table(url_tbl206);</v>
      </c>
      <c r="M207" t="str">
        <f t="shared" si="26"/>
        <v>url_tbl206 &lt;- url_tbl206[, `:=` (url ='Sectoral-Technology', year =13),];</v>
      </c>
      <c r="N207" t="str">
        <f t="shared" si="27"/>
        <v>url206 &lt;- 'https://www.advisorkhoj.com/mutual-funds-research/top-performing-systematic-investment-plan?category=Equity:%20Sectoral-Technology&amp;period=13&amp;amount=3000';url206 &lt;-  read_html (url206);url_tbl206 &lt;- url206 %&gt;%   html_nodes('table') %&gt;%   html_table(fill = TRUE) %&gt;%   .[[1]];url_tbl206 &lt;- data.table(url_tbl206);url_tbl206 &lt;- url_tbl206[, `:=` (url ='Sectoral-Technology', year =13),];</v>
      </c>
    </row>
    <row r="208" spans="1:14">
      <c r="A208" t="s">
        <v>428</v>
      </c>
      <c r="B208" t="s">
        <v>429</v>
      </c>
      <c r="C208" t="s">
        <v>403</v>
      </c>
      <c r="D208" t="str">
        <f t="shared" si="21"/>
        <v>Sectoral-Technology</v>
      </c>
      <c r="E208">
        <v>14</v>
      </c>
      <c r="F208" s="159" t="s">
        <v>3</v>
      </c>
      <c r="G208" t="s">
        <v>4</v>
      </c>
      <c r="H208" t="s">
        <v>5</v>
      </c>
      <c r="I208" t="str">
        <f t="shared" si="22"/>
        <v>url207 &lt;- 'https://www.advisorkhoj.com/mutual-funds-research/top-performing-systematic-investment-plan?category=Equity:%20Sectoral-Technology&amp;period=14&amp;amount=3000';</v>
      </c>
      <c r="J208" t="str">
        <f t="shared" si="23"/>
        <v>url207 &lt;-  read_html (url207);</v>
      </c>
      <c r="K208" t="str">
        <f t="shared" si="24"/>
        <v>url_tbl207 &lt;- url207 %&gt;%   html_nodes('table') %&gt;%   html_table(fill = TRUE) %&gt;%   .[[1]];</v>
      </c>
      <c r="L208" t="str">
        <f t="shared" si="25"/>
        <v>url_tbl207 &lt;- data.table(url_tbl207);</v>
      </c>
      <c r="M208" t="str">
        <f t="shared" si="26"/>
        <v>url_tbl207 &lt;- url_tbl207[, `:=` (url ='Sectoral-Technology', year =14),];</v>
      </c>
      <c r="N208" t="str">
        <f t="shared" si="27"/>
        <v>url207 &lt;- 'https://www.advisorkhoj.com/mutual-funds-research/top-performing-systematic-investment-plan?category=Equity:%20Sectoral-Technology&amp;period=14&amp;amount=3000';url207 &lt;-  read_html (url207);url_tbl207 &lt;- url207 %&gt;%   html_nodes('table') %&gt;%   html_table(fill = TRUE) %&gt;%   .[[1]];url_tbl207 &lt;- data.table(url_tbl207);url_tbl207 &lt;- url_tbl207[, `:=` (url ='Sectoral-Technology', year =14),];</v>
      </c>
    </row>
    <row r="209" spans="1:14">
      <c r="A209" t="s">
        <v>430</v>
      </c>
      <c r="B209" t="s">
        <v>431</v>
      </c>
      <c r="C209" t="s">
        <v>403</v>
      </c>
      <c r="D209" t="str">
        <f t="shared" si="21"/>
        <v>Sectoral-Technology</v>
      </c>
      <c r="E209">
        <v>15</v>
      </c>
      <c r="F209" s="159" t="s">
        <v>3</v>
      </c>
      <c r="G209" t="s">
        <v>4</v>
      </c>
      <c r="H209" t="s">
        <v>5</v>
      </c>
      <c r="I209" t="str">
        <f t="shared" si="22"/>
        <v>url208 &lt;- 'https://www.advisorkhoj.com/mutual-funds-research/top-performing-systematic-investment-plan?category=Equity:%20Sectoral-Technology&amp;period=15&amp;amount=3000';</v>
      </c>
      <c r="J209" t="str">
        <f t="shared" si="23"/>
        <v>url208 &lt;-  read_html (url208);</v>
      </c>
      <c r="K209" t="str">
        <f t="shared" si="24"/>
        <v>url_tbl208 &lt;- url208 %&gt;%   html_nodes('table') %&gt;%   html_table(fill = TRUE) %&gt;%   .[[1]];</v>
      </c>
      <c r="L209" t="str">
        <f t="shared" si="25"/>
        <v>url_tbl208 &lt;- data.table(url_tbl208);</v>
      </c>
      <c r="M209" t="str">
        <f t="shared" si="26"/>
        <v>url_tbl208 &lt;- url_tbl208[, `:=` (url ='Sectoral-Technology', year =15),];</v>
      </c>
      <c r="N209" t="str">
        <f t="shared" si="27"/>
        <v>url208 &lt;- 'https://www.advisorkhoj.com/mutual-funds-research/top-performing-systematic-investment-plan?category=Equity:%20Sectoral-Technology&amp;period=15&amp;amount=3000';url208 &lt;-  read_html (url208);url_tbl208 &lt;- url208 %&gt;%   html_nodes('table') %&gt;%   html_table(fill = TRUE) %&gt;%   .[[1]];url_tbl208 &lt;- data.table(url_tbl208);url_tbl208 &lt;- url_tbl208[, `:=` (url ='Sectoral-Technology', year =15),];</v>
      </c>
    </row>
    <row r="210" spans="1:14">
      <c r="A210" t="s">
        <v>432</v>
      </c>
      <c r="B210" t="s">
        <v>433</v>
      </c>
      <c r="C210" t="s">
        <v>403</v>
      </c>
      <c r="D210" t="str">
        <f t="shared" si="21"/>
        <v>Sectoral-Technology</v>
      </c>
      <c r="E210">
        <v>16</v>
      </c>
      <c r="F210" s="159" t="s">
        <v>3</v>
      </c>
      <c r="G210" t="s">
        <v>4</v>
      </c>
      <c r="H210" t="s">
        <v>5</v>
      </c>
      <c r="I210" t="str">
        <f t="shared" si="22"/>
        <v>url209 &lt;- 'https://www.advisorkhoj.com/mutual-funds-research/top-performing-systematic-investment-plan?category=Equity:%20Sectoral-Technology&amp;period=16&amp;amount=3000';</v>
      </c>
      <c r="J210" t="str">
        <f t="shared" si="23"/>
        <v>url209 &lt;-  read_html (url209);</v>
      </c>
      <c r="K210" t="str">
        <f t="shared" si="24"/>
        <v>url_tbl209 &lt;- url209 %&gt;%   html_nodes('table') %&gt;%   html_table(fill = TRUE) %&gt;%   .[[1]];</v>
      </c>
      <c r="L210" t="str">
        <f t="shared" si="25"/>
        <v>url_tbl209 &lt;- data.table(url_tbl209);</v>
      </c>
      <c r="M210" t="str">
        <f t="shared" si="26"/>
        <v>url_tbl209 &lt;- url_tbl209[, `:=` (url ='Sectoral-Technology', year =16),];</v>
      </c>
      <c r="N210" t="str">
        <f t="shared" si="27"/>
        <v>url209 &lt;- 'https://www.advisorkhoj.com/mutual-funds-research/top-performing-systematic-investment-plan?category=Equity:%20Sectoral-Technology&amp;period=16&amp;amount=3000';url209 &lt;-  read_html (url209);url_tbl209 &lt;- url209 %&gt;%   html_nodes('table') %&gt;%   html_table(fill = TRUE) %&gt;%   .[[1]];url_tbl209 &lt;- data.table(url_tbl209);url_tbl209 &lt;- url_tbl209[, `:=` (url ='Sectoral-Technology', year =16),];</v>
      </c>
    </row>
    <row r="211" spans="1:14">
      <c r="A211" t="s">
        <v>434</v>
      </c>
      <c r="B211" t="s">
        <v>435</v>
      </c>
      <c r="C211" t="s">
        <v>436</v>
      </c>
      <c r="D211" t="str">
        <f t="shared" si="21"/>
        <v>Small%20Cap</v>
      </c>
      <c r="E211">
        <v>1</v>
      </c>
      <c r="F211" s="159" t="s">
        <v>3</v>
      </c>
      <c r="G211" t="s">
        <v>4</v>
      </c>
      <c r="H211" t="s">
        <v>5</v>
      </c>
      <c r="I211" t="str">
        <f t="shared" si="22"/>
        <v>url210 &lt;- 'https://www.advisorkhoj.com/mutual-funds-research/top-performing-systematic-investment-plan?category=Equity:%20Small%20Cap&amp;period=1&amp;amount=3000';</v>
      </c>
      <c r="J211" t="str">
        <f t="shared" si="23"/>
        <v>url210 &lt;-  read_html (url210);</v>
      </c>
      <c r="K211" t="str">
        <f t="shared" si="24"/>
        <v>url_tbl210 &lt;- url210 %&gt;%   html_nodes('table') %&gt;%   html_table(fill = TRUE) %&gt;%   .[[1]];</v>
      </c>
      <c r="L211" t="str">
        <f t="shared" si="25"/>
        <v>url_tbl210 &lt;- data.table(url_tbl210);</v>
      </c>
      <c r="M211" t="str">
        <f t="shared" si="26"/>
        <v>url_tbl210 &lt;- url_tbl210[, `:=` (url ='Small Cap', year =1),];</v>
      </c>
      <c r="N211" t="str">
        <f t="shared" si="27"/>
        <v>url210 &lt;- 'https://www.advisorkhoj.com/mutual-funds-research/top-performing-systematic-investment-plan?category=Equity:%20Small%20Cap&amp;period=1&amp;amount=3000';url210 &lt;-  read_html (url210);url_tbl210 &lt;- url210 %&gt;%   html_nodes('table') %&gt;%   html_table(fill = TRUE) %&gt;%   .[[1]];url_tbl210 &lt;- data.table(url_tbl210);url_tbl210 &lt;- url_tbl210[, `:=` (url ='Small Cap', year =1),];</v>
      </c>
    </row>
    <row r="212" spans="1:14">
      <c r="A212" t="s">
        <v>437</v>
      </c>
      <c r="B212" t="s">
        <v>438</v>
      </c>
      <c r="C212" t="s">
        <v>436</v>
      </c>
      <c r="D212" t="str">
        <f t="shared" si="21"/>
        <v>Small%20Cap</v>
      </c>
      <c r="E212">
        <v>2</v>
      </c>
      <c r="F212" s="159" t="s">
        <v>3</v>
      </c>
      <c r="G212" t="s">
        <v>4</v>
      </c>
      <c r="H212" t="s">
        <v>5</v>
      </c>
      <c r="I212" t="str">
        <f t="shared" si="22"/>
        <v>url211 &lt;- 'https://www.advisorkhoj.com/mutual-funds-research/top-performing-systematic-investment-plan?category=Equity:%20Small%20Cap&amp;period=2&amp;amount=3000';</v>
      </c>
      <c r="J212" t="str">
        <f t="shared" si="23"/>
        <v>url211 &lt;-  read_html (url211);</v>
      </c>
      <c r="K212" t="str">
        <f t="shared" si="24"/>
        <v>url_tbl211 &lt;- url211 %&gt;%   html_nodes('table') %&gt;%   html_table(fill = TRUE) %&gt;%   .[[1]];</v>
      </c>
      <c r="L212" t="str">
        <f t="shared" si="25"/>
        <v>url_tbl211 &lt;- data.table(url_tbl211);</v>
      </c>
      <c r="M212" t="str">
        <f t="shared" si="26"/>
        <v>url_tbl211 &lt;- url_tbl211[, `:=` (url ='Small Cap', year =2),];</v>
      </c>
      <c r="N212" t="str">
        <f t="shared" si="27"/>
        <v>url211 &lt;- 'https://www.advisorkhoj.com/mutual-funds-research/top-performing-systematic-investment-plan?category=Equity:%20Small%20Cap&amp;period=2&amp;amount=3000';url211 &lt;-  read_html (url211);url_tbl211 &lt;- url211 %&gt;%   html_nodes('table') %&gt;%   html_table(fill = TRUE) %&gt;%   .[[1]];url_tbl211 &lt;- data.table(url_tbl211);url_tbl211 &lt;- url_tbl211[, `:=` (url ='Small Cap', year =2),];</v>
      </c>
    </row>
    <row r="213" spans="1:14">
      <c r="A213" t="s">
        <v>439</v>
      </c>
      <c r="B213" t="s">
        <v>440</v>
      </c>
      <c r="C213" t="s">
        <v>436</v>
      </c>
      <c r="D213" t="str">
        <f t="shared" si="21"/>
        <v>Small%20Cap</v>
      </c>
      <c r="E213">
        <v>3</v>
      </c>
      <c r="F213" s="159" t="s">
        <v>3</v>
      </c>
      <c r="G213" t="s">
        <v>4</v>
      </c>
      <c r="H213" t="s">
        <v>5</v>
      </c>
      <c r="I213" t="str">
        <f t="shared" si="22"/>
        <v>url212 &lt;- 'https://www.advisorkhoj.com/mutual-funds-research/top-performing-systematic-investment-plan?category=Equity:%20Small%20Cap&amp;period=3&amp;amount=3000';</v>
      </c>
      <c r="J213" t="str">
        <f t="shared" si="23"/>
        <v>url212 &lt;-  read_html (url212);</v>
      </c>
      <c r="K213" t="str">
        <f t="shared" si="24"/>
        <v>url_tbl212 &lt;- url212 %&gt;%   html_nodes('table') %&gt;%   html_table(fill = TRUE) %&gt;%   .[[1]];</v>
      </c>
      <c r="L213" t="str">
        <f t="shared" si="25"/>
        <v>url_tbl212 &lt;- data.table(url_tbl212);</v>
      </c>
      <c r="M213" t="str">
        <f t="shared" si="26"/>
        <v>url_tbl212 &lt;- url_tbl212[, `:=` (url ='Small Cap', year =3),];</v>
      </c>
      <c r="N213" t="str">
        <f t="shared" si="27"/>
        <v>url212 &lt;- 'https://www.advisorkhoj.com/mutual-funds-research/top-performing-systematic-investment-plan?category=Equity:%20Small%20Cap&amp;period=3&amp;amount=3000';url212 &lt;-  read_html (url212);url_tbl212 &lt;- url212 %&gt;%   html_nodes('table') %&gt;%   html_table(fill = TRUE) %&gt;%   .[[1]];url_tbl212 &lt;- data.table(url_tbl212);url_tbl212 &lt;- url_tbl212[, `:=` (url ='Small Cap', year =3),];</v>
      </c>
    </row>
    <row r="214" spans="1:14">
      <c r="A214" t="s">
        <v>441</v>
      </c>
      <c r="B214" t="s">
        <v>442</v>
      </c>
      <c r="C214" t="s">
        <v>436</v>
      </c>
      <c r="D214" t="str">
        <f t="shared" si="21"/>
        <v>Small%20Cap</v>
      </c>
      <c r="E214">
        <v>4</v>
      </c>
      <c r="F214" s="159" t="s">
        <v>3</v>
      </c>
      <c r="G214" t="s">
        <v>4</v>
      </c>
      <c r="H214" t="s">
        <v>5</v>
      </c>
      <c r="I214" t="str">
        <f t="shared" si="22"/>
        <v>url213 &lt;- 'https://www.advisorkhoj.com/mutual-funds-research/top-performing-systematic-investment-plan?category=Equity:%20Small%20Cap&amp;period=4&amp;amount=3000';</v>
      </c>
      <c r="J214" t="str">
        <f t="shared" si="23"/>
        <v>url213 &lt;-  read_html (url213);</v>
      </c>
      <c r="K214" t="str">
        <f t="shared" si="24"/>
        <v>url_tbl213 &lt;- url213 %&gt;%   html_nodes('table') %&gt;%   html_table(fill = TRUE) %&gt;%   .[[1]];</v>
      </c>
      <c r="L214" t="str">
        <f t="shared" si="25"/>
        <v>url_tbl213 &lt;- data.table(url_tbl213);</v>
      </c>
      <c r="M214" t="str">
        <f t="shared" si="26"/>
        <v>url_tbl213 &lt;- url_tbl213[, `:=` (url ='Small Cap', year =4),];</v>
      </c>
      <c r="N214" t="str">
        <f t="shared" si="27"/>
        <v>url213 &lt;- 'https://www.advisorkhoj.com/mutual-funds-research/top-performing-systematic-investment-plan?category=Equity:%20Small%20Cap&amp;period=4&amp;amount=3000';url213 &lt;-  read_html (url213);url_tbl213 &lt;- url213 %&gt;%   html_nodes('table') %&gt;%   html_table(fill = TRUE) %&gt;%   .[[1]];url_tbl213 &lt;- data.table(url_tbl213);url_tbl213 &lt;- url_tbl213[, `:=` (url ='Small Cap', year =4),];</v>
      </c>
    </row>
    <row r="215" spans="1:14">
      <c r="A215" t="s">
        <v>443</v>
      </c>
      <c r="B215" t="s">
        <v>444</v>
      </c>
      <c r="C215" t="s">
        <v>436</v>
      </c>
      <c r="D215" t="str">
        <f t="shared" si="21"/>
        <v>Small%20Cap</v>
      </c>
      <c r="E215">
        <v>5</v>
      </c>
      <c r="F215" s="159" t="s">
        <v>3</v>
      </c>
      <c r="G215" t="s">
        <v>4</v>
      </c>
      <c r="H215" t="s">
        <v>5</v>
      </c>
      <c r="I215" t="str">
        <f t="shared" si="22"/>
        <v>url214 &lt;- 'https://www.advisorkhoj.com/mutual-funds-research/top-performing-systematic-investment-plan?category=Equity:%20Small%20Cap&amp;period=5&amp;amount=3000';</v>
      </c>
      <c r="J215" t="str">
        <f t="shared" si="23"/>
        <v>url214 &lt;-  read_html (url214);</v>
      </c>
      <c r="K215" t="str">
        <f t="shared" si="24"/>
        <v>url_tbl214 &lt;- url214 %&gt;%   html_nodes('table') %&gt;%   html_table(fill = TRUE) %&gt;%   .[[1]];</v>
      </c>
      <c r="L215" t="str">
        <f t="shared" si="25"/>
        <v>url_tbl214 &lt;- data.table(url_tbl214);</v>
      </c>
      <c r="M215" t="str">
        <f t="shared" si="26"/>
        <v>url_tbl214 &lt;- url_tbl214[, `:=` (url ='Small Cap', year =5),];</v>
      </c>
      <c r="N215" t="str">
        <f t="shared" si="27"/>
        <v>url214 &lt;- 'https://www.advisorkhoj.com/mutual-funds-research/top-performing-systematic-investment-plan?category=Equity:%20Small%20Cap&amp;period=5&amp;amount=3000';url214 &lt;-  read_html (url214);url_tbl214 &lt;- url214 %&gt;%   html_nodes('table') %&gt;%   html_table(fill = TRUE) %&gt;%   .[[1]];url_tbl214 &lt;- data.table(url_tbl214);url_tbl214 &lt;- url_tbl214[, `:=` (url ='Small Cap', year =5),];</v>
      </c>
    </row>
    <row r="216" spans="1:14">
      <c r="A216" t="s">
        <v>445</v>
      </c>
      <c r="B216" t="s">
        <v>446</v>
      </c>
      <c r="C216" t="s">
        <v>436</v>
      </c>
      <c r="D216" t="str">
        <f t="shared" si="21"/>
        <v>Small%20Cap</v>
      </c>
      <c r="E216">
        <v>6</v>
      </c>
      <c r="F216" s="159" t="s">
        <v>3</v>
      </c>
      <c r="G216" t="s">
        <v>4</v>
      </c>
      <c r="H216" t="s">
        <v>5</v>
      </c>
      <c r="I216" t="str">
        <f t="shared" si="22"/>
        <v>url215 &lt;- 'https://www.advisorkhoj.com/mutual-funds-research/top-performing-systematic-investment-plan?category=Equity:%20Small%20Cap&amp;period=6&amp;amount=3000';</v>
      </c>
      <c r="J216" t="str">
        <f t="shared" si="23"/>
        <v>url215 &lt;-  read_html (url215);</v>
      </c>
      <c r="K216" t="str">
        <f t="shared" si="24"/>
        <v>url_tbl215 &lt;- url215 %&gt;%   html_nodes('table') %&gt;%   html_table(fill = TRUE) %&gt;%   .[[1]];</v>
      </c>
      <c r="L216" t="str">
        <f t="shared" si="25"/>
        <v>url_tbl215 &lt;- data.table(url_tbl215);</v>
      </c>
      <c r="M216" t="str">
        <f t="shared" si="26"/>
        <v>url_tbl215 &lt;- url_tbl215[, `:=` (url ='Small Cap', year =6),];</v>
      </c>
      <c r="N216" t="str">
        <f t="shared" si="27"/>
        <v>url215 &lt;- 'https://www.advisorkhoj.com/mutual-funds-research/top-performing-systematic-investment-plan?category=Equity:%20Small%20Cap&amp;period=6&amp;amount=3000';url215 &lt;-  read_html (url215);url_tbl215 &lt;- url215 %&gt;%   html_nodes('table') %&gt;%   html_table(fill = TRUE) %&gt;%   .[[1]];url_tbl215 &lt;- data.table(url_tbl215);url_tbl215 &lt;- url_tbl215[, `:=` (url ='Small Cap', year =6),];</v>
      </c>
    </row>
    <row r="217" spans="1:14">
      <c r="A217" t="s">
        <v>447</v>
      </c>
      <c r="B217" t="s">
        <v>448</v>
      </c>
      <c r="C217" t="s">
        <v>436</v>
      </c>
      <c r="D217" t="str">
        <f t="shared" si="21"/>
        <v>Small%20Cap</v>
      </c>
      <c r="E217">
        <v>7</v>
      </c>
      <c r="F217" s="159" t="s">
        <v>3</v>
      </c>
      <c r="G217" t="s">
        <v>4</v>
      </c>
      <c r="H217" t="s">
        <v>5</v>
      </c>
      <c r="I217" t="str">
        <f t="shared" si="22"/>
        <v>url216 &lt;- 'https://www.advisorkhoj.com/mutual-funds-research/top-performing-systematic-investment-plan?category=Equity:%20Small%20Cap&amp;period=7&amp;amount=3000';</v>
      </c>
      <c r="J217" t="str">
        <f t="shared" si="23"/>
        <v>url216 &lt;-  read_html (url216);</v>
      </c>
      <c r="K217" t="str">
        <f t="shared" si="24"/>
        <v>url_tbl216 &lt;- url216 %&gt;%   html_nodes('table') %&gt;%   html_table(fill = TRUE) %&gt;%   .[[1]];</v>
      </c>
      <c r="L217" t="str">
        <f t="shared" si="25"/>
        <v>url_tbl216 &lt;- data.table(url_tbl216);</v>
      </c>
      <c r="M217" t="str">
        <f t="shared" si="26"/>
        <v>url_tbl216 &lt;- url_tbl216[, `:=` (url ='Small Cap', year =7),];</v>
      </c>
      <c r="N217" t="str">
        <f t="shared" si="27"/>
        <v>url216 &lt;- 'https://www.advisorkhoj.com/mutual-funds-research/top-performing-systematic-investment-plan?category=Equity:%20Small%20Cap&amp;period=7&amp;amount=3000';url216 &lt;-  read_html (url216);url_tbl216 &lt;- url216 %&gt;%   html_nodes('table') %&gt;%   html_table(fill = TRUE) %&gt;%   .[[1]];url_tbl216 &lt;- data.table(url_tbl216);url_tbl216 &lt;- url_tbl216[, `:=` (url ='Small Cap', year =7),];</v>
      </c>
    </row>
    <row r="218" spans="1:14">
      <c r="A218" t="s">
        <v>449</v>
      </c>
      <c r="B218" t="s">
        <v>450</v>
      </c>
      <c r="C218" t="s">
        <v>436</v>
      </c>
      <c r="D218" t="str">
        <f t="shared" si="21"/>
        <v>Small%20Cap</v>
      </c>
      <c r="E218">
        <v>8</v>
      </c>
      <c r="F218" s="159" t="s">
        <v>3</v>
      </c>
      <c r="G218" t="s">
        <v>4</v>
      </c>
      <c r="H218" t="s">
        <v>5</v>
      </c>
      <c r="I218" t="str">
        <f t="shared" si="22"/>
        <v>url217 &lt;- 'https://www.advisorkhoj.com/mutual-funds-research/top-performing-systematic-investment-plan?category=Equity:%20Small%20Cap&amp;period=8&amp;amount=3000';</v>
      </c>
      <c r="J218" t="str">
        <f t="shared" si="23"/>
        <v>url217 &lt;-  read_html (url217);</v>
      </c>
      <c r="K218" t="str">
        <f t="shared" si="24"/>
        <v>url_tbl217 &lt;- url217 %&gt;%   html_nodes('table') %&gt;%   html_table(fill = TRUE) %&gt;%   .[[1]];</v>
      </c>
      <c r="L218" t="str">
        <f t="shared" si="25"/>
        <v>url_tbl217 &lt;- data.table(url_tbl217);</v>
      </c>
      <c r="M218" t="str">
        <f t="shared" si="26"/>
        <v>url_tbl217 &lt;- url_tbl217[, `:=` (url ='Small Cap', year =8),];</v>
      </c>
      <c r="N218" t="str">
        <f t="shared" si="27"/>
        <v>url217 &lt;- 'https://www.advisorkhoj.com/mutual-funds-research/top-performing-systematic-investment-plan?category=Equity:%20Small%20Cap&amp;period=8&amp;amount=3000';url217 &lt;-  read_html (url217);url_tbl217 &lt;- url217 %&gt;%   html_nodes('table') %&gt;%   html_table(fill = TRUE) %&gt;%   .[[1]];url_tbl217 &lt;- data.table(url_tbl217);url_tbl217 &lt;- url_tbl217[, `:=` (url ='Small Cap', year =8),];</v>
      </c>
    </row>
    <row r="219" spans="1:14">
      <c r="A219" t="s">
        <v>451</v>
      </c>
      <c r="B219" t="s">
        <v>452</v>
      </c>
      <c r="C219" t="s">
        <v>436</v>
      </c>
      <c r="D219" t="str">
        <f t="shared" si="21"/>
        <v>Small%20Cap</v>
      </c>
      <c r="E219">
        <v>9</v>
      </c>
      <c r="F219" s="159" t="s">
        <v>3</v>
      </c>
      <c r="G219" t="s">
        <v>4</v>
      </c>
      <c r="H219" t="s">
        <v>5</v>
      </c>
      <c r="I219" t="str">
        <f t="shared" si="22"/>
        <v>url218 &lt;- 'https://www.advisorkhoj.com/mutual-funds-research/top-performing-systematic-investment-plan?category=Equity:%20Small%20Cap&amp;period=9&amp;amount=3000';</v>
      </c>
      <c r="J219" t="str">
        <f t="shared" si="23"/>
        <v>url218 &lt;-  read_html (url218);</v>
      </c>
      <c r="K219" t="str">
        <f t="shared" si="24"/>
        <v>url_tbl218 &lt;- url218 %&gt;%   html_nodes('table') %&gt;%   html_table(fill = TRUE) %&gt;%   .[[1]];</v>
      </c>
      <c r="L219" t="str">
        <f t="shared" si="25"/>
        <v>url_tbl218 &lt;- data.table(url_tbl218);</v>
      </c>
      <c r="M219" t="str">
        <f t="shared" si="26"/>
        <v>url_tbl218 &lt;- url_tbl218[, `:=` (url ='Small Cap', year =9),];</v>
      </c>
      <c r="N219" t="str">
        <f t="shared" si="27"/>
        <v>url218 &lt;- 'https://www.advisorkhoj.com/mutual-funds-research/top-performing-systematic-investment-plan?category=Equity:%20Small%20Cap&amp;period=9&amp;amount=3000';url218 &lt;-  read_html (url218);url_tbl218 &lt;- url218 %&gt;%   html_nodes('table') %&gt;%   html_table(fill = TRUE) %&gt;%   .[[1]];url_tbl218 &lt;- data.table(url_tbl218);url_tbl218 &lt;- url_tbl218[, `:=` (url ='Small Cap', year =9),];</v>
      </c>
    </row>
    <row r="220" spans="1:14">
      <c r="A220" t="s">
        <v>453</v>
      </c>
      <c r="B220" t="s">
        <v>454</v>
      </c>
      <c r="C220" t="s">
        <v>436</v>
      </c>
      <c r="D220" t="str">
        <f t="shared" si="21"/>
        <v>Small%20Cap</v>
      </c>
      <c r="E220">
        <v>10</v>
      </c>
      <c r="F220" s="159" t="s">
        <v>3</v>
      </c>
      <c r="G220" t="s">
        <v>4</v>
      </c>
      <c r="H220" t="s">
        <v>5</v>
      </c>
      <c r="I220" t="str">
        <f t="shared" si="22"/>
        <v>url219 &lt;- 'https://www.advisorkhoj.com/mutual-funds-research/top-performing-systematic-investment-plan?category=Equity:%20Small%20Cap&amp;period=10&amp;amount=3000';</v>
      </c>
      <c r="J220" t="str">
        <f t="shared" si="23"/>
        <v>url219 &lt;-  read_html (url219);</v>
      </c>
      <c r="K220" t="str">
        <f t="shared" si="24"/>
        <v>url_tbl219 &lt;- url219 %&gt;%   html_nodes('table') %&gt;%   html_table(fill = TRUE) %&gt;%   .[[1]];</v>
      </c>
      <c r="L220" t="str">
        <f t="shared" si="25"/>
        <v>url_tbl219 &lt;- data.table(url_tbl219);</v>
      </c>
      <c r="M220" t="str">
        <f t="shared" si="26"/>
        <v>url_tbl219 &lt;- url_tbl219[, `:=` (url ='Small Cap', year =10),];</v>
      </c>
      <c r="N220" t="str">
        <f t="shared" si="27"/>
        <v>url219 &lt;- 'https://www.advisorkhoj.com/mutual-funds-research/top-performing-systematic-investment-plan?category=Equity:%20Small%20Cap&amp;period=10&amp;amount=3000';url219 &lt;-  read_html (url219);url_tbl219 &lt;- url219 %&gt;%   html_nodes('table') %&gt;%   html_table(fill = TRUE) %&gt;%   .[[1]];url_tbl219 &lt;- data.table(url_tbl219);url_tbl219 &lt;- url_tbl219[, `:=` (url ='Small Cap', year =10),];</v>
      </c>
    </row>
    <row r="221" spans="1:14">
      <c r="A221" t="s">
        <v>455</v>
      </c>
      <c r="B221" t="s">
        <v>456</v>
      </c>
      <c r="C221" t="s">
        <v>436</v>
      </c>
      <c r="D221" t="str">
        <f t="shared" si="21"/>
        <v>Small%20Cap</v>
      </c>
      <c r="E221">
        <v>11</v>
      </c>
      <c r="F221" s="159" t="s">
        <v>3</v>
      </c>
      <c r="G221" t="s">
        <v>4</v>
      </c>
      <c r="H221" t="s">
        <v>5</v>
      </c>
      <c r="I221" t="str">
        <f t="shared" si="22"/>
        <v>url220 &lt;- 'https://www.advisorkhoj.com/mutual-funds-research/top-performing-systematic-investment-plan?category=Equity:%20Small%20Cap&amp;period=11&amp;amount=3000';</v>
      </c>
      <c r="J221" t="str">
        <f t="shared" si="23"/>
        <v>url220 &lt;-  read_html (url220);</v>
      </c>
      <c r="K221" t="str">
        <f t="shared" si="24"/>
        <v>url_tbl220 &lt;- url220 %&gt;%   html_nodes('table') %&gt;%   html_table(fill = TRUE) %&gt;%   .[[1]];</v>
      </c>
      <c r="L221" t="str">
        <f t="shared" si="25"/>
        <v>url_tbl220 &lt;- data.table(url_tbl220);</v>
      </c>
      <c r="M221" t="str">
        <f t="shared" si="26"/>
        <v>url_tbl220 &lt;- url_tbl220[, `:=` (url ='Small Cap', year =11),];</v>
      </c>
      <c r="N221" t="str">
        <f t="shared" si="27"/>
        <v>url220 &lt;- 'https://www.advisorkhoj.com/mutual-funds-research/top-performing-systematic-investment-plan?category=Equity:%20Small%20Cap&amp;period=11&amp;amount=3000';url220 &lt;-  read_html (url220);url_tbl220 &lt;- url220 %&gt;%   html_nodes('table') %&gt;%   html_table(fill = TRUE) %&gt;%   .[[1]];url_tbl220 &lt;- data.table(url_tbl220);url_tbl220 &lt;- url_tbl220[, `:=` (url ='Small Cap', year =11),];</v>
      </c>
    </row>
    <row r="222" spans="1:14">
      <c r="A222" t="s">
        <v>457</v>
      </c>
      <c r="B222" t="s">
        <v>458</v>
      </c>
      <c r="C222" t="s">
        <v>436</v>
      </c>
      <c r="D222" t="str">
        <f t="shared" si="21"/>
        <v>Small%20Cap</v>
      </c>
      <c r="E222">
        <v>12</v>
      </c>
      <c r="F222" s="159" t="s">
        <v>3</v>
      </c>
      <c r="G222" t="s">
        <v>4</v>
      </c>
      <c r="H222" t="s">
        <v>5</v>
      </c>
      <c r="I222" t="str">
        <f t="shared" si="22"/>
        <v>url221 &lt;- 'https://www.advisorkhoj.com/mutual-funds-research/top-performing-systematic-investment-plan?category=Equity:%20Small%20Cap&amp;period=12&amp;amount=3000';</v>
      </c>
      <c r="J222" t="str">
        <f t="shared" si="23"/>
        <v>url221 &lt;-  read_html (url221);</v>
      </c>
      <c r="K222" t="str">
        <f t="shared" si="24"/>
        <v>url_tbl221 &lt;- url221 %&gt;%   html_nodes('table') %&gt;%   html_table(fill = TRUE) %&gt;%   .[[1]];</v>
      </c>
      <c r="L222" t="str">
        <f t="shared" si="25"/>
        <v>url_tbl221 &lt;- data.table(url_tbl221);</v>
      </c>
      <c r="M222" t="str">
        <f t="shared" si="26"/>
        <v>url_tbl221 &lt;- url_tbl221[, `:=` (url ='Small Cap', year =12),];</v>
      </c>
      <c r="N222" t="str">
        <f t="shared" si="27"/>
        <v>url221 &lt;- 'https://www.advisorkhoj.com/mutual-funds-research/top-performing-systematic-investment-plan?category=Equity:%20Small%20Cap&amp;period=12&amp;amount=3000';url221 &lt;-  read_html (url221);url_tbl221 &lt;- url221 %&gt;%   html_nodes('table') %&gt;%   html_table(fill = TRUE) %&gt;%   .[[1]];url_tbl221 &lt;- data.table(url_tbl221);url_tbl221 &lt;- url_tbl221[, `:=` (url ='Small Cap', year =12),];</v>
      </c>
    </row>
    <row r="223" spans="1:14">
      <c r="A223" t="s">
        <v>459</v>
      </c>
      <c r="B223" t="s">
        <v>460</v>
      </c>
      <c r="C223" t="s">
        <v>436</v>
      </c>
      <c r="D223" t="str">
        <f t="shared" si="21"/>
        <v>Small%20Cap</v>
      </c>
      <c r="E223">
        <v>13</v>
      </c>
      <c r="F223" s="159" t="s">
        <v>3</v>
      </c>
      <c r="G223" t="s">
        <v>4</v>
      </c>
      <c r="H223" t="s">
        <v>5</v>
      </c>
      <c r="I223" t="str">
        <f t="shared" si="22"/>
        <v>url222 &lt;- 'https://www.advisorkhoj.com/mutual-funds-research/top-performing-systematic-investment-plan?category=Equity:%20Small%20Cap&amp;period=13&amp;amount=3000';</v>
      </c>
      <c r="J223" t="str">
        <f t="shared" si="23"/>
        <v>url222 &lt;-  read_html (url222);</v>
      </c>
      <c r="K223" t="str">
        <f t="shared" si="24"/>
        <v>url_tbl222 &lt;- url222 %&gt;%   html_nodes('table') %&gt;%   html_table(fill = TRUE) %&gt;%   .[[1]];</v>
      </c>
      <c r="L223" t="str">
        <f t="shared" si="25"/>
        <v>url_tbl222 &lt;- data.table(url_tbl222);</v>
      </c>
      <c r="M223" t="str">
        <f t="shared" si="26"/>
        <v>url_tbl222 &lt;- url_tbl222[, `:=` (url ='Small Cap', year =13),];</v>
      </c>
      <c r="N223" t="str">
        <f t="shared" si="27"/>
        <v>url222 &lt;- 'https://www.advisorkhoj.com/mutual-funds-research/top-performing-systematic-investment-plan?category=Equity:%20Small%20Cap&amp;period=13&amp;amount=3000';url222 &lt;-  read_html (url222);url_tbl222 &lt;- url222 %&gt;%   html_nodes('table') %&gt;%   html_table(fill = TRUE) %&gt;%   .[[1]];url_tbl222 &lt;- data.table(url_tbl222);url_tbl222 &lt;- url_tbl222[, `:=` (url ='Small Cap', year =13),];</v>
      </c>
    </row>
    <row r="224" spans="1:14">
      <c r="A224" t="s">
        <v>461</v>
      </c>
      <c r="B224" t="s">
        <v>462</v>
      </c>
      <c r="C224" t="s">
        <v>436</v>
      </c>
      <c r="D224" t="str">
        <f t="shared" si="21"/>
        <v>Small%20Cap</v>
      </c>
      <c r="E224">
        <v>14</v>
      </c>
      <c r="F224" s="159" t="s">
        <v>3</v>
      </c>
      <c r="G224" t="s">
        <v>4</v>
      </c>
      <c r="H224" t="s">
        <v>5</v>
      </c>
      <c r="I224" t="str">
        <f t="shared" si="22"/>
        <v>url223 &lt;- 'https://www.advisorkhoj.com/mutual-funds-research/top-performing-systematic-investment-plan?category=Equity:%20Small%20Cap&amp;period=14&amp;amount=3000';</v>
      </c>
      <c r="J224" t="str">
        <f t="shared" si="23"/>
        <v>url223 &lt;-  read_html (url223);</v>
      </c>
      <c r="K224" t="str">
        <f t="shared" si="24"/>
        <v>url_tbl223 &lt;- url223 %&gt;%   html_nodes('table') %&gt;%   html_table(fill = TRUE) %&gt;%   .[[1]];</v>
      </c>
      <c r="L224" t="str">
        <f t="shared" si="25"/>
        <v>url_tbl223 &lt;- data.table(url_tbl223);</v>
      </c>
      <c r="M224" t="str">
        <f t="shared" si="26"/>
        <v>url_tbl223 &lt;- url_tbl223[, `:=` (url ='Small Cap', year =14),];</v>
      </c>
      <c r="N224" t="str">
        <f t="shared" si="27"/>
        <v>url223 &lt;- 'https://www.advisorkhoj.com/mutual-funds-research/top-performing-systematic-investment-plan?category=Equity:%20Small%20Cap&amp;period=14&amp;amount=3000';url223 &lt;-  read_html (url223);url_tbl223 &lt;- url223 %&gt;%   html_nodes('table') %&gt;%   html_table(fill = TRUE) %&gt;%   .[[1]];url_tbl223 &lt;- data.table(url_tbl223);url_tbl223 &lt;- url_tbl223[, `:=` (url ='Small Cap', year =14),];</v>
      </c>
    </row>
    <row r="225" spans="1:14">
      <c r="A225" t="s">
        <v>463</v>
      </c>
      <c r="B225" t="s">
        <v>464</v>
      </c>
      <c r="C225" t="s">
        <v>436</v>
      </c>
      <c r="D225" t="str">
        <f t="shared" si="21"/>
        <v>Small%20Cap</v>
      </c>
      <c r="E225">
        <v>15</v>
      </c>
      <c r="F225" s="159" t="s">
        <v>3</v>
      </c>
      <c r="G225" t="s">
        <v>4</v>
      </c>
      <c r="H225" t="s">
        <v>5</v>
      </c>
      <c r="I225" t="str">
        <f t="shared" si="22"/>
        <v>url224 &lt;- 'https://www.advisorkhoj.com/mutual-funds-research/top-performing-systematic-investment-plan?category=Equity:%20Small%20Cap&amp;period=15&amp;amount=3000';</v>
      </c>
      <c r="J225" t="str">
        <f t="shared" si="23"/>
        <v>url224 &lt;-  read_html (url224);</v>
      </c>
      <c r="K225" t="str">
        <f t="shared" si="24"/>
        <v>url_tbl224 &lt;- url224 %&gt;%   html_nodes('table') %&gt;%   html_table(fill = TRUE) %&gt;%   .[[1]];</v>
      </c>
      <c r="L225" t="str">
        <f t="shared" si="25"/>
        <v>url_tbl224 &lt;- data.table(url_tbl224);</v>
      </c>
      <c r="M225" t="str">
        <f t="shared" si="26"/>
        <v>url_tbl224 &lt;- url_tbl224[, `:=` (url ='Small Cap', year =15),];</v>
      </c>
      <c r="N225" t="str">
        <f t="shared" si="27"/>
        <v>url224 &lt;- 'https://www.advisorkhoj.com/mutual-funds-research/top-performing-systematic-investment-plan?category=Equity:%20Small%20Cap&amp;period=15&amp;amount=3000';url224 &lt;-  read_html (url224);url_tbl224 &lt;- url224 %&gt;%   html_nodes('table') %&gt;%   html_table(fill = TRUE) %&gt;%   .[[1]];url_tbl224 &lt;- data.table(url_tbl224);url_tbl224 &lt;- url_tbl224[, `:=` (url ='Small Cap', year =15),];</v>
      </c>
    </row>
    <row r="226" spans="1:14">
      <c r="A226" t="s">
        <v>465</v>
      </c>
      <c r="B226" t="s">
        <v>466</v>
      </c>
      <c r="C226" t="s">
        <v>436</v>
      </c>
      <c r="D226" t="str">
        <f t="shared" si="21"/>
        <v>Small%20Cap</v>
      </c>
      <c r="E226">
        <v>16</v>
      </c>
      <c r="F226" s="159" t="s">
        <v>3</v>
      </c>
      <c r="G226" t="s">
        <v>4</v>
      </c>
      <c r="H226" t="s">
        <v>5</v>
      </c>
      <c r="I226" t="str">
        <f t="shared" si="22"/>
        <v>url225 &lt;- 'https://www.advisorkhoj.com/mutual-funds-research/top-performing-systematic-investment-plan?category=Equity:%20Small%20Cap&amp;period=16&amp;amount=3000';</v>
      </c>
      <c r="J226" t="str">
        <f t="shared" si="23"/>
        <v>url225 &lt;-  read_html (url225);</v>
      </c>
      <c r="K226" t="str">
        <f t="shared" si="24"/>
        <v>url_tbl225 &lt;- url225 %&gt;%   html_nodes('table') %&gt;%   html_table(fill = TRUE) %&gt;%   .[[1]];</v>
      </c>
      <c r="L226" t="str">
        <f t="shared" si="25"/>
        <v>url_tbl225 &lt;- data.table(url_tbl225);</v>
      </c>
      <c r="M226" t="str">
        <f t="shared" si="26"/>
        <v>url_tbl225 &lt;- url_tbl225[, `:=` (url ='Small Cap', year =16),];</v>
      </c>
      <c r="N226" t="str">
        <f t="shared" si="27"/>
        <v>url225 &lt;- 'https://www.advisorkhoj.com/mutual-funds-research/top-performing-systematic-investment-plan?category=Equity:%20Small%20Cap&amp;period=16&amp;amount=3000';url225 &lt;-  read_html (url225);url_tbl225 &lt;- url225 %&gt;%   html_nodes('table') %&gt;%   html_table(fill = TRUE) %&gt;%   .[[1]];url_tbl225 &lt;- data.table(url_tbl225);url_tbl225 &lt;- url_tbl225[, `:=` (url ='Small Cap', year =16),];</v>
      </c>
    </row>
    <row r="227" spans="1:14">
      <c r="A227" t="s">
        <v>467</v>
      </c>
      <c r="B227" t="s">
        <v>468</v>
      </c>
      <c r="C227" t="s">
        <v>469</v>
      </c>
      <c r="D227" t="str">
        <f t="shared" si="21"/>
        <v>ETFs</v>
      </c>
      <c r="E227">
        <v>1</v>
      </c>
      <c r="F227" s="159" t="s">
        <v>470</v>
      </c>
      <c r="G227" t="s">
        <v>4</v>
      </c>
      <c r="H227" t="s">
        <v>5</v>
      </c>
      <c r="I227" t="str">
        <f t="shared" si="22"/>
        <v>url226 &lt;- 'https://www.advisorkhoj.com/mutual-funds-research/top-performing-systematic-investment-plan?category=ETFs&amp;period=1&amp;amount=3000';</v>
      </c>
      <c r="J227" t="str">
        <f t="shared" si="23"/>
        <v>url226 &lt;-  read_html (url226);</v>
      </c>
      <c r="K227" t="str">
        <f t="shared" si="24"/>
        <v>url_tbl226 &lt;- url226 %&gt;%   html_nodes('table') %&gt;%   html_table(fill = TRUE) %&gt;%   .[[1]];</v>
      </c>
      <c r="L227" t="str">
        <f t="shared" si="25"/>
        <v>url_tbl226 &lt;- data.table(url_tbl226);</v>
      </c>
      <c r="M227" t="str">
        <f t="shared" si="26"/>
        <v>url_tbl226 &lt;- url_tbl226[, `:=` (url ='ETFs', year =1),];</v>
      </c>
      <c r="N227" t="str">
        <f t="shared" si="27"/>
        <v>url226 &lt;- 'https://www.advisorkhoj.com/mutual-funds-research/top-performing-systematic-investment-plan?category=ETFs&amp;period=1&amp;amount=3000';url226 &lt;-  read_html (url226);url_tbl226 &lt;- url226 %&gt;%   html_nodes('table') %&gt;%   html_table(fill = TRUE) %&gt;%   .[[1]];url_tbl226 &lt;- data.table(url_tbl226);url_tbl226 &lt;- url_tbl226[, `:=` (url ='ETFs', year =1),];</v>
      </c>
    </row>
    <row r="228" spans="1:14">
      <c r="A228" t="s">
        <v>471</v>
      </c>
      <c r="B228" t="s">
        <v>472</v>
      </c>
      <c r="C228" t="s">
        <v>469</v>
      </c>
      <c r="D228" t="str">
        <f t="shared" si="21"/>
        <v>ETFs</v>
      </c>
      <c r="E228">
        <v>2</v>
      </c>
      <c r="F228" s="159" t="s">
        <v>470</v>
      </c>
      <c r="G228" t="s">
        <v>4</v>
      </c>
      <c r="H228" t="s">
        <v>5</v>
      </c>
      <c r="I228" t="str">
        <f t="shared" si="22"/>
        <v>url227 &lt;- 'https://www.advisorkhoj.com/mutual-funds-research/top-performing-systematic-investment-plan?category=ETFs&amp;period=2&amp;amount=3000';</v>
      </c>
      <c r="J228" t="str">
        <f t="shared" si="23"/>
        <v>url227 &lt;-  read_html (url227);</v>
      </c>
      <c r="K228" t="str">
        <f t="shared" si="24"/>
        <v>url_tbl227 &lt;- url227 %&gt;%   html_nodes('table') %&gt;%   html_table(fill = TRUE) %&gt;%   .[[1]];</v>
      </c>
      <c r="L228" t="str">
        <f t="shared" si="25"/>
        <v>url_tbl227 &lt;- data.table(url_tbl227);</v>
      </c>
      <c r="M228" t="str">
        <f t="shared" si="26"/>
        <v>url_tbl227 &lt;- url_tbl227[, `:=` (url ='ETFs', year =2),];</v>
      </c>
      <c r="N228" t="str">
        <f t="shared" si="27"/>
        <v>url227 &lt;- 'https://www.advisorkhoj.com/mutual-funds-research/top-performing-systematic-investment-plan?category=ETFs&amp;period=2&amp;amount=3000';url227 &lt;-  read_html (url227);url_tbl227 &lt;- url227 %&gt;%   html_nodes('table') %&gt;%   html_table(fill = TRUE) %&gt;%   .[[1]];url_tbl227 &lt;- data.table(url_tbl227);url_tbl227 &lt;- url_tbl227[, `:=` (url ='ETFs', year =2),];</v>
      </c>
    </row>
    <row r="229" spans="1:14">
      <c r="A229" t="s">
        <v>473</v>
      </c>
      <c r="B229" t="s">
        <v>474</v>
      </c>
      <c r="C229" t="s">
        <v>469</v>
      </c>
      <c r="D229" t="str">
        <f t="shared" si="21"/>
        <v>ETFs</v>
      </c>
      <c r="E229">
        <v>3</v>
      </c>
      <c r="F229" s="159" t="s">
        <v>470</v>
      </c>
      <c r="G229" t="s">
        <v>4</v>
      </c>
      <c r="H229" t="s">
        <v>5</v>
      </c>
      <c r="I229" t="str">
        <f t="shared" si="22"/>
        <v>url228 &lt;- 'https://www.advisorkhoj.com/mutual-funds-research/top-performing-systematic-investment-plan?category=ETFs&amp;period=3&amp;amount=3000';</v>
      </c>
      <c r="J229" t="str">
        <f t="shared" si="23"/>
        <v>url228 &lt;-  read_html (url228);</v>
      </c>
      <c r="K229" t="str">
        <f t="shared" si="24"/>
        <v>url_tbl228 &lt;- url228 %&gt;%   html_nodes('table') %&gt;%   html_table(fill = TRUE) %&gt;%   .[[1]];</v>
      </c>
      <c r="L229" t="str">
        <f t="shared" si="25"/>
        <v>url_tbl228 &lt;- data.table(url_tbl228);</v>
      </c>
      <c r="M229" t="str">
        <f t="shared" si="26"/>
        <v>url_tbl228 &lt;- url_tbl228[, `:=` (url ='ETFs', year =3),];</v>
      </c>
      <c r="N229" t="str">
        <f t="shared" si="27"/>
        <v>url228 &lt;- 'https://www.advisorkhoj.com/mutual-funds-research/top-performing-systematic-investment-plan?category=ETFs&amp;period=3&amp;amount=3000';url228 &lt;-  read_html (url228);url_tbl228 &lt;- url228 %&gt;%   html_nodes('table') %&gt;%   html_table(fill = TRUE) %&gt;%   .[[1]];url_tbl228 &lt;- data.table(url_tbl228);url_tbl228 &lt;- url_tbl228[, `:=` (url ='ETFs', year =3),];</v>
      </c>
    </row>
    <row r="230" spans="1:14">
      <c r="A230" t="s">
        <v>475</v>
      </c>
      <c r="B230" t="s">
        <v>476</v>
      </c>
      <c r="C230" t="s">
        <v>469</v>
      </c>
      <c r="D230" t="str">
        <f t="shared" si="21"/>
        <v>ETFs</v>
      </c>
      <c r="E230">
        <v>4</v>
      </c>
      <c r="F230" s="159" t="s">
        <v>470</v>
      </c>
      <c r="G230" t="s">
        <v>4</v>
      </c>
      <c r="H230" t="s">
        <v>5</v>
      </c>
      <c r="I230" t="str">
        <f t="shared" si="22"/>
        <v>url229 &lt;- 'https://www.advisorkhoj.com/mutual-funds-research/top-performing-systematic-investment-plan?category=ETFs&amp;period=4&amp;amount=3000';</v>
      </c>
      <c r="J230" t="str">
        <f t="shared" si="23"/>
        <v>url229 &lt;-  read_html (url229);</v>
      </c>
      <c r="K230" t="str">
        <f t="shared" si="24"/>
        <v>url_tbl229 &lt;- url229 %&gt;%   html_nodes('table') %&gt;%   html_table(fill = TRUE) %&gt;%   .[[1]];</v>
      </c>
      <c r="L230" t="str">
        <f t="shared" si="25"/>
        <v>url_tbl229 &lt;- data.table(url_tbl229);</v>
      </c>
      <c r="M230" t="str">
        <f t="shared" si="26"/>
        <v>url_tbl229 &lt;- url_tbl229[, `:=` (url ='ETFs', year =4),];</v>
      </c>
      <c r="N230" t="str">
        <f t="shared" si="27"/>
        <v>url229 &lt;- 'https://www.advisorkhoj.com/mutual-funds-research/top-performing-systematic-investment-plan?category=ETFs&amp;period=4&amp;amount=3000';url229 &lt;-  read_html (url229);url_tbl229 &lt;- url229 %&gt;%   html_nodes('table') %&gt;%   html_table(fill = TRUE) %&gt;%   .[[1]];url_tbl229 &lt;- data.table(url_tbl229);url_tbl229 &lt;- url_tbl229[, `:=` (url ='ETFs', year =4),];</v>
      </c>
    </row>
    <row r="231" spans="1:14">
      <c r="A231" t="s">
        <v>477</v>
      </c>
      <c r="B231" t="s">
        <v>478</v>
      </c>
      <c r="C231" t="s">
        <v>469</v>
      </c>
      <c r="D231" t="str">
        <f t="shared" si="21"/>
        <v>ETFs</v>
      </c>
      <c r="E231">
        <v>5</v>
      </c>
      <c r="F231" s="159" t="s">
        <v>470</v>
      </c>
      <c r="G231" t="s">
        <v>4</v>
      </c>
      <c r="H231" t="s">
        <v>5</v>
      </c>
      <c r="I231" t="str">
        <f t="shared" si="22"/>
        <v>url230 &lt;- 'https://www.advisorkhoj.com/mutual-funds-research/top-performing-systematic-investment-plan?category=ETFs&amp;period=5&amp;amount=3000';</v>
      </c>
      <c r="J231" t="str">
        <f t="shared" si="23"/>
        <v>url230 &lt;-  read_html (url230);</v>
      </c>
      <c r="K231" t="str">
        <f t="shared" si="24"/>
        <v>url_tbl230 &lt;- url230 %&gt;%   html_nodes('table') %&gt;%   html_table(fill = TRUE) %&gt;%   .[[1]];</v>
      </c>
      <c r="L231" t="str">
        <f t="shared" si="25"/>
        <v>url_tbl230 &lt;- data.table(url_tbl230);</v>
      </c>
      <c r="M231" t="str">
        <f t="shared" si="26"/>
        <v>url_tbl230 &lt;- url_tbl230[, `:=` (url ='ETFs', year =5),];</v>
      </c>
      <c r="N231" t="str">
        <f t="shared" si="27"/>
        <v>url230 &lt;- 'https://www.advisorkhoj.com/mutual-funds-research/top-performing-systematic-investment-plan?category=ETFs&amp;period=5&amp;amount=3000';url230 &lt;-  read_html (url230);url_tbl230 &lt;- url230 %&gt;%   html_nodes('table') %&gt;%   html_table(fill = TRUE) %&gt;%   .[[1]];url_tbl230 &lt;- data.table(url_tbl230);url_tbl230 &lt;- url_tbl230[, `:=` (url ='ETFs', year =5),];</v>
      </c>
    </row>
    <row r="232" spans="1:14">
      <c r="A232" t="s">
        <v>479</v>
      </c>
      <c r="B232" t="s">
        <v>480</v>
      </c>
      <c r="C232" t="s">
        <v>469</v>
      </c>
      <c r="D232" t="str">
        <f t="shared" si="21"/>
        <v>ETFs</v>
      </c>
      <c r="E232">
        <v>6</v>
      </c>
      <c r="F232" s="159" t="s">
        <v>470</v>
      </c>
      <c r="G232" t="s">
        <v>4</v>
      </c>
      <c r="H232" t="s">
        <v>5</v>
      </c>
      <c r="I232" t="str">
        <f t="shared" si="22"/>
        <v>url231 &lt;- 'https://www.advisorkhoj.com/mutual-funds-research/top-performing-systematic-investment-plan?category=ETFs&amp;period=6&amp;amount=3000';</v>
      </c>
      <c r="J232" t="str">
        <f t="shared" si="23"/>
        <v>url231 &lt;-  read_html (url231);</v>
      </c>
      <c r="K232" t="str">
        <f t="shared" si="24"/>
        <v>url_tbl231 &lt;- url231 %&gt;%   html_nodes('table') %&gt;%   html_table(fill = TRUE) %&gt;%   .[[1]];</v>
      </c>
      <c r="L232" t="str">
        <f t="shared" si="25"/>
        <v>url_tbl231 &lt;- data.table(url_tbl231);</v>
      </c>
      <c r="M232" t="str">
        <f t="shared" si="26"/>
        <v>url_tbl231 &lt;- url_tbl231[, `:=` (url ='ETFs', year =6),];</v>
      </c>
      <c r="N232" t="str">
        <f t="shared" si="27"/>
        <v>url231 &lt;- 'https://www.advisorkhoj.com/mutual-funds-research/top-performing-systematic-investment-plan?category=ETFs&amp;period=6&amp;amount=3000';url231 &lt;-  read_html (url231);url_tbl231 &lt;- url231 %&gt;%   html_nodes('table') %&gt;%   html_table(fill = TRUE) %&gt;%   .[[1]];url_tbl231 &lt;- data.table(url_tbl231);url_tbl231 &lt;- url_tbl231[, `:=` (url ='ETFs', year =6),];</v>
      </c>
    </row>
    <row r="233" spans="1:14">
      <c r="A233" t="s">
        <v>481</v>
      </c>
      <c r="B233" t="s">
        <v>482</v>
      </c>
      <c r="C233" t="s">
        <v>469</v>
      </c>
      <c r="D233" t="str">
        <f t="shared" si="21"/>
        <v>ETFs</v>
      </c>
      <c r="E233">
        <v>7</v>
      </c>
      <c r="F233" s="159" t="s">
        <v>470</v>
      </c>
      <c r="G233" t="s">
        <v>4</v>
      </c>
      <c r="H233" t="s">
        <v>5</v>
      </c>
      <c r="I233" t="str">
        <f t="shared" si="22"/>
        <v>url232 &lt;- 'https://www.advisorkhoj.com/mutual-funds-research/top-performing-systematic-investment-plan?category=ETFs&amp;period=7&amp;amount=3000';</v>
      </c>
      <c r="J233" t="str">
        <f t="shared" si="23"/>
        <v>url232 &lt;-  read_html (url232);</v>
      </c>
      <c r="K233" t="str">
        <f t="shared" si="24"/>
        <v>url_tbl232 &lt;- url232 %&gt;%   html_nodes('table') %&gt;%   html_table(fill = TRUE) %&gt;%   .[[1]];</v>
      </c>
      <c r="L233" t="str">
        <f t="shared" si="25"/>
        <v>url_tbl232 &lt;- data.table(url_tbl232);</v>
      </c>
      <c r="M233" t="str">
        <f t="shared" si="26"/>
        <v>url_tbl232 &lt;- url_tbl232[, `:=` (url ='ETFs', year =7),];</v>
      </c>
      <c r="N233" t="str">
        <f t="shared" si="27"/>
        <v>url232 &lt;- 'https://www.advisorkhoj.com/mutual-funds-research/top-performing-systematic-investment-plan?category=ETFs&amp;period=7&amp;amount=3000';url232 &lt;-  read_html (url232);url_tbl232 &lt;- url232 %&gt;%   html_nodes('table') %&gt;%   html_table(fill = TRUE) %&gt;%   .[[1]];url_tbl232 &lt;- data.table(url_tbl232);url_tbl232 &lt;- url_tbl232[, `:=` (url ='ETFs', year =7),];</v>
      </c>
    </row>
    <row r="234" spans="1:14">
      <c r="A234" t="s">
        <v>483</v>
      </c>
      <c r="B234" t="s">
        <v>484</v>
      </c>
      <c r="C234" t="s">
        <v>469</v>
      </c>
      <c r="D234" t="str">
        <f t="shared" si="21"/>
        <v>ETFs</v>
      </c>
      <c r="E234">
        <v>8</v>
      </c>
      <c r="F234" s="159" t="s">
        <v>470</v>
      </c>
      <c r="G234" t="s">
        <v>4</v>
      </c>
      <c r="H234" t="s">
        <v>5</v>
      </c>
      <c r="I234" t="str">
        <f t="shared" si="22"/>
        <v>url233 &lt;- 'https://www.advisorkhoj.com/mutual-funds-research/top-performing-systematic-investment-plan?category=ETFs&amp;period=8&amp;amount=3000';</v>
      </c>
      <c r="J234" t="str">
        <f t="shared" si="23"/>
        <v>url233 &lt;-  read_html (url233);</v>
      </c>
      <c r="K234" t="str">
        <f t="shared" si="24"/>
        <v>url_tbl233 &lt;- url233 %&gt;%   html_nodes('table') %&gt;%   html_table(fill = TRUE) %&gt;%   .[[1]];</v>
      </c>
      <c r="L234" t="str">
        <f t="shared" si="25"/>
        <v>url_tbl233 &lt;- data.table(url_tbl233);</v>
      </c>
      <c r="M234" t="str">
        <f t="shared" si="26"/>
        <v>url_tbl233 &lt;- url_tbl233[, `:=` (url ='ETFs', year =8),];</v>
      </c>
      <c r="N234" t="str">
        <f t="shared" si="27"/>
        <v>url233 &lt;- 'https://www.advisorkhoj.com/mutual-funds-research/top-performing-systematic-investment-plan?category=ETFs&amp;period=8&amp;amount=3000';url233 &lt;-  read_html (url233);url_tbl233 &lt;- url233 %&gt;%   html_nodes('table') %&gt;%   html_table(fill = TRUE) %&gt;%   .[[1]];url_tbl233 &lt;- data.table(url_tbl233);url_tbl233 &lt;- url_tbl233[, `:=` (url ='ETFs', year =8),];</v>
      </c>
    </row>
    <row r="235" spans="1:14">
      <c r="A235" t="s">
        <v>485</v>
      </c>
      <c r="B235" t="s">
        <v>486</v>
      </c>
      <c r="C235" t="s">
        <v>469</v>
      </c>
      <c r="D235" t="str">
        <f t="shared" si="21"/>
        <v>ETFs</v>
      </c>
      <c r="E235">
        <v>9</v>
      </c>
      <c r="F235" s="159" t="s">
        <v>470</v>
      </c>
      <c r="G235" t="s">
        <v>4</v>
      </c>
      <c r="H235" t="s">
        <v>5</v>
      </c>
      <c r="I235" t="str">
        <f t="shared" si="22"/>
        <v>url234 &lt;- 'https://www.advisorkhoj.com/mutual-funds-research/top-performing-systematic-investment-plan?category=ETFs&amp;period=9&amp;amount=3000';</v>
      </c>
      <c r="J235" t="str">
        <f t="shared" si="23"/>
        <v>url234 &lt;-  read_html (url234);</v>
      </c>
      <c r="K235" t="str">
        <f t="shared" si="24"/>
        <v>url_tbl234 &lt;- url234 %&gt;%   html_nodes('table') %&gt;%   html_table(fill = TRUE) %&gt;%   .[[1]];</v>
      </c>
      <c r="L235" t="str">
        <f t="shared" si="25"/>
        <v>url_tbl234 &lt;- data.table(url_tbl234);</v>
      </c>
      <c r="M235" t="str">
        <f t="shared" si="26"/>
        <v>url_tbl234 &lt;- url_tbl234[, `:=` (url ='ETFs', year =9),];</v>
      </c>
      <c r="N235" t="str">
        <f t="shared" si="27"/>
        <v>url234 &lt;- 'https://www.advisorkhoj.com/mutual-funds-research/top-performing-systematic-investment-plan?category=ETFs&amp;period=9&amp;amount=3000';url234 &lt;-  read_html (url234);url_tbl234 &lt;- url234 %&gt;%   html_nodes('table') %&gt;%   html_table(fill = TRUE) %&gt;%   .[[1]];url_tbl234 &lt;- data.table(url_tbl234);url_tbl234 &lt;- url_tbl234[, `:=` (url ='ETFs', year =9),];</v>
      </c>
    </row>
    <row r="236" spans="1:14">
      <c r="A236" t="s">
        <v>487</v>
      </c>
      <c r="B236" t="s">
        <v>488</v>
      </c>
      <c r="C236" t="s">
        <v>469</v>
      </c>
      <c r="D236" t="str">
        <f t="shared" si="21"/>
        <v>ETFs</v>
      </c>
      <c r="E236">
        <v>10</v>
      </c>
      <c r="F236" s="159" t="s">
        <v>470</v>
      </c>
      <c r="G236" t="s">
        <v>4</v>
      </c>
      <c r="H236" t="s">
        <v>5</v>
      </c>
      <c r="I236" t="str">
        <f t="shared" si="22"/>
        <v>url235 &lt;- 'https://www.advisorkhoj.com/mutual-funds-research/top-performing-systematic-investment-plan?category=ETFs&amp;period=10&amp;amount=3000';</v>
      </c>
      <c r="J236" t="str">
        <f t="shared" si="23"/>
        <v>url235 &lt;-  read_html (url235);</v>
      </c>
      <c r="K236" t="str">
        <f t="shared" si="24"/>
        <v>url_tbl235 &lt;- url235 %&gt;%   html_nodes('table') %&gt;%   html_table(fill = TRUE) %&gt;%   .[[1]];</v>
      </c>
      <c r="L236" t="str">
        <f t="shared" si="25"/>
        <v>url_tbl235 &lt;- data.table(url_tbl235);</v>
      </c>
      <c r="M236" t="str">
        <f t="shared" si="26"/>
        <v>url_tbl235 &lt;- url_tbl235[, `:=` (url ='ETFs', year =10),];</v>
      </c>
      <c r="N236" t="str">
        <f t="shared" si="27"/>
        <v>url235 &lt;- 'https://www.advisorkhoj.com/mutual-funds-research/top-performing-systematic-investment-plan?category=ETFs&amp;period=10&amp;amount=3000';url235 &lt;-  read_html (url235);url_tbl235 &lt;- url235 %&gt;%   html_nodes('table') %&gt;%   html_table(fill = TRUE) %&gt;%   .[[1]];url_tbl235 &lt;- data.table(url_tbl235);url_tbl235 &lt;- url_tbl235[, `:=` (url ='ETFs', year =10),];</v>
      </c>
    </row>
    <row r="237" spans="1:14">
      <c r="A237" t="s">
        <v>489</v>
      </c>
      <c r="B237" t="s">
        <v>490</v>
      </c>
      <c r="C237" t="s">
        <v>469</v>
      </c>
      <c r="D237" t="str">
        <f t="shared" si="21"/>
        <v>ETFs</v>
      </c>
      <c r="E237">
        <v>11</v>
      </c>
      <c r="F237" s="159" t="s">
        <v>470</v>
      </c>
      <c r="G237" t="s">
        <v>4</v>
      </c>
      <c r="H237" t="s">
        <v>5</v>
      </c>
      <c r="I237" t="str">
        <f t="shared" si="22"/>
        <v>url236 &lt;- 'https://www.advisorkhoj.com/mutual-funds-research/top-performing-systematic-investment-plan?category=ETFs&amp;period=11&amp;amount=3000';</v>
      </c>
      <c r="J237" t="str">
        <f t="shared" si="23"/>
        <v>url236 &lt;-  read_html (url236);</v>
      </c>
      <c r="K237" t="str">
        <f t="shared" si="24"/>
        <v>url_tbl236 &lt;- url236 %&gt;%   html_nodes('table') %&gt;%   html_table(fill = TRUE) %&gt;%   .[[1]];</v>
      </c>
      <c r="L237" t="str">
        <f t="shared" si="25"/>
        <v>url_tbl236 &lt;- data.table(url_tbl236);</v>
      </c>
      <c r="M237" t="str">
        <f t="shared" si="26"/>
        <v>url_tbl236 &lt;- url_tbl236[, `:=` (url ='ETFs', year =11),];</v>
      </c>
      <c r="N237" t="str">
        <f t="shared" si="27"/>
        <v>url236 &lt;- 'https://www.advisorkhoj.com/mutual-funds-research/top-performing-systematic-investment-plan?category=ETFs&amp;period=11&amp;amount=3000';url236 &lt;-  read_html (url236);url_tbl236 &lt;- url236 %&gt;%   html_nodes('table') %&gt;%   html_table(fill = TRUE) %&gt;%   .[[1]];url_tbl236 &lt;- data.table(url_tbl236);url_tbl236 &lt;- url_tbl236[, `:=` (url ='ETFs', year =11),];</v>
      </c>
    </row>
    <row r="238" spans="1:14">
      <c r="A238" t="s">
        <v>491</v>
      </c>
      <c r="B238" t="s">
        <v>492</v>
      </c>
      <c r="C238" t="s">
        <v>469</v>
      </c>
      <c r="D238" t="str">
        <f t="shared" si="21"/>
        <v>ETFs</v>
      </c>
      <c r="E238">
        <v>12</v>
      </c>
      <c r="F238" s="159" t="s">
        <v>470</v>
      </c>
      <c r="G238" t="s">
        <v>4</v>
      </c>
      <c r="H238" t="s">
        <v>5</v>
      </c>
      <c r="I238" t="str">
        <f t="shared" si="22"/>
        <v>url237 &lt;- 'https://www.advisorkhoj.com/mutual-funds-research/top-performing-systematic-investment-plan?category=ETFs&amp;period=12&amp;amount=3000';</v>
      </c>
      <c r="J238" t="str">
        <f t="shared" si="23"/>
        <v>url237 &lt;-  read_html (url237);</v>
      </c>
      <c r="K238" t="str">
        <f t="shared" si="24"/>
        <v>url_tbl237 &lt;- url237 %&gt;%   html_nodes('table') %&gt;%   html_table(fill = TRUE) %&gt;%   .[[1]];</v>
      </c>
      <c r="L238" t="str">
        <f t="shared" si="25"/>
        <v>url_tbl237 &lt;- data.table(url_tbl237);</v>
      </c>
      <c r="M238" t="str">
        <f t="shared" si="26"/>
        <v>url_tbl237 &lt;- url_tbl237[, `:=` (url ='ETFs', year =12),];</v>
      </c>
      <c r="N238" t="str">
        <f t="shared" si="27"/>
        <v>url237 &lt;- 'https://www.advisorkhoj.com/mutual-funds-research/top-performing-systematic-investment-plan?category=ETFs&amp;period=12&amp;amount=3000';url237 &lt;-  read_html (url237);url_tbl237 &lt;- url237 %&gt;%   html_nodes('table') %&gt;%   html_table(fill = TRUE) %&gt;%   .[[1]];url_tbl237 &lt;- data.table(url_tbl237);url_tbl237 &lt;- url_tbl237[, `:=` (url ='ETFs', year =12),];</v>
      </c>
    </row>
    <row r="239" spans="1:14">
      <c r="A239" t="s">
        <v>493</v>
      </c>
      <c r="B239" t="s">
        <v>494</v>
      </c>
      <c r="C239" t="s">
        <v>469</v>
      </c>
      <c r="D239" t="str">
        <f t="shared" si="21"/>
        <v>ETFs</v>
      </c>
      <c r="E239">
        <v>13</v>
      </c>
      <c r="F239" s="159" t="s">
        <v>470</v>
      </c>
      <c r="G239" t="s">
        <v>4</v>
      </c>
      <c r="H239" t="s">
        <v>5</v>
      </c>
      <c r="I239" t="str">
        <f t="shared" si="22"/>
        <v>url238 &lt;- 'https://www.advisorkhoj.com/mutual-funds-research/top-performing-systematic-investment-plan?category=ETFs&amp;period=13&amp;amount=3000';</v>
      </c>
      <c r="J239" t="str">
        <f t="shared" si="23"/>
        <v>url238 &lt;-  read_html (url238);</v>
      </c>
      <c r="K239" t="str">
        <f t="shared" si="24"/>
        <v>url_tbl238 &lt;- url238 %&gt;%   html_nodes('table') %&gt;%   html_table(fill = TRUE) %&gt;%   .[[1]];</v>
      </c>
      <c r="L239" t="str">
        <f t="shared" si="25"/>
        <v>url_tbl238 &lt;- data.table(url_tbl238);</v>
      </c>
      <c r="M239" t="str">
        <f t="shared" si="26"/>
        <v>url_tbl238 &lt;- url_tbl238[, `:=` (url ='ETFs', year =13),];</v>
      </c>
      <c r="N239" t="str">
        <f t="shared" si="27"/>
        <v>url238 &lt;- 'https://www.advisorkhoj.com/mutual-funds-research/top-performing-systematic-investment-plan?category=ETFs&amp;period=13&amp;amount=3000';url238 &lt;-  read_html (url238);url_tbl238 &lt;- url238 %&gt;%   html_nodes('table') %&gt;%   html_table(fill = TRUE) %&gt;%   .[[1]];url_tbl238 &lt;- data.table(url_tbl238);url_tbl238 &lt;- url_tbl238[, `:=` (url ='ETFs', year =13),];</v>
      </c>
    </row>
    <row r="240" spans="1:14">
      <c r="A240" t="s">
        <v>495</v>
      </c>
      <c r="B240" t="s">
        <v>496</v>
      </c>
      <c r="C240" t="s">
        <v>469</v>
      </c>
      <c r="D240" t="str">
        <f t="shared" si="21"/>
        <v>ETFs</v>
      </c>
      <c r="E240">
        <v>14</v>
      </c>
      <c r="F240" s="159" t="s">
        <v>470</v>
      </c>
      <c r="G240" t="s">
        <v>4</v>
      </c>
      <c r="H240" t="s">
        <v>5</v>
      </c>
      <c r="I240" t="str">
        <f t="shared" si="22"/>
        <v>url239 &lt;- 'https://www.advisorkhoj.com/mutual-funds-research/top-performing-systematic-investment-plan?category=ETFs&amp;period=14&amp;amount=3000';</v>
      </c>
      <c r="J240" t="str">
        <f t="shared" si="23"/>
        <v>url239 &lt;-  read_html (url239);</v>
      </c>
      <c r="K240" t="str">
        <f t="shared" si="24"/>
        <v>url_tbl239 &lt;- url239 %&gt;%   html_nodes('table') %&gt;%   html_table(fill = TRUE) %&gt;%   .[[1]];</v>
      </c>
      <c r="L240" t="str">
        <f t="shared" si="25"/>
        <v>url_tbl239 &lt;- data.table(url_tbl239);</v>
      </c>
      <c r="M240" t="str">
        <f t="shared" si="26"/>
        <v>url_tbl239 &lt;- url_tbl239[, `:=` (url ='ETFs', year =14),];</v>
      </c>
      <c r="N240" t="str">
        <f t="shared" si="27"/>
        <v>url239 &lt;- 'https://www.advisorkhoj.com/mutual-funds-research/top-performing-systematic-investment-plan?category=ETFs&amp;period=14&amp;amount=3000';url239 &lt;-  read_html (url239);url_tbl239 &lt;- url239 %&gt;%   html_nodes('table') %&gt;%   html_table(fill = TRUE) %&gt;%   .[[1]];url_tbl239 &lt;- data.table(url_tbl239);url_tbl239 &lt;- url_tbl239[, `:=` (url ='ETFs', year =14),];</v>
      </c>
    </row>
    <row r="241" spans="1:14">
      <c r="A241" t="s">
        <v>497</v>
      </c>
      <c r="B241" t="s">
        <v>498</v>
      </c>
      <c r="C241" t="s">
        <v>469</v>
      </c>
      <c r="D241" t="str">
        <f t="shared" si="21"/>
        <v>ETFs</v>
      </c>
      <c r="E241">
        <v>15</v>
      </c>
      <c r="F241" s="159" t="s">
        <v>470</v>
      </c>
      <c r="G241" t="s">
        <v>4</v>
      </c>
      <c r="H241" t="s">
        <v>5</v>
      </c>
      <c r="I241" t="str">
        <f t="shared" si="22"/>
        <v>url240 &lt;- 'https://www.advisorkhoj.com/mutual-funds-research/top-performing-systematic-investment-plan?category=ETFs&amp;period=15&amp;amount=3000';</v>
      </c>
      <c r="J241" t="str">
        <f t="shared" si="23"/>
        <v>url240 &lt;-  read_html (url240);</v>
      </c>
      <c r="K241" t="str">
        <f t="shared" si="24"/>
        <v>url_tbl240 &lt;- url240 %&gt;%   html_nodes('table') %&gt;%   html_table(fill = TRUE) %&gt;%   .[[1]];</v>
      </c>
      <c r="L241" t="str">
        <f t="shared" si="25"/>
        <v>url_tbl240 &lt;- data.table(url_tbl240);</v>
      </c>
      <c r="M241" t="str">
        <f t="shared" si="26"/>
        <v>url_tbl240 &lt;- url_tbl240[, `:=` (url ='ETFs', year =15),];</v>
      </c>
      <c r="N241" t="str">
        <f t="shared" si="27"/>
        <v>url240 &lt;- 'https://www.advisorkhoj.com/mutual-funds-research/top-performing-systematic-investment-plan?category=ETFs&amp;period=15&amp;amount=3000';url240 &lt;-  read_html (url240);url_tbl240 &lt;- url240 %&gt;%   html_nodes('table') %&gt;%   html_table(fill = TRUE) %&gt;%   .[[1]];url_tbl240 &lt;- data.table(url_tbl240);url_tbl240 &lt;- url_tbl240[, `:=` (url ='ETFs', year =15),];</v>
      </c>
    </row>
    <row r="242" spans="1:14">
      <c r="A242" t="s">
        <v>499</v>
      </c>
      <c r="B242" t="s">
        <v>500</v>
      </c>
      <c r="C242" t="s">
        <v>469</v>
      </c>
      <c r="D242" t="str">
        <f t="shared" si="21"/>
        <v>ETFs</v>
      </c>
      <c r="E242">
        <v>16</v>
      </c>
      <c r="F242" s="159" t="s">
        <v>470</v>
      </c>
      <c r="G242" t="s">
        <v>4</v>
      </c>
      <c r="H242" t="s">
        <v>5</v>
      </c>
      <c r="I242" t="str">
        <f t="shared" si="22"/>
        <v>url241 &lt;- 'https://www.advisorkhoj.com/mutual-funds-research/top-performing-systematic-investment-plan?category=ETFs&amp;period=16&amp;amount=3000';</v>
      </c>
      <c r="J242" t="str">
        <f t="shared" si="23"/>
        <v>url241 &lt;-  read_html (url241);</v>
      </c>
      <c r="K242" t="str">
        <f t="shared" si="24"/>
        <v>url_tbl241 &lt;- url241 %&gt;%   html_nodes('table') %&gt;%   html_table(fill = TRUE) %&gt;%   .[[1]];</v>
      </c>
      <c r="L242" t="str">
        <f t="shared" si="25"/>
        <v>url_tbl241 &lt;- data.table(url_tbl241);</v>
      </c>
      <c r="M242" t="str">
        <f t="shared" si="26"/>
        <v>url_tbl241 &lt;- url_tbl241[, `:=` (url ='ETFs', year =16),];</v>
      </c>
      <c r="N242" t="str">
        <f t="shared" si="27"/>
        <v>url241 &lt;- 'https://www.advisorkhoj.com/mutual-funds-research/top-performing-systematic-investment-plan?category=ETFs&amp;period=16&amp;amount=3000';url241 &lt;-  read_html (url241);url_tbl241 &lt;- url241 %&gt;%   html_nodes('table') %&gt;%   html_table(fill = TRUE) %&gt;%   .[[1]];url_tbl241 &lt;- data.table(url_tbl241);url_tbl241 &lt;- url_tbl241[, `:=` (url ='ETFs', year =16),];</v>
      </c>
    </row>
    <row r="243" spans="1:14">
      <c r="A243" t="s">
        <v>501</v>
      </c>
      <c r="B243" t="s">
        <v>502</v>
      </c>
      <c r="C243" t="s">
        <v>503</v>
      </c>
      <c r="D243" t="str">
        <f t="shared" si="21"/>
        <v>Index%20Fund</v>
      </c>
      <c r="E243">
        <v>1</v>
      </c>
      <c r="F243" s="159" t="s">
        <v>470</v>
      </c>
      <c r="G243" t="s">
        <v>4</v>
      </c>
      <c r="H243" t="s">
        <v>5</v>
      </c>
      <c r="I243" t="str">
        <f t="shared" si="22"/>
        <v>url242 &lt;- 'https://www.advisorkhoj.com/mutual-funds-research/top-performing-systematic-investment-plan?category=Index%20Fund&amp;period=1&amp;amount=3000';</v>
      </c>
      <c r="J243" t="str">
        <f t="shared" si="23"/>
        <v>url242 &lt;-  read_html (url242);</v>
      </c>
      <c r="K243" t="str">
        <f t="shared" si="24"/>
        <v>url_tbl242 &lt;- url242 %&gt;%   html_nodes('table') %&gt;%   html_table(fill = TRUE) %&gt;%   .[[1]];</v>
      </c>
      <c r="L243" t="str">
        <f t="shared" si="25"/>
        <v>url_tbl242 &lt;- data.table(url_tbl242);</v>
      </c>
      <c r="M243" t="str">
        <f t="shared" si="26"/>
        <v>url_tbl242 &lt;- url_tbl242[, `:=` (url ='Index Fund', year =1),];</v>
      </c>
      <c r="N243" t="str">
        <f t="shared" si="27"/>
        <v>url242 &lt;- 'https://www.advisorkhoj.com/mutual-funds-research/top-performing-systematic-investment-plan?category=Index%20Fund&amp;period=1&amp;amount=3000';url242 &lt;-  read_html (url242);url_tbl242 &lt;- url242 %&gt;%   html_nodes('table') %&gt;%   html_table(fill = TRUE) %&gt;%   .[[1]];url_tbl242 &lt;- data.table(url_tbl242);url_tbl242 &lt;- url_tbl242[, `:=` (url ='Index Fund', year =1),];</v>
      </c>
    </row>
    <row r="244" spans="1:14">
      <c r="A244" t="s">
        <v>504</v>
      </c>
      <c r="B244" t="s">
        <v>505</v>
      </c>
      <c r="C244" t="s">
        <v>503</v>
      </c>
      <c r="D244" t="str">
        <f t="shared" si="21"/>
        <v>Index%20Fund</v>
      </c>
      <c r="E244">
        <v>2</v>
      </c>
      <c r="F244" s="159" t="s">
        <v>470</v>
      </c>
      <c r="G244" t="s">
        <v>4</v>
      </c>
      <c r="H244" t="s">
        <v>5</v>
      </c>
      <c r="I244" t="str">
        <f t="shared" si="22"/>
        <v>url243 &lt;- 'https://www.advisorkhoj.com/mutual-funds-research/top-performing-systematic-investment-plan?category=Index%20Fund&amp;period=2&amp;amount=3000';</v>
      </c>
      <c r="J244" t="str">
        <f t="shared" si="23"/>
        <v>url243 &lt;-  read_html (url243);</v>
      </c>
      <c r="K244" t="str">
        <f t="shared" si="24"/>
        <v>url_tbl243 &lt;- url243 %&gt;%   html_nodes('table') %&gt;%   html_table(fill = TRUE) %&gt;%   .[[1]];</v>
      </c>
      <c r="L244" t="str">
        <f t="shared" si="25"/>
        <v>url_tbl243 &lt;- data.table(url_tbl243);</v>
      </c>
      <c r="M244" t="str">
        <f t="shared" si="26"/>
        <v>url_tbl243 &lt;- url_tbl243[, `:=` (url ='Index Fund', year =2),];</v>
      </c>
      <c r="N244" t="str">
        <f t="shared" si="27"/>
        <v>url243 &lt;- 'https://www.advisorkhoj.com/mutual-funds-research/top-performing-systematic-investment-plan?category=Index%20Fund&amp;period=2&amp;amount=3000';url243 &lt;-  read_html (url243);url_tbl243 &lt;- url243 %&gt;%   html_nodes('table') %&gt;%   html_table(fill = TRUE) %&gt;%   .[[1]];url_tbl243 &lt;- data.table(url_tbl243);url_tbl243 &lt;- url_tbl243[, `:=` (url ='Index Fund', year =2),];</v>
      </c>
    </row>
    <row r="245" spans="1:14">
      <c r="A245" t="s">
        <v>506</v>
      </c>
      <c r="B245" t="s">
        <v>507</v>
      </c>
      <c r="C245" t="s">
        <v>503</v>
      </c>
      <c r="D245" t="str">
        <f t="shared" si="21"/>
        <v>Index%20Fund</v>
      </c>
      <c r="E245">
        <v>3</v>
      </c>
      <c r="F245" s="159" t="s">
        <v>470</v>
      </c>
      <c r="G245" t="s">
        <v>4</v>
      </c>
      <c r="H245" t="s">
        <v>5</v>
      </c>
      <c r="I245" t="str">
        <f t="shared" si="22"/>
        <v>url244 &lt;- 'https://www.advisorkhoj.com/mutual-funds-research/top-performing-systematic-investment-plan?category=Index%20Fund&amp;period=3&amp;amount=3000';</v>
      </c>
      <c r="J245" t="str">
        <f t="shared" si="23"/>
        <v>url244 &lt;-  read_html (url244);</v>
      </c>
      <c r="K245" t="str">
        <f t="shared" si="24"/>
        <v>url_tbl244 &lt;- url244 %&gt;%   html_nodes('table') %&gt;%   html_table(fill = TRUE) %&gt;%   .[[1]];</v>
      </c>
      <c r="L245" t="str">
        <f t="shared" si="25"/>
        <v>url_tbl244 &lt;- data.table(url_tbl244);</v>
      </c>
      <c r="M245" t="str">
        <f t="shared" si="26"/>
        <v>url_tbl244 &lt;- url_tbl244[, `:=` (url ='Index Fund', year =3),];</v>
      </c>
      <c r="N245" t="str">
        <f t="shared" si="27"/>
        <v>url244 &lt;- 'https://www.advisorkhoj.com/mutual-funds-research/top-performing-systematic-investment-plan?category=Index%20Fund&amp;period=3&amp;amount=3000';url244 &lt;-  read_html (url244);url_tbl244 &lt;- url244 %&gt;%   html_nodes('table') %&gt;%   html_table(fill = TRUE) %&gt;%   .[[1]];url_tbl244 &lt;- data.table(url_tbl244);url_tbl244 &lt;- url_tbl244[, `:=` (url ='Index Fund', year =3),];</v>
      </c>
    </row>
    <row r="246" spans="1:14">
      <c r="A246" t="s">
        <v>508</v>
      </c>
      <c r="B246" t="s">
        <v>509</v>
      </c>
      <c r="C246" t="s">
        <v>503</v>
      </c>
      <c r="D246" t="str">
        <f t="shared" si="21"/>
        <v>Index%20Fund</v>
      </c>
      <c r="E246">
        <v>4</v>
      </c>
      <c r="F246" s="159" t="s">
        <v>470</v>
      </c>
      <c r="G246" t="s">
        <v>4</v>
      </c>
      <c r="H246" t="s">
        <v>5</v>
      </c>
      <c r="I246" t="str">
        <f t="shared" si="22"/>
        <v>url245 &lt;- 'https://www.advisorkhoj.com/mutual-funds-research/top-performing-systematic-investment-plan?category=Index%20Fund&amp;period=4&amp;amount=3000';</v>
      </c>
      <c r="J246" t="str">
        <f t="shared" si="23"/>
        <v>url245 &lt;-  read_html (url245);</v>
      </c>
      <c r="K246" t="str">
        <f t="shared" si="24"/>
        <v>url_tbl245 &lt;- url245 %&gt;%   html_nodes('table') %&gt;%   html_table(fill = TRUE) %&gt;%   .[[1]];</v>
      </c>
      <c r="L246" t="str">
        <f t="shared" si="25"/>
        <v>url_tbl245 &lt;- data.table(url_tbl245);</v>
      </c>
      <c r="M246" t="str">
        <f t="shared" si="26"/>
        <v>url_tbl245 &lt;- url_tbl245[, `:=` (url ='Index Fund', year =4),];</v>
      </c>
      <c r="N246" t="str">
        <f t="shared" si="27"/>
        <v>url245 &lt;- 'https://www.advisorkhoj.com/mutual-funds-research/top-performing-systematic-investment-plan?category=Index%20Fund&amp;period=4&amp;amount=3000';url245 &lt;-  read_html (url245);url_tbl245 &lt;- url245 %&gt;%   html_nodes('table') %&gt;%   html_table(fill = TRUE) %&gt;%   .[[1]];url_tbl245 &lt;- data.table(url_tbl245);url_tbl245 &lt;- url_tbl245[, `:=` (url ='Index Fund', year =4),];</v>
      </c>
    </row>
    <row r="247" spans="1:14">
      <c r="A247" t="s">
        <v>510</v>
      </c>
      <c r="B247" t="s">
        <v>511</v>
      </c>
      <c r="C247" t="s">
        <v>503</v>
      </c>
      <c r="D247" t="str">
        <f t="shared" si="21"/>
        <v>Index%20Fund</v>
      </c>
      <c r="E247">
        <v>5</v>
      </c>
      <c r="F247" s="159" t="s">
        <v>470</v>
      </c>
      <c r="G247" t="s">
        <v>4</v>
      </c>
      <c r="H247" t="s">
        <v>5</v>
      </c>
      <c r="I247" t="str">
        <f t="shared" si="22"/>
        <v>url246 &lt;- 'https://www.advisorkhoj.com/mutual-funds-research/top-performing-systematic-investment-plan?category=Index%20Fund&amp;period=5&amp;amount=3000';</v>
      </c>
      <c r="J247" t="str">
        <f t="shared" si="23"/>
        <v>url246 &lt;-  read_html (url246);</v>
      </c>
      <c r="K247" t="str">
        <f t="shared" si="24"/>
        <v>url_tbl246 &lt;- url246 %&gt;%   html_nodes('table') %&gt;%   html_table(fill = TRUE) %&gt;%   .[[1]];</v>
      </c>
      <c r="L247" t="str">
        <f t="shared" si="25"/>
        <v>url_tbl246 &lt;- data.table(url_tbl246);</v>
      </c>
      <c r="M247" t="str">
        <f t="shared" si="26"/>
        <v>url_tbl246 &lt;- url_tbl246[, `:=` (url ='Index Fund', year =5),];</v>
      </c>
      <c r="N247" t="str">
        <f t="shared" si="27"/>
        <v>url246 &lt;- 'https://www.advisorkhoj.com/mutual-funds-research/top-performing-systematic-investment-plan?category=Index%20Fund&amp;period=5&amp;amount=3000';url246 &lt;-  read_html (url246);url_tbl246 &lt;- url246 %&gt;%   html_nodes('table') %&gt;%   html_table(fill = TRUE) %&gt;%   .[[1]];url_tbl246 &lt;- data.table(url_tbl246);url_tbl246 &lt;- url_tbl246[, `:=` (url ='Index Fund', year =5),];</v>
      </c>
    </row>
    <row r="248" spans="1:14">
      <c r="A248" t="s">
        <v>512</v>
      </c>
      <c r="B248" t="s">
        <v>513</v>
      </c>
      <c r="C248" t="s">
        <v>503</v>
      </c>
      <c r="D248" t="str">
        <f t="shared" si="21"/>
        <v>Index%20Fund</v>
      </c>
      <c r="E248">
        <v>6</v>
      </c>
      <c r="F248" s="159" t="s">
        <v>470</v>
      </c>
      <c r="G248" t="s">
        <v>4</v>
      </c>
      <c r="H248" t="s">
        <v>5</v>
      </c>
      <c r="I248" t="str">
        <f t="shared" si="22"/>
        <v>url247 &lt;- 'https://www.advisorkhoj.com/mutual-funds-research/top-performing-systematic-investment-plan?category=Index%20Fund&amp;period=6&amp;amount=3000';</v>
      </c>
      <c r="J248" t="str">
        <f t="shared" si="23"/>
        <v>url247 &lt;-  read_html (url247);</v>
      </c>
      <c r="K248" t="str">
        <f t="shared" si="24"/>
        <v>url_tbl247 &lt;- url247 %&gt;%   html_nodes('table') %&gt;%   html_table(fill = TRUE) %&gt;%   .[[1]];</v>
      </c>
      <c r="L248" t="str">
        <f t="shared" si="25"/>
        <v>url_tbl247 &lt;- data.table(url_tbl247);</v>
      </c>
      <c r="M248" t="str">
        <f t="shared" si="26"/>
        <v>url_tbl247 &lt;- url_tbl247[, `:=` (url ='Index Fund', year =6),];</v>
      </c>
      <c r="N248" t="str">
        <f t="shared" si="27"/>
        <v>url247 &lt;- 'https://www.advisorkhoj.com/mutual-funds-research/top-performing-systematic-investment-plan?category=Index%20Fund&amp;period=6&amp;amount=3000';url247 &lt;-  read_html (url247);url_tbl247 &lt;- url247 %&gt;%   html_nodes('table') %&gt;%   html_table(fill = TRUE) %&gt;%   .[[1]];url_tbl247 &lt;- data.table(url_tbl247);url_tbl247 &lt;- url_tbl247[, `:=` (url ='Index Fund', year =6),];</v>
      </c>
    </row>
    <row r="249" spans="1:14">
      <c r="A249" t="s">
        <v>514</v>
      </c>
      <c r="B249" t="s">
        <v>515</v>
      </c>
      <c r="C249" t="s">
        <v>503</v>
      </c>
      <c r="D249" t="str">
        <f t="shared" si="21"/>
        <v>Index%20Fund</v>
      </c>
      <c r="E249">
        <v>7</v>
      </c>
      <c r="F249" s="159" t="s">
        <v>470</v>
      </c>
      <c r="G249" t="s">
        <v>4</v>
      </c>
      <c r="H249" t="s">
        <v>5</v>
      </c>
      <c r="I249" t="str">
        <f t="shared" si="22"/>
        <v>url248 &lt;- 'https://www.advisorkhoj.com/mutual-funds-research/top-performing-systematic-investment-plan?category=Index%20Fund&amp;period=7&amp;amount=3000';</v>
      </c>
      <c r="J249" t="str">
        <f t="shared" si="23"/>
        <v>url248 &lt;-  read_html (url248);</v>
      </c>
      <c r="K249" t="str">
        <f t="shared" si="24"/>
        <v>url_tbl248 &lt;- url248 %&gt;%   html_nodes('table') %&gt;%   html_table(fill = TRUE) %&gt;%   .[[1]];</v>
      </c>
      <c r="L249" t="str">
        <f t="shared" si="25"/>
        <v>url_tbl248 &lt;- data.table(url_tbl248);</v>
      </c>
      <c r="M249" t="str">
        <f t="shared" si="26"/>
        <v>url_tbl248 &lt;- url_tbl248[, `:=` (url ='Index Fund', year =7),];</v>
      </c>
      <c r="N249" t="str">
        <f t="shared" si="27"/>
        <v>url248 &lt;- 'https://www.advisorkhoj.com/mutual-funds-research/top-performing-systematic-investment-plan?category=Index%20Fund&amp;period=7&amp;amount=3000';url248 &lt;-  read_html (url248);url_tbl248 &lt;- url248 %&gt;%   html_nodes('table') %&gt;%   html_table(fill = TRUE) %&gt;%   .[[1]];url_tbl248 &lt;- data.table(url_tbl248);url_tbl248 &lt;- url_tbl248[, `:=` (url ='Index Fund', year =7),];</v>
      </c>
    </row>
    <row r="250" spans="1:14">
      <c r="A250" t="s">
        <v>516</v>
      </c>
      <c r="B250" t="s">
        <v>517</v>
      </c>
      <c r="C250" t="s">
        <v>503</v>
      </c>
      <c r="D250" t="str">
        <f t="shared" si="21"/>
        <v>Index%20Fund</v>
      </c>
      <c r="E250">
        <v>8</v>
      </c>
      <c r="F250" s="159" t="s">
        <v>470</v>
      </c>
      <c r="G250" t="s">
        <v>4</v>
      </c>
      <c r="H250" t="s">
        <v>5</v>
      </c>
      <c r="I250" t="str">
        <f t="shared" si="22"/>
        <v>url249 &lt;- 'https://www.advisorkhoj.com/mutual-funds-research/top-performing-systematic-investment-plan?category=Index%20Fund&amp;period=8&amp;amount=3000';</v>
      </c>
      <c r="J250" t="str">
        <f t="shared" si="23"/>
        <v>url249 &lt;-  read_html (url249);</v>
      </c>
      <c r="K250" t="str">
        <f t="shared" si="24"/>
        <v>url_tbl249 &lt;- url249 %&gt;%   html_nodes('table') %&gt;%   html_table(fill = TRUE) %&gt;%   .[[1]];</v>
      </c>
      <c r="L250" t="str">
        <f t="shared" si="25"/>
        <v>url_tbl249 &lt;- data.table(url_tbl249);</v>
      </c>
      <c r="M250" t="str">
        <f t="shared" si="26"/>
        <v>url_tbl249 &lt;- url_tbl249[, `:=` (url ='Index Fund', year =8),];</v>
      </c>
      <c r="N250" t="str">
        <f t="shared" si="27"/>
        <v>url249 &lt;- 'https://www.advisorkhoj.com/mutual-funds-research/top-performing-systematic-investment-plan?category=Index%20Fund&amp;period=8&amp;amount=3000';url249 &lt;-  read_html (url249);url_tbl249 &lt;- url249 %&gt;%   html_nodes('table') %&gt;%   html_table(fill = TRUE) %&gt;%   .[[1]];url_tbl249 &lt;- data.table(url_tbl249);url_tbl249 &lt;- url_tbl249[, `:=` (url ='Index Fund', year =8),];</v>
      </c>
    </row>
    <row r="251" spans="1:14">
      <c r="A251" t="s">
        <v>518</v>
      </c>
      <c r="B251" t="s">
        <v>519</v>
      </c>
      <c r="C251" t="s">
        <v>503</v>
      </c>
      <c r="D251" t="str">
        <f t="shared" si="21"/>
        <v>Index%20Fund</v>
      </c>
      <c r="E251">
        <v>9</v>
      </c>
      <c r="F251" s="159" t="s">
        <v>470</v>
      </c>
      <c r="G251" t="s">
        <v>4</v>
      </c>
      <c r="H251" t="s">
        <v>5</v>
      </c>
      <c r="I251" t="str">
        <f t="shared" si="22"/>
        <v>url250 &lt;- 'https://www.advisorkhoj.com/mutual-funds-research/top-performing-systematic-investment-plan?category=Index%20Fund&amp;period=9&amp;amount=3000';</v>
      </c>
      <c r="J251" t="str">
        <f t="shared" si="23"/>
        <v>url250 &lt;-  read_html (url250);</v>
      </c>
      <c r="K251" t="str">
        <f t="shared" si="24"/>
        <v>url_tbl250 &lt;- url250 %&gt;%   html_nodes('table') %&gt;%   html_table(fill = TRUE) %&gt;%   .[[1]];</v>
      </c>
      <c r="L251" t="str">
        <f t="shared" si="25"/>
        <v>url_tbl250 &lt;- data.table(url_tbl250);</v>
      </c>
      <c r="M251" t="str">
        <f t="shared" si="26"/>
        <v>url_tbl250 &lt;- url_tbl250[, `:=` (url ='Index Fund', year =9),];</v>
      </c>
      <c r="N251" t="str">
        <f t="shared" si="27"/>
        <v>url250 &lt;- 'https://www.advisorkhoj.com/mutual-funds-research/top-performing-systematic-investment-plan?category=Index%20Fund&amp;period=9&amp;amount=3000';url250 &lt;-  read_html (url250);url_tbl250 &lt;- url250 %&gt;%   html_nodes('table') %&gt;%   html_table(fill = TRUE) %&gt;%   .[[1]];url_tbl250 &lt;- data.table(url_tbl250);url_tbl250 &lt;- url_tbl250[, `:=` (url ='Index Fund', year =9),];</v>
      </c>
    </row>
    <row r="252" spans="1:14">
      <c r="A252" t="s">
        <v>520</v>
      </c>
      <c r="B252" t="s">
        <v>521</v>
      </c>
      <c r="C252" t="s">
        <v>503</v>
      </c>
      <c r="D252" t="str">
        <f t="shared" si="21"/>
        <v>Index%20Fund</v>
      </c>
      <c r="E252">
        <v>10</v>
      </c>
      <c r="F252" s="159" t="s">
        <v>470</v>
      </c>
      <c r="G252" t="s">
        <v>4</v>
      </c>
      <c r="H252" t="s">
        <v>5</v>
      </c>
      <c r="I252" t="str">
        <f t="shared" si="22"/>
        <v>url251 &lt;- 'https://www.advisorkhoj.com/mutual-funds-research/top-performing-systematic-investment-plan?category=Index%20Fund&amp;period=10&amp;amount=3000';</v>
      </c>
      <c r="J252" t="str">
        <f t="shared" si="23"/>
        <v>url251 &lt;-  read_html (url251);</v>
      </c>
      <c r="K252" t="str">
        <f t="shared" si="24"/>
        <v>url_tbl251 &lt;- url251 %&gt;%   html_nodes('table') %&gt;%   html_table(fill = TRUE) %&gt;%   .[[1]];</v>
      </c>
      <c r="L252" t="str">
        <f t="shared" si="25"/>
        <v>url_tbl251 &lt;- data.table(url_tbl251);</v>
      </c>
      <c r="M252" t="str">
        <f t="shared" si="26"/>
        <v>url_tbl251 &lt;- url_tbl251[, `:=` (url ='Index Fund', year =10),];</v>
      </c>
      <c r="N252" t="str">
        <f t="shared" si="27"/>
        <v>url251 &lt;- 'https://www.advisorkhoj.com/mutual-funds-research/top-performing-systematic-investment-plan?category=Index%20Fund&amp;period=10&amp;amount=3000';url251 &lt;-  read_html (url251);url_tbl251 &lt;- url251 %&gt;%   html_nodes('table') %&gt;%   html_table(fill = TRUE) %&gt;%   .[[1]];url_tbl251 &lt;- data.table(url_tbl251);url_tbl251 &lt;- url_tbl251[, `:=` (url ='Index Fund', year =10),];</v>
      </c>
    </row>
    <row r="253" spans="1:14">
      <c r="A253" t="s">
        <v>522</v>
      </c>
      <c r="B253" t="s">
        <v>523</v>
      </c>
      <c r="C253" t="s">
        <v>503</v>
      </c>
      <c r="D253" t="str">
        <f t="shared" si="21"/>
        <v>Index%20Fund</v>
      </c>
      <c r="E253">
        <v>11</v>
      </c>
      <c r="F253" s="159" t="s">
        <v>470</v>
      </c>
      <c r="G253" t="s">
        <v>4</v>
      </c>
      <c r="H253" t="s">
        <v>5</v>
      </c>
      <c r="I253" t="str">
        <f t="shared" si="22"/>
        <v>url252 &lt;- 'https://www.advisorkhoj.com/mutual-funds-research/top-performing-systematic-investment-plan?category=Index%20Fund&amp;period=11&amp;amount=3000';</v>
      </c>
      <c r="J253" t="str">
        <f t="shared" si="23"/>
        <v>url252 &lt;-  read_html (url252);</v>
      </c>
      <c r="K253" t="str">
        <f t="shared" si="24"/>
        <v>url_tbl252 &lt;- url252 %&gt;%   html_nodes('table') %&gt;%   html_table(fill = TRUE) %&gt;%   .[[1]];</v>
      </c>
      <c r="L253" t="str">
        <f t="shared" si="25"/>
        <v>url_tbl252 &lt;- data.table(url_tbl252);</v>
      </c>
      <c r="M253" t="str">
        <f t="shared" si="26"/>
        <v>url_tbl252 &lt;- url_tbl252[, `:=` (url ='Index Fund', year =11),];</v>
      </c>
      <c r="N253" t="str">
        <f t="shared" si="27"/>
        <v>url252 &lt;- 'https://www.advisorkhoj.com/mutual-funds-research/top-performing-systematic-investment-plan?category=Index%20Fund&amp;period=11&amp;amount=3000';url252 &lt;-  read_html (url252);url_tbl252 &lt;- url252 %&gt;%   html_nodes('table') %&gt;%   html_table(fill = TRUE) %&gt;%   .[[1]];url_tbl252 &lt;- data.table(url_tbl252);url_tbl252 &lt;- url_tbl252[, `:=` (url ='Index Fund', year =11),];</v>
      </c>
    </row>
    <row r="254" spans="1:14">
      <c r="A254" t="s">
        <v>524</v>
      </c>
      <c r="B254" t="s">
        <v>525</v>
      </c>
      <c r="C254" t="s">
        <v>503</v>
      </c>
      <c r="D254" t="str">
        <f t="shared" si="21"/>
        <v>Index%20Fund</v>
      </c>
      <c r="E254">
        <v>12</v>
      </c>
      <c r="F254" s="159" t="s">
        <v>470</v>
      </c>
      <c r="G254" t="s">
        <v>4</v>
      </c>
      <c r="H254" t="s">
        <v>5</v>
      </c>
      <c r="I254" t="str">
        <f t="shared" si="22"/>
        <v>url253 &lt;- 'https://www.advisorkhoj.com/mutual-funds-research/top-performing-systematic-investment-plan?category=Index%20Fund&amp;period=12&amp;amount=3000';</v>
      </c>
      <c r="J254" t="str">
        <f t="shared" si="23"/>
        <v>url253 &lt;-  read_html (url253);</v>
      </c>
      <c r="K254" t="str">
        <f t="shared" si="24"/>
        <v>url_tbl253 &lt;- url253 %&gt;%   html_nodes('table') %&gt;%   html_table(fill = TRUE) %&gt;%   .[[1]];</v>
      </c>
      <c r="L254" t="str">
        <f t="shared" si="25"/>
        <v>url_tbl253 &lt;- data.table(url_tbl253);</v>
      </c>
      <c r="M254" t="str">
        <f t="shared" si="26"/>
        <v>url_tbl253 &lt;- url_tbl253[, `:=` (url ='Index Fund', year =12),];</v>
      </c>
      <c r="N254" t="str">
        <f t="shared" si="27"/>
        <v>url253 &lt;- 'https://www.advisorkhoj.com/mutual-funds-research/top-performing-systematic-investment-plan?category=Index%20Fund&amp;period=12&amp;amount=3000';url253 &lt;-  read_html (url253);url_tbl253 &lt;- url253 %&gt;%   html_nodes('table') %&gt;%   html_table(fill = TRUE) %&gt;%   .[[1]];url_tbl253 &lt;- data.table(url_tbl253);url_tbl253 &lt;- url_tbl253[, `:=` (url ='Index Fund', year =12),];</v>
      </c>
    </row>
    <row r="255" spans="1:14">
      <c r="A255" t="s">
        <v>526</v>
      </c>
      <c r="B255" t="s">
        <v>527</v>
      </c>
      <c r="C255" t="s">
        <v>503</v>
      </c>
      <c r="D255" t="str">
        <f t="shared" si="21"/>
        <v>Index%20Fund</v>
      </c>
      <c r="E255">
        <v>13</v>
      </c>
      <c r="F255" s="159" t="s">
        <v>470</v>
      </c>
      <c r="G255" t="s">
        <v>4</v>
      </c>
      <c r="H255" t="s">
        <v>5</v>
      </c>
      <c r="I255" t="str">
        <f t="shared" si="22"/>
        <v>url254 &lt;- 'https://www.advisorkhoj.com/mutual-funds-research/top-performing-systematic-investment-plan?category=Index%20Fund&amp;period=13&amp;amount=3000';</v>
      </c>
      <c r="J255" t="str">
        <f t="shared" si="23"/>
        <v>url254 &lt;-  read_html (url254);</v>
      </c>
      <c r="K255" t="str">
        <f t="shared" si="24"/>
        <v>url_tbl254 &lt;- url254 %&gt;%   html_nodes('table') %&gt;%   html_table(fill = TRUE) %&gt;%   .[[1]];</v>
      </c>
      <c r="L255" t="str">
        <f t="shared" si="25"/>
        <v>url_tbl254 &lt;- data.table(url_tbl254);</v>
      </c>
      <c r="M255" t="str">
        <f t="shared" si="26"/>
        <v>url_tbl254 &lt;- url_tbl254[, `:=` (url ='Index Fund', year =13),];</v>
      </c>
      <c r="N255" t="str">
        <f t="shared" si="27"/>
        <v>url254 &lt;- 'https://www.advisorkhoj.com/mutual-funds-research/top-performing-systematic-investment-plan?category=Index%20Fund&amp;period=13&amp;amount=3000';url254 &lt;-  read_html (url254);url_tbl254 &lt;- url254 %&gt;%   html_nodes('table') %&gt;%   html_table(fill = TRUE) %&gt;%   .[[1]];url_tbl254 &lt;- data.table(url_tbl254);url_tbl254 &lt;- url_tbl254[, `:=` (url ='Index Fund', year =13),];</v>
      </c>
    </row>
    <row r="256" spans="1:14">
      <c r="A256" t="s">
        <v>528</v>
      </c>
      <c r="B256" t="s">
        <v>529</v>
      </c>
      <c r="C256" t="s">
        <v>503</v>
      </c>
      <c r="D256" t="str">
        <f t="shared" si="21"/>
        <v>Index%20Fund</v>
      </c>
      <c r="E256">
        <v>14</v>
      </c>
      <c r="F256" s="159" t="s">
        <v>470</v>
      </c>
      <c r="G256" t="s">
        <v>4</v>
      </c>
      <c r="H256" t="s">
        <v>5</v>
      </c>
      <c r="I256" t="str">
        <f t="shared" si="22"/>
        <v>url255 &lt;- 'https://www.advisorkhoj.com/mutual-funds-research/top-performing-systematic-investment-plan?category=Index%20Fund&amp;period=14&amp;amount=3000';</v>
      </c>
      <c r="J256" t="str">
        <f t="shared" si="23"/>
        <v>url255 &lt;-  read_html (url255);</v>
      </c>
      <c r="K256" t="str">
        <f t="shared" si="24"/>
        <v>url_tbl255 &lt;- url255 %&gt;%   html_nodes('table') %&gt;%   html_table(fill = TRUE) %&gt;%   .[[1]];</v>
      </c>
      <c r="L256" t="str">
        <f t="shared" si="25"/>
        <v>url_tbl255 &lt;- data.table(url_tbl255);</v>
      </c>
      <c r="M256" t="str">
        <f t="shared" si="26"/>
        <v>url_tbl255 &lt;- url_tbl255[, `:=` (url ='Index Fund', year =14),];</v>
      </c>
      <c r="N256" t="str">
        <f t="shared" si="27"/>
        <v>url255 &lt;- 'https://www.advisorkhoj.com/mutual-funds-research/top-performing-systematic-investment-plan?category=Index%20Fund&amp;period=14&amp;amount=3000';url255 &lt;-  read_html (url255);url_tbl255 &lt;- url255 %&gt;%   html_nodes('table') %&gt;%   html_table(fill = TRUE) %&gt;%   .[[1]];url_tbl255 &lt;- data.table(url_tbl255);url_tbl255 &lt;- url_tbl255[, `:=` (url ='Index Fund', year =14),];</v>
      </c>
    </row>
    <row r="257" spans="1:14">
      <c r="A257" t="s">
        <v>530</v>
      </c>
      <c r="B257" t="s">
        <v>531</v>
      </c>
      <c r="C257" t="s">
        <v>503</v>
      </c>
      <c r="D257" t="str">
        <f t="shared" si="21"/>
        <v>Index%20Fund</v>
      </c>
      <c r="E257">
        <v>15</v>
      </c>
      <c r="F257" s="159" t="s">
        <v>470</v>
      </c>
      <c r="G257" t="s">
        <v>4</v>
      </c>
      <c r="H257" t="s">
        <v>5</v>
      </c>
      <c r="I257" t="str">
        <f t="shared" si="22"/>
        <v>url256 &lt;- 'https://www.advisorkhoj.com/mutual-funds-research/top-performing-systematic-investment-plan?category=Index%20Fund&amp;period=15&amp;amount=3000';</v>
      </c>
      <c r="J257" t="str">
        <f t="shared" si="23"/>
        <v>url256 &lt;-  read_html (url256);</v>
      </c>
      <c r="K257" t="str">
        <f t="shared" si="24"/>
        <v>url_tbl256 &lt;- url256 %&gt;%   html_nodes('table') %&gt;%   html_table(fill = TRUE) %&gt;%   .[[1]];</v>
      </c>
      <c r="L257" t="str">
        <f t="shared" si="25"/>
        <v>url_tbl256 &lt;- data.table(url_tbl256);</v>
      </c>
      <c r="M257" t="str">
        <f t="shared" si="26"/>
        <v>url_tbl256 &lt;- url_tbl256[, `:=` (url ='Index Fund', year =15),];</v>
      </c>
      <c r="N257" t="str">
        <f t="shared" si="27"/>
        <v>url256 &lt;- 'https://www.advisorkhoj.com/mutual-funds-research/top-performing-systematic-investment-plan?category=Index%20Fund&amp;period=15&amp;amount=3000';url256 &lt;-  read_html (url256);url_tbl256 &lt;- url256 %&gt;%   html_nodes('table') %&gt;%   html_table(fill = TRUE) %&gt;%   .[[1]];url_tbl256 &lt;- data.table(url_tbl256);url_tbl256 &lt;- url_tbl256[, `:=` (url ='Index Fund', year =15),];</v>
      </c>
    </row>
    <row r="258" spans="1:14">
      <c r="A258" t="s">
        <v>532</v>
      </c>
      <c r="B258" t="s">
        <v>533</v>
      </c>
      <c r="C258" t="s">
        <v>503</v>
      </c>
      <c r="D258" t="str">
        <f t="shared" si="21"/>
        <v>Index%20Fund</v>
      </c>
      <c r="E258">
        <v>16</v>
      </c>
      <c r="F258" s="159" t="s">
        <v>470</v>
      </c>
      <c r="G258" t="s">
        <v>4</v>
      </c>
      <c r="H258" t="s">
        <v>5</v>
      </c>
      <c r="I258" t="str">
        <f t="shared" si="22"/>
        <v>url257 &lt;- 'https://www.advisorkhoj.com/mutual-funds-research/top-performing-systematic-investment-plan?category=Index%20Fund&amp;period=16&amp;amount=3000';</v>
      </c>
      <c r="J258" t="str">
        <f t="shared" si="23"/>
        <v>url257 &lt;-  read_html (url257);</v>
      </c>
      <c r="K258" t="str">
        <f t="shared" si="24"/>
        <v>url_tbl257 &lt;- url257 %&gt;%   html_nodes('table') %&gt;%   html_table(fill = TRUE) %&gt;%   .[[1]];</v>
      </c>
      <c r="L258" t="str">
        <f t="shared" si="25"/>
        <v>url_tbl257 &lt;- data.table(url_tbl257);</v>
      </c>
      <c r="M258" t="str">
        <f t="shared" si="26"/>
        <v>url_tbl257 &lt;- url_tbl257[, `:=` (url ='Index Fund', year =16),];</v>
      </c>
      <c r="N258" t="str">
        <f t="shared" si="27"/>
        <v>url257 &lt;- 'https://www.advisorkhoj.com/mutual-funds-research/top-performing-systematic-investment-plan?category=Index%20Fund&amp;period=16&amp;amount=3000';url257 &lt;-  read_html (url257);url_tbl257 &lt;- url257 %&gt;%   html_nodes('table') %&gt;%   html_table(fill = TRUE) %&gt;%   .[[1]];url_tbl257 &lt;- data.table(url_tbl257);url_tbl257 &lt;- url_tbl257[, `:=` (url ='Index Fund', year =16),];</v>
      </c>
    </row>
    <row r="259" spans="1:14">
      <c r="A259" t="s">
        <v>534</v>
      </c>
      <c r="B259" t="s">
        <v>535</v>
      </c>
      <c r="E259">
        <v>1</v>
      </c>
      <c r="F259" s="159" t="s">
        <v>3</v>
      </c>
      <c r="G259" t="s">
        <v>4</v>
      </c>
      <c r="H259" t="s">
        <v>5</v>
      </c>
      <c r="I259" t="str">
        <f t="shared" ref="I259:I322" si="28">CONCATENATE(A259, " &lt;- '", F259, D259, G259, E259, H259, "';")</f>
        <v>url258 &lt;- 'https://www.advisorkhoj.com/mutual-funds-research/top-performing-systematic-investment-plan?category=Equity:%20&amp;period=1&amp;amount=3000';</v>
      </c>
      <c r="J259" t="str">
        <f t="shared" ref="J259:J322" si="29">CONCATENATE(A259, " &lt;-  read_html (", A259, ");")</f>
        <v>url258 &lt;-  read_html (url258);</v>
      </c>
      <c r="K259" t="str">
        <f t="shared" ref="K259:K322" si="30">CONCATENATE(B259, " &lt;- ", A259, " %&gt;%   html_nodes('table') %&gt;%   html_table(fill = TRUE) %&gt;%   .[[1]];")</f>
        <v>url_tbl258 &lt;- url258 %&gt;%   html_nodes('table') %&gt;%   html_table(fill = TRUE) %&gt;%   .[[1]];</v>
      </c>
      <c r="L259" t="str">
        <f t="shared" ref="L259:L322" si="31">CONCATENATE(B259, " &lt;- data.table(", B259, ");" )</f>
        <v>url_tbl258 &lt;- data.table(url_tbl258);</v>
      </c>
      <c r="M259" t="str">
        <f t="shared" ref="M259:M322" si="32">CONCATENATE(B259, " &lt;- ", B259, "[, `:=` (url ='",C259, "', year =", E259, "),];" )</f>
        <v>url_tbl258 &lt;- url_tbl258[, `:=` (url ='', year =1),];</v>
      </c>
      <c r="N259" t="str">
        <f t="shared" ref="N259:N322" si="33">CONCATENATE(I259, J259, K259, L259, M259)</f>
        <v>url258 &lt;- 'https://www.advisorkhoj.com/mutual-funds-research/top-performing-systematic-investment-plan?category=Equity:%20&amp;period=1&amp;amount=3000';url258 &lt;-  read_html (url258);url_tbl258 &lt;- url258 %&gt;%   html_nodes('table') %&gt;%   html_table(fill = TRUE) %&gt;%   .[[1]];url_tbl258 &lt;- data.table(url_tbl258);url_tbl258 &lt;- url_tbl258[, `:=` (url ='', year =1),];</v>
      </c>
    </row>
    <row r="260" spans="1:14">
      <c r="A260" t="s">
        <v>536</v>
      </c>
      <c r="B260" t="s">
        <v>537</v>
      </c>
      <c r="E260">
        <v>2</v>
      </c>
      <c r="F260" s="159" t="s">
        <v>3</v>
      </c>
      <c r="G260" t="s">
        <v>4</v>
      </c>
      <c r="H260" t="s">
        <v>5</v>
      </c>
      <c r="I260" t="str">
        <f t="shared" si="28"/>
        <v>url259 &lt;- 'https://www.advisorkhoj.com/mutual-funds-research/top-performing-systematic-investment-plan?category=Equity:%20&amp;period=2&amp;amount=3000';</v>
      </c>
      <c r="J260" t="str">
        <f t="shared" si="29"/>
        <v>url259 &lt;-  read_html (url259);</v>
      </c>
      <c r="K260" t="str">
        <f t="shared" si="30"/>
        <v>url_tbl259 &lt;- url259 %&gt;%   html_nodes('table') %&gt;%   html_table(fill = TRUE) %&gt;%   .[[1]];</v>
      </c>
      <c r="L260" t="str">
        <f t="shared" si="31"/>
        <v>url_tbl259 &lt;- data.table(url_tbl259);</v>
      </c>
      <c r="M260" t="str">
        <f t="shared" si="32"/>
        <v>url_tbl259 &lt;- url_tbl259[, `:=` (url ='', year =2),];</v>
      </c>
      <c r="N260" t="str">
        <f t="shared" si="33"/>
        <v>url259 &lt;- 'https://www.advisorkhoj.com/mutual-funds-research/top-performing-systematic-investment-plan?category=Equity:%20&amp;period=2&amp;amount=3000';url259 &lt;-  read_html (url259);url_tbl259 &lt;- url259 %&gt;%   html_nodes('table') %&gt;%   html_table(fill = TRUE) %&gt;%   .[[1]];url_tbl259 &lt;- data.table(url_tbl259);url_tbl259 &lt;- url_tbl259[, `:=` (url ='', year =2),];</v>
      </c>
    </row>
    <row r="261" spans="1:14">
      <c r="A261" t="s">
        <v>538</v>
      </c>
      <c r="B261" t="s">
        <v>539</v>
      </c>
      <c r="E261">
        <v>3</v>
      </c>
      <c r="F261" s="159" t="s">
        <v>3</v>
      </c>
      <c r="G261" t="s">
        <v>4</v>
      </c>
      <c r="H261" t="s">
        <v>5</v>
      </c>
      <c r="I261" t="str">
        <f t="shared" si="28"/>
        <v>url260 &lt;- 'https://www.advisorkhoj.com/mutual-funds-research/top-performing-systematic-investment-plan?category=Equity:%20&amp;period=3&amp;amount=3000';</v>
      </c>
      <c r="J261" t="str">
        <f t="shared" si="29"/>
        <v>url260 &lt;-  read_html (url260);</v>
      </c>
      <c r="K261" t="str">
        <f t="shared" si="30"/>
        <v>url_tbl260 &lt;- url260 %&gt;%   html_nodes('table') %&gt;%   html_table(fill = TRUE) %&gt;%   .[[1]];</v>
      </c>
      <c r="L261" t="str">
        <f t="shared" si="31"/>
        <v>url_tbl260 &lt;- data.table(url_tbl260);</v>
      </c>
      <c r="M261" t="str">
        <f t="shared" si="32"/>
        <v>url_tbl260 &lt;- url_tbl260[, `:=` (url ='', year =3),];</v>
      </c>
      <c r="N261" t="str">
        <f t="shared" si="33"/>
        <v>url260 &lt;- 'https://www.advisorkhoj.com/mutual-funds-research/top-performing-systematic-investment-plan?category=Equity:%20&amp;period=3&amp;amount=3000';url260 &lt;-  read_html (url260);url_tbl260 &lt;- url260 %&gt;%   html_nodes('table') %&gt;%   html_table(fill = TRUE) %&gt;%   .[[1]];url_tbl260 &lt;- data.table(url_tbl260);url_tbl260 &lt;- url_tbl260[, `:=` (url ='', year =3),];</v>
      </c>
    </row>
    <row r="262" spans="1:14">
      <c r="A262" t="s">
        <v>540</v>
      </c>
      <c r="B262" t="s">
        <v>541</v>
      </c>
      <c r="E262">
        <v>4</v>
      </c>
      <c r="F262" s="159" t="s">
        <v>3</v>
      </c>
      <c r="G262" t="s">
        <v>4</v>
      </c>
      <c r="H262" t="s">
        <v>5</v>
      </c>
      <c r="I262" t="str">
        <f t="shared" si="28"/>
        <v>url261 &lt;- 'https://www.advisorkhoj.com/mutual-funds-research/top-performing-systematic-investment-plan?category=Equity:%20&amp;period=4&amp;amount=3000';</v>
      </c>
      <c r="J262" t="str">
        <f t="shared" si="29"/>
        <v>url261 &lt;-  read_html (url261);</v>
      </c>
      <c r="K262" t="str">
        <f t="shared" si="30"/>
        <v>url_tbl261 &lt;- url261 %&gt;%   html_nodes('table') %&gt;%   html_table(fill = TRUE) %&gt;%   .[[1]];</v>
      </c>
      <c r="L262" t="str">
        <f t="shared" si="31"/>
        <v>url_tbl261 &lt;- data.table(url_tbl261);</v>
      </c>
      <c r="M262" t="str">
        <f t="shared" si="32"/>
        <v>url_tbl261 &lt;- url_tbl261[, `:=` (url ='', year =4),];</v>
      </c>
      <c r="N262" t="str">
        <f t="shared" si="33"/>
        <v>url261 &lt;- 'https://www.advisorkhoj.com/mutual-funds-research/top-performing-systematic-investment-plan?category=Equity:%20&amp;period=4&amp;amount=3000';url261 &lt;-  read_html (url261);url_tbl261 &lt;- url261 %&gt;%   html_nodes('table') %&gt;%   html_table(fill = TRUE) %&gt;%   .[[1]];url_tbl261 &lt;- data.table(url_tbl261);url_tbl261 &lt;- url_tbl261[, `:=` (url ='', year =4),];</v>
      </c>
    </row>
    <row r="263" spans="1:14">
      <c r="A263" t="s">
        <v>542</v>
      </c>
      <c r="B263" t="s">
        <v>543</v>
      </c>
      <c r="E263">
        <v>5</v>
      </c>
      <c r="F263" s="159" t="s">
        <v>3</v>
      </c>
      <c r="G263" t="s">
        <v>4</v>
      </c>
      <c r="H263" t="s">
        <v>5</v>
      </c>
      <c r="I263" t="str">
        <f t="shared" si="28"/>
        <v>url262 &lt;- 'https://www.advisorkhoj.com/mutual-funds-research/top-performing-systematic-investment-plan?category=Equity:%20&amp;period=5&amp;amount=3000';</v>
      </c>
      <c r="J263" t="str">
        <f t="shared" si="29"/>
        <v>url262 &lt;-  read_html (url262);</v>
      </c>
      <c r="K263" t="str">
        <f t="shared" si="30"/>
        <v>url_tbl262 &lt;- url262 %&gt;%   html_nodes('table') %&gt;%   html_table(fill = TRUE) %&gt;%   .[[1]];</v>
      </c>
      <c r="L263" t="str">
        <f t="shared" si="31"/>
        <v>url_tbl262 &lt;- data.table(url_tbl262);</v>
      </c>
      <c r="M263" t="str">
        <f t="shared" si="32"/>
        <v>url_tbl262 &lt;- url_tbl262[, `:=` (url ='', year =5),];</v>
      </c>
      <c r="N263" t="str">
        <f t="shared" si="33"/>
        <v>url262 &lt;- 'https://www.advisorkhoj.com/mutual-funds-research/top-performing-systematic-investment-plan?category=Equity:%20&amp;period=5&amp;amount=3000';url262 &lt;-  read_html (url262);url_tbl262 &lt;- url262 %&gt;%   html_nodes('table') %&gt;%   html_table(fill = TRUE) %&gt;%   .[[1]];url_tbl262 &lt;- data.table(url_tbl262);url_tbl262 &lt;- url_tbl262[, `:=` (url ='', year =5),];</v>
      </c>
    </row>
    <row r="264" spans="1:14">
      <c r="A264" t="s">
        <v>544</v>
      </c>
      <c r="B264" t="s">
        <v>545</v>
      </c>
      <c r="E264">
        <v>6</v>
      </c>
      <c r="F264" s="159" t="s">
        <v>3</v>
      </c>
      <c r="G264" t="s">
        <v>4</v>
      </c>
      <c r="H264" t="s">
        <v>5</v>
      </c>
      <c r="I264" t="str">
        <f t="shared" si="28"/>
        <v>url263 &lt;- 'https://www.advisorkhoj.com/mutual-funds-research/top-performing-systematic-investment-plan?category=Equity:%20&amp;period=6&amp;amount=3000';</v>
      </c>
      <c r="J264" t="str">
        <f t="shared" si="29"/>
        <v>url263 &lt;-  read_html (url263);</v>
      </c>
      <c r="K264" t="str">
        <f t="shared" si="30"/>
        <v>url_tbl263 &lt;- url263 %&gt;%   html_nodes('table') %&gt;%   html_table(fill = TRUE) %&gt;%   .[[1]];</v>
      </c>
      <c r="L264" t="str">
        <f t="shared" si="31"/>
        <v>url_tbl263 &lt;- data.table(url_tbl263);</v>
      </c>
      <c r="M264" t="str">
        <f t="shared" si="32"/>
        <v>url_tbl263 &lt;- url_tbl263[, `:=` (url ='', year =6),];</v>
      </c>
      <c r="N264" t="str">
        <f t="shared" si="33"/>
        <v>url263 &lt;- 'https://www.advisorkhoj.com/mutual-funds-research/top-performing-systematic-investment-plan?category=Equity:%20&amp;period=6&amp;amount=3000';url263 &lt;-  read_html (url263);url_tbl263 &lt;- url263 %&gt;%   html_nodes('table') %&gt;%   html_table(fill = TRUE) %&gt;%   .[[1]];url_tbl263 &lt;- data.table(url_tbl263);url_tbl263 &lt;- url_tbl263[, `:=` (url ='', year =6),];</v>
      </c>
    </row>
    <row r="265" spans="1:14">
      <c r="A265" t="s">
        <v>546</v>
      </c>
      <c r="B265" t="s">
        <v>547</v>
      </c>
      <c r="E265">
        <v>7</v>
      </c>
      <c r="F265" s="159" t="s">
        <v>3</v>
      </c>
      <c r="G265" t="s">
        <v>4</v>
      </c>
      <c r="H265" t="s">
        <v>5</v>
      </c>
      <c r="I265" t="str">
        <f t="shared" si="28"/>
        <v>url264 &lt;- 'https://www.advisorkhoj.com/mutual-funds-research/top-performing-systematic-investment-plan?category=Equity:%20&amp;period=7&amp;amount=3000';</v>
      </c>
      <c r="J265" t="str">
        <f t="shared" si="29"/>
        <v>url264 &lt;-  read_html (url264);</v>
      </c>
      <c r="K265" t="str">
        <f t="shared" si="30"/>
        <v>url_tbl264 &lt;- url264 %&gt;%   html_nodes('table') %&gt;%   html_table(fill = TRUE) %&gt;%   .[[1]];</v>
      </c>
      <c r="L265" t="str">
        <f t="shared" si="31"/>
        <v>url_tbl264 &lt;- data.table(url_tbl264);</v>
      </c>
      <c r="M265" t="str">
        <f t="shared" si="32"/>
        <v>url_tbl264 &lt;- url_tbl264[, `:=` (url ='', year =7),];</v>
      </c>
      <c r="N265" t="str">
        <f t="shared" si="33"/>
        <v>url264 &lt;- 'https://www.advisorkhoj.com/mutual-funds-research/top-performing-systematic-investment-plan?category=Equity:%20&amp;period=7&amp;amount=3000';url264 &lt;-  read_html (url264);url_tbl264 &lt;- url264 %&gt;%   html_nodes('table') %&gt;%   html_table(fill = TRUE) %&gt;%   .[[1]];url_tbl264 &lt;- data.table(url_tbl264);url_tbl264 &lt;- url_tbl264[, `:=` (url ='', year =7),];</v>
      </c>
    </row>
    <row r="266" spans="1:14">
      <c r="A266" t="s">
        <v>548</v>
      </c>
      <c r="B266" t="s">
        <v>549</v>
      </c>
      <c r="E266">
        <v>8</v>
      </c>
      <c r="F266" s="159" t="s">
        <v>3</v>
      </c>
      <c r="G266" t="s">
        <v>4</v>
      </c>
      <c r="H266" t="s">
        <v>5</v>
      </c>
      <c r="I266" t="str">
        <f t="shared" si="28"/>
        <v>url265 &lt;- 'https://www.advisorkhoj.com/mutual-funds-research/top-performing-systematic-investment-plan?category=Equity:%20&amp;period=8&amp;amount=3000';</v>
      </c>
      <c r="J266" t="str">
        <f t="shared" si="29"/>
        <v>url265 &lt;-  read_html (url265);</v>
      </c>
      <c r="K266" t="str">
        <f t="shared" si="30"/>
        <v>url_tbl265 &lt;- url265 %&gt;%   html_nodes('table') %&gt;%   html_table(fill = TRUE) %&gt;%   .[[1]];</v>
      </c>
      <c r="L266" t="str">
        <f t="shared" si="31"/>
        <v>url_tbl265 &lt;- data.table(url_tbl265);</v>
      </c>
      <c r="M266" t="str">
        <f t="shared" si="32"/>
        <v>url_tbl265 &lt;- url_tbl265[, `:=` (url ='', year =8),];</v>
      </c>
      <c r="N266" t="str">
        <f t="shared" si="33"/>
        <v>url265 &lt;- 'https://www.advisorkhoj.com/mutual-funds-research/top-performing-systematic-investment-plan?category=Equity:%20&amp;period=8&amp;amount=3000';url265 &lt;-  read_html (url265);url_tbl265 &lt;- url265 %&gt;%   html_nodes('table') %&gt;%   html_table(fill = TRUE) %&gt;%   .[[1]];url_tbl265 &lt;- data.table(url_tbl265);url_tbl265 &lt;- url_tbl265[, `:=` (url ='', year =8),];</v>
      </c>
    </row>
    <row r="267" spans="1:14">
      <c r="A267" t="s">
        <v>550</v>
      </c>
      <c r="B267" t="s">
        <v>551</v>
      </c>
      <c r="E267">
        <v>9</v>
      </c>
      <c r="F267" s="159" t="s">
        <v>3</v>
      </c>
      <c r="G267" t="s">
        <v>4</v>
      </c>
      <c r="H267" t="s">
        <v>5</v>
      </c>
      <c r="I267" t="str">
        <f t="shared" si="28"/>
        <v>url266 &lt;- 'https://www.advisorkhoj.com/mutual-funds-research/top-performing-systematic-investment-plan?category=Equity:%20&amp;period=9&amp;amount=3000';</v>
      </c>
      <c r="J267" t="str">
        <f t="shared" si="29"/>
        <v>url266 &lt;-  read_html (url266);</v>
      </c>
      <c r="K267" t="str">
        <f t="shared" si="30"/>
        <v>url_tbl266 &lt;- url266 %&gt;%   html_nodes('table') %&gt;%   html_table(fill = TRUE) %&gt;%   .[[1]];</v>
      </c>
      <c r="L267" t="str">
        <f t="shared" si="31"/>
        <v>url_tbl266 &lt;- data.table(url_tbl266);</v>
      </c>
      <c r="M267" t="str">
        <f t="shared" si="32"/>
        <v>url_tbl266 &lt;- url_tbl266[, `:=` (url ='', year =9),];</v>
      </c>
      <c r="N267" t="str">
        <f t="shared" si="33"/>
        <v>url266 &lt;- 'https://www.advisorkhoj.com/mutual-funds-research/top-performing-systematic-investment-plan?category=Equity:%20&amp;period=9&amp;amount=3000';url266 &lt;-  read_html (url266);url_tbl266 &lt;- url266 %&gt;%   html_nodes('table') %&gt;%   html_table(fill = TRUE) %&gt;%   .[[1]];url_tbl266 &lt;- data.table(url_tbl266);url_tbl266 &lt;- url_tbl266[, `:=` (url ='', year =9),];</v>
      </c>
    </row>
    <row r="268" spans="1:14">
      <c r="A268" t="s">
        <v>552</v>
      </c>
      <c r="B268" t="s">
        <v>553</v>
      </c>
      <c r="E268">
        <v>10</v>
      </c>
      <c r="F268" s="159" t="s">
        <v>3</v>
      </c>
      <c r="G268" t="s">
        <v>4</v>
      </c>
      <c r="H268" t="s">
        <v>5</v>
      </c>
      <c r="I268" t="str">
        <f t="shared" si="28"/>
        <v>url267 &lt;- 'https://www.advisorkhoj.com/mutual-funds-research/top-performing-systematic-investment-plan?category=Equity:%20&amp;period=10&amp;amount=3000';</v>
      </c>
      <c r="J268" t="str">
        <f t="shared" si="29"/>
        <v>url267 &lt;-  read_html (url267);</v>
      </c>
      <c r="K268" t="str">
        <f t="shared" si="30"/>
        <v>url_tbl267 &lt;- url267 %&gt;%   html_nodes('table') %&gt;%   html_table(fill = TRUE) %&gt;%   .[[1]];</v>
      </c>
      <c r="L268" t="str">
        <f t="shared" si="31"/>
        <v>url_tbl267 &lt;- data.table(url_tbl267);</v>
      </c>
      <c r="M268" t="str">
        <f t="shared" si="32"/>
        <v>url_tbl267 &lt;- url_tbl267[, `:=` (url ='', year =10),];</v>
      </c>
      <c r="N268" t="str">
        <f t="shared" si="33"/>
        <v>url267 &lt;- 'https://www.advisorkhoj.com/mutual-funds-research/top-performing-systematic-investment-plan?category=Equity:%20&amp;period=10&amp;amount=3000';url267 &lt;-  read_html (url267);url_tbl267 &lt;- url267 %&gt;%   html_nodes('table') %&gt;%   html_table(fill = TRUE) %&gt;%   .[[1]];url_tbl267 &lt;- data.table(url_tbl267);url_tbl267 &lt;- url_tbl267[, `:=` (url ='', year =10),];</v>
      </c>
    </row>
    <row r="269" spans="1:14">
      <c r="A269" t="s">
        <v>554</v>
      </c>
      <c r="B269" t="s">
        <v>555</v>
      </c>
      <c r="E269">
        <v>11</v>
      </c>
      <c r="F269" s="159" t="s">
        <v>3</v>
      </c>
      <c r="G269" t="s">
        <v>4</v>
      </c>
      <c r="H269" t="s">
        <v>5</v>
      </c>
      <c r="I269" t="str">
        <f t="shared" si="28"/>
        <v>url268 &lt;- 'https://www.advisorkhoj.com/mutual-funds-research/top-performing-systematic-investment-plan?category=Equity:%20&amp;period=11&amp;amount=3000';</v>
      </c>
      <c r="J269" t="str">
        <f t="shared" si="29"/>
        <v>url268 &lt;-  read_html (url268);</v>
      </c>
      <c r="K269" t="str">
        <f t="shared" si="30"/>
        <v>url_tbl268 &lt;- url268 %&gt;%   html_nodes('table') %&gt;%   html_table(fill = TRUE) %&gt;%   .[[1]];</v>
      </c>
      <c r="L269" t="str">
        <f t="shared" si="31"/>
        <v>url_tbl268 &lt;- data.table(url_tbl268);</v>
      </c>
      <c r="M269" t="str">
        <f t="shared" si="32"/>
        <v>url_tbl268 &lt;- url_tbl268[, `:=` (url ='', year =11),];</v>
      </c>
      <c r="N269" t="str">
        <f t="shared" si="33"/>
        <v>url268 &lt;- 'https://www.advisorkhoj.com/mutual-funds-research/top-performing-systematic-investment-plan?category=Equity:%20&amp;period=11&amp;amount=3000';url268 &lt;-  read_html (url268);url_tbl268 &lt;- url268 %&gt;%   html_nodes('table') %&gt;%   html_table(fill = TRUE) %&gt;%   .[[1]];url_tbl268 &lt;- data.table(url_tbl268);url_tbl268 &lt;- url_tbl268[, `:=` (url ='', year =11),];</v>
      </c>
    </row>
    <row r="270" spans="1:14">
      <c r="A270" t="s">
        <v>556</v>
      </c>
      <c r="B270" t="s">
        <v>557</v>
      </c>
      <c r="E270">
        <v>12</v>
      </c>
      <c r="F270" s="159" t="s">
        <v>3</v>
      </c>
      <c r="G270" t="s">
        <v>4</v>
      </c>
      <c r="H270" t="s">
        <v>5</v>
      </c>
      <c r="I270" t="str">
        <f t="shared" si="28"/>
        <v>url269 &lt;- 'https://www.advisorkhoj.com/mutual-funds-research/top-performing-systematic-investment-plan?category=Equity:%20&amp;period=12&amp;amount=3000';</v>
      </c>
      <c r="J270" t="str">
        <f t="shared" si="29"/>
        <v>url269 &lt;-  read_html (url269);</v>
      </c>
      <c r="K270" t="str">
        <f t="shared" si="30"/>
        <v>url_tbl269 &lt;- url269 %&gt;%   html_nodes('table') %&gt;%   html_table(fill = TRUE) %&gt;%   .[[1]];</v>
      </c>
      <c r="L270" t="str">
        <f t="shared" si="31"/>
        <v>url_tbl269 &lt;- data.table(url_tbl269);</v>
      </c>
      <c r="M270" t="str">
        <f t="shared" si="32"/>
        <v>url_tbl269 &lt;- url_tbl269[, `:=` (url ='', year =12),];</v>
      </c>
      <c r="N270" t="str">
        <f t="shared" si="33"/>
        <v>url269 &lt;- 'https://www.advisorkhoj.com/mutual-funds-research/top-performing-systematic-investment-plan?category=Equity:%20&amp;period=12&amp;amount=3000';url269 &lt;-  read_html (url269);url_tbl269 &lt;- url269 %&gt;%   html_nodes('table') %&gt;%   html_table(fill = TRUE) %&gt;%   .[[1]];url_tbl269 &lt;- data.table(url_tbl269);url_tbl269 &lt;- url_tbl269[, `:=` (url ='', year =12),];</v>
      </c>
    </row>
    <row r="271" spans="1:14">
      <c r="A271" t="s">
        <v>558</v>
      </c>
      <c r="B271" t="s">
        <v>559</v>
      </c>
      <c r="E271">
        <v>13</v>
      </c>
      <c r="F271" s="159" t="s">
        <v>3</v>
      </c>
      <c r="G271" t="s">
        <v>4</v>
      </c>
      <c r="H271" t="s">
        <v>5</v>
      </c>
      <c r="I271" t="str">
        <f t="shared" si="28"/>
        <v>url270 &lt;- 'https://www.advisorkhoj.com/mutual-funds-research/top-performing-systematic-investment-plan?category=Equity:%20&amp;period=13&amp;amount=3000';</v>
      </c>
      <c r="J271" t="str">
        <f t="shared" si="29"/>
        <v>url270 &lt;-  read_html (url270);</v>
      </c>
      <c r="K271" t="str">
        <f t="shared" si="30"/>
        <v>url_tbl270 &lt;- url270 %&gt;%   html_nodes('table') %&gt;%   html_table(fill = TRUE) %&gt;%   .[[1]];</v>
      </c>
      <c r="L271" t="str">
        <f t="shared" si="31"/>
        <v>url_tbl270 &lt;- data.table(url_tbl270);</v>
      </c>
      <c r="M271" t="str">
        <f t="shared" si="32"/>
        <v>url_tbl270 &lt;- url_tbl270[, `:=` (url ='', year =13),];</v>
      </c>
      <c r="N271" t="str">
        <f t="shared" si="33"/>
        <v>url270 &lt;- 'https://www.advisorkhoj.com/mutual-funds-research/top-performing-systematic-investment-plan?category=Equity:%20&amp;period=13&amp;amount=3000';url270 &lt;-  read_html (url270);url_tbl270 &lt;- url270 %&gt;%   html_nodes('table') %&gt;%   html_table(fill = TRUE) %&gt;%   .[[1]];url_tbl270 &lt;- data.table(url_tbl270);url_tbl270 &lt;- url_tbl270[, `:=` (url ='', year =13),];</v>
      </c>
    </row>
    <row r="272" spans="1:14">
      <c r="A272" t="s">
        <v>560</v>
      </c>
      <c r="B272" t="s">
        <v>561</v>
      </c>
      <c r="E272">
        <v>14</v>
      </c>
      <c r="F272" s="159" t="s">
        <v>3</v>
      </c>
      <c r="G272" t="s">
        <v>4</v>
      </c>
      <c r="H272" t="s">
        <v>5</v>
      </c>
      <c r="I272" t="str">
        <f t="shared" si="28"/>
        <v>url271 &lt;- 'https://www.advisorkhoj.com/mutual-funds-research/top-performing-systematic-investment-plan?category=Equity:%20&amp;period=14&amp;amount=3000';</v>
      </c>
      <c r="J272" t="str">
        <f t="shared" si="29"/>
        <v>url271 &lt;-  read_html (url271);</v>
      </c>
      <c r="K272" t="str">
        <f t="shared" si="30"/>
        <v>url_tbl271 &lt;- url271 %&gt;%   html_nodes('table') %&gt;%   html_table(fill = TRUE) %&gt;%   .[[1]];</v>
      </c>
      <c r="L272" t="str">
        <f t="shared" si="31"/>
        <v>url_tbl271 &lt;- data.table(url_tbl271);</v>
      </c>
      <c r="M272" t="str">
        <f t="shared" si="32"/>
        <v>url_tbl271 &lt;- url_tbl271[, `:=` (url ='', year =14),];</v>
      </c>
      <c r="N272" t="str">
        <f t="shared" si="33"/>
        <v>url271 &lt;- 'https://www.advisorkhoj.com/mutual-funds-research/top-performing-systematic-investment-plan?category=Equity:%20&amp;period=14&amp;amount=3000';url271 &lt;-  read_html (url271);url_tbl271 &lt;- url271 %&gt;%   html_nodes('table') %&gt;%   html_table(fill = TRUE) %&gt;%   .[[1]];url_tbl271 &lt;- data.table(url_tbl271);url_tbl271 &lt;- url_tbl271[, `:=` (url ='', year =14),];</v>
      </c>
    </row>
    <row r="273" spans="1:14">
      <c r="A273" t="s">
        <v>562</v>
      </c>
      <c r="B273" t="s">
        <v>563</v>
      </c>
      <c r="E273">
        <v>15</v>
      </c>
      <c r="F273" s="159" t="s">
        <v>3</v>
      </c>
      <c r="G273" t="s">
        <v>4</v>
      </c>
      <c r="H273" t="s">
        <v>5</v>
      </c>
      <c r="I273" t="str">
        <f t="shared" si="28"/>
        <v>url272 &lt;- 'https://www.advisorkhoj.com/mutual-funds-research/top-performing-systematic-investment-plan?category=Equity:%20&amp;period=15&amp;amount=3000';</v>
      </c>
      <c r="J273" t="str">
        <f t="shared" si="29"/>
        <v>url272 &lt;-  read_html (url272);</v>
      </c>
      <c r="K273" t="str">
        <f t="shared" si="30"/>
        <v>url_tbl272 &lt;- url272 %&gt;%   html_nodes('table') %&gt;%   html_table(fill = TRUE) %&gt;%   .[[1]];</v>
      </c>
      <c r="L273" t="str">
        <f t="shared" si="31"/>
        <v>url_tbl272 &lt;- data.table(url_tbl272);</v>
      </c>
      <c r="M273" t="str">
        <f t="shared" si="32"/>
        <v>url_tbl272 &lt;- url_tbl272[, `:=` (url ='', year =15),];</v>
      </c>
      <c r="N273" t="str">
        <f t="shared" si="33"/>
        <v>url272 &lt;- 'https://www.advisorkhoj.com/mutual-funds-research/top-performing-systematic-investment-plan?category=Equity:%20&amp;period=15&amp;amount=3000';url272 &lt;-  read_html (url272);url_tbl272 &lt;- url272 %&gt;%   html_nodes('table') %&gt;%   html_table(fill = TRUE) %&gt;%   .[[1]];url_tbl272 &lt;- data.table(url_tbl272);url_tbl272 &lt;- url_tbl272[, `:=` (url ='', year =15),];</v>
      </c>
    </row>
    <row r="274" spans="1:14">
      <c r="A274" t="s">
        <v>564</v>
      </c>
      <c r="B274" t="s">
        <v>565</v>
      </c>
      <c r="E274">
        <v>16</v>
      </c>
      <c r="F274" s="159" t="s">
        <v>3</v>
      </c>
      <c r="G274" t="s">
        <v>4</v>
      </c>
      <c r="H274" t="s">
        <v>5</v>
      </c>
      <c r="I274" t="str">
        <f t="shared" si="28"/>
        <v>url273 &lt;- 'https://www.advisorkhoj.com/mutual-funds-research/top-performing-systematic-investment-plan?category=Equity:%20&amp;period=16&amp;amount=3000';</v>
      </c>
      <c r="J274" t="str">
        <f t="shared" si="29"/>
        <v>url273 &lt;-  read_html (url273);</v>
      </c>
      <c r="K274" t="str">
        <f t="shared" si="30"/>
        <v>url_tbl273 &lt;- url273 %&gt;%   html_nodes('table') %&gt;%   html_table(fill = TRUE) %&gt;%   .[[1]];</v>
      </c>
      <c r="L274" t="str">
        <f t="shared" si="31"/>
        <v>url_tbl273 &lt;- data.table(url_tbl273);</v>
      </c>
      <c r="M274" t="str">
        <f t="shared" si="32"/>
        <v>url_tbl273 &lt;- url_tbl273[, `:=` (url ='', year =16),];</v>
      </c>
      <c r="N274" t="str">
        <f t="shared" si="33"/>
        <v>url273 &lt;- 'https://www.advisorkhoj.com/mutual-funds-research/top-performing-systematic-investment-plan?category=Equity:%20&amp;period=16&amp;amount=3000';url273 &lt;-  read_html (url273);url_tbl273 &lt;- url273 %&gt;%   html_nodes('table') %&gt;%   html_table(fill = TRUE) %&gt;%   .[[1]];url_tbl273 &lt;- data.table(url_tbl273);url_tbl273 &lt;- url_tbl273[, `:=` (url ='', year =16),];</v>
      </c>
    </row>
    <row r="275" spans="1:14">
      <c r="A275" t="s">
        <v>566</v>
      </c>
      <c r="B275" t="s">
        <v>567</v>
      </c>
      <c r="E275">
        <v>1</v>
      </c>
      <c r="F275" s="159" t="s">
        <v>3</v>
      </c>
      <c r="G275" t="s">
        <v>4</v>
      </c>
      <c r="H275" t="s">
        <v>5</v>
      </c>
      <c r="I275" t="str">
        <f t="shared" si="28"/>
        <v>url274 &lt;- 'https://www.advisorkhoj.com/mutual-funds-research/top-performing-systematic-investment-plan?category=Equity:%20&amp;period=1&amp;amount=3000';</v>
      </c>
      <c r="J275" t="str">
        <f t="shared" si="29"/>
        <v>url274 &lt;-  read_html (url274);</v>
      </c>
      <c r="K275" t="str">
        <f t="shared" si="30"/>
        <v>url_tbl274 &lt;- url274 %&gt;%   html_nodes('table') %&gt;%   html_table(fill = TRUE) %&gt;%   .[[1]];</v>
      </c>
      <c r="L275" t="str">
        <f t="shared" si="31"/>
        <v>url_tbl274 &lt;- data.table(url_tbl274);</v>
      </c>
      <c r="M275" t="str">
        <f t="shared" si="32"/>
        <v>url_tbl274 &lt;- url_tbl274[, `:=` (url ='', year =1),];</v>
      </c>
      <c r="N275" t="str">
        <f t="shared" si="33"/>
        <v>url274 &lt;- 'https://www.advisorkhoj.com/mutual-funds-research/top-performing-systematic-investment-plan?category=Equity:%20&amp;period=1&amp;amount=3000';url274 &lt;-  read_html (url274);url_tbl274 &lt;- url274 %&gt;%   html_nodes('table') %&gt;%   html_table(fill = TRUE) %&gt;%   .[[1]];url_tbl274 &lt;- data.table(url_tbl274);url_tbl274 &lt;- url_tbl274[, `:=` (url ='', year =1),];</v>
      </c>
    </row>
    <row r="276" spans="1:14">
      <c r="A276" t="s">
        <v>568</v>
      </c>
      <c r="B276" t="s">
        <v>569</v>
      </c>
      <c r="E276">
        <v>2</v>
      </c>
      <c r="F276" s="159" t="s">
        <v>3</v>
      </c>
      <c r="G276" t="s">
        <v>4</v>
      </c>
      <c r="H276" t="s">
        <v>5</v>
      </c>
      <c r="I276" t="str">
        <f t="shared" si="28"/>
        <v>url275 &lt;- 'https://www.advisorkhoj.com/mutual-funds-research/top-performing-systematic-investment-plan?category=Equity:%20&amp;period=2&amp;amount=3000';</v>
      </c>
      <c r="J276" t="str">
        <f t="shared" si="29"/>
        <v>url275 &lt;-  read_html (url275);</v>
      </c>
      <c r="K276" t="str">
        <f t="shared" si="30"/>
        <v>url_tbl275 &lt;- url275 %&gt;%   html_nodes('table') %&gt;%   html_table(fill = TRUE) %&gt;%   .[[1]];</v>
      </c>
      <c r="L276" t="str">
        <f t="shared" si="31"/>
        <v>url_tbl275 &lt;- data.table(url_tbl275);</v>
      </c>
      <c r="M276" t="str">
        <f t="shared" si="32"/>
        <v>url_tbl275 &lt;- url_tbl275[, `:=` (url ='', year =2),];</v>
      </c>
      <c r="N276" t="str">
        <f t="shared" si="33"/>
        <v>url275 &lt;- 'https://www.advisorkhoj.com/mutual-funds-research/top-performing-systematic-investment-plan?category=Equity:%20&amp;period=2&amp;amount=3000';url275 &lt;-  read_html (url275);url_tbl275 &lt;- url275 %&gt;%   html_nodes('table') %&gt;%   html_table(fill = TRUE) %&gt;%   .[[1]];url_tbl275 &lt;- data.table(url_tbl275);url_tbl275 &lt;- url_tbl275[, `:=` (url ='', year =2),];</v>
      </c>
    </row>
    <row r="277" spans="1:14">
      <c r="A277" t="s">
        <v>570</v>
      </c>
      <c r="B277" t="s">
        <v>571</v>
      </c>
      <c r="E277">
        <v>3</v>
      </c>
      <c r="F277" s="159" t="s">
        <v>3</v>
      </c>
      <c r="G277" t="s">
        <v>4</v>
      </c>
      <c r="H277" t="s">
        <v>5</v>
      </c>
      <c r="I277" t="str">
        <f t="shared" si="28"/>
        <v>url276 &lt;- 'https://www.advisorkhoj.com/mutual-funds-research/top-performing-systematic-investment-plan?category=Equity:%20&amp;period=3&amp;amount=3000';</v>
      </c>
      <c r="J277" t="str">
        <f t="shared" si="29"/>
        <v>url276 &lt;-  read_html (url276);</v>
      </c>
      <c r="K277" t="str">
        <f t="shared" si="30"/>
        <v>url_tbl276 &lt;- url276 %&gt;%   html_nodes('table') %&gt;%   html_table(fill = TRUE) %&gt;%   .[[1]];</v>
      </c>
      <c r="L277" t="str">
        <f t="shared" si="31"/>
        <v>url_tbl276 &lt;- data.table(url_tbl276);</v>
      </c>
      <c r="M277" t="str">
        <f t="shared" si="32"/>
        <v>url_tbl276 &lt;- url_tbl276[, `:=` (url ='', year =3),];</v>
      </c>
      <c r="N277" t="str">
        <f t="shared" si="33"/>
        <v>url276 &lt;- 'https://www.advisorkhoj.com/mutual-funds-research/top-performing-systematic-investment-plan?category=Equity:%20&amp;period=3&amp;amount=3000';url276 &lt;-  read_html (url276);url_tbl276 &lt;- url276 %&gt;%   html_nodes('table') %&gt;%   html_table(fill = TRUE) %&gt;%   .[[1]];url_tbl276 &lt;- data.table(url_tbl276);url_tbl276 &lt;- url_tbl276[, `:=` (url ='', year =3),];</v>
      </c>
    </row>
    <row r="278" spans="1:14">
      <c r="A278" t="s">
        <v>572</v>
      </c>
      <c r="B278" t="s">
        <v>573</v>
      </c>
      <c r="E278">
        <v>4</v>
      </c>
      <c r="F278" s="159" t="s">
        <v>3</v>
      </c>
      <c r="G278" t="s">
        <v>4</v>
      </c>
      <c r="H278" t="s">
        <v>5</v>
      </c>
      <c r="I278" t="str">
        <f t="shared" si="28"/>
        <v>url277 &lt;- 'https://www.advisorkhoj.com/mutual-funds-research/top-performing-systematic-investment-plan?category=Equity:%20&amp;period=4&amp;amount=3000';</v>
      </c>
      <c r="J278" t="str">
        <f t="shared" si="29"/>
        <v>url277 &lt;-  read_html (url277);</v>
      </c>
      <c r="K278" t="str">
        <f t="shared" si="30"/>
        <v>url_tbl277 &lt;- url277 %&gt;%   html_nodes('table') %&gt;%   html_table(fill = TRUE) %&gt;%   .[[1]];</v>
      </c>
      <c r="L278" t="str">
        <f t="shared" si="31"/>
        <v>url_tbl277 &lt;- data.table(url_tbl277);</v>
      </c>
      <c r="M278" t="str">
        <f t="shared" si="32"/>
        <v>url_tbl277 &lt;- url_tbl277[, `:=` (url ='', year =4),];</v>
      </c>
      <c r="N278" t="str">
        <f t="shared" si="33"/>
        <v>url277 &lt;- 'https://www.advisorkhoj.com/mutual-funds-research/top-performing-systematic-investment-plan?category=Equity:%20&amp;period=4&amp;amount=3000';url277 &lt;-  read_html (url277);url_tbl277 &lt;- url277 %&gt;%   html_nodes('table') %&gt;%   html_table(fill = TRUE) %&gt;%   .[[1]];url_tbl277 &lt;- data.table(url_tbl277);url_tbl277 &lt;- url_tbl277[, `:=` (url ='', year =4),];</v>
      </c>
    </row>
    <row r="279" spans="1:14">
      <c r="A279" t="s">
        <v>574</v>
      </c>
      <c r="B279" t="s">
        <v>575</v>
      </c>
      <c r="E279">
        <v>5</v>
      </c>
      <c r="F279" s="159" t="s">
        <v>3</v>
      </c>
      <c r="G279" t="s">
        <v>4</v>
      </c>
      <c r="H279" t="s">
        <v>5</v>
      </c>
      <c r="I279" t="str">
        <f t="shared" si="28"/>
        <v>url278 &lt;- 'https://www.advisorkhoj.com/mutual-funds-research/top-performing-systematic-investment-plan?category=Equity:%20&amp;period=5&amp;amount=3000';</v>
      </c>
      <c r="J279" t="str">
        <f t="shared" si="29"/>
        <v>url278 &lt;-  read_html (url278);</v>
      </c>
      <c r="K279" t="str">
        <f t="shared" si="30"/>
        <v>url_tbl278 &lt;- url278 %&gt;%   html_nodes('table') %&gt;%   html_table(fill = TRUE) %&gt;%   .[[1]];</v>
      </c>
      <c r="L279" t="str">
        <f t="shared" si="31"/>
        <v>url_tbl278 &lt;- data.table(url_tbl278);</v>
      </c>
      <c r="M279" t="str">
        <f t="shared" si="32"/>
        <v>url_tbl278 &lt;- url_tbl278[, `:=` (url ='', year =5),];</v>
      </c>
      <c r="N279" t="str">
        <f t="shared" si="33"/>
        <v>url278 &lt;- 'https://www.advisorkhoj.com/mutual-funds-research/top-performing-systematic-investment-plan?category=Equity:%20&amp;period=5&amp;amount=3000';url278 &lt;-  read_html (url278);url_tbl278 &lt;- url278 %&gt;%   html_nodes('table') %&gt;%   html_table(fill = TRUE) %&gt;%   .[[1]];url_tbl278 &lt;- data.table(url_tbl278);url_tbl278 &lt;- url_tbl278[, `:=` (url ='', year =5),];</v>
      </c>
    </row>
    <row r="280" spans="1:14">
      <c r="A280" t="s">
        <v>576</v>
      </c>
      <c r="B280" t="s">
        <v>577</v>
      </c>
      <c r="E280">
        <v>6</v>
      </c>
      <c r="F280" s="159" t="s">
        <v>3</v>
      </c>
      <c r="G280" t="s">
        <v>4</v>
      </c>
      <c r="H280" t="s">
        <v>5</v>
      </c>
      <c r="I280" t="str">
        <f t="shared" si="28"/>
        <v>url279 &lt;- 'https://www.advisorkhoj.com/mutual-funds-research/top-performing-systematic-investment-plan?category=Equity:%20&amp;period=6&amp;amount=3000';</v>
      </c>
      <c r="J280" t="str">
        <f t="shared" si="29"/>
        <v>url279 &lt;-  read_html (url279);</v>
      </c>
      <c r="K280" t="str">
        <f t="shared" si="30"/>
        <v>url_tbl279 &lt;- url279 %&gt;%   html_nodes('table') %&gt;%   html_table(fill = TRUE) %&gt;%   .[[1]];</v>
      </c>
      <c r="L280" t="str">
        <f t="shared" si="31"/>
        <v>url_tbl279 &lt;- data.table(url_tbl279);</v>
      </c>
      <c r="M280" t="str">
        <f t="shared" si="32"/>
        <v>url_tbl279 &lt;- url_tbl279[, `:=` (url ='', year =6),];</v>
      </c>
      <c r="N280" t="str">
        <f t="shared" si="33"/>
        <v>url279 &lt;- 'https://www.advisorkhoj.com/mutual-funds-research/top-performing-systematic-investment-plan?category=Equity:%20&amp;period=6&amp;amount=3000';url279 &lt;-  read_html (url279);url_tbl279 &lt;- url279 %&gt;%   html_nodes('table') %&gt;%   html_table(fill = TRUE) %&gt;%   .[[1]];url_tbl279 &lt;- data.table(url_tbl279);url_tbl279 &lt;- url_tbl279[, `:=` (url ='', year =6),];</v>
      </c>
    </row>
    <row r="281" spans="1:14">
      <c r="A281" t="s">
        <v>578</v>
      </c>
      <c r="B281" t="s">
        <v>579</v>
      </c>
      <c r="E281">
        <v>7</v>
      </c>
      <c r="F281" s="159" t="s">
        <v>3</v>
      </c>
      <c r="G281" t="s">
        <v>4</v>
      </c>
      <c r="H281" t="s">
        <v>5</v>
      </c>
      <c r="I281" t="str">
        <f t="shared" si="28"/>
        <v>url280 &lt;- 'https://www.advisorkhoj.com/mutual-funds-research/top-performing-systematic-investment-plan?category=Equity:%20&amp;period=7&amp;amount=3000';</v>
      </c>
      <c r="J281" t="str">
        <f t="shared" si="29"/>
        <v>url280 &lt;-  read_html (url280);</v>
      </c>
      <c r="K281" t="str">
        <f t="shared" si="30"/>
        <v>url_tbl280 &lt;- url280 %&gt;%   html_nodes('table') %&gt;%   html_table(fill = TRUE) %&gt;%   .[[1]];</v>
      </c>
      <c r="L281" t="str">
        <f t="shared" si="31"/>
        <v>url_tbl280 &lt;- data.table(url_tbl280);</v>
      </c>
      <c r="M281" t="str">
        <f t="shared" si="32"/>
        <v>url_tbl280 &lt;- url_tbl280[, `:=` (url ='', year =7),];</v>
      </c>
      <c r="N281" t="str">
        <f t="shared" si="33"/>
        <v>url280 &lt;- 'https://www.advisorkhoj.com/mutual-funds-research/top-performing-systematic-investment-plan?category=Equity:%20&amp;period=7&amp;amount=3000';url280 &lt;-  read_html (url280);url_tbl280 &lt;- url280 %&gt;%   html_nodes('table') %&gt;%   html_table(fill = TRUE) %&gt;%   .[[1]];url_tbl280 &lt;- data.table(url_tbl280);url_tbl280 &lt;- url_tbl280[, `:=` (url ='', year =7),];</v>
      </c>
    </row>
    <row r="282" spans="1:14">
      <c r="A282" t="s">
        <v>580</v>
      </c>
      <c r="B282" t="s">
        <v>581</v>
      </c>
      <c r="E282">
        <v>8</v>
      </c>
      <c r="F282" s="159" t="s">
        <v>3</v>
      </c>
      <c r="G282" t="s">
        <v>4</v>
      </c>
      <c r="H282" t="s">
        <v>5</v>
      </c>
      <c r="I282" t="str">
        <f t="shared" si="28"/>
        <v>url281 &lt;- 'https://www.advisorkhoj.com/mutual-funds-research/top-performing-systematic-investment-plan?category=Equity:%20&amp;period=8&amp;amount=3000';</v>
      </c>
      <c r="J282" t="str">
        <f t="shared" si="29"/>
        <v>url281 &lt;-  read_html (url281);</v>
      </c>
      <c r="K282" t="str">
        <f t="shared" si="30"/>
        <v>url_tbl281 &lt;- url281 %&gt;%   html_nodes('table') %&gt;%   html_table(fill = TRUE) %&gt;%   .[[1]];</v>
      </c>
      <c r="L282" t="str">
        <f t="shared" si="31"/>
        <v>url_tbl281 &lt;- data.table(url_tbl281);</v>
      </c>
      <c r="M282" t="str">
        <f t="shared" si="32"/>
        <v>url_tbl281 &lt;- url_tbl281[, `:=` (url ='', year =8),];</v>
      </c>
      <c r="N282" t="str">
        <f t="shared" si="33"/>
        <v>url281 &lt;- 'https://www.advisorkhoj.com/mutual-funds-research/top-performing-systematic-investment-plan?category=Equity:%20&amp;period=8&amp;amount=3000';url281 &lt;-  read_html (url281);url_tbl281 &lt;- url281 %&gt;%   html_nodes('table') %&gt;%   html_table(fill = TRUE) %&gt;%   .[[1]];url_tbl281 &lt;- data.table(url_tbl281);url_tbl281 &lt;- url_tbl281[, `:=` (url ='', year =8),];</v>
      </c>
    </row>
    <row r="283" spans="1:14">
      <c r="A283" t="s">
        <v>582</v>
      </c>
      <c r="B283" t="s">
        <v>583</v>
      </c>
      <c r="E283">
        <v>9</v>
      </c>
      <c r="F283" s="159" t="s">
        <v>3</v>
      </c>
      <c r="G283" t="s">
        <v>4</v>
      </c>
      <c r="H283" t="s">
        <v>5</v>
      </c>
      <c r="I283" t="str">
        <f t="shared" si="28"/>
        <v>url282 &lt;- 'https://www.advisorkhoj.com/mutual-funds-research/top-performing-systematic-investment-plan?category=Equity:%20&amp;period=9&amp;amount=3000';</v>
      </c>
      <c r="J283" t="str">
        <f t="shared" si="29"/>
        <v>url282 &lt;-  read_html (url282);</v>
      </c>
      <c r="K283" t="str">
        <f t="shared" si="30"/>
        <v>url_tbl282 &lt;- url282 %&gt;%   html_nodes('table') %&gt;%   html_table(fill = TRUE) %&gt;%   .[[1]];</v>
      </c>
      <c r="L283" t="str">
        <f t="shared" si="31"/>
        <v>url_tbl282 &lt;- data.table(url_tbl282);</v>
      </c>
      <c r="M283" t="str">
        <f t="shared" si="32"/>
        <v>url_tbl282 &lt;- url_tbl282[, `:=` (url ='', year =9),];</v>
      </c>
      <c r="N283" t="str">
        <f t="shared" si="33"/>
        <v>url282 &lt;- 'https://www.advisorkhoj.com/mutual-funds-research/top-performing-systematic-investment-plan?category=Equity:%20&amp;period=9&amp;amount=3000';url282 &lt;-  read_html (url282);url_tbl282 &lt;- url282 %&gt;%   html_nodes('table') %&gt;%   html_table(fill = TRUE) %&gt;%   .[[1]];url_tbl282 &lt;- data.table(url_tbl282);url_tbl282 &lt;- url_tbl282[, `:=` (url ='', year =9),];</v>
      </c>
    </row>
    <row r="284" spans="1:14">
      <c r="A284" t="s">
        <v>584</v>
      </c>
      <c r="B284" t="s">
        <v>585</v>
      </c>
      <c r="E284">
        <v>10</v>
      </c>
      <c r="F284" s="159" t="s">
        <v>3</v>
      </c>
      <c r="G284" t="s">
        <v>4</v>
      </c>
      <c r="H284" t="s">
        <v>5</v>
      </c>
      <c r="I284" t="str">
        <f t="shared" si="28"/>
        <v>url283 &lt;- 'https://www.advisorkhoj.com/mutual-funds-research/top-performing-systematic-investment-plan?category=Equity:%20&amp;period=10&amp;amount=3000';</v>
      </c>
      <c r="J284" t="str">
        <f t="shared" si="29"/>
        <v>url283 &lt;-  read_html (url283);</v>
      </c>
      <c r="K284" t="str">
        <f t="shared" si="30"/>
        <v>url_tbl283 &lt;- url283 %&gt;%   html_nodes('table') %&gt;%   html_table(fill = TRUE) %&gt;%   .[[1]];</v>
      </c>
      <c r="L284" t="str">
        <f t="shared" si="31"/>
        <v>url_tbl283 &lt;- data.table(url_tbl283);</v>
      </c>
      <c r="M284" t="str">
        <f t="shared" si="32"/>
        <v>url_tbl283 &lt;- url_tbl283[, `:=` (url ='', year =10),];</v>
      </c>
      <c r="N284" t="str">
        <f t="shared" si="33"/>
        <v>url283 &lt;- 'https://www.advisorkhoj.com/mutual-funds-research/top-performing-systematic-investment-plan?category=Equity:%20&amp;period=10&amp;amount=3000';url283 &lt;-  read_html (url283);url_tbl283 &lt;- url283 %&gt;%   html_nodes('table') %&gt;%   html_table(fill = TRUE) %&gt;%   .[[1]];url_tbl283 &lt;- data.table(url_tbl283);url_tbl283 &lt;- url_tbl283[, `:=` (url ='', year =10),];</v>
      </c>
    </row>
    <row r="285" spans="1:14">
      <c r="A285" t="s">
        <v>586</v>
      </c>
      <c r="B285" t="s">
        <v>587</v>
      </c>
      <c r="E285">
        <v>11</v>
      </c>
      <c r="F285" s="159" t="s">
        <v>3</v>
      </c>
      <c r="G285" t="s">
        <v>4</v>
      </c>
      <c r="H285" t="s">
        <v>5</v>
      </c>
      <c r="I285" t="str">
        <f t="shared" si="28"/>
        <v>url284 &lt;- 'https://www.advisorkhoj.com/mutual-funds-research/top-performing-systematic-investment-plan?category=Equity:%20&amp;period=11&amp;amount=3000';</v>
      </c>
      <c r="J285" t="str">
        <f t="shared" si="29"/>
        <v>url284 &lt;-  read_html (url284);</v>
      </c>
      <c r="K285" t="str">
        <f t="shared" si="30"/>
        <v>url_tbl284 &lt;- url284 %&gt;%   html_nodes('table') %&gt;%   html_table(fill = TRUE) %&gt;%   .[[1]];</v>
      </c>
      <c r="L285" t="str">
        <f t="shared" si="31"/>
        <v>url_tbl284 &lt;- data.table(url_tbl284);</v>
      </c>
      <c r="M285" t="str">
        <f t="shared" si="32"/>
        <v>url_tbl284 &lt;- url_tbl284[, `:=` (url ='', year =11),];</v>
      </c>
      <c r="N285" t="str">
        <f t="shared" si="33"/>
        <v>url284 &lt;- 'https://www.advisorkhoj.com/mutual-funds-research/top-performing-systematic-investment-plan?category=Equity:%20&amp;period=11&amp;amount=3000';url284 &lt;-  read_html (url284);url_tbl284 &lt;- url284 %&gt;%   html_nodes('table') %&gt;%   html_table(fill = TRUE) %&gt;%   .[[1]];url_tbl284 &lt;- data.table(url_tbl284);url_tbl284 &lt;- url_tbl284[, `:=` (url ='', year =11),];</v>
      </c>
    </row>
    <row r="286" spans="1:14">
      <c r="A286" t="s">
        <v>588</v>
      </c>
      <c r="B286" t="s">
        <v>589</v>
      </c>
      <c r="E286">
        <v>12</v>
      </c>
      <c r="F286" s="159" t="s">
        <v>3</v>
      </c>
      <c r="G286" t="s">
        <v>4</v>
      </c>
      <c r="H286" t="s">
        <v>5</v>
      </c>
      <c r="I286" t="str">
        <f t="shared" si="28"/>
        <v>url285 &lt;- 'https://www.advisorkhoj.com/mutual-funds-research/top-performing-systematic-investment-plan?category=Equity:%20&amp;period=12&amp;amount=3000';</v>
      </c>
      <c r="J286" t="str">
        <f t="shared" si="29"/>
        <v>url285 &lt;-  read_html (url285);</v>
      </c>
      <c r="K286" t="str">
        <f t="shared" si="30"/>
        <v>url_tbl285 &lt;- url285 %&gt;%   html_nodes('table') %&gt;%   html_table(fill = TRUE) %&gt;%   .[[1]];</v>
      </c>
      <c r="L286" t="str">
        <f t="shared" si="31"/>
        <v>url_tbl285 &lt;- data.table(url_tbl285);</v>
      </c>
      <c r="M286" t="str">
        <f t="shared" si="32"/>
        <v>url_tbl285 &lt;- url_tbl285[, `:=` (url ='', year =12),];</v>
      </c>
      <c r="N286" t="str">
        <f t="shared" si="33"/>
        <v>url285 &lt;- 'https://www.advisorkhoj.com/mutual-funds-research/top-performing-systematic-investment-plan?category=Equity:%20&amp;period=12&amp;amount=3000';url285 &lt;-  read_html (url285);url_tbl285 &lt;- url285 %&gt;%   html_nodes('table') %&gt;%   html_table(fill = TRUE) %&gt;%   .[[1]];url_tbl285 &lt;- data.table(url_tbl285);url_tbl285 &lt;- url_tbl285[, `:=` (url ='', year =12),];</v>
      </c>
    </row>
    <row r="287" spans="1:14">
      <c r="A287" t="s">
        <v>590</v>
      </c>
      <c r="B287" t="s">
        <v>591</v>
      </c>
      <c r="E287">
        <v>13</v>
      </c>
      <c r="F287" s="159" t="s">
        <v>3</v>
      </c>
      <c r="G287" t="s">
        <v>4</v>
      </c>
      <c r="H287" t="s">
        <v>5</v>
      </c>
      <c r="I287" t="str">
        <f t="shared" si="28"/>
        <v>url286 &lt;- 'https://www.advisorkhoj.com/mutual-funds-research/top-performing-systematic-investment-plan?category=Equity:%20&amp;period=13&amp;amount=3000';</v>
      </c>
      <c r="J287" t="str">
        <f t="shared" si="29"/>
        <v>url286 &lt;-  read_html (url286);</v>
      </c>
      <c r="K287" t="str">
        <f t="shared" si="30"/>
        <v>url_tbl286 &lt;- url286 %&gt;%   html_nodes('table') %&gt;%   html_table(fill = TRUE) %&gt;%   .[[1]];</v>
      </c>
      <c r="L287" t="str">
        <f t="shared" si="31"/>
        <v>url_tbl286 &lt;- data.table(url_tbl286);</v>
      </c>
      <c r="M287" t="str">
        <f t="shared" si="32"/>
        <v>url_tbl286 &lt;- url_tbl286[, `:=` (url ='', year =13),];</v>
      </c>
      <c r="N287" t="str">
        <f t="shared" si="33"/>
        <v>url286 &lt;- 'https://www.advisorkhoj.com/mutual-funds-research/top-performing-systematic-investment-plan?category=Equity:%20&amp;period=13&amp;amount=3000';url286 &lt;-  read_html (url286);url_tbl286 &lt;- url286 %&gt;%   html_nodes('table') %&gt;%   html_table(fill = TRUE) %&gt;%   .[[1]];url_tbl286 &lt;- data.table(url_tbl286);url_tbl286 &lt;- url_tbl286[, `:=` (url ='', year =13),];</v>
      </c>
    </row>
    <row r="288" spans="1:14">
      <c r="A288" t="s">
        <v>592</v>
      </c>
      <c r="B288" t="s">
        <v>593</v>
      </c>
      <c r="E288">
        <v>14</v>
      </c>
      <c r="F288" s="159" t="s">
        <v>3</v>
      </c>
      <c r="G288" t="s">
        <v>4</v>
      </c>
      <c r="H288" t="s">
        <v>5</v>
      </c>
      <c r="I288" t="str">
        <f t="shared" si="28"/>
        <v>url287 &lt;- 'https://www.advisorkhoj.com/mutual-funds-research/top-performing-systematic-investment-plan?category=Equity:%20&amp;period=14&amp;amount=3000';</v>
      </c>
      <c r="J288" t="str">
        <f t="shared" si="29"/>
        <v>url287 &lt;-  read_html (url287);</v>
      </c>
      <c r="K288" t="str">
        <f t="shared" si="30"/>
        <v>url_tbl287 &lt;- url287 %&gt;%   html_nodes('table') %&gt;%   html_table(fill = TRUE) %&gt;%   .[[1]];</v>
      </c>
      <c r="L288" t="str">
        <f t="shared" si="31"/>
        <v>url_tbl287 &lt;- data.table(url_tbl287);</v>
      </c>
      <c r="M288" t="str">
        <f t="shared" si="32"/>
        <v>url_tbl287 &lt;- url_tbl287[, `:=` (url ='', year =14),];</v>
      </c>
      <c r="N288" t="str">
        <f t="shared" si="33"/>
        <v>url287 &lt;- 'https://www.advisorkhoj.com/mutual-funds-research/top-performing-systematic-investment-plan?category=Equity:%20&amp;period=14&amp;amount=3000';url287 &lt;-  read_html (url287);url_tbl287 &lt;- url287 %&gt;%   html_nodes('table') %&gt;%   html_table(fill = TRUE) %&gt;%   .[[1]];url_tbl287 &lt;- data.table(url_tbl287);url_tbl287 &lt;- url_tbl287[, `:=` (url ='', year =14),];</v>
      </c>
    </row>
    <row r="289" spans="1:14">
      <c r="A289" t="s">
        <v>594</v>
      </c>
      <c r="B289" t="s">
        <v>595</v>
      </c>
      <c r="E289">
        <v>15</v>
      </c>
      <c r="F289" s="159" t="s">
        <v>3</v>
      </c>
      <c r="G289" t="s">
        <v>4</v>
      </c>
      <c r="H289" t="s">
        <v>5</v>
      </c>
      <c r="I289" t="str">
        <f t="shared" si="28"/>
        <v>url288 &lt;- 'https://www.advisorkhoj.com/mutual-funds-research/top-performing-systematic-investment-plan?category=Equity:%20&amp;period=15&amp;amount=3000';</v>
      </c>
      <c r="J289" t="str">
        <f t="shared" si="29"/>
        <v>url288 &lt;-  read_html (url288);</v>
      </c>
      <c r="K289" t="str">
        <f t="shared" si="30"/>
        <v>url_tbl288 &lt;- url288 %&gt;%   html_nodes('table') %&gt;%   html_table(fill = TRUE) %&gt;%   .[[1]];</v>
      </c>
      <c r="L289" t="str">
        <f t="shared" si="31"/>
        <v>url_tbl288 &lt;- data.table(url_tbl288);</v>
      </c>
      <c r="M289" t="str">
        <f t="shared" si="32"/>
        <v>url_tbl288 &lt;- url_tbl288[, `:=` (url ='', year =15),];</v>
      </c>
      <c r="N289" t="str">
        <f t="shared" si="33"/>
        <v>url288 &lt;- 'https://www.advisorkhoj.com/mutual-funds-research/top-performing-systematic-investment-plan?category=Equity:%20&amp;period=15&amp;amount=3000';url288 &lt;-  read_html (url288);url_tbl288 &lt;- url288 %&gt;%   html_nodes('table') %&gt;%   html_table(fill = TRUE) %&gt;%   .[[1]];url_tbl288 &lt;- data.table(url_tbl288);url_tbl288 &lt;- url_tbl288[, `:=` (url ='', year =15),];</v>
      </c>
    </row>
    <row r="290" spans="1:14">
      <c r="A290" t="s">
        <v>596</v>
      </c>
      <c r="B290" t="s">
        <v>597</v>
      </c>
      <c r="E290">
        <v>16</v>
      </c>
      <c r="F290" s="159" t="s">
        <v>3</v>
      </c>
      <c r="G290" t="s">
        <v>4</v>
      </c>
      <c r="H290" t="s">
        <v>5</v>
      </c>
      <c r="I290" t="str">
        <f t="shared" si="28"/>
        <v>url289 &lt;- 'https://www.advisorkhoj.com/mutual-funds-research/top-performing-systematic-investment-plan?category=Equity:%20&amp;period=16&amp;amount=3000';</v>
      </c>
      <c r="J290" t="str">
        <f t="shared" si="29"/>
        <v>url289 &lt;-  read_html (url289);</v>
      </c>
      <c r="K290" t="str">
        <f t="shared" si="30"/>
        <v>url_tbl289 &lt;- url289 %&gt;%   html_nodes('table') %&gt;%   html_table(fill = TRUE) %&gt;%   .[[1]];</v>
      </c>
      <c r="L290" t="str">
        <f t="shared" si="31"/>
        <v>url_tbl289 &lt;- data.table(url_tbl289);</v>
      </c>
      <c r="M290" t="str">
        <f t="shared" si="32"/>
        <v>url_tbl289 &lt;- url_tbl289[, `:=` (url ='', year =16),];</v>
      </c>
      <c r="N290" t="str">
        <f t="shared" si="33"/>
        <v>url289 &lt;- 'https://www.advisorkhoj.com/mutual-funds-research/top-performing-systematic-investment-plan?category=Equity:%20&amp;period=16&amp;amount=3000';url289 &lt;-  read_html (url289);url_tbl289 &lt;- url289 %&gt;%   html_nodes('table') %&gt;%   html_table(fill = TRUE) %&gt;%   .[[1]];url_tbl289 &lt;- data.table(url_tbl289);url_tbl289 &lt;- url_tbl289[, `:=` (url ='', year =16),];</v>
      </c>
    </row>
    <row r="291" spans="1:14">
      <c r="A291" t="s">
        <v>598</v>
      </c>
      <c r="B291" t="s">
        <v>599</v>
      </c>
      <c r="E291">
        <v>1</v>
      </c>
      <c r="F291" s="159" t="s">
        <v>3</v>
      </c>
      <c r="G291" t="s">
        <v>4</v>
      </c>
      <c r="H291" t="s">
        <v>5</v>
      </c>
      <c r="I291" t="str">
        <f t="shared" si="28"/>
        <v>url290 &lt;- 'https://www.advisorkhoj.com/mutual-funds-research/top-performing-systematic-investment-plan?category=Equity:%20&amp;period=1&amp;amount=3000';</v>
      </c>
      <c r="J291" t="str">
        <f t="shared" si="29"/>
        <v>url290 &lt;-  read_html (url290);</v>
      </c>
      <c r="K291" t="str">
        <f t="shared" si="30"/>
        <v>url_tbl290 &lt;- url290 %&gt;%   html_nodes('table') %&gt;%   html_table(fill = TRUE) %&gt;%   .[[1]];</v>
      </c>
      <c r="L291" t="str">
        <f t="shared" si="31"/>
        <v>url_tbl290 &lt;- data.table(url_tbl290);</v>
      </c>
      <c r="M291" t="str">
        <f t="shared" si="32"/>
        <v>url_tbl290 &lt;- url_tbl290[, `:=` (url ='', year =1),];</v>
      </c>
      <c r="N291" t="str">
        <f t="shared" si="33"/>
        <v>url290 &lt;- 'https://www.advisorkhoj.com/mutual-funds-research/top-performing-systematic-investment-plan?category=Equity:%20&amp;period=1&amp;amount=3000';url290 &lt;-  read_html (url290);url_tbl290 &lt;- url290 %&gt;%   html_nodes('table') %&gt;%   html_table(fill = TRUE) %&gt;%   .[[1]];url_tbl290 &lt;- data.table(url_tbl290);url_tbl290 &lt;- url_tbl290[, `:=` (url ='', year =1),];</v>
      </c>
    </row>
    <row r="292" spans="1:14">
      <c r="A292" t="s">
        <v>600</v>
      </c>
      <c r="B292" t="s">
        <v>601</v>
      </c>
      <c r="E292">
        <v>2</v>
      </c>
      <c r="F292" s="159" t="s">
        <v>3</v>
      </c>
      <c r="G292" t="s">
        <v>4</v>
      </c>
      <c r="H292" t="s">
        <v>5</v>
      </c>
      <c r="I292" t="str">
        <f t="shared" si="28"/>
        <v>url291 &lt;- 'https://www.advisorkhoj.com/mutual-funds-research/top-performing-systematic-investment-plan?category=Equity:%20&amp;period=2&amp;amount=3000';</v>
      </c>
      <c r="J292" t="str">
        <f t="shared" si="29"/>
        <v>url291 &lt;-  read_html (url291);</v>
      </c>
      <c r="K292" t="str">
        <f t="shared" si="30"/>
        <v>url_tbl291 &lt;- url291 %&gt;%   html_nodes('table') %&gt;%   html_table(fill = TRUE) %&gt;%   .[[1]];</v>
      </c>
      <c r="L292" t="str">
        <f t="shared" si="31"/>
        <v>url_tbl291 &lt;- data.table(url_tbl291);</v>
      </c>
      <c r="M292" t="str">
        <f t="shared" si="32"/>
        <v>url_tbl291 &lt;- url_tbl291[, `:=` (url ='', year =2),];</v>
      </c>
      <c r="N292" t="str">
        <f t="shared" si="33"/>
        <v>url291 &lt;- 'https://www.advisorkhoj.com/mutual-funds-research/top-performing-systematic-investment-plan?category=Equity:%20&amp;period=2&amp;amount=3000';url291 &lt;-  read_html (url291);url_tbl291 &lt;- url291 %&gt;%   html_nodes('table') %&gt;%   html_table(fill = TRUE) %&gt;%   .[[1]];url_tbl291 &lt;- data.table(url_tbl291);url_tbl291 &lt;- url_tbl291[, `:=` (url ='', year =2),];</v>
      </c>
    </row>
    <row r="293" spans="1:14">
      <c r="A293" t="s">
        <v>602</v>
      </c>
      <c r="B293" t="s">
        <v>603</v>
      </c>
      <c r="E293">
        <v>3</v>
      </c>
      <c r="F293" s="159" t="s">
        <v>3</v>
      </c>
      <c r="G293" t="s">
        <v>4</v>
      </c>
      <c r="H293" t="s">
        <v>5</v>
      </c>
      <c r="I293" t="str">
        <f t="shared" si="28"/>
        <v>url292 &lt;- 'https://www.advisorkhoj.com/mutual-funds-research/top-performing-systematic-investment-plan?category=Equity:%20&amp;period=3&amp;amount=3000';</v>
      </c>
      <c r="J293" t="str">
        <f t="shared" si="29"/>
        <v>url292 &lt;-  read_html (url292);</v>
      </c>
      <c r="K293" t="str">
        <f t="shared" si="30"/>
        <v>url_tbl292 &lt;- url292 %&gt;%   html_nodes('table') %&gt;%   html_table(fill = TRUE) %&gt;%   .[[1]];</v>
      </c>
      <c r="L293" t="str">
        <f t="shared" si="31"/>
        <v>url_tbl292 &lt;- data.table(url_tbl292);</v>
      </c>
      <c r="M293" t="str">
        <f t="shared" si="32"/>
        <v>url_tbl292 &lt;- url_tbl292[, `:=` (url ='', year =3),];</v>
      </c>
      <c r="N293" t="str">
        <f t="shared" si="33"/>
        <v>url292 &lt;- 'https://www.advisorkhoj.com/mutual-funds-research/top-performing-systematic-investment-plan?category=Equity:%20&amp;period=3&amp;amount=3000';url292 &lt;-  read_html (url292);url_tbl292 &lt;- url292 %&gt;%   html_nodes('table') %&gt;%   html_table(fill = TRUE) %&gt;%   .[[1]];url_tbl292 &lt;- data.table(url_tbl292);url_tbl292 &lt;- url_tbl292[, `:=` (url ='', year =3),];</v>
      </c>
    </row>
    <row r="294" spans="1:14">
      <c r="A294" t="s">
        <v>604</v>
      </c>
      <c r="B294" t="s">
        <v>605</v>
      </c>
      <c r="E294">
        <v>4</v>
      </c>
      <c r="F294" s="159" t="s">
        <v>3</v>
      </c>
      <c r="G294" t="s">
        <v>4</v>
      </c>
      <c r="H294" t="s">
        <v>5</v>
      </c>
      <c r="I294" t="str">
        <f t="shared" si="28"/>
        <v>url293 &lt;- 'https://www.advisorkhoj.com/mutual-funds-research/top-performing-systematic-investment-plan?category=Equity:%20&amp;period=4&amp;amount=3000';</v>
      </c>
      <c r="J294" t="str">
        <f t="shared" si="29"/>
        <v>url293 &lt;-  read_html (url293);</v>
      </c>
      <c r="K294" t="str">
        <f t="shared" si="30"/>
        <v>url_tbl293 &lt;- url293 %&gt;%   html_nodes('table') %&gt;%   html_table(fill = TRUE) %&gt;%   .[[1]];</v>
      </c>
      <c r="L294" t="str">
        <f t="shared" si="31"/>
        <v>url_tbl293 &lt;- data.table(url_tbl293);</v>
      </c>
      <c r="M294" t="str">
        <f t="shared" si="32"/>
        <v>url_tbl293 &lt;- url_tbl293[, `:=` (url ='', year =4),];</v>
      </c>
      <c r="N294" t="str">
        <f t="shared" si="33"/>
        <v>url293 &lt;- 'https://www.advisorkhoj.com/mutual-funds-research/top-performing-systematic-investment-plan?category=Equity:%20&amp;period=4&amp;amount=3000';url293 &lt;-  read_html (url293);url_tbl293 &lt;- url293 %&gt;%   html_nodes('table') %&gt;%   html_table(fill = TRUE) %&gt;%   .[[1]];url_tbl293 &lt;- data.table(url_tbl293);url_tbl293 &lt;- url_tbl293[, `:=` (url ='', year =4),];</v>
      </c>
    </row>
    <row r="295" spans="1:14">
      <c r="A295" t="s">
        <v>606</v>
      </c>
      <c r="B295" t="s">
        <v>607</v>
      </c>
      <c r="E295">
        <v>5</v>
      </c>
      <c r="F295" s="159" t="s">
        <v>3</v>
      </c>
      <c r="G295" t="s">
        <v>4</v>
      </c>
      <c r="H295" t="s">
        <v>5</v>
      </c>
      <c r="I295" t="str">
        <f t="shared" si="28"/>
        <v>url294 &lt;- 'https://www.advisorkhoj.com/mutual-funds-research/top-performing-systematic-investment-plan?category=Equity:%20&amp;period=5&amp;amount=3000';</v>
      </c>
      <c r="J295" t="str">
        <f t="shared" si="29"/>
        <v>url294 &lt;-  read_html (url294);</v>
      </c>
      <c r="K295" t="str">
        <f t="shared" si="30"/>
        <v>url_tbl294 &lt;- url294 %&gt;%   html_nodes('table') %&gt;%   html_table(fill = TRUE) %&gt;%   .[[1]];</v>
      </c>
      <c r="L295" t="str">
        <f t="shared" si="31"/>
        <v>url_tbl294 &lt;- data.table(url_tbl294);</v>
      </c>
      <c r="M295" t="str">
        <f t="shared" si="32"/>
        <v>url_tbl294 &lt;- url_tbl294[, `:=` (url ='', year =5),];</v>
      </c>
      <c r="N295" t="str">
        <f t="shared" si="33"/>
        <v>url294 &lt;- 'https://www.advisorkhoj.com/mutual-funds-research/top-performing-systematic-investment-plan?category=Equity:%20&amp;period=5&amp;amount=3000';url294 &lt;-  read_html (url294);url_tbl294 &lt;- url294 %&gt;%   html_nodes('table') %&gt;%   html_table(fill = TRUE) %&gt;%   .[[1]];url_tbl294 &lt;- data.table(url_tbl294);url_tbl294 &lt;- url_tbl294[, `:=` (url ='', year =5),];</v>
      </c>
    </row>
    <row r="296" spans="1:14">
      <c r="A296" t="s">
        <v>608</v>
      </c>
      <c r="B296" t="s">
        <v>609</v>
      </c>
      <c r="E296">
        <v>6</v>
      </c>
      <c r="F296" s="159" t="s">
        <v>3</v>
      </c>
      <c r="G296" t="s">
        <v>4</v>
      </c>
      <c r="H296" t="s">
        <v>5</v>
      </c>
      <c r="I296" t="str">
        <f t="shared" si="28"/>
        <v>url295 &lt;- 'https://www.advisorkhoj.com/mutual-funds-research/top-performing-systematic-investment-plan?category=Equity:%20&amp;period=6&amp;amount=3000';</v>
      </c>
      <c r="J296" t="str">
        <f t="shared" si="29"/>
        <v>url295 &lt;-  read_html (url295);</v>
      </c>
      <c r="K296" t="str">
        <f t="shared" si="30"/>
        <v>url_tbl295 &lt;- url295 %&gt;%   html_nodes('table') %&gt;%   html_table(fill = TRUE) %&gt;%   .[[1]];</v>
      </c>
      <c r="L296" t="str">
        <f t="shared" si="31"/>
        <v>url_tbl295 &lt;- data.table(url_tbl295);</v>
      </c>
      <c r="M296" t="str">
        <f t="shared" si="32"/>
        <v>url_tbl295 &lt;- url_tbl295[, `:=` (url ='', year =6),];</v>
      </c>
      <c r="N296" t="str">
        <f t="shared" si="33"/>
        <v>url295 &lt;- 'https://www.advisorkhoj.com/mutual-funds-research/top-performing-systematic-investment-plan?category=Equity:%20&amp;period=6&amp;amount=3000';url295 &lt;-  read_html (url295);url_tbl295 &lt;- url295 %&gt;%   html_nodes('table') %&gt;%   html_table(fill = TRUE) %&gt;%   .[[1]];url_tbl295 &lt;- data.table(url_tbl295);url_tbl295 &lt;- url_tbl295[, `:=` (url ='', year =6),];</v>
      </c>
    </row>
    <row r="297" spans="1:14">
      <c r="A297" t="s">
        <v>610</v>
      </c>
      <c r="B297" t="s">
        <v>611</v>
      </c>
      <c r="E297">
        <v>7</v>
      </c>
      <c r="F297" s="159" t="s">
        <v>3</v>
      </c>
      <c r="G297" t="s">
        <v>4</v>
      </c>
      <c r="H297" t="s">
        <v>5</v>
      </c>
      <c r="I297" t="str">
        <f t="shared" si="28"/>
        <v>url296 &lt;- 'https://www.advisorkhoj.com/mutual-funds-research/top-performing-systematic-investment-plan?category=Equity:%20&amp;period=7&amp;amount=3000';</v>
      </c>
      <c r="J297" t="str">
        <f t="shared" si="29"/>
        <v>url296 &lt;-  read_html (url296);</v>
      </c>
      <c r="K297" t="str">
        <f t="shared" si="30"/>
        <v>url_tbl296 &lt;- url296 %&gt;%   html_nodes('table') %&gt;%   html_table(fill = TRUE) %&gt;%   .[[1]];</v>
      </c>
      <c r="L297" t="str">
        <f t="shared" si="31"/>
        <v>url_tbl296 &lt;- data.table(url_tbl296);</v>
      </c>
      <c r="M297" t="str">
        <f t="shared" si="32"/>
        <v>url_tbl296 &lt;- url_tbl296[, `:=` (url ='', year =7),];</v>
      </c>
      <c r="N297" t="str">
        <f t="shared" si="33"/>
        <v>url296 &lt;- 'https://www.advisorkhoj.com/mutual-funds-research/top-performing-systematic-investment-plan?category=Equity:%20&amp;period=7&amp;amount=3000';url296 &lt;-  read_html (url296);url_tbl296 &lt;- url296 %&gt;%   html_nodes('table') %&gt;%   html_table(fill = TRUE) %&gt;%   .[[1]];url_tbl296 &lt;- data.table(url_tbl296);url_tbl296 &lt;- url_tbl296[, `:=` (url ='', year =7),];</v>
      </c>
    </row>
    <row r="298" spans="1:14">
      <c r="A298" t="s">
        <v>612</v>
      </c>
      <c r="B298" t="s">
        <v>613</v>
      </c>
      <c r="E298">
        <v>8</v>
      </c>
      <c r="F298" s="159" t="s">
        <v>3</v>
      </c>
      <c r="G298" t="s">
        <v>4</v>
      </c>
      <c r="H298" t="s">
        <v>5</v>
      </c>
      <c r="I298" t="str">
        <f t="shared" si="28"/>
        <v>url297 &lt;- 'https://www.advisorkhoj.com/mutual-funds-research/top-performing-systematic-investment-plan?category=Equity:%20&amp;period=8&amp;amount=3000';</v>
      </c>
      <c r="J298" t="str">
        <f t="shared" si="29"/>
        <v>url297 &lt;-  read_html (url297);</v>
      </c>
      <c r="K298" t="str">
        <f t="shared" si="30"/>
        <v>url_tbl297 &lt;- url297 %&gt;%   html_nodes('table') %&gt;%   html_table(fill = TRUE) %&gt;%   .[[1]];</v>
      </c>
      <c r="L298" t="str">
        <f t="shared" si="31"/>
        <v>url_tbl297 &lt;- data.table(url_tbl297);</v>
      </c>
      <c r="M298" t="str">
        <f t="shared" si="32"/>
        <v>url_tbl297 &lt;- url_tbl297[, `:=` (url ='', year =8),];</v>
      </c>
      <c r="N298" t="str">
        <f t="shared" si="33"/>
        <v>url297 &lt;- 'https://www.advisorkhoj.com/mutual-funds-research/top-performing-systematic-investment-plan?category=Equity:%20&amp;period=8&amp;amount=3000';url297 &lt;-  read_html (url297);url_tbl297 &lt;- url297 %&gt;%   html_nodes('table') %&gt;%   html_table(fill = TRUE) %&gt;%   .[[1]];url_tbl297 &lt;- data.table(url_tbl297);url_tbl297 &lt;- url_tbl297[, `:=` (url ='', year =8),];</v>
      </c>
    </row>
    <row r="299" spans="1:14">
      <c r="A299" t="s">
        <v>614</v>
      </c>
      <c r="B299" t="s">
        <v>615</v>
      </c>
      <c r="E299">
        <v>9</v>
      </c>
      <c r="F299" s="159" t="s">
        <v>3</v>
      </c>
      <c r="G299" t="s">
        <v>4</v>
      </c>
      <c r="H299" t="s">
        <v>5</v>
      </c>
      <c r="I299" t="str">
        <f t="shared" si="28"/>
        <v>url298 &lt;- 'https://www.advisorkhoj.com/mutual-funds-research/top-performing-systematic-investment-plan?category=Equity:%20&amp;period=9&amp;amount=3000';</v>
      </c>
      <c r="J299" t="str">
        <f t="shared" si="29"/>
        <v>url298 &lt;-  read_html (url298);</v>
      </c>
      <c r="K299" t="str">
        <f t="shared" si="30"/>
        <v>url_tbl298 &lt;- url298 %&gt;%   html_nodes('table') %&gt;%   html_table(fill = TRUE) %&gt;%   .[[1]];</v>
      </c>
      <c r="L299" t="str">
        <f t="shared" si="31"/>
        <v>url_tbl298 &lt;- data.table(url_tbl298);</v>
      </c>
      <c r="M299" t="str">
        <f t="shared" si="32"/>
        <v>url_tbl298 &lt;- url_tbl298[, `:=` (url ='', year =9),];</v>
      </c>
      <c r="N299" t="str">
        <f t="shared" si="33"/>
        <v>url298 &lt;- 'https://www.advisorkhoj.com/mutual-funds-research/top-performing-systematic-investment-plan?category=Equity:%20&amp;period=9&amp;amount=3000';url298 &lt;-  read_html (url298);url_tbl298 &lt;- url298 %&gt;%   html_nodes('table') %&gt;%   html_table(fill = TRUE) %&gt;%   .[[1]];url_tbl298 &lt;- data.table(url_tbl298);url_tbl298 &lt;- url_tbl298[, `:=` (url ='', year =9),];</v>
      </c>
    </row>
    <row r="300" spans="1:14">
      <c r="A300" t="s">
        <v>616</v>
      </c>
      <c r="B300" t="s">
        <v>617</v>
      </c>
      <c r="E300">
        <v>10</v>
      </c>
      <c r="F300" s="159" t="s">
        <v>3</v>
      </c>
      <c r="G300" t="s">
        <v>4</v>
      </c>
      <c r="H300" t="s">
        <v>5</v>
      </c>
      <c r="I300" t="str">
        <f t="shared" si="28"/>
        <v>url299 &lt;- 'https://www.advisorkhoj.com/mutual-funds-research/top-performing-systematic-investment-plan?category=Equity:%20&amp;period=10&amp;amount=3000';</v>
      </c>
      <c r="J300" t="str">
        <f t="shared" si="29"/>
        <v>url299 &lt;-  read_html (url299);</v>
      </c>
      <c r="K300" t="str">
        <f t="shared" si="30"/>
        <v>url_tbl299 &lt;- url299 %&gt;%   html_nodes('table') %&gt;%   html_table(fill = TRUE) %&gt;%   .[[1]];</v>
      </c>
      <c r="L300" t="str">
        <f t="shared" si="31"/>
        <v>url_tbl299 &lt;- data.table(url_tbl299);</v>
      </c>
      <c r="M300" t="str">
        <f t="shared" si="32"/>
        <v>url_tbl299 &lt;- url_tbl299[, `:=` (url ='', year =10),];</v>
      </c>
      <c r="N300" t="str">
        <f t="shared" si="33"/>
        <v>url299 &lt;- 'https://www.advisorkhoj.com/mutual-funds-research/top-performing-systematic-investment-plan?category=Equity:%20&amp;period=10&amp;amount=3000';url299 &lt;-  read_html (url299);url_tbl299 &lt;- url299 %&gt;%   html_nodes('table') %&gt;%   html_table(fill = TRUE) %&gt;%   .[[1]];url_tbl299 &lt;- data.table(url_tbl299);url_tbl299 &lt;- url_tbl299[, `:=` (url ='', year =10),];</v>
      </c>
    </row>
    <row r="301" spans="1:14">
      <c r="A301" t="s">
        <v>618</v>
      </c>
      <c r="B301" t="s">
        <v>619</v>
      </c>
      <c r="E301">
        <v>11</v>
      </c>
      <c r="F301" s="159" t="s">
        <v>3</v>
      </c>
      <c r="G301" t="s">
        <v>4</v>
      </c>
      <c r="H301" t="s">
        <v>5</v>
      </c>
      <c r="I301" t="str">
        <f t="shared" si="28"/>
        <v>url300 &lt;- 'https://www.advisorkhoj.com/mutual-funds-research/top-performing-systematic-investment-plan?category=Equity:%20&amp;period=11&amp;amount=3000';</v>
      </c>
      <c r="J301" t="str">
        <f t="shared" si="29"/>
        <v>url300 &lt;-  read_html (url300);</v>
      </c>
      <c r="K301" t="str">
        <f t="shared" si="30"/>
        <v>url_tbl300 &lt;- url300 %&gt;%   html_nodes('table') %&gt;%   html_table(fill = TRUE) %&gt;%   .[[1]];</v>
      </c>
      <c r="L301" t="str">
        <f t="shared" si="31"/>
        <v>url_tbl300 &lt;- data.table(url_tbl300);</v>
      </c>
      <c r="M301" t="str">
        <f t="shared" si="32"/>
        <v>url_tbl300 &lt;- url_tbl300[, `:=` (url ='', year =11),];</v>
      </c>
      <c r="N301" t="str">
        <f t="shared" si="33"/>
        <v>url300 &lt;- 'https://www.advisorkhoj.com/mutual-funds-research/top-performing-systematic-investment-plan?category=Equity:%20&amp;period=11&amp;amount=3000';url300 &lt;-  read_html (url300);url_tbl300 &lt;- url300 %&gt;%   html_nodes('table') %&gt;%   html_table(fill = TRUE) %&gt;%   .[[1]];url_tbl300 &lt;- data.table(url_tbl300);url_tbl300 &lt;- url_tbl300[, `:=` (url ='', year =11),];</v>
      </c>
    </row>
    <row r="302" spans="1:14">
      <c r="A302" t="s">
        <v>620</v>
      </c>
      <c r="B302" t="s">
        <v>621</v>
      </c>
      <c r="E302">
        <v>12</v>
      </c>
      <c r="F302" s="159" t="s">
        <v>3</v>
      </c>
      <c r="G302" t="s">
        <v>4</v>
      </c>
      <c r="H302" t="s">
        <v>5</v>
      </c>
      <c r="I302" t="str">
        <f t="shared" si="28"/>
        <v>url301 &lt;- 'https://www.advisorkhoj.com/mutual-funds-research/top-performing-systematic-investment-plan?category=Equity:%20&amp;period=12&amp;amount=3000';</v>
      </c>
      <c r="J302" t="str">
        <f t="shared" si="29"/>
        <v>url301 &lt;-  read_html (url301);</v>
      </c>
      <c r="K302" t="str">
        <f t="shared" si="30"/>
        <v>url_tbl301 &lt;- url301 %&gt;%   html_nodes('table') %&gt;%   html_table(fill = TRUE) %&gt;%   .[[1]];</v>
      </c>
      <c r="L302" t="str">
        <f t="shared" si="31"/>
        <v>url_tbl301 &lt;- data.table(url_tbl301);</v>
      </c>
      <c r="M302" t="str">
        <f t="shared" si="32"/>
        <v>url_tbl301 &lt;- url_tbl301[, `:=` (url ='', year =12),];</v>
      </c>
      <c r="N302" t="str">
        <f t="shared" si="33"/>
        <v>url301 &lt;- 'https://www.advisorkhoj.com/mutual-funds-research/top-performing-systematic-investment-plan?category=Equity:%20&amp;period=12&amp;amount=3000';url301 &lt;-  read_html (url301);url_tbl301 &lt;- url301 %&gt;%   html_nodes('table') %&gt;%   html_table(fill = TRUE) %&gt;%   .[[1]];url_tbl301 &lt;- data.table(url_tbl301);url_tbl301 &lt;- url_tbl301[, `:=` (url ='', year =12),];</v>
      </c>
    </row>
    <row r="303" spans="1:14">
      <c r="A303" t="s">
        <v>622</v>
      </c>
      <c r="B303" t="s">
        <v>623</v>
      </c>
      <c r="E303">
        <v>13</v>
      </c>
      <c r="F303" s="159" t="s">
        <v>3</v>
      </c>
      <c r="G303" t="s">
        <v>4</v>
      </c>
      <c r="H303" t="s">
        <v>5</v>
      </c>
      <c r="I303" t="str">
        <f t="shared" si="28"/>
        <v>url302 &lt;- 'https://www.advisorkhoj.com/mutual-funds-research/top-performing-systematic-investment-plan?category=Equity:%20&amp;period=13&amp;amount=3000';</v>
      </c>
      <c r="J303" t="str">
        <f t="shared" si="29"/>
        <v>url302 &lt;-  read_html (url302);</v>
      </c>
      <c r="K303" t="str">
        <f t="shared" si="30"/>
        <v>url_tbl302 &lt;- url302 %&gt;%   html_nodes('table') %&gt;%   html_table(fill = TRUE) %&gt;%   .[[1]];</v>
      </c>
      <c r="L303" t="str">
        <f t="shared" si="31"/>
        <v>url_tbl302 &lt;- data.table(url_tbl302);</v>
      </c>
      <c r="M303" t="str">
        <f t="shared" si="32"/>
        <v>url_tbl302 &lt;- url_tbl302[, `:=` (url ='', year =13),];</v>
      </c>
      <c r="N303" t="str">
        <f t="shared" si="33"/>
        <v>url302 &lt;- 'https://www.advisorkhoj.com/mutual-funds-research/top-performing-systematic-investment-plan?category=Equity:%20&amp;period=13&amp;amount=3000';url302 &lt;-  read_html (url302);url_tbl302 &lt;- url302 %&gt;%   html_nodes('table') %&gt;%   html_table(fill = TRUE) %&gt;%   .[[1]];url_tbl302 &lt;- data.table(url_tbl302);url_tbl302 &lt;- url_tbl302[, `:=` (url ='', year =13),];</v>
      </c>
    </row>
    <row r="304" spans="1:14">
      <c r="A304" t="s">
        <v>624</v>
      </c>
      <c r="B304" t="s">
        <v>625</v>
      </c>
      <c r="E304">
        <v>14</v>
      </c>
      <c r="F304" s="159" t="s">
        <v>3</v>
      </c>
      <c r="G304" t="s">
        <v>4</v>
      </c>
      <c r="H304" t="s">
        <v>5</v>
      </c>
      <c r="I304" t="str">
        <f t="shared" si="28"/>
        <v>url303 &lt;- 'https://www.advisorkhoj.com/mutual-funds-research/top-performing-systematic-investment-plan?category=Equity:%20&amp;period=14&amp;amount=3000';</v>
      </c>
      <c r="J304" t="str">
        <f t="shared" si="29"/>
        <v>url303 &lt;-  read_html (url303);</v>
      </c>
      <c r="K304" t="str">
        <f t="shared" si="30"/>
        <v>url_tbl303 &lt;- url303 %&gt;%   html_nodes('table') %&gt;%   html_table(fill = TRUE) %&gt;%   .[[1]];</v>
      </c>
      <c r="L304" t="str">
        <f t="shared" si="31"/>
        <v>url_tbl303 &lt;- data.table(url_tbl303);</v>
      </c>
      <c r="M304" t="str">
        <f t="shared" si="32"/>
        <v>url_tbl303 &lt;- url_tbl303[, `:=` (url ='', year =14),];</v>
      </c>
      <c r="N304" t="str">
        <f t="shared" si="33"/>
        <v>url303 &lt;- 'https://www.advisorkhoj.com/mutual-funds-research/top-performing-systematic-investment-plan?category=Equity:%20&amp;period=14&amp;amount=3000';url303 &lt;-  read_html (url303);url_tbl303 &lt;- url303 %&gt;%   html_nodes('table') %&gt;%   html_table(fill = TRUE) %&gt;%   .[[1]];url_tbl303 &lt;- data.table(url_tbl303);url_tbl303 &lt;- url_tbl303[, `:=` (url ='', year =14),];</v>
      </c>
    </row>
    <row r="305" spans="1:14">
      <c r="A305" t="s">
        <v>626</v>
      </c>
      <c r="B305" t="s">
        <v>627</v>
      </c>
      <c r="E305">
        <v>15</v>
      </c>
      <c r="F305" s="159" t="s">
        <v>3</v>
      </c>
      <c r="G305" t="s">
        <v>4</v>
      </c>
      <c r="H305" t="s">
        <v>5</v>
      </c>
      <c r="I305" t="str">
        <f t="shared" si="28"/>
        <v>url304 &lt;- 'https://www.advisorkhoj.com/mutual-funds-research/top-performing-systematic-investment-plan?category=Equity:%20&amp;period=15&amp;amount=3000';</v>
      </c>
      <c r="J305" t="str">
        <f t="shared" si="29"/>
        <v>url304 &lt;-  read_html (url304);</v>
      </c>
      <c r="K305" t="str">
        <f t="shared" si="30"/>
        <v>url_tbl304 &lt;- url304 %&gt;%   html_nodes('table') %&gt;%   html_table(fill = TRUE) %&gt;%   .[[1]];</v>
      </c>
      <c r="L305" t="str">
        <f t="shared" si="31"/>
        <v>url_tbl304 &lt;- data.table(url_tbl304);</v>
      </c>
      <c r="M305" t="str">
        <f t="shared" si="32"/>
        <v>url_tbl304 &lt;- url_tbl304[, `:=` (url ='', year =15),];</v>
      </c>
      <c r="N305" t="str">
        <f t="shared" si="33"/>
        <v>url304 &lt;- 'https://www.advisorkhoj.com/mutual-funds-research/top-performing-systematic-investment-plan?category=Equity:%20&amp;period=15&amp;amount=3000';url304 &lt;-  read_html (url304);url_tbl304 &lt;- url304 %&gt;%   html_nodes('table') %&gt;%   html_table(fill = TRUE) %&gt;%   .[[1]];url_tbl304 &lt;- data.table(url_tbl304);url_tbl304 &lt;- url_tbl304[, `:=` (url ='', year =15),];</v>
      </c>
    </row>
    <row r="306" spans="1:14">
      <c r="A306" t="s">
        <v>628</v>
      </c>
      <c r="B306" t="s">
        <v>629</v>
      </c>
      <c r="E306">
        <v>16</v>
      </c>
      <c r="F306" s="159" t="s">
        <v>3</v>
      </c>
      <c r="G306" t="s">
        <v>4</v>
      </c>
      <c r="H306" t="s">
        <v>5</v>
      </c>
      <c r="I306" t="str">
        <f t="shared" si="28"/>
        <v>url305 &lt;- 'https://www.advisorkhoj.com/mutual-funds-research/top-performing-systematic-investment-plan?category=Equity:%20&amp;period=16&amp;amount=3000';</v>
      </c>
      <c r="J306" t="str">
        <f t="shared" si="29"/>
        <v>url305 &lt;-  read_html (url305);</v>
      </c>
      <c r="K306" t="str">
        <f t="shared" si="30"/>
        <v>url_tbl305 &lt;- url305 %&gt;%   html_nodes('table') %&gt;%   html_table(fill = TRUE) %&gt;%   .[[1]];</v>
      </c>
      <c r="L306" t="str">
        <f t="shared" si="31"/>
        <v>url_tbl305 &lt;- data.table(url_tbl305);</v>
      </c>
      <c r="M306" t="str">
        <f t="shared" si="32"/>
        <v>url_tbl305 &lt;- url_tbl305[, `:=` (url ='', year =16),];</v>
      </c>
      <c r="N306" t="str">
        <f t="shared" si="33"/>
        <v>url305 &lt;- 'https://www.advisorkhoj.com/mutual-funds-research/top-performing-systematic-investment-plan?category=Equity:%20&amp;period=16&amp;amount=3000';url305 &lt;-  read_html (url305);url_tbl305 &lt;- url305 %&gt;%   html_nodes('table') %&gt;%   html_table(fill = TRUE) %&gt;%   .[[1]];url_tbl305 &lt;- data.table(url_tbl305);url_tbl305 &lt;- url_tbl305[, `:=` (url ='', year =16),];</v>
      </c>
    </row>
    <row r="307" spans="1:14">
      <c r="A307" t="s">
        <v>630</v>
      </c>
      <c r="B307" t="s">
        <v>631</v>
      </c>
      <c r="E307">
        <v>1</v>
      </c>
      <c r="F307" s="159" t="s">
        <v>3</v>
      </c>
      <c r="G307" t="s">
        <v>4</v>
      </c>
      <c r="H307" t="s">
        <v>5</v>
      </c>
      <c r="I307" t="str">
        <f t="shared" si="28"/>
        <v>url306 &lt;- 'https://www.advisorkhoj.com/mutual-funds-research/top-performing-systematic-investment-plan?category=Equity:%20&amp;period=1&amp;amount=3000';</v>
      </c>
      <c r="J307" t="str">
        <f t="shared" si="29"/>
        <v>url306 &lt;-  read_html (url306);</v>
      </c>
      <c r="K307" t="str">
        <f t="shared" si="30"/>
        <v>url_tbl306 &lt;- url306 %&gt;%   html_nodes('table') %&gt;%   html_table(fill = TRUE) %&gt;%   .[[1]];</v>
      </c>
      <c r="L307" t="str">
        <f t="shared" si="31"/>
        <v>url_tbl306 &lt;- data.table(url_tbl306);</v>
      </c>
      <c r="M307" t="str">
        <f t="shared" si="32"/>
        <v>url_tbl306 &lt;- url_tbl306[, `:=` (url ='', year =1),];</v>
      </c>
      <c r="N307" t="str">
        <f t="shared" si="33"/>
        <v>url306 &lt;- 'https://www.advisorkhoj.com/mutual-funds-research/top-performing-systematic-investment-plan?category=Equity:%20&amp;period=1&amp;amount=3000';url306 &lt;-  read_html (url306);url_tbl306 &lt;- url306 %&gt;%   html_nodes('table') %&gt;%   html_table(fill = TRUE) %&gt;%   .[[1]];url_tbl306 &lt;- data.table(url_tbl306);url_tbl306 &lt;- url_tbl306[, `:=` (url ='', year =1),];</v>
      </c>
    </row>
    <row r="308" spans="1:14">
      <c r="A308" t="s">
        <v>632</v>
      </c>
      <c r="B308" t="s">
        <v>633</v>
      </c>
      <c r="E308">
        <v>2</v>
      </c>
      <c r="F308" s="159" t="s">
        <v>3</v>
      </c>
      <c r="G308" t="s">
        <v>4</v>
      </c>
      <c r="H308" t="s">
        <v>5</v>
      </c>
      <c r="I308" t="str">
        <f t="shared" si="28"/>
        <v>url307 &lt;- 'https://www.advisorkhoj.com/mutual-funds-research/top-performing-systematic-investment-plan?category=Equity:%20&amp;period=2&amp;amount=3000';</v>
      </c>
      <c r="J308" t="str">
        <f t="shared" si="29"/>
        <v>url307 &lt;-  read_html (url307);</v>
      </c>
      <c r="K308" t="str">
        <f t="shared" si="30"/>
        <v>url_tbl307 &lt;- url307 %&gt;%   html_nodes('table') %&gt;%   html_table(fill = TRUE) %&gt;%   .[[1]];</v>
      </c>
      <c r="L308" t="str">
        <f t="shared" si="31"/>
        <v>url_tbl307 &lt;- data.table(url_tbl307);</v>
      </c>
      <c r="M308" t="str">
        <f t="shared" si="32"/>
        <v>url_tbl307 &lt;- url_tbl307[, `:=` (url ='', year =2),];</v>
      </c>
      <c r="N308" t="str">
        <f t="shared" si="33"/>
        <v>url307 &lt;- 'https://www.advisorkhoj.com/mutual-funds-research/top-performing-systematic-investment-plan?category=Equity:%20&amp;period=2&amp;amount=3000';url307 &lt;-  read_html (url307);url_tbl307 &lt;- url307 %&gt;%   html_nodes('table') %&gt;%   html_table(fill = TRUE) %&gt;%   .[[1]];url_tbl307 &lt;- data.table(url_tbl307);url_tbl307 &lt;- url_tbl307[, `:=` (url ='', year =2),];</v>
      </c>
    </row>
    <row r="309" spans="1:14">
      <c r="A309" t="s">
        <v>634</v>
      </c>
      <c r="B309" t="s">
        <v>635</v>
      </c>
      <c r="E309">
        <v>3</v>
      </c>
      <c r="F309" s="159" t="s">
        <v>3</v>
      </c>
      <c r="G309" t="s">
        <v>4</v>
      </c>
      <c r="H309" t="s">
        <v>5</v>
      </c>
      <c r="I309" t="str">
        <f t="shared" si="28"/>
        <v>url308 &lt;- 'https://www.advisorkhoj.com/mutual-funds-research/top-performing-systematic-investment-plan?category=Equity:%20&amp;period=3&amp;amount=3000';</v>
      </c>
      <c r="J309" t="str">
        <f t="shared" si="29"/>
        <v>url308 &lt;-  read_html (url308);</v>
      </c>
      <c r="K309" t="str">
        <f t="shared" si="30"/>
        <v>url_tbl308 &lt;- url308 %&gt;%   html_nodes('table') %&gt;%   html_table(fill = TRUE) %&gt;%   .[[1]];</v>
      </c>
      <c r="L309" t="str">
        <f t="shared" si="31"/>
        <v>url_tbl308 &lt;- data.table(url_tbl308);</v>
      </c>
      <c r="M309" t="str">
        <f t="shared" si="32"/>
        <v>url_tbl308 &lt;- url_tbl308[, `:=` (url ='', year =3),];</v>
      </c>
      <c r="N309" t="str">
        <f t="shared" si="33"/>
        <v>url308 &lt;- 'https://www.advisorkhoj.com/mutual-funds-research/top-performing-systematic-investment-plan?category=Equity:%20&amp;period=3&amp;amount=3000';url308 &lt;-  read_html (url308);url_tbl308 &lt;- url308 %&gt;%   html_nodes('table') %&gt;%   html_table(fill = TRUE) %&gt;%   .[[1]];url_tbl308 &lt;- data.table(url_tbl308);url_tbl308 &lt;- url_tbl308[, `:=` (url ='', year =3),];</v>
      </c>
    </row>
    <row r="310" spans="1:14">
      <c r="A310" t="s">
        <v>636</v>
      </c>
      <c r="B310" t="s">
        <v>637</v>
      </c>
      <c r="E310">
        <v>4</v>
      </c>
      <c r="F310" s="159" t="s">
        <v>3</v>
      </c>
      <c r="G310" t="s">
        <v>4</v>
      </c>
      <c r="H310" t="s">
        <v>5</v>
      </c>
      <c r="I310" t="str">
        <f t="shared" si="28"/>
        <v>url309 &lt;- 'https://www.advisorkhoj.com/mutual-funds-research/top-performing-systematic-investment-plan?category=Equity:%20&amp;period=4&amp;amount=3000';</v>
      </c>
      <c r="J310" t="str">
        <f t="shared" si="29"/>
        <v>url309 &lt;-  read_html (url309);</v>
      </c>
      <c r="K310" t="str">
        <f t="shared" si="30"/>
        <v>url_tbl309 &lt;- url309 %&gt;%   html_nodes('table') %&gt;%   html_table(fill = TRUE) %&gt;%   .[[1]];</v>
      </c>
      <c r="L310" t="str">
        <f t="shared" si="31"/>
        <v>url_tbl309 &lt;- data.table(url_tbl309);</v>
      </c>
      <c r="M310" t="str">
        <f t="shared" si="32"/>
        <v>url_tbl309 &lt;- url_tbl309[, `:=` (url ='', year =4),];</v>
      </c>
      <c r="N310" t="str">
        <f t="shared" si="33"/>
        <v>url309 &lt;- 'https://www.advisorkhoj.com/mutual-funds-research/top-performing-systematic-investment-plan?category=Equity:%20&amp;period=4&amp;amount=3000';url309 &lt;-  read_html (url309);url_tbl309 &lt;- url309 %&gt;%   html_nodes('table') %&gt;%   html_table(fill = TRUE) %&gt;%   .[[1]];url_tbl309 &lt;- data.table(url_tbl309);url_tbl309 &lt;- url_tbl309[, `:=` (url ='', year =4),];</v>
      </c>
    </row>
    <row r="311" spans="1:14">
      <c r="A311" t="s">
        <v>638</v>
      </c>
      <c r="B311" t="s">
        <v>639</v>
      </c>
      <c r="E311">
        <v>5</v>
      </c>
      <c r="F311" s="159" t="s">
        <v>3</v>
      </c>
      <c r="G311" t="s">
        <v>4</v>
      </c>
      <c r="H311" t="s">
        <v>5</v>
      </c>
      <c r="I311" t="str">
        <f t="shared" si="28"/>
        <v>url310 &lt;- 'https://www.advisorkhoj.com/mutual-funds-research/top-performing-systematic-investment-plan?category=Equity:%20&amp;period=5&amp;amount=3000';</v>
      </c>
      <c r="J311" t="str">
        <f t="shared" si="29"/>
        <v>url310 &lt;-  read_html (url310);</v>
      </c>
      <c r="K311" t="str">
        <f t="shared" si="30"/>
        <v>url_tbl310 &lt;- url310 %&gt;%   html_nodes('table') %&gt;%   html_table(fill = TRUE) %&gt;%   .[[1]];</v>
      </c>
      <c r="L311" t="str">
        <f t="shared" si="31"/>
        <v>url_tbl310 &lt;- data.table(url_tbl310);</v>
      </c>
      <c r="M311" t="str">
        <f t="shared" si="32"/>
        <v>url_tbl310 &lt;- url_tbl310[, `:=` (url ='', year =5),];</v>
      </c>
      <c r="N311" t="str">
        <f t="shared" si="33"/>
        <v>url310 &lt;- 'https://www.advisorkhoj.com/mutual-funds-research/top-performing-systematic-investment-plan?category=Equity:%20&amp;period=5&amp;amount=3000';url310 &lt;-  read_html (url310);url_tbl310 &lt;- url310 %&gt;%   html_nodes('table') %&gt;%   html_table(fill = TRUE) %&gt;%   .[[1]];url_tbl310 &lt;- data.table(url_tbl310);url_tbl310 &lt;- url_tbl310[, `:=` (url ='', year =5),];</v>
      </c>
    </row>
    <row r="312" spans="1:14">
      <c r="A312" t="s">
        <v>640</v>
      </c>
      <c r="B312" t="s">
        <v>641</v>
      </c>
      <c r="E312">
        <v>6</v>
      </c>
      <c r="F312" s="159" t="s">
        <v>3</v>
      </c>
      <c r="G312" t="s">
        <v>4</v>
      </c>
      <c r="H312" t="s">
        <v>5</v>
      </c>
      <c r="I312" t="str">
        <f t="shared" si="28"/>
        <v>url311 &lt;- 'https://www.advisorkhoj.com/mutual-funds-research/top-performing-systematic-investment-plan?category=Equity:%20&amp;period=6&amp;amount=3000';</v>
      </c>
      <c r="J312" t="str">
        <f t="shared" si="29"/>
        <v>url311 &lt;-  read_html (url311);</v>
      </c>
      <c r="K312" t="str">
        <f t="shared" si="30"/>
        <v>url_tbl311 &lt;- url311 %&gt;%   html_nodes('table') %&gt;%   html_table(fill = TRUE) %&gt;%   .[[1]];</v>
      </c>
      <c r="L312" t="str">
        <f t="shared" si="31"/>
        <v>url_tbl311 &lt;- data.table(url_tbl311);</v>
      </c>
      <c r="M312" t="str">
        <f t="shared" si="32"/>
        <v>url_tbl311 &lt;- url_tbl311[, `:=` (url ='', year =6),];</v>
      </c>
      <c r="N312" t="str">
        <f t="shared" si="33"/>
        <v>url311 &lt;- 'https://www.advisorkhoj.com/mutual-funds-research/top-performing-systematic-investment-plan?category=Equity:%20&amp;period=6&amp;amount=3000';url311 &lt;-  read_html (url311);url_tbl311 &lt;- url311 %&gt;%   html_nodes('table') %&gt;%   html_table(fill = TRUE) %&gt;%   .[[1]];url_tbl311 &lt;- data.table(url_tbl311);url_tbl311 &lt;- url_tbl311[, `:=` (url ='', year =6),];</v>
      </c>
    </row>
    <row r="313" spans="1:14">
      <c r="A313" t="s">
        <v>642</v>
      </c>
      <c r="B313" t="s">
        <v>643</v>
      </c>
      <c r="E313">
        <v>7</v>
      </c>
      <c r="F313" s="159" t="s">
        <v>3</v>
      </c>
      <c r="G313" t="s">
        <v>4</v>
      </c>
      <c r="H313" t="s">
        <v>5</v>
      </c>
      <c r="I313" t="str">
        <f t="shared" si="28"/>
        <v>url312 &lt;- 'https://www.advisorkhoj.com/mutual-funds-research/top-performing-systematic-investment-plan?category=Equity:%20&amp;period=7&amp;amount=3000';</v>
      </c>
      <c r="J313" t="str">
        <f t="shared" si="29"/>
        <v>url312 &lt;-  read_html (url312);</v>
      </c>
      <c r="K313" t="str">
        <f t="shared" si="30"/>
        <v>url_tbl312 &lt;- url312 %&gt;%   html_nodes('table') %&gt;%   html_table(fill = TRUE) %&gt;%   .[[1]];</v>
      </c>
      <c r="L313" t="str">
        <f t="shared" si="31"/>
        <v>url_tbl312 &lt;- data.table(url_tbl312);</v>
      </c>
      <c r="M313" t="str">
        <f t="shared" si="32"/>
        <v>url_tbl312 &lt;- url_tbl312[, `:=` (url ='', year =7),];</v>
      </c>
      <c r="N313" t="str">
        <f t="shared" si="33"/>
        <v>url312 &lt;- 'https://www.advisorkhoj.com/mutual-funds-research/top-performing-systematic-investment-plan?category=Equity:%20&amp;period=7&amp;amount=3000';url312 &lt;-  read_html (url312);url_tbl312 &lt;- url312 %&gt;%   html_nodes('table') %&gt;%   html_table(fill = TRUE) %&gt;%   .[[1]];url_tbl312 &lt;- data.table(url_tbl312);url_tbl312 &lt;- url_tbl312[, `:=` (url ='', year =7),];</v>
      </c>
    </row>
    <row r="314" spans="1:14">
      <c r="A314" t="s">
        <v>644</v>
      </c>
      <c r="B314" t="s">
        <v>645</v>
      </c>
      <c r="E314">
        <v>8</v>
      </c>
      <c r="F314" s="159" t="s">
        <v>3</v>
      </c>
      <c r="G314" t="s">
        <v>4</v>
      </c>
      <c r="H314" t="s">
        <v>5</v>
      </c>
      <c r="I314" t="str">
        <f t="shared" si="28"/>
        <v>url313 &lt;- 'https://www.advisorkhoj.com/mutual-funds-research/top-performing-systematic-investment-plan?category=Equity:%20&amp;period=8&amp;amount=3000';</v>
      </c>
      <c r="J314" t="str">
        <f t="shared" si="29"/>
        <v>url313 &lt;-  read_html (url313);</v>
      </c>
      <c r="K314" t="str">
        <f t="shared" si="30"/>
        <v>url_tbl313 &lt;- url313 %&gt;%   html_nodes('table') %&gt;%   html_table(fill = TRUE) %&gt;%   .[[1]];</v>
      </c>
      <c r="L314" t="str">
        <f t="shared" si="31"/>
        <v>url_tbl313 &lt;- data.table(url_tbl313);</v>
      </c>
      <c r="M314" t="str">
        <f t="shared" si="32"/>
        <v>url_tbl313 &lt;- url_tbl313[, `:=` (url ='', year =8),];</v>
      </c>
      <c r="N314" t="str">
        <f t="shared" si="33"/>
        <v>url313 &lt;- 'https://www.advisorkhoj.com/mutual-funds-research/top-performing-systematic-investment-plan?category=Equity:%20&amp;period=8&amp;amount=3000';url313 &lt;-  read_html (url313);url_tbl313 &lt;- url313 %&gt;%   html_nodes('table') %&gt;%   html_table(fill = TRUE) %&gt;%   .[[1]];url_tbl313 &lt;- data.table(url_tbl313);url_tbl313 &lt;- url_tbl313[, `:=` (url ='', year =8),];</v>
      </c>
    </row>
    <row r="315" spans="1:14">
      <c r="A315" t="s">
        <v>646</v>
      </c>
      <c r="B315" t="s">
        <v>647</v>
      </c>
      <c r="E315">
        <v>9</v>
      </c>
      <c r="F315" s="159" t="s">
        <v>3</v>
      </c>
      <c r="G315" t="s">
        <v>4</v>
      </c>
      <c r="H315" t="s">
        <v>5</v>
      </c>
      <c r="I315" t="str">
        <f t="shared" si="28"/>
        <v>url314 &lt;- 'https://www.advisorkhoj.com/mutual-funds-research/top-performing-systematic-investment-plan?category=Equity:%20&amp;period=9&amp;amount=3000';</v>
      </c>
      <c r="J315" t="str">
        <f t="shared" si="29"/>
        <v>url314 &lt;-  read_html (url314);</v>
      </c>
      <c r="K315" t="str">
        <f t="shared" si="30"/>
        <v>url_tbl314 &lt;- url314 %&gt;%   html_nodes('table') %&gt;%   html_table(fill = TRUE) %&gt;%   .[[1]];</v>
      </c>
      <c r="L315" t="str">
        <f t="shared" si="31"/>
        <v>url_tbl314 &lt;- data.table(url_tbl314);</v>
      </c>
      <c r="M315" t="str">
        <f t="shared" si="32"/>
        <v>url_tbl314 &lt;- url_tbl314[, `:=` (url ='', year =9),];</v>
      </c>
      <c r="N315" t="str">
        <f t="shared" si="33"/>
        <v>url314 &lt;- 'https://www.advisorkhoj.com/mutual-funds-research/top-performing-systematic-investment-plan?category=Equity:%20&amp;period=9&amp;amount=3000';url314 &lt;-  read_html (url314);url_tbl314 &lt;- url314 %&gt;%   html_nodes('table') %&gt;%   html_table(fill = TRUE) %&gt;%   .[[1]];url_tbl314 &lt;- data.table(url_tbl314);url_tbl314 &lt;- url_tbl314[, `:=` (url ='', year =9),];</v>
      </c>
    </row>
    <row r="316" spans="1:14">
      <c r="A316" t="s">
        <v>648</v>
      </c>
      <c r="B316" t="s">
        <v>649</v>
      </c>
      <c r="E316">
        <v>10</v>
      </c>
      <c r="F316" s="159" t="s">
        <v>3</v>
      </c>
      <c r="G316" t="s">
        <v>4</v>
      </c>
      <c r="H316" t="s">
        <v>5</v>
      </c>
      <c r="I316" t="str">
        <f t="shared" si="28"/>
        <v>url315 &lt;- 'https://www.advisorkhoj.com/mutual-funds-research/top-performing-systematic-investment-plan?category=Equity:%20&amp;period=10&amp;amount=3000';</v>
      </c>
      <c r="J316" t="str">
        <f t="shared" si="29"/>
        <v>url315 &lt;-  read_html (url315);</v>
      </c>
      <c r="K316" t="str">
        <f t="shared" si="30"/>
        <v>url_tbl315 &lt;- url315 %&gt;%   html_nodes('table') %&gt;%   html_table(fill = TRUE) %&gt;%   .[[1]];</v>
      </c>
      <c r="L316" t="str">
        <f t="shared" si="31"/>
        <v>url_tbl315 &lt;- data.table(url_tbl315);</v>
      </c>
      <c r="M316" t="str">
        <f t="shared" si="32"/>
        <v>url_tbl315 &lt;- url_tbl315[, `:=` (url ='', year =10),];</v>
      </c>
      <c r="N316" t="str">
        <f t="shared" si="33"/>
        <v>url315 &lt;- 'https://www.advisorkhoj.com/mutual-funds-research/top-performing-systematic-investment-plan?category=Equity:%20&amp;period=10&amp;amount=3000';url315 &lt;-  read_html (url315);url_tbl315 &lt;- url315 %&gt;%   html_nodes('table') %&gt;%   html_table(fill = TRUE) %&gt;%   .[[1]];url_tbl315 &lt;- data.table(url_tbl315);url_tbl315 &lt;- url_tbl315[, `:=` (url ='', year =10),];</v>
      </c>
    </row>
    <row r="317" spans="1:14">
      <c r="A317" t="s">
        <v>650</v>
      </c>
      <c r="B317" t="s">
        <v>651</v>
      </c>
      <c r="E317">
        <v>11</v>
      </c>
      <c r="F317" s="159" t="s">
        <v>3</v>
      </c>
      <c r="G317" t="s">
        <v>4</v>
      </c>
      <c r="H317" t="s">
        <v>5</v>
      </c>
      <c r="I317" t="str">
        <f t="shared" si="28"/>
        <v>url316 &lt;- 'https://www.advisorkhoj.com/mutual-funds-research/top-performing-systematic-investment-plan?category=Equity:%20&amp;period=11&amp;amount=3000';</v>
      </c>
      <c r="J317" t="str">
        <f t="shared" si="29"/>
        <v>url316 &lt;-  read_html (url316);</v>
      </c>
      <c r="K317" t="str">
        <f t="shared" si="30"/>
        <v>url_tbl316 &lt;- url316 %&gt;%   html_nodes('table') %&gt;%   html_table(fill = TRUE) %&gt;%   .[[1]];</v>
      </c>
      <c r="L317" t="str">
        <f t="shared" si="31"/>
        <v>url_tbl316 &lt;- data.table(url_tbl316);</v>
      </c>
      <c r="M317" t="str">
        <f t="shared" si="32"/>
        <v>url_tbl316 &lt;- url_tbl316[, `:=` (url ='', year =11),];</v>
      </c>
      <c r="N317" t="str">
        <f t="shared" si="33"/>
        <v>url316 &lt;- 'https://www.advisorkhoj.com/mutual-funds-research/top-performing-systematic-investment-plan?category=Equity:%20&amp;period=11&amp;amount=3000';url316 &lt;-  read_html (url316);url_tbl316 &lt;- url316 %&gt;%   html_nodes('table') %&gt;%   html_table(fill = TRUE) %&gt;%   .[[1]];url_tbl316 &lt;- data.table(url_tbl316);url_tbl316 &lt;- url_tbl316[, `:=` (url ='', year =11),];</v>
      </c>
    </row>
    <row r="318" spans="1:14">
      <c r="A318" t="s">
        <v>652</v>
      </c>
      <c r="B318" t="s">
        <v>653</v>
      </c>
      <c r="E318">
        <v>12</v>
      </c>
      <c r="F318" s="159" t="s">
        <v>3</v>
      </c>
      <c r="G318" t="s">
        <v>4</v>
      </c>
      <c r="H318" t="s">
        <v>5</v>
      </c>
      <c r="I318" t="str">
        <f t="shared" si="28"/>
        <v>url317 &lt;- 'https://www.advisorkhoj.com/mutual-funds-research/top-performing-systematic-investment-plan?category=Equity:%20&amp;period=12&amp;amount=3000';</v>
      </c>
      <c r="J318" t="str">
        <f t="shared" si="29"/>
        <v>url317 &lt;-  read_html (url317);</v>
      </c>
      <c r="K318" t="str">
        <f t="shared" si="30"/>
        <v>url_tbl317 &lt;- url317 %&gt;%   html_nodes('table') %&gt;%   html_table(fill = TRUE) %&gt;%   .[[1]];</v>
      </c>
      <c r="L318" t="str">
        <f t="shared" si="31"/>
        <v>url_tbl317 &lt;- data.table(url_tbl317);</v>
      </c>
      <c r="M318" t="str">
        <f t="shared" si="32"/>
        <v>url_tbl317 &lt;- url_tbl317[, `:=` (url ='', year =12),];</v>
      </c>
      <c r="N318" t="str">
        <f t="shared" si="33"/>
        <v>url317 &lt;- 'https://www.advisorkhoj.com/mutual-funds-research/top-performing-systematic-investment-plan?category=Equity:%20&amp;period=12&amp;amount=3000';url317 &lt;-  read_html (url317);url_tbl317 &lt;- url317 %&gt;%   html_nodes('table') %&gt;%   html_table(fill = TRUE) %&gt;%   .[[1]];url_tbl317 &lt;- data.table(url_tbl317);url_tbl317 &lt;- url_tbl317[, `:=` (url ='', year =12),];</v>
      </c>
    </row>
    <row r="319" spans="1:14">
      <c r="A319" t="s">
        <v>654</v>
      </c>
      <c r="B319" t="s">
        <v>655</v>
      </c>
      <c r="E319">
        <v>13</v>
      </c>
      <c r="F319" s="159" t="s">
        <v>3</v>
      </c>
      <c r="G319" t="s">
        <v>4</v>
      </c>
      <c r="H319" t="s">
        <v>5</v>
      </c>
      <c r="I319" t="str">
        <f t="shared" si="28"/>
        <v>url318 &lt;- 'https://www.advisorkhoj.com/mutual-funds-research/top-performing-systematic-investment-plan?category=Equity:%20&amp;period=13&amp;amount=3000';</v>
      </c>
      <c r="J319" t="str">
        <f t="shared" si="29"/>
        <v>url318 &lt;-  read_html (url318);</v>
      </c>
      <c r="K319" t="str">
        <f t="shared" si="30"/>
        <v>url_tbl318 &lt;- url318 %&gt;%   html_nodes('table') %&gt;%   html_table(fill = TRUE) %&gt;%   .[[1]];</v>
      </c>
      <c r="L319" t="str">
        <f t="shared" si="31"/>
        <v>url_tbl318 &lt;- data.table(url_tbl318);</v>
      </c>
      <c r="M319" t="str">
        <f t="shared" si="32"/>
        <v>url_tbl318 &lt;- url_tbl318[, `:=` (url ='', year =13),];</v>
      </c>
      <c r="N319" t="str">
        <f t="shared" si="33"/>
        <v>url318 &lt;- 'https://www.advisorkhoj.com/mutual-funds-research/top-performing-systematic-investment-plan?category=Equity:%20&amp;period=13&amp;amount=3000';url318 &lt;-  read_html (url318);url_tbl318 &lt;- url318 %&gt;%   html_nodes('table') %&gt;%   html_table(fill = TRUE) %&gt;%   .[[1]];url_tbl318 &lt;- data.table(url_tbl318);url_tbl318 &lt;- url_tbl318[, `:=` (url ='', year =13),];</v>
      </c>
    </row>
    <row r="320" spans="1:14">
      <c r="A320" t="s">
        <v>656</v>
      </c>
      <c r="B320" t="s">
        <v>657</v>
      </c>
      <c r="E320">
        <v>14</v>
      </c>
      <c r="F320" s="159" t="s">
        <v>3</v>
      </c>
      <c r="G320" t="s">
        <v>4</v>
      </c>
      <c r="H320" t="s">
        <v>5</v>
      </c>
      <c r="I320" t="str">
        <f t="shared" si="28"/>
        <v>url319 &lt;- 'https://www.advisorkhoj.com/mutual-funds-research/top-performing-systematic-investment-plan?category=Equity:%20&amp;period=14&amp;amount=3000';</v>
      </c>
      <c r="J320" t="str">
        <f t="shared" si="29"/>
        <v>url319 &lt;-  read_html (url319);</v>
      </c>
      <c r="K320" t="str">
        <f t="shared" si="30"/>
        <v>url_tbl319 &lt;- url319 %&gt;%   html_nodes('table') %&gt;%   html_table(fill = TRUE) %&gt;%   .[[1]];</v>
      </c>
      <c r="L320" t="str">
        <f t="shared" si="31"/>
        <v>url_tbl319 &lt;- data.table(url_tbl319);</v>
      </c>
      <c r="M320" t="str">
        <f t="shared" si="32"/>
        <v>url_tbl319 &lt;- url_tbl319[, `:=` (url ='', year =14),];</v>
      </c>
      <c r="N320" t="str">
        <f t="shared" si="33"/>
        <v>url319 &lt;- 'https://www.advisorkhoj.com/mutual-funds-research/top-performing-systematic-investment-plan?category=Equity:%20&amp;period=14&amp;amount=3000';url319 &lt;-  read_html (url319);url_tbl319 &lt;- url319 %&gt;%   html_nodes('table') %&gt;%   html_table(fill = TRUE) %&gt;%   .[[1]];url_tbl319 &lt;- data.table(url_tbl319);url_tbl319 &lt;- url_tbl319[, `:=` (url ='', year =14),];</v>
      </c>
    </row>
    <row r="321" spans="1:14">
      <c r="A321" t="s">
        <v>658</v>
      </c>
      <c r="B321" t="s">
        <v>659</v>
      </c>
      <c r="E321">
        <v>15</v>
      </c>
      <c r="F321" s="159" t="s">
        <v>3</v>
      </c>
      <c r="G321" t="s">
        <v>4</v>
      </c>
      <c r="H321" t="s">
        <v>5</v>
      </c>
      <c r="I321" t="str">
        <f t="shared" si="28"/>
        <v>url320 &lt;- 'https://www.advisorkhoj.com/mutual-funds-research/top-performing-systematic-investment-plan?category=Equity:%20&amp;period=15&amp;amount=3000';</v>
      </c>
      <c r="J321" t="str">
        <f t="shared" si="29"/>
        <v>url320 &lt;-  read_html (url320);</v>
      </c>
      <c r="K321" t="str">
        <f t="shared" si="30"/>
        <v>url_tbl320 &lt;- url320 %&gt;%   html_nodes('table') %&gt;%   html_table(fill = TRUE) %&gt;%   .[[1]];</v>
      </c>
      <c r="L321" t="str">
        <f t="shared" si="31"/>
        <v>url_tbl320 &lt;- data.table(url_tbl320);</v>
      </c>
      <c r="M321" t="str">
        <f t="shared" si="32"/>
        <v>url_tbl320 &lt;- url_tbl320[, `:=` (url ='', year =15),];</v>
      </c>
      <c r="N321" t="str">
        <f t="shared" si="33"/>
        <v>url320 &lt;- 'https://www.advisorkhoj.com/mutual-funds-research/top-performing-systematic-investment-plan?category=Equity:%20&amp;period=15&amp;amount=3000';url320 &lt;-  read_html (url320);url_tbl320 &lt;- url320 %&gt;%   html_nodes('table') %&gt;%   html_table(fill = TRUE) %&gt;%   .[[1]];url_tbl320 &lt;- data.table(url_tbl320);url_tbl320 &lt;- url_tbl320[, `:=` (url ='', year =15),];</v>
      </c>
    </row>
    <row r="322" spans="1:14">
      <c r="A322" t="s">
        <v>660</v>
      </c>
      <c r="B322" t="s">
        <v>661</v>
      </c>
      <c r="E322">
        <v>16</v>
      </c>
      <c r="F322" s="159" t="s">
        <v>3</v>
      </c>
      <c r="G322" t="s">
        <v>4</v>
      </c>
      <c r="H322" t="s">
        <v>5</v>
      </c>
      <c r="I322" t="str">
        <f t="shared" si="28"/>
        <v>url321 &lt;- 'https://www.advisorkhoj.com/mutual-funds-research/top-performing-systematic-investment-plan?category=Equity:%20&amp;period=16&amp;amount=3000';</v>
      </c>
      <c r="J322" t="str">
        <f t="shared" si="29"/>
        <v>url321 &lt;-  read_html (url321);</v>
      </c>
      <c r="K322" t="str">
        <f t="shared" si="30"/>
        <v>url_tbl321 &lt;- url321 %&gt;%   html_nodes('table') %&gt;%   html_table(fill = TRUE) %&gt;%   .[[1]];</v>
      </c>
      <c r="L322" t="str">
        <f t="shared" si="31"/>
        <v>url_tbl321 &lt;- data.table(url_tbl321);</v>
      </c>
      <c r="M322" t="str">
        <f t="shared" si="32"/>
        <v>url_tbl321 &lt;- url_tbl321[, `:=` (url ='', year =16),];</v>
      </c>
      <c r="N322" t="str">
        <f t="shared" si="33"/>
        <v>url321 &lt;- 'https://www.advisorkhoj.com/mutual-funds-research/top-performing-systematic-investment-plan?category=Equity:%20&amp;period=16&amp;amount=3000';url321 &lt;-  read_html (url321);url_tbl321 &lt;- url321 %&gt;%   html_nodes('table') %&gt;%   html_table(fill = TRUE) %&gt;%   .[[1]];url_tbl321 &lt;- data.table(url_tbl321);url_tbl321 &lt;- url_tbl321[, `:=` (url ='', year =16),];</v>
      </c>
    </row>
    <row r="323" spans="1:14">
      <c r="A323" t="s">
        <v>662</v>
      </c>
      <c r="B323" t="s">
        <v>663</v>
      </c>
      <c r="E323">
        <v>1</v>
      </c>
      <c r="F323" s="159" t="s">
        <v>3</v>
      </c>
      <c r="G323" t="s">
        <v>4</v>
      </c>
      <c r="H323" t="s">
        <v>5</v>
      </c>
      <c r="I323" t="str">
        <f t="shared" ref="I323:I386" si="34">CONCATENATE(A323, " &lt;- '", F323, D323, G323, E323, H323, "';")</f>
        <v>url322 &lt;- 'https://www.advisorkhoj.com/mutual-funds-research/top-performing-systematic-investment-plan?category=Equity:%20&amp;period=1&amp;amount=3000';</v>
      </c>
      <c r="J323" t="str">
        <f t="shared" ref="J323:J386" si="35">CONCATENATE(A323, " &lt;-  read_html (", A323, ");")</f>
        <v>url322 &lt;-  read_html (url322);</v>
      </c>
      <c r="K323" t="str">
        <f t="shared" ref="K323:K386" si="36">CONCATENATE(B323, " &lt;- ", A323, " %&gt;%   html_nodes('table') %&gt;%   html_table(fill = TRUE) %&gt;%   .[[1]];")</f>
        <v>url_tbl322 &lt;- url322 %&gt;%   html_nodes('table') %&gt;%   html_table(fill = TRUE) %&gt;%   .[[1]];</v>
      </c>
      <c r="L323" t="str">
        <f t="shared" ref="L323:L386" si="37">CONCATENATE(B323, " &lt;- data.table(", B323, ");" )</f>
        <v>url_tbl322 &lt;- data.table(url_tbl322);</v>
      </c>
      <c r="M323" t="str">
        <f t="shared" ref="M323:M386" si="38">CONCATENATE(B323, " &lt;- ", B323, "[, `:=` (url ='",C323, "', year =", E323, "),];" )</f>
        <v>url_tbl322 &lt;- url_tbl322[, `:=` (url ='', year =1),];</v>
      </c>
      <c r="N323" t="str">
        <f t="shared" ref="N323:N386" si="39">CONCATENATE(I323, J323, K323, L323, M323)</f>
        <v>url322 &lt;- 'https://www.advisorkhoj.com/mutual-funds-research/top-performing-systematic-investment-plan?category=Equity:%20&amp;period=1&amp;amount=3000';url322 &lt;-  read_html (url322);url_tbl322 &lt;- url322 %&gt;%   html_nodes('table') %&gt;%   html_table(fill = TRUE) %&gt;%   .[[1]];url_tbl322 &lt;- data.table(url_tbl322);url_tbl322 &lt;- url_tbl322[, `:=` (url ='', year =1),];</v>
      </c>
    </row>
    <row r="324" spans="1:14">
      <c r="A324" t="s">
        <v>664</v>
      </c>
      <c r="B324" t="s">
        <v>665</v>
      </c>
      <c r="E324">
        <v>2</v>
      </c>
      <c r="F324" s="159" t="s">
        <v>3</v>
      </c>
      <c r="G324" t="s">
        <v>4</v>
      </c>
      <c r="H324" t="s">
        <v>5</v>
      </c>
      <c r="I324" t="str">
        <f t="shared" si="34"/>
        <v>url323 &lt;- 'https://www.advisorkhoj.com/mutual-funds-research/top-performing-systematic-investment-plan?category=Equity:%20&amp;period=2&amp;amount=3000';</v>
      </c>
      <c r="J324" t="str">
        <f t="shared" si="35"/>
        <v>url323 &lt;-  read_html (url323);</v>
      </c>
      <c r="K324" t="str">
        <f t="shared" si="36"/>
        <v>url_tbl323 &lt;- url323 %&gt;%   html_nodes('table') %&gt;%   html_table(fill = TRUE) %&gt;%   .[[1]];</v>
      </c>
      <c r="L324" t="str">
        <f t="shared" si="37"/>
        <v>url_tbl323 &lt;- data.table(url_tbl323);</v>
      </c>
      <c r="M324" t="str">
        <f t="shared" si="38"/>
        <v>url_tbl323 &lt;- url_tbl323[, `:=` (url ='', year =2),];</v>
      </c>
      <c r="N324" t="str">
        <f t="shared" si="39"/>
        <v>url323 &lt;- 'https://www.advisorkhoj.com/mutual-funds-research/top-performing-systematic-investment-plan?category=Equity:%20&amp;period=2&amp;amount=3000';url323 &lt;-  read_html (url323);url_tbl323 &lt;- url323 %&gt;%   html_nodes('table') %&gt;%   html_table(fill = TRUE) %&gt;%   .[[1]];url_tbl323 &lt;- data.table(url_tbl323);url_tbl323 &lt;- url_tbl323[, `:=` (url ='', year =2),];</v>
      </c>
    </row>
    <row r="325" spans="1:14">
      <c r="A325" t="s">
        <v>666</v>
      </c>
      <c r="B325" t="s">
        <v>667</v>
      </c>
      <c r="E325">
        <v>3</v>
      </c>
      <c r="F325" s="159" t="s">
        <v>3</v>
      </c>
      <c r="G325" t="s">
        <v>4</v>
      </c>
      <c r="H325" t="s">
        <v>5</v>
      </c>
      <c r="I325" t="str">
        <f t="shared" si="34"/>
        <v>url324 &lt;- 'https://www.advisorkhoj.com/mutual-funds-research/top-performing-systematic-investment-plan?category=Equity:%20&amp;period=3&amp;amount=3000';</v>
      </c>
      <c r="J325" t="str">
        <f t="shared" si="35"/>
        <v>url324 &lt;-  read_html (url324);</v>
      </c>
      <c r="K325" t="str">
        <f t="shared" si="36"/>
        <v>url_tbl324 &lt;- url324 %&gt;%   html_nodes('table') %&gt;%   html_table(fill = TRUE) %&gt;%   .[[1]];</v>
      </c>
      <c r="L325" t="str">
        <f t="shared" si="37"/>
        <v>url_tbl324 &lt;- data.table(url_tbl324);</v>
      </c>
      <c r="M325" t="str">
        <f t="shared" si="38"/>
        <v>url_tbl324 &lt;- url_tbl324[, `:=` (url ='', year =3),];</v>
      </c>
      <c r="N325" t="str">
        <f t="shared" si="39"/>
        <v>url324 &lt;- 'https://www.advisorkhoj.com/mutual-funds-research/top-performing-systematic-investment-plan?category=Equity:%20&amp;period=3&amp;amount=3000';url324 &lt;-  read_html (url324);url_tbl324 &lt;- url324 %&gt;%   html_nodes('table') %&gt;%   html_table(fill = TRUE) %&gt;%   .[[1]];url_tbl324 &lt;- data.table(url_tbl324);url_tbl324 &lt;- url_tbl324[, `:=` (url ='', year =3),];</v>
      </c>
    </row>
    <row r="326" spans="1:14">
      <c r="A326" t="s">
        <v>668</v>
      </c>
      <c r="B326" t="s">
        <v>669</v>
      </c>
      <c r="E326">
        <v>4</v>
      </c>
      <c r="F326" s="159" t="s">
        <v>3</v>
      </c>
      <c r="G326" t="s">
        <v>4</v>
      </c>
      <c r="H326" t="s">
        <v>5</v>
      </c>
      <c r="I326" t="str">
        <f t="shared" si="34"/>
        <v>url325 &lt;- 'https://www.advisorkhoj.com/mutual-funds-research/top-performing-systematic-investment-plan?category=Equity:%20&amp;period=4&amp;amount=3000';</v>
      </c>
      <c r="J326" t="str">
        <f t="shared" si="35"/>
        <v>url325 &lt;-  read_html (url325);</v>
      </c>
      <c r="K326" t="str">
        <f t="shared" si="36"/>
        <v>url_tbl325 &lt;- url325 %&gt;%   html_nodes('table') %&gt;%   html_table(fill = TRUE) %&gt;%   .[[1]];</v>
      </c>
      <c r="L326" t="str">
        <f t="shared" si="37"/>
        <v>url_tbl325 &lt;- data.table(url_tbl325);</v>
      </c>
      <c r="M326" t="str">
        <f t="shared" si="38"/>
        <v>url_tbl325 &lt;- url_tbl325[, `:=` (url ='', year =4),];</v>
      </c>
      <c r="N326" t="str">
        <f t="shared" si="39"/>
        <v>url325 &lt;- 'https://www.advisorkhoj.com/mutual-funds-research/top-performing-systematic-investment-plan?category=Equity:%20&amp;period=4&amp;amount=3000';url325 &lt;-  read_html (url325);url_tbl325 &lt;- url325 %&gt;%   html_nodes('table') %&gt;%   html_table(fill = TRUE) %&gt;%   .[[1]];url_tbl325 &lt;- data.table(url_tbl325);url_tbl325 &lt;- url_tbl325[, `:=` (url ='', year =4),];</v>
      </c>
    </row>
    <row r="327" spans="1:14">
      <c r="A327" t="s">
        <v>670</v>
      </c>
      <c r="B327" t="s">
        <v>671</v>
      </c>
      <c r="E327">
        <v>5</v>
      </c>
      <c r="F327" s="159" t="s">
        <v>3</v>
      </c>
      <c r="G327" t="s">
        <v>4</v>
      </c>
      <c r="H327" t="s">
        <v>5</v>
      </c>
      <c r="I327" t="str">
        <f t="shared" si="34"/>
        <v>url326 &lt;- 'https://www.advisorkhoj.com/mutual-funds-research/top-performing-systematic-investment-plan?category=Equity:%20&amp;period=5&amp;amount=3000';</v>
      </c>
      <c r="J327" t="str">
        <f t="shared" si="35"/>
        <v>url326 &lt;-  read_html (url326);</v>
      </c>
      <c r="K327" t="str">
        <f t="shared" si="36"/>
        <v>url_tbl326 &lt;- url326 %&gt;%   html_nodes('table') %&gt;%   html_table(fill = TRUE) %&gt;%   .[[1]];</v>
      </c>
      <c r="L327" t="str">
        <f t="shared" si="37"/>
        <v>url_tbl326 &lt;- data.table(url_tbl326);</v>
      </c>
      <c r="M327" t="str">
        <f t="shared" si="38"/>
        <v>url_tbl326 &lt;- url_tbl326[, `:=` (url ='', year =5),];</v>
      </c>
      <c r="N327" t="str">
        <f t="shared" si="39"/>
        <v>url326 &lt;- 'https://www.advisorkhoj.com/mutual-funds-research/top-performing-systematic-investment-plan?category=Equity:%20&amp;period=5&amp;amount=3000';url326 &lt;-  read_html (url326);url_tbl326 &lt;- url326 %&gt;%   html_nodes('table') %&gt;%   html_table(fill = TRUE) %&gt;%   .[[1]];url_tbl326 &lt;- data.table(url_tbl326);url_tbl326 &lt;- url_tbl326[, `:=` (url ='', year =5),];</v>
      </c>
    </row>
    <row r="328" spans="1:14">
      <c r="A328" t="s">
        <v>672</v>
      </c>
      <c r="B328" t="s">
        <v>673</v>
      </c>
      <c r="E328">
        <v>6</v>
      </c>
      <c r="F328" s="159" t="s">
        <v>3</v>
      </c>
      <c r="G328" t="s">
        <v>4</v>
      </c>
      <c r="H328" t="s">
        <v>5</v>
      </c>
      <c r="I328" t="str">
        <f t="shared" si="34"/>
        <v>url327 &lt;- 'https://www.advisorkhoj.com/mutual-funds-research/top-performing-systematic-investment-plan?category=Equity:%20&amp;period=6&amp;amount=3000';</v>
      </c>
      <c r="J328" t="str">
        <f t="shared" si="35"/>
        <v>url327 &lt;-  read_html (url327);</v>
      </c>
      <c r="K328" t="str">
        <f t="shared" si="36"/>
        <v>url_tbl327 &lt;- url327 %&gt;%   html_nodes('table') %&gt;%   html_table(fill = TRUE) %&gt;%   .[[1]];</v>
      </c>
      <c r="L328" t="str">
        <f t="shared" si="37"/>
        <v>url_tbl327 &lt;- data.table(url_tbl327);</v>
      </c>
      <c r="M328" t="str">
        <f t="shared" si="38"/>
        <v>url_tbl327 &lt;- url_tbl327[, `:=` (url ='', year =6),];</v>
      </c>
      <c r="N328" t="str">
        <f t="shared" si="39"/>
        <v>url327 &lt;- 'https://www.advisorkhoj.com/mutual-funds-research/top-performing-systematic-investment-plan?category=Equity:%20&amp;period=6&amp;amount=3000';url327 &lt;-  read_html (url327);url_tbl327 &lt;- url327 %&gt;%   html_nodes('table') %&gt;%   html_table(fill = TRUE) %&gt;%   .[[1]];url_tbl327 &lt;- data.table(url_tbl327);url_tbl327 &lt;- url_tbl327[, `:=` (url ='', year =6),];</v>
      </c>
    </row>
    <row r="329" spans="1:14">
      <c r="A329" t="s">
        <v>674</v>
      </c>
      <c r="B329" t="s">
        <v>675</v>
      </c>
      <c r="E329">
        <v>7</v>
      </c>
      <c r="F329" s="159" t="s">
        <v>3</v>
      </c>
      <c r="G329" t="s">
        <v>4</v>
      </c>
      <c r="H329" t="s">
        <v>5</v>
      </c>
      <c r="I329" t="str">
        <f t="shared" si="34"/>
        <v>url328 &lt;- 'https://www.advisorkhoj.com/mutual-funds-research/top-performing-systematic-investment-plan?category=Equity:%20&amp;period=7&amp;amount=3000';</v>
      </c>
      <c r="J329" t="str">
        <f t="shared" si="35"/>
        <v>url328 &lt;-  read_html (url328);</v>
      </c>
      <c r="K329" t="str">
        <f t="shared" si="36"/>
        <v>url_tbl328 &lt;- url328 %&gt;%   html_nodes('table') %&gt;%   html_table(fill = TRUE) %&gt;%   .[[1]];</v>
      </c>
      <c r="L329" t="str">
        <f t="shared" si="37"/>
        <v>url_tbl328 &lt;- data.table(url_tbl328);</v>
      </c>
      <c r="M329" t="str">
        <f t="shared" si="38"/>
        <v>url_tbl328 &lt;- url_tbl328[, `:=` (url ='', year =7),];</v>
      </c>
      <c r="N329" t="str">
        <f t="shared" si="39"/>
        <v>url328 &lt;- 'https://www.advisorkhoj.com/mutual-funds-research/top-performing-systematic-investment-plan?category=Equity:%20&amp;period=7&amp;amount=3000';url328 &lt;-  read_html (url328);url_tbl328 &lt;- url328 %&gt;%   html_nodes('table') %&gt;%   html_table(fill = TRUE) %&gt;%   .[[1]];url_tbl328 &lt;- data.table(url_tbl328);url_tbl328 &lt;- url_tbl328[, `:=` (url ='', year =7),];</v>
      </c>
    </row>
    <row r="330" spans="1:14">
      <c r="A330" t="s">
        <v>676</v>
      </c>
      <c r="B330" t="s">
        <v>677</v>
      </c>
      <c r="E330">
        <v>8</v>
      </c>
      <c r="F330" s="159" t="s">
        <v>3</v>
      </c>
      <c r="G330" t="s">
        <v>4</v>
      </c>
      <c r="H330" t="s">
        <v>5</v>
      </c>
      <c r="I330" t="str">
        <f t="shared" si="34"/>
        <v>url329 &lt;- 'https://www.advisorkhoj.com/mutual-funds-research/top-performing-systematic-investment-plan?category=Equity:%20&amp;period=8&amp;amount=3000';</v>
      </c>
      <c r="J330" t="str">
        <f t="shared" si="35"/>
        <v>url329 &lt;-  read_html (url329);</v>
      </c>
      <c r="K330" t="str">
        <f t="shared" si="36"/>
        <v>url_tbl329 &lt;- url329 %&gt;%   html_nodes('table') %&gt;%   html_table(fill = TRUE) %&gt;%   .[[1]];</v>
      </c>
      <c r="L330" t="str">
        <f t="shared" si="37"/>
        <v>url_tbl329 &lt;- data.table(url_tbl329);</v>
      </c>
      <c r="M330" t="str">
        <f t="shared" si="38"/>
        <v>url_tbl329 &lt;- url_tbl329[, `:=` (url ='', year =8),];</v>
      </c>
      <c r="N330" t="str">
        <f t="shared" si="39"/>
        <v>url329 &lt;- 'https://www.advisorkhoj.com/mutual-funds-research/top-performing-systematic-investment-plan?category=Equity:%20&amp;period=8&amp;amount=3000';url329 &lt;-  read_html (url329);url_tbl329 &lt;- url329 %&gt;%   html_nodes('table') %&gt;%   html_table(fill = TRUE) %&gt;%   .[[1]];url_tbl329 &lt;- data.table(url_tbl329);url_tbl329 &lt;- url_tbl329[, `:=` (url ='', year =8),];</v>
      </c>
    </row>
    <row r="331" spans="1:14">
      <c r="A331" t="s">
        <v>678</v>
      </c>
      <c r="B331" t="s">
        <v>679</v>
      </c>
      <c r="E331">
        <v>9</v>
      </c>
      <c r="F331" s="159" t="s">
        <v>3</v>
      </c>
      <c r="G331" t="s">
        <v>4</v>
      </c>
      <c r="H331" t="s">
        <v>5</v>
      </c>
      <c r="I331" t="str">
        <f t="shared" si="34"/>
        <v>url330 &lt;- 'https://www.advisorkhoj.com/mutual-funds-research/top-performing-systematic-investment-plan?category=Equity:%20&amp;period=9&amp;amount=3000';</v>
      </c>
      <c r="J331" t="str">
        <f t="shared" si="35"/>
        <v>url330 &lt;-  read_html (url330);</v>
      </c>
      <c r="K331" t="str">
        <f t="shared" si="36"/>
        <v>url_tbl330 &lt;- url330 %&gt;%   html_nodes('table') %&gt;%   html_table(fill = TRUE) %&gt;%   .[[1]];</v>
      </c>
      <c r="L331" t="str">
        <f t="shared" si="37"/>
        <v>url_tbl330 &lt;- data.table(url_tbl330);</v>
      </c>
      <c r="M331" t="str">
        <f t="shared" si="38"/>
        <v>url_tbl330 &lt;- url_tbl330[, `:=` (url ='', year =9),];</v>
      </c>
      <c r="N331" t="str">
        <f t="shared" si="39"/>
        <v>url330 &lt;- 'https://www.advisorkhoj.com/mutual-funds-research/top-performing-systematic-investment-plan?category=Equity:%20&amp;period=9&amp;amount=3000';url330 &lt;-  read_html (url330);url_tbl330 &lt;- url330 %&gt;%   html_nodes('table') %&gt;%   html_table(fill = TRUE) %&gt;%   .[[1]];url_tbl330 &lt;- data.table(url_tbl330);url_tbl330 &lt;- url_tbl330[, `:=` (url ='', year =9),];</v>
      </c>
    </row>
    <row r="332" spans="1:14">
      <c r="A332" t="s">
        <v>680</v>
      </c>
      <c r="B332" t="s">
        <v>681</v>
      </c>
      <c r="E332">
        <v>10</v>
      </c>
      <c r="F332" s="159" t="s">
        <v>3</v>
      </c>
      <c r="G332" t="s">
        <v>4</v>
      </c>
      <c r="H332" t="s">
        <v>5</v>
      </c>
      <c r="I332" t="str">
        <f t="shared" si="34"/>
        <v>url331 &lt;- 'https://www.advisorkhoj.com/mutual-funds-research/top-performing-systematic-investment-plan?category=Equity:%20&amp;period=10&amp;amount=3000';</v>
      </c>
      <c r="J332" t="str">
        <f t="shared" si="35"/>
        <v>url331 &lt;-  read_html (url331);</v>
      </c>
      <c r="K332" t="str">
        <f t="shared" si="36"/>
        <v>url_tbl331 &lt;- url331 %&gt;%   html_nodes('table') %&gt;%   html_table(fill = TRUE) %&gt;%   .[[1]];</v>
      </c>
      <c r="L332" t="str">
        <f t="shared" si="37"/>
        <v>url_tbl331 &lt;- data.table(url_tbl331);</v>
      </c>
      <c r="M332" t="str">
        <f t="shared" si="38"/>
        <v>url_tbl331 &lt;- url_tbl331[, `:=` (url ='', year =10),];</v>
      </c>
      <c r="N332" t="str">
        <f t="shared" si="39"/>
        <v>url331 &lt;- 'https://www.advisorkhoj.com/mutual-funds-research/top-performing-systematic-investment-plan?category=Equity:%20&amp;period=10&amp;amount=3000';url331 &lt;-  read_html (url331);url_tbl331 &lt;- url331 %&gt;%   html_nodes('table') %&gt;%   html_table(fill = TRUE) %&gt;%   .[[1]];url_tbl331 &lt;- data.table(url_tbl331);url_tbl331 &lt;- url_tbl331[, `:=` (url ='', year =10),];</v>
      </c>
    </row>
    <row r="333" spans="1:14">
      <c r="A333" t="s">
        <v>682</v>
      </c>
      <c r="B333" t="s">
        <v>683</v>
      </c>
      <c r="E333">
        <v>11</v>
      </c>
      <c r="F333" s="159" t="s">
        <v>3</v>
      </c>
      <c r="G333" t="s">
        <v>4</v>
      </c>
      <c r="H333" t="s">
        <v>5</v>
      </c>
      <c r="I333" t="str">
        <f t="shared" si="34"/>
        <v>url332 &lt;- 'https://www.advisorkhoj.com/mutual-funds-research/top-performing-systematic-investment-plan?category=Equity:%20&amp;period=11&amp;amount=3000';</v>
      </c>
      <c r="J333" t="str">
        <f t="shared" si="35"/>
        <v>url332 &lt;-  read_html (url332);</v>
      </c>
      <c r="K333" t="str">
        <f t="shared" si="36"/>
        <v>url_tbl332 &lt;- url332 %&gt;%   html_nodes('table') %&gt;%   html_table(fill = TRUE) %&gt;%   .[[1]];</v>
      </c>
      <c r="L333" t="str">
        <f t="shared" si="37"/>
        <v>url_tbl332 &lt;- data.table(url_tbl332);</v>
      </c>
      <c r="M333" t="str">
        <f t="shared" si="38"/>
        <v>url_tbl332 &lt;- url_tbl332[, `:=` (url ='', year =11),];</v>
      </c>
      <c r="N333" t="str">
        <f t="shared" si="39"/>
        <v>url332 &lt;- 'https://www.advisorkhoj.com/mutual-funds-research/top-performing-systematic-investment-plan?category=Equity:%20&amp;period=11&amp;amount=3000';url332 &lt;-  read_html (url332);url_tbl332 &lt;- url332 %&gt;%   html_nodes('table') %&gt;%   html_table(fill = TRUE) %&gt;%   .[[1]];url_tbl332 &lt;- data.table(url_tbl332);url_tbl332 &lt;- url_tbl332[, `:=` (url ='', year =11),];</v>
      </c>
    </row>
    <row r="334" spans="1:14">
      <c r="A334" t="s">
        <v>684</v>
      </c>
      <c r="B334" t="s">
        <v>685</v>
      </c>
      <c r="E334">
        <v>12</v>
      </c>
      <c r="F334" s="159" t="s">
        <v>3</v>
      </c>
      <c r="G334" t="s">
        <v>4</v>
      </c>
      <c r="H334" t="s">
        <v>5</v>
      </c>
      <c r="I334" t="str">
        <f t="shared" si="34"/>
        <v>url333 &lt;- 'https://www.advisorkhoj.com/mutual-funds-research/top-performing-systematic-investment-plan?category=Equity:%20&amp;period=12&amp;amount=3000';</v>
      </c>
      <c r="J334" t="str">
        <f t="shared" si="35"/>
        <v>url333 &lt;-  read_html (url333);</v>
      </c>
      <c r="K334" t="str">
        <f t="shared" si="36"/>
        <v>url_tbl333 &lt;- url333 %&gt;%   html_nodes('table') %&gt;%   html_table(fill = TRUE) %&gt;%   .[[1]];</v>
      </c>
      <c r="L334" t="str">
        <f t="shared" si="37"/>
        <v>url_tbl333 &lt;- data.table(url_tbl333);</v>
      </c>
      <c r="M334" t="str">
        <f t="shared" si="38"/>
        <v>url_tbl333 &lt;- url_tbl333[, `:=` (url ='', year =12),];</v>
      </c>
      <c r="N334" t="str">
        <f t="shared" si="39"/>
        <v>url333 &lt;- 'https://www.advisorkhoj.com/mutual-funds-research/top-performing-systematic-investment-plan?category=Equity:%20&amp;period=12&amp;amount=3000';url333 &lt;-  read_html (url333);url_tbl333 &lt;- url333 %&gt;%   html_nodes('table') %&gt;%   html_table(fill = TRUE) %&gt;%   .[[1]];url_tbl333 &lt;- data.table(url_tbl333);url_tbl333 &lt;- url_tbl333[, `:=` (url ='', year =12),];</v>
      </c>
    </row>
    <row r="335" spans="1:14">
      <c r="A335" t="s">
        <v>686</v>
      </c>
      <c r="B335" t="s">
        <v>687</v>
      </c>
      <c r="E335">
        <v>13</v>
      </c>
      <c r="F335" s="159" t="s">
        <v>3</v>
      </c>
      <c r="G335" t="s">
        <v>4</v>
      </c>
      <c r="H335" t="s">
        <v>5</v>
      </c>
      <c r="I335" t="str">
        <f t="shared" si="34"/>
        <v>url334 &lt;- 'https://www.advisorkhoj.com/mutual-funds-research/top-performing-systematic-investment-plan?category=Equity:%20&amp;period=13&amp;amount=3000';</v>
      </c>
      <c r="J335" t="str">
        <f t="shared" si="35"/>
        <v>url334 &lt;-  read_html (url334);</v>
      </c>
      <c r="K335" t="str">
        <f t="shared" si="36"/>
        <v>url_tbl334 &lt;- url334 %&gt;%   html_nodes('table') %&gt;%   html_table(fill = TRUE) %&gt;%   .[[1]];</v>
      </c>
      <c r="L335" t="str">
        <f t="shared" si="37"/>
        <v>url_tbl334 &lt;- data.table(url_tbl334);</v>
      </c>
      <c r="M335" t="str">
        <f t="shared" si="38"/>
        <v>url_tbl334 &lt;- url_tbl334[, `:=` (url ='', year =13),];</v>
      </c>
      <c r="N335" t="str">
        <f t="shared" si="39"/>
        <v>url334 &lt;- 'https://www.advisorkhoj.com/mutual-funds-research/top-performing-systematic-investment-plan?category=Equity:%20&amp;period=13&amp;amount=3000';url334 &lt;-  read_html (url334);url_tbl334 &lt;- url334 %&gt;%   html_nodes('table') %&gt;%   html_table(fill = TRUE) %&gt;%   .[[1]];url_tbl334 &lt;- data.table(url_tbl334);url_tbl334 &lt;- url_tbl334[, `:=` (url ='', year =13),];</v>
      </c>
    </row>
    <row r="336" spans="1:14">
      <c r="A336" t="s">
        <v>688</v>
      </c>
      <c r="B336" t="s">
        <v>689</v>
      </c>
      <c r="E336">
        <v>14</v>
      </c>
      <c r="F336" s="159" t="s">
        <v>3</v>
      </c>
      <c r="G336" t="s">
        <v>4</v>
      </c>
      <c r="H336" t="s">
        <v>5</v>
      </c>
      <c r="I336" t="str">
        <f t="shared" si="34"/>
        <v>url335 &lt;- 'https://www.advisorkhoj.com/mutual-funds-research/top-performing-systematic-investment-plan?category=Equity:%20&amp;period=14&amp;amount=3000';</v>
      </c>
      <c r="J336" t="str">
        <f t="shared" si="35"/>
        <v>url335 &lt;-  read_html (url335);</v>
      </c>
      <c r="K336" t="str">
        <f t="shared" si="36"/>
        <v>url_tbl335 &lt;- url335 %&gt;%   html_nodes('table') %&gt;%   html_table(fill = TRUE) %&gt;%   .[[1]];</v>
      </c>
      <c r="L336" t="str">
        <f t="shared" si="37"/>
        <v>url_tbl335 &lt;- data.table(url_tbl335);</v>
      </c>
      <c r="M336" t="str">
        <f t="shared" si="38"/>
        <v>url_tbl335 &lt;- url_tbl335[, `:=` (url ='', year =14),];</v>
      </c>
      <c r="N336" t="str">
        <f t="shared" si="39"/>
        <v>url335 &lt;- 'https://www.advisorkhoj.com/mutual-funds-research/top-performing-systematic-investment-plan?category=Equity:%20&amp;period=14&amp;amount=3000';url335 &lt;-  read_html (url335);url_tbl335 &lt;- url335 %&gt;%   html_nodes('table') %&gt;%   html_table(fill = TRUE) %&gt;%   .[[1]];url_tbl335 &lt;- data.table(url_tbl335);url_tbl335 &lt;- url_tbl335[, `:=` (url ='', year =14),];</v>
      </c>
    </row>
    <row r="337" spans="1:14">
      <c r="A337" t="s">
        <v>690</v>
      </c>
      <c r="B337" t="s">
        <v>691</v>
      </c>
      <c r="E337">
        <v>15</v>
      </c>
      <c r="F337" s="159" t="s">
        <v>3</v>
      </c>
      <c r="G337" t="s">
        <v>4</v>
      </c>
      <c r="H337" t="s">
        <v>5</v>
      </c>
      <c r="I337" t="str">
        <f t="shared" si="34"/>
        <v>url336 &lt;- 'https://www.advisorkhoj.com/mutual-funds-research/top-performing-systematic-investment-plan?category=Equity:%20&amp;period=15&amp;amount=3000';</v>
      </c>
      <c r="J337" t="str">
        <f t="shared" si="35"/>
        <v>url336 &lt;-  read_html (url336);</v>
      </c>
      <c r="K337" t="str">
        <f t="shared" si="36"/>
        <v>url_tbl336 &lt;- url336 %&gt;%   html_nodes('table') %&gt;%   html_table(fill = TRUE) %&gt;%   .[[1]];</v>
      </c>
      <c r="L337" t="str">
        <f t="shared" si="37"/>
        <v>url_tbl336 &lt;- data.table(url_tbl336);</v>
      </c>
      <c r="M337" t="str">
        <f t="shared" si="38"/>
        <v>url_tbl336 &lt;- url_tbl336[, `:=` (url ='', year =15),];</v>
      </c>
      <c r="N337" t="str">
        <f t="shared" si="39"/>
        <v>url336 &lt;- 'https://www.advisorkhoj.com/mutual-funds-research/top-performing-systematic-investment-plan?category=Equity:%20&amp;period=15&amp;amount=3000';url336 &lt;-  read_html (url336);url_tbl336 &lt;- url336 %&gt;%   html_nodes('table') %&gt;%   html_table(fill = TRUE) %&gt;%   .[[1]];url_tbl336 &lt;- data.table(url_tbl336);url_tbl336 &lt;- url_tbl336[, `:=` (url ='', year =15),];</v>
      </c>
    </row>
    <row r="338" spans="1:14">
      <c r="A338" t="s">
        <v>692</v>
      </c>
      <c r="B338" t="s">
        <v>693</v>
      </c>
      <c r="E338">
        <v>16</v>
      </c>
      <c r="F338" s="159" t="s">
        <v>3</v>
      </c>
      <c r="G338" t="s">
        <v>4</v>
      </c>
      <c r="H338" t="s">
        <v>5</v>
      </c>
      <c r="I338" t="str">
        <f t="shared" si="34"/>
        <v>url337 &lt;- 'https://www.advisorkhoj.com/mutual-funds-research/top-performing-systematic-investment-plan?category=Equity:%20&amp;period=16&amp;amount=3000';</v>
      </c>
      <c r="J338" t="str">
        <f t="shared" si="35"/>
        <v>url337 &lt;-  read_html (url337);</v>
      </c>
      <c r="K338" t="str">
        <f t="shared" si="36"/>
        <v>url_tbl337 &lt;- url337 %&gt;%   html_nodes('table') %&gt;%   html_table(fill = TRUE) %&gt;%   .[[1]];</v>
      </c>
      <c r="L338" t="str">
        <f t="shared" si="37"/>
        <v>url_tbl337 &lt;- data.table(url_tbl337);</v>
      </c>
      <c r="M338" t="str">
        <f t="shared" si="38"/>
        <v>url_tbl337 &lt;- url_tbl337[, `:=` (url ='', year =16),];</v>
      </c>
      <c r="N338" t="str">
        <f t="shared" si="39"/>
        <v>url337 &lt;- 'https://www.advisorkhoj.com/mutual-funds-research/top-performing-systematic-investment-plan?category=Equity:%20&amp;period=16&amp;amount=3000';url337 &lt;-  read_html (url337);url_tbl337 &lt;- url337 %&gt;%   html_nodes('table') %&gt;%   html_table(fill = TRUE) %&gt;%   .[[1]];url_tbl337 &lt;- data.table(url_tbl337);url_tbl337 &lt;- url_tbl337[, `:=` (url ='', year =16),];</v>
      </c>
    </row>
    <row r="339" spans="1:14">
      <c r="A339" t="s">
        <v>694</v>
      </c>
      <c r="B339" t="s">
        <v>695</v>
      </c>
      <c r="E339">
        <v>1</v>
      </c>
      <c r="F339" s="159" t="s">
        <v>3</v>
      </c>
      <c r="G339" t="s">
        <v>4</v>
      </c>
      <c r="H339" t="s">
        <v>5</v>
      </c>
      <c r="I339" t="str">
        <f t="shared" si="34"/>
        <v>url338 &lt;- 'https://www.advisorkhoj.com/mutual-funds-research/top-performing-systematic-investment-plan?category=Equity:%20&amp;period=1&amp;amount=3000';</v>
      </c>
      <c r="J339" t="str">
        <f t="shared" si="35"/>
        <v>url338 &lt;-  read_html (url338);</v>
      </c>
      <c r="K339" t="str">
        <f t="shared" si="36"/>
        <v>url_tbl338 &lt;- url338 %&gt;%   html_nodes('table') %&gt;%   html_table(fill = TRUE) %&gt;%   .[[1]];</v>
      </c>
      <c r="L339" t="str">
        <f t="shared" si="37"/>
        <v>url_tbl338 &lt;- data.table(url_tbl338);</v>
      </c>
      <c r="M339" t="str">
        <f t="shared" si="38"/>
        <v>url_tbl338 &lt;- url_tbl338[, `:=` (url ='', year =1),];</v>
      </c>
      <c r="N339" t="str">
        <f t="shared" si="39"/>
        <v>url338 &lt;- 'https://www.advisorkhoj.com/mutual-funds-research/top-performing-systematic-investment-plan?category=Equity:%20&amp;period=1&amp;amount=3000';url338 &lt;-  read_html (url338);url_tbl338 &lt;- url338 %&gt;%   html_nodes('table') %&gt;%   html_table(fill = TRUE) %&gt;%   .[[1]];url_tbl338 &lt;- data.table(url_tbl338);url_tbl338 &lt;- url_tbl338[, `:=` (url ='', year =1),];</v>
      </c>
    </row>
    <row r="340" spans="1:14">
      <c r="A340" t="s">
        <v>696</v>
      </c>
      <c r="B340" t="s">
        <v>697</v>
      </c>
      <c r="E340">
        <v>2</v>
      </c>
      <c r="F340" s="159" t="s">
        <v>3</v>
      </c>
      <c r="G340" t="s">
        <v>4</v>
      </c>
      <c r="H340" t="s">
        <v>5</v>
      </c>
      <c r="I340" t="str">
        <f t="shared" si="34"/>
        <v>url339 &lt;- 'https://www.advisorkhoj.com/mutual-funds-research/top-performing-systematic-investment-plan?category=Equity:%20&amp;period=2&amp;amount=3000';</v>
      </c>
      <c r="J340" t="str">
        <f t="shared" si="35"/>
        <v>url339 &lt;-  read_html (url339);</v>
      </c>
      <c r="K340" t="str">
        <f t="shared" si="36"/>
        <v>url_tbl339 &lt;- url339 %&gt;%   html_nodes('table') %&gt;%   html_table(fill = TRUE) %&gt;%   .[[1]];</v>
      </c>
      <c r="L340" t="str">
        <f t="shared" si="37"/>
        <v>url_tbl339 &lt;- data.table(url_tbl339);</v>
      </c>
      <c r="M340" t="str">
        <f t="shared" si="38"/>
        <v>url_tbl339 &lt;- url_tbl339[, `:=` (url ='', year =2),];</v>
      </c>
      <c r="N340" t="str">
        <f t="shared" si="39"/>
        <v>url339 &lt;- 'https://www.advisorkhoj.com/mutual-funds-research/top-performing-systematic-investment-plan?category=Equity:%20&amp;period=2&amp;amount=3000';url339 &lt;-  read_html (url339);url_tbl339 &lt;- url339 %&gt;%   html_nodes('table') %&gt;%   html_table(fill = TRUE) %&gt;%   .[[1]];url_tbl339 &lt;- data.table(url_tbl339);url_tbl339 &lt;- url_tbl339[, `:=` (url ='', year =2),];</v>
      </c>
    </row>
    <row r="341" spans="1:14">
      <c r="A341" t="s">
        <v>698</v>
      </c>
      <c r="B341" t="s">
        <v>699</v>
      </c>
      <c r="E341">
        <v>3</v>
      </c>
      <c r="F341" s="159" t="s">
        <v>3</v>
      </c>
      <c r="G341" t="s">
        <v>4</v>
      </c>
      <c r="H341" t="s">
        <v>5</v>
      </c>
      <c r="I341" t="str">
        <f t="shared" si="34"/>
        <v>url340 &lt;- 'https://www.advisorkhoj.com/mutual-funds-research/top-performing-systematic-investment-plan?category=Equity:%20&amp;period=3&amp;amount=3000';</v>
      </c>
      <c r="J341" t="str">
        <f t="shared" si="35"/>
        <v>url340 &lt;-  read_html (url340);</v>
      </c>
      <c r="K341" t="str">
        <f t="shared" si="36"/>
        <v>url_tbl340 &lt;- url340 %&gt;%   html_nodes('table') %&gt;%   html_table(fill = TRUE) %&gt;%   .[[1]];</v>
      </c>
      <c r="L341" t="str">
        <f t="shared" si="37"/>
        <v>url_tbl340 &lt;- data.table(url_tbl340);</v>
      </c>
      <c r="M341" t="str">
        <f t="shared" si="38"/>
        <v>url_tbl340 &lt;- url_tbl340[, `:=` (url ='', year =3),];</v>
      </c>
      <c r="N341" t="str">
        <f t="shared" si="39"/>
        <v>url340 &lt;- 'https://www.advisorkhoj.com/mutual-funds-research/top-performing-systematic-investment-plan?category=Equity:%20&amp;period=3&amp;amount=3000';url340 &lt;-  read_html (url340);url_tbl340 &lt;- url340 %&gt;%   html_nodes('table') %&gt;%   html_table(fill = TRUE) %&gt;%   .[[1]];url_tbl340 &lt;- data.table(url_tbl340);url_tbl340 &lt;- url_tbl340[, `:=` (url ='', year =3),];</v>
      </c>
    </row>
    <row r="342" spans="1:14">
      <c r="A342" t="s">
        <v>700</v>
      </c>
      <c r="B342" t="s">
        <v>701</v>
      </c>
      <c r="E342">
        <v>4</v>
      </c>
      <c r="F342" s="159" t="s">
        <v>3</v>
      </c>
      <c r="G342" t="s">
        <v>4</v>
      </c>
      <c r="H342" t="s">
        <v>5</v>
      </c>
      <c r="I342" t="str">
        <f t="shared" si="34"/>
        <v>url341 &lt;- 'https://www.advisorkhoj.com/mutual-funds-research/top-performing-systematic-investment-plan?category=Equity:%20&amp;period=4&amp;amount=3000';</v>
      </c>
      <c r="J342" t="str">
        <f t="shared" si="35"/>
        <v>url341 &lt;-  read_html (url341);</v>
      </c>
      <c r="K342" t="str">
        <f t="shared" si="36"/>
        <v>url_tbl341 &lt;- url341 %&gt;%   html_nodes('table') %&gt;%   html_table(fill = TRUE) %&gt;%   .[[1]];</v>
      </c>
      <c r="L342" t="str">
        <f t="shared" si="37"/>
        <v>url_tbl341 &lt;- data.table(url_tbl341);</v>
      </c>
      <c r="M342" t="str">
        <f t="shared" si="38"/>
        <v>url_tbl341 &lt;- url_tbl341[, `:=` (url ='', year =4),];</v>
      </c>
      <c r="N342" t="str">
        <f t="shared" si="39"/>
        <v>url341 &lt;- 'https://www.advisorkhoj.com/mutual-funds-research/top-performing-systematic-investment-plan?category=Equity:%20&amp;period=4&amp;amount=3000';url341 &lt;-  read_html (url341);url_tbl341 &lt;- url341 %&gt;%   html_nodes('table') %&gt;%   html_table(fill = TRUE) %&gt;%   .[[1]];url_tbl341 &lt;- data.table(url_tbl341);url_tbl341 &lt;- url_tbl341[, `:=` (url ='', year =4),];</v>
      </c>
    </row>
    <row r="343" spans="1:14">
      <c r="A343" t="s">
        <v>702</v>
      </c>
      <c r="B343" t="s">
        <v>703</v>
      </c>
      <c r="E343">
        <v>5</v>
      </c>
      <c r="F343" s="159" t="s">
        <v>3</v>
      </c>
      <c r="G343" t="s">
        <v>4</v>
      </c>
      <c r="H343" t="s">
        <v>5</v>
      </c>
      <c r="I343" t="str">
        <f t="shared" si="34"/>
        <v>url342 &lt;- 'https://www.advisorkhoj.com/mutual-funds-research/top-performing-systematic-investment-plan?category=Equity:%20&amp;period=5&amp;amount=3000';</v>
      </c>
      <c r="J343" t="str">
        <f t="shared" si="35"/>
        <v>url342 &lt;-  read_html (url342);</v>
      </c>
      <c r="K343" t="str">
        <f t="shared" si="36"/>
        <v>url_tbl342 &lt;- url342 %&gt;%   html_nodes('table') %&gt;%   html_table(fill = TRUE) %&gt;%   .[[1]];</v>
      </c>
      <c r="L343" t="str">
        <f t="shared" si="37"/>
        <v>url_tbl342 &lt;- data.table(url_tbl342);</v>
      </c>
      <c r="M343" t="str">
        <f t="shared" si="38"/>
        <v>url_tbl342 &lt;- url_tbl342[, `:=` (url ='', year =5),];</v>
      </c>
      <c r="N343" t="str">
        <f t="shared" si="39"/>
        <v>url342 &lt;- 'https://www.advisorkhoj.com/mutual-funds-research/top-performing-systematic-investment-plan?category=Equity:%20&amp;period=5&amp;amount=3000';url342 &lt;-  read_html (url342);url_tbl342 &lt;- url342 %&gt;%   html_nodes('table') %&gt;%   html_table(fill = TRUE) %&gt;%   .[[1]];url_tbl342 &lt;- data.table(url_tbl342);url_tbl342 &lt;- url_tbl342[, `:=` (url ='', year =5),];</v>
      </c>
    </row>
    <row r="344" spans="1:14">
      <c r="A344" t="s">
        <v>704</v>
      </c>
      <c r="B344" t="s">
        <v>705</v>
      </c>
      <c r="E344">
        <v>6</v>
      </c>
      <c r="F344" s="159" t="s">
        <v>3</v>
      </c>
      <c r="G344" t="s">
        <v>4</v>
      </c>
      <c r="H344" t="s">
        <v>5</v>
      </c>
      <c r="I344" t="str">
        <f t="shared" si="34"/>
        <v>url343 &lt;- 'https://www.advisorkhoj.com/mutual-funds-research/top-performing-systematic-investment-plan?category=Equity:%20&amp;period=6&amp;amount=3000';</v>
      </c>
      <c r="J344" t="str">
        <f t="shared" si="35"/>
        <v>url343 &lt;-  read_html (url343);</v>
      </c>
      <c r="K344" t="str">
        <f t="shared" si="36"/>
        <v>url_tbl343 &lt;- url343 %&gt;%   html_nodes('table') %&gt;%   html_table(fill = TRUE) %&gt;%   .[[1]];</v>
      </c>
      <c r="L344" t="str">
        <f t="shared" si="37"/>
        <v>url_tbl343 &lt;- data.table(url_tbl343);</v>
      </c>
      <c r="M344" t="str">
        <f t="shared" si="38"/>
        <v>url_tbl343 &lt;- url_tbl343[, `:=` (url ='', year =6),];</v>
      </c>
      <c r="N344" t="str">
        <f t="shared" si="39"/>
        <v>url343 &lt;- 'https://www.advisorkhoj.com/mutual-funds-research/top-performing-systematic-investment-plan?category=Equity:%20&amp;period=6&amp;amount=3000';url343 &lt;-  read_html (url343);url_tbl343 &lt;- url343 %&gt;%   html_nodes('table') %&gt;%   html_table(fill = TRUE) %&gt;%   .[[1]];url_tbl343 &lt;- data.table(url_tbl343);url_tbl343 &lt;- url_tbl343[, `:=` (url ='', year =6),];</v>
      </c>
    </row>
    <row r="345" spans="1:14">
      <c r="A345" t="s">
        <v>706</v>
      </c>
      <c r="B345" t="s">
        <v>707</v>
      </c>
      <c r="E345">
        <v>7</v>
      </c>
      <c r="F345" s="159" t="s">
        <v>3</v>
      </c>
      <c r="G345" t="s">
        <v>4</v>
      </c>
      <c r="H345" t="s">
        <v>5</v>
      </c>
      <c r="I345" t="str">
        <f t="shared" si="34"/>
        <v>url344 &lt;- 'https://www.advisorkhoj.com/mutual-funds-research/top-performing-systematic-investment-plan?category=Equity:%20&amp;period=7&amp;amount=3000';</v>
      </c>
      <c r="J345" t="str">
        <f t="shared" si="35"/>
        <v>url344 &lt;-  read_html (url344);</v>
      </c>
      <c r="K345" t="str">
        <f t="shared" si="36"/>
        <v>url_tbl344 &lt;- url344 %&gt;%   html_nodes('table') %&gt;%   html_table(fill = TRUE) %&gt;%   .[[1]];</v>
      </c>
      <c r="L345" t="str">
        <f t="shared" si="37"/>
        <v>url_tbl344 &lt;- data.table(url_tbl344);</v>
      </c>
      <c r="M345" t="str">
        <f t="shared" si="38"/>
        <v>url_tbl344 &lt;- url_tbl344[, `:=` (url ='', year =7),];</v>
      </c>
      <c r="N345" t="str">
        <f t="shared" si="39"/>
        <v>url344 &lt;- 'https://www.advisorkhoj.com/mutual-funds-research/top-performing-systematic-investment-plan?category=Equity:%20&amp;period=7&amp;amount=3000';url344 &lt;-  read_html (url344);url_tbl344 &lt;- url344 %&gt;%   html_nodes('table') %&gt;%   html_table(fill = TRUE) %&gt;%   .[[1]];url_tbl344 &lt;- data.table(url_tbl344);url_tbl344 &lt;- url_tbl344[, `:=` (url ='', year =7),];</v>
      </c>
    </row>
    <row r="346" spans="1:14">
      <c r="A346" t="s">
        <v>708</v>
      </c>
      <c r="B346" t="s">
        <v>709</v>
      </c>
      <c r="E346">
        <v>8</v>
      </c>
      <c r="F346" s="159" t="s">
        <v>3</v>
      </c>
      <c r="G346" t="s">
        <v>4</v>
      </c>
      <c r="H346" t="s">
        <v>5</v>
      </c>
      <c r="I346" t="str">
        <f t="shared" si="34"/>
        <v>url345 &lt;- 'https://www.advisorkhoj.com/mutual-funds-research/top-performing-systematic-investment-plan?category=Equity:%20&amp;period=8&amp;amount=3000';</v>
      </c>
      <c r="J346" t="str">
        <f t="shared" si="35"/>
        <v>url345 &lt;-  read_html (url345);</v>
      </c>
      <c r="K346" t="str">
        <f t="shared" si="36"/>
        <v>url_tbl345 &lt;- url345 %&gt;%   html_nodes('table') %&gt;%   html_table(fill = TRUE) %&gt;%   .[[1]];</v>
      </c>
      <c r="L346" t="str">
        <f t="shared" si="37"/>
        <v>url_tbl345 &lt;- data.table(url_tbl345);</v>
      </c>
      <c r="M346" t="str">
        <f t="shared" si="38"/>
        <v>url_tbl345 &lt;- url_tbl345[, `:=` (url ='', year =8),];</v>
      </c>
      <c r="N346" t="str">
        <f t="shared" si="39"/>
        <v>url345 &lt;- 'https://www.advisorkhoj.com/mutual-funds-research/top-performing-systematic-investment-plan?category=Equity:%20&amp;period=8&amp;amount=3000';url345 &lt;-  read_html (url345);url_tbl345 &lt;- url345 %&gt;%   html_nodes('table') %&gt;%   html_table(fill = TRUE) %&gt;%   .[[1]];url_tbl345 &lt;- data.table(url_tbl345);url_tbl345 &lt;- url_tbl345[, `:=` (url ='', year =8),];</v>
      </c>
    </row>
    <row r="347" spans="1:14">
      <c r="A347" t="s">
        <v>710</v>
      </c>
      <c r="B347" t="s">
        <v>711</v>
      </c>
      <c r="E347">
        <v>9</v>
      </c>
      <c r="F347" s="159" t="s">
        <v>3</v>
      </c>
      <c r="G347" t="s">
        <v>4</v>
      </c>
      <c r="H347" t="s">
        <v>5</v>
      </c>
      <c r="I347" t="str">
        <f t="shared" si="34"/>
        <v>url346 &lt;- 'https://www.advisorkhoj.com/mutual-funds-research/top-performing-systematic-investment-plan?category=Equity:%20&amp;period=9&amp;amount=3000';</v>
      </c>
      <c r="J347" t="str">
        <f t="shared" si="35"/>
        <v>url346 &lt;-  read_html (url346);</v>
      </c>
      <c r="K347" t="str">
        <f t="shared" si="36"/>
        <v>url_tbl346 &lt;- url346 %&gt;%   html_nodes('table') %&gt;%   html_table(fill = TRUE) %&gt;%   .[[1]];</v>
      </c>
      <c r="L347" t="str">
        <f t="shared" si="37"/>
        <v>url_tbl346 &lt;- data.table(url_tbl346);</v>
      </c>
      <c r="M347" t="str">
        <f t="shared" si="38"/>
        <v>url_tbl346 &lt;- url_tbl346[, `:=` (url ='', year =9),];</v>
      </c>
      <c r="N347" t="str">
        <f t="shared" si="39"/>
        <v>url346 &lt;- 'https://www.advisorkhoj.com/mutual-funds-research/top-performing-systematic-investment-plan?category=Equity:%20&amp;period=9&amp;amount=3000';url346 &lt;-  read_html (url346);url_tbl346 &lt;- url346 %&gt;%   html_nodes('table') %&gt;%   html_table(fill = TRUE) %&gt;%   .[[1]];url_tbl346 &lt;- data.table(url_tbl346);url_tbl346 &lt;- url_tbl346[, `:=` (url ='', year =9),];</v>
      </c>
    </row>
    <row r="348" spans="1:14">
      <c r="A348" t="s">
        <v>712</v>
      </c>
      <c r="B348" t="s">
        <v>713</v>
      </c>
      <c r="E348">
        <v>10</v>
      </c>
      <c r="F348" s="159" t="s">
        <v>3</v>
      </c>
      <c r="G348" t="s">
        <v>4</v>
      </c>
      <c r="H348" t="s">
        <v>5</v>
      </c>
      <c r="I348" t="str">
        <f t="shared" si="34"/>
        <v>url347 &lt;- 'https://www.advisorkhoj.com/mutual-funds-research/top-performing-systematic-investment-plan?category=Equity:%20&amp;period=10&amp;amount=3000';</v>
      </c>
      <c r="J348" t="str">
        <f t="shared" si="35"/>
        <v>url347 &lt;-  read_html (url347);</v>
      </c>
      <c r="K348" t="str">
        <f t="shared" si="36"/>
        <v>url_tbl347 &lt;- url347 %&gt;%   html_nodes('table') %&gt;%   html_table(fill = TRUE) %&gt;%   .[[1]];</v>
      </c>
      <c r="L348" t="str">
        <f t="shared" si="37"/>
        <v>url_tbl347 &lt;- data.table(url_tbl347);</v>
      </c>
      <c r="M348" t="str">
        <f t="shared" si="38"/>
        <v>url_tbl347 &lt;- url_tbl347[, `:=` (url ='', year =10),];</v>
      </c>
      <c r="N348" t="str">
        <f t="shared" si="39"/>
        <v>url347 &lt;- 'https://www.advisorkhoj.com/mutual-funds-research/top-performing-systematic-investment-plan?category=Equity:%20&amp;period=10&amp;amount=3000';url347 &lt;-  read_html (url347);url_tbl347 &lt;- url347 %&gt;%   html_nodes('table') %&gt;%   html_table(fill = TRUE) %&gt;%   .[[1]];url_tbl347 &lt;- data.table(url_tbl347);url_tbl347 &lt;- url_tbl347[, `:=` (url ='', year =10),];</v>
      </c>
    </row>
    <row r="349" spans="1:14">
      <c r="A349" t="s">
        <v>714</v>
      </c>
      <c r="B349" t="s">
        <v>715</v>
      </c>
      <c r="E349">
        <v>11</v>
      </c>
      <c r="F349" s="159" t="s">
        <v>3</v>
      </c>
      <c r="G349" t="s">
        <v>4</v>
      </c>
      <c r="H349" t="s">
        <v>5</v>
      </c>
      <c r="I349" t="str">
        <f t="shared" si="34"/>
        <v>url348 &lt;- 'https://www.advisorkhoj.com/mutual-funds-research/top-performing-systematic-investment-plan?category=Equity:%20&amp;period=11&amp;amount=3000';</v>
      </c>
      <c r="J349" t="str">
        <f t="shared" si="35"/>
        <v>url348 &lt;-  read_html (url348);</v>
      </c>
      <c r="K349" t="str">
        <f t="shared" si="36"/>
        <v>url_tbl348 &lt;- url348 %&gt;%   html_nodes('table') %&gt;%   html_table(fill = TRUE) %&gt;%   .[[1]];</v>
      </c>
      <c r="L349" t="str">
        <f t="shared" si="37"/>
        <v>url_tbl348 &lt;- data.table(url_tbl348);</v>
      </c>
      <c r="M349" t="str">
        <f t="shared" si="38"/>
        <v>url_tbl348 &lt;- url_tbl348[, `:=` (url ='', year =11),];</v>
      </c>
      <c r="N349" t="str">
        <f t="shared" si="39"/>
        <v>url348 &lt;- 'https://www.advisorkhoj.com/mutual-funds-research/top-performing-systematic-investment-plan?category=Equity:%20&amp;period=11&amp;amount=3000';url348 &lt;-  read_html (url348);url_tbl348 &lt;- url348 %&gt;%   html_nodes('table') %&gt;%   html_table(fill = TRUE) %&gt;%   .[[1]];url_tbl348 &lt;- data.table(url_tbl348);url_tbl348 &lt;- url_tbl348[, `:=` (url ='', year =11),];</v>
      </c>
    </row>
    <row r="350" spans="1:14">
      <c r="A350" t="s">
        <v>716</v>
      </c>
      <c r="B350" t="s">
        <v>717</v>
      </c>
      <c r="E350">
        <v>12</v>
      </c>
      <c r="F350" s="159" t="s">
        <v>3</v>
      </c>
      <c r="G350" t="s">
        <v>4</v>
      </c>
      <c r="H350" t="s">
        <v>5</v>
      </c>
      <c r="I350" t="str">
        <f t="shared" si="34"/>
        <v>url349 &lt;- 'https://www.advisorkhoj.com/mutual-funds-research/top-performing-systematic-investment-plan?category=Equity:%20&amp;period=12&amp;amount=3000';</v>
      </c>
      <c r="J350" t="str">
        <f t="shared" si="35"/>
        <v>url349 &lt;-  read_html (url349);</v>
      </c>
      <c r="K350" t="str">
        <f t="shared" si="36"/>
        <v>url_tbl349 &lt;- url349 %&gt;%   html_nodes('table') %&gt;%   html_table(fill = TRUE) %&gt;%   .[[1]];</v>
      </c>
      <c r="L350" t="str">
        <f t="shared" si="37"/>
        <v>url_tbl349 &lt;- data.table(url_tbl349);</v>
      </c>
      <c r="M350" t="str">
        <f t="shared" si="38"/>
        <v>url_tbl349 &lt;- url_tbl349[, `:=` (url ='', year =12),];</v>
      </c>
      <c r="N350" t="str">
        <f t="shared" si="39"/>
        <v>url349 &lt;- 'https://www.advisorkhoj.com/mutual-funds-research/top-performing-systematic-investment-plan?category=Equity:%20&amp;period=12&amp;amount=3000';url349 &lt;-  read_html (url349);url_tbl349 &lt;- url349 %&gt;%   html_nodes('table') %&gt;%   html_table(fill = TRUE) %&gt;%   .[[1]];url_tbl349 &lt;- data.table(url_tbl349);url_tbl349 &lt;- url_tbl349[, `:=` (url ='', year =12),];</v>
      </c>
    </row>
    <row r="351" spans="1:14">
      <c r="A351" t="s">
        <v>718</v>
      </c>
      <c r="B351" t="s">
        <v>719</v>
      </c>
      <c r="E351">
        <v>13</v>
      </c>
      <c r="F351" s="159" t="s">
        <v>3</v>
      </c>
      <c r="G351" t="s">
        <v>4</v>
      </c>
      <c r="H351" t="s">
        <v>5</v>
      </c>
      <c r="I351" t="str">
        <f t="shared" si="34"/>
        <v>url350 &lt;- 'https://www.advisorkhoj.com/mutual-funds-research/top-performing-systematic-investment-plan?category=Equity:%20&amp;period=13&amp;amount=3000';</v>
      </c>
      <c r="J351" t="str">
        <f t="shared" si="35"/>
        <v>url350 &lt;-  read_html (url350);</v>
      </c>
      <c r="K351" t="str">
        <f t="shared" si="36"/>
        <v>url_tbl350 &lt;- url350 %&gt;%   html_nodes('table') %&gt;%   html_table(fill = TRUE) %&gt;%   .[[1]];</v>
      </c>
      <c r="L351" t="str">
        <f t="shared" si="37"/>
        <v>url_tbl350 &lt;- data.table(url_tbl350);</v>
      </c>
      <c r="M351" t="str">
        <f t="shared" si="38"/>
        <v>url_tbl350 &lt;- url_tbl350[, `:=` (url ='', year =13),];</v>
      </c>
      <c r="N351" t="str">
        <f t="shared" si="39"/>
        <v>url350 &lt;- 'https://www.advisorkhoj.com/mutual-funds-research/top-performing-systematic-investment-plan?category=Equity:%20&amp;period=13&amp;amount=3000';url350 &lt;-  read_html (url350);url_tbl350 &lt;- url350 %&gt;%   html_nodes('table') %&gt;%   html_table(fill = TRUE) %&gt;%   .[[1]];url_tbl350 &lt;- data.table(url_tbl350);url_tbl350 &lt;- url_tbl350[, `:=` (url ='', year =13),];</v>
      </c>
    </row>
    <row r="352" spans="1:14">
      <c r="A352" t="s">
        <v>720</v>
      </c>
      <c r="B352" t="s">
        <v>721</v>
      </c>
      <c r="E352">
        <v>14</v>
      </c>
      <c r="F352" s="159" t="s">
        <v>3</v>
      </c>
      <c r="G352" t="s">
        <v>4</v>
      </c>
      <c r="H352" t="s">
        <v>5</v>
      </c>
      <c r="I352" t="str">
        <f t="shared" si="34"/>
        <v>url351 &lt;- 'https://www.advisorkhoj.com/mutual-funds-research/top-performing-systematic-investment-plan?category=Equity:%20&amp;period=14&amp;amount=3000';</v>
      </c>
      <c r="J352" t="str">
        <f t="shared" si="35"/>
        <v>url351 &lt;-  read_html (url351);</v>
      </c>
      <c r="K352" t="str">
        <f t="shared" si="36"/>
        <v>url_tbl351 &lt;- url351 %&gt;%   html_nodes('table') %&gt;%   html_table(fill = TRUE) %&gt;%   .[[1]];</v>
      </c>
      <c r="L352" t="str">
        <f t="shared" si="37"/>
        <v>url_tbl351 &lt;- data.table(url_tbl351);</v>
      </c>
      <c r="M352" t="str">
        <f t="shared" si="38"/>
        <v>url_tbl351 &lt;- url_tbl351[, `:=` (url ='', year =14),];</v>
      </c>
      <c r="N352" t="str">
        <f t="shared" si="39"/>
        <v>url351 &lt;- 'https://www.advisorkhoj.com/mutual-funds-research/top-performing-systematic-investment-plan?category=Equity:%20&amp;period=14&amp;amount=3000';url351 &lt;-  read_html (url351);url_tbl351 &lt;- url351 %&gt;%   html_nodes('table') %&gt;%   html_table(fill = TRUE) %&gt;%   .[[1]];url_tbl351 &lt;- data.table(url_tbl351);url_tbl351 &lt;- url_tbl351[, `:=` (url ='', year =14),];</v>
      </c>
    </row>
    <row r="353" spans="1:14">
      <c r="A353" t="s">
        <v>722</v>
      </c>
      <c r="B353" t="s">
        <v>723</v>
      </c>
      <c r="E353">
        <v>15</v>
      </c>
      <c r="F353" s="159" t="s">
        <v>3</v>
      </c>
      <c r="G353" t="s">
        <v>4</v>
      </c>
      <c r="H353" t="s">
        <v>5</v>
      </c>
      <c r="I353" t="str">
        <f t="shared" si="34"/>
        <v>url352 &lt;- 'https://www.advisorkhoj.com/mutual-funds-research/top-performing-systematic-investment-plan?category=Equity:%20&amp;period=15&amp;amount=3000';</v>
      </c>
      <c r="J353" t="str">
        <f t="shared" si="35"/>
        <v>url352 &lt;-  read_html (url352);</v>
      </c>
      <c r="K353" t="str">
        <f t="shared" si="36"/>
        <v>url_tbl352 &lt;- url352 %&gt;%   html_nodes('table') %&gt;%   html_table(fill = TRUE) %&gt;%   .[[1]];</v>
      </c>
      <c r="L353" t="str">
        <f t="shared" si="37"/>
        <v>url_tbl352 &lt;- data.table(url_tbl352);</v>
      </c>
      <c r="M353" t="str">
        <f t="shared" si="38"/>
        <v>url_tbl352 &lt;- url_tbl352[, `:=` (url ='', year =15),];</v>
      </c>
      <c r="N353" t="str">
        <f t="shared" si="39"/>
        <v>url352 &lt;- 'https://www.advisorkhoj.com/mutual-funds-research/top-performing-systematic-investment-plan?category=Equity:%20&amp;period=15&amp;amount=3000';url352 &lt;-  read_html (url352);url_tbl352 &lt;- url352 %&gt;%   html_nodes('table') %&gt;%   html_table(fill = TRUE) %&gt;%   .[[1]];url_tbl352 &lt;- data.table(url_tbl352);url_tbl352 &lt;- url_tbl352[, `:=` (url ='', year =15),];</v>
      </c>
    </row>
    <row r="354" spans="1:14">
      <c r="A354" t="s">
        <v>724</v>
      </c>
      <c r="B354" t="s">
        <v>725</v>
      </c>
      <c r="E354">
        <v>16</v>
      </c>
      <c r="F354" s="159" t="s">
        <v>3</v>
      </c>
      <c r="G354" t="s">
        <v>4</v>
      </c>
      <c r="H354" t="s">
        <v>5</v>
      </c>
      <c r="I354" t="str">
        <f t="shared" si="34"/>
        <v>url353 &lt;- 'https://www.advisorkhoj.com/mutual-funds-research/top-performing-systematic-investment-plan?category=Equity:%20&amp;period=16&amp;amount=3000';</v>
      </c>
      <c r="J354" t="str">
        <f t="shared" si="35"/>
        <v>url353 &lt;-  read_html (url353);</v>
      </c>
      <c r="K354" t="str">
        <f t="shared" si="36"/>
        <v>url_tbl353 &lt;- url353 %&gt;%   html_nodes('table') %&gt;%   html_table(fill = TRUE) %&gt;%   .[[1]];</v>
      </c>
      <c r="L354" t="str">
        <f t="shared" si="37"/>
        <v>url_tbl353 &lt;- data.table(url_tbl353);</v>
      </c>
      <c r="M354" t="str">
        <f t="shared" si="38"/>
        <v>url_tbl353 &lt;- url_tbl353[, `:=` (url ='', year =16),];</v>
      </c>
      <c r="N354" t="str">
        <f t="shared" si="39"/>
        <v>url353 &lt;- 'https://www.advisorkhoj.com/mutual-funds-research/top-performing-systematic-investment-plan?category=Equity:%20&amp;period=16&amp;amount=3000';url353 &lt;-  read_html (url353);url_tbl353 &lt;- url353 %&gt;%   html_nodes('table') %&gt;%   html_table(fill = TRUE) %&gt;%   .[[1]];url_tbl353 &lt;- data.table(url_tbl353);url_tbl353 &lt;- url_tbl353[, `:=` (url ='', year =16),];</v>
      </c>
    </row>
    <row r="355" spans="1:14">
      <c r="A355" t="s">
        <v>726</v>
      </c>
      <c r="B355" t="s">
        <v>727</v>
      </c>
      <c r="E355">
        <v>1</v>
      </c>
      <c r="F355" s="159" t="s">
        <v>3</v>
      </c>
      <c r="G355" t="s">
        <v>4</v>
      </c>
      <c r="H355" t="s">
        <v>5</v>
      </c>
      <c r="I355" t="str">
        <f t="shared" si="34"/>
        <v>url354 &lt;- 'https://www.advisorkhoj.com/mutual-funds-research/top-performing-systematic-investment-plan?category=Equity:%20&amp;period=1&amp;amount=3000';</v>
      </c>
      <c r="J355" t="str">
        <f t="shared" si="35"/>
        <v>url354 &lt;-  read_html (url354);</v>
      </c>
      <c r="K355" t="str">
        <f t="shared" si="36"/>
        <v>url_tbl354 &lt;- url354 %&gt;%   html_nodes('table') %&gt;%   html_table(fill = TRUE) %&gt;%   .[[1]];</v>
      </c>
      <c r="L355" t="str">
        <f t="shared" si="37"/>
        <v>url_tbl354 &lt;- data.table(url_tbl354);</v>
      </c>
      <c r="M355" t="str">
        <f t="shared" si="38"/>
        <v>url_tbl354 &lt;- url_tbl354[, `:=` (url ='', year =1),];</v>
      </c>
      <c r="N355" t="str">
        <f t="shared" si="39"/>
        <v>url354 &lt;- 'https://www.advisorkhoj.com/mutual-funds-research/top-performing-systematic-investment-plan?category=Equity:%20&amp;period=1&amp;amount=3000';url354 &lt;-  read_html (url354);url_tbl354 &lt;- url354 %&gt;%   html_nodes('table') %&gt;%   html_table(fill = TRUE) %&gt;%   .[[1]];url_tbl354 &lt;- data.table(url_tbl354);url_tbl354 &lt;- url_tbl354[, `:=` (url ='', year =1),];</v>
      </c>
    </row>
    <row r="356" spans="1:14">
      <c r="A356" t="s">
        <v>728</v>
      </c>
      <c r="B356" t="s">
        <v>729</v>
      </c>
      <c r="E356">
        <v>2</v>
      </c>
      <c r="F356" s="159" t="s">
        <v>3</v>
      </c>
      <c r="G356" t="s">
        <v>4</v>
      </c>
      <c r="H356" t="s">
        <v>5</v>
      </c>
      <c r="I356" t="str">
        <f t="shared" si="34"/>
        <v>url355 &lt;- 'https://www.advisorkhoj.com/mutual-funds-research/top-performing-systematic-investment-plan?category=Equity:%20&amp;period=2&amp;amount=3000';</v>
      </c>
      <c r="J356" t="str">
        <f t="shared" si="35"/>
        <v>url355 &lt;-  read_html (url355);</v>
      </c>
      <c r="K356" t="str">
        <f t="shared" si="36"/>
        <v>url_tbl355 &lt;- url355 %&gt;%   html_nodes('table') %&gt;%   html_table(fill = TRUE) %&gt;%   .[[1]];</v>
      </c>
      <c r="L356" t="str">
        <f t="shared" si="37"/>
        <v>url_tbl355 &lt;- data.table(url_tbl355);</v>
      </c>
      <c r="M356" t="str">
        <f t="shared" si="38"/>
        <v>url_tbl355 &lt;- url_tbl355[, `:=` (url ='', year =2),];</v>
      </c>
      <c r="N356" t="str">
        <f t="shared" si="39"/>
        <v>url355 &lt;- 'https://www.advisorkhoj.com/mutual-funds-research/top-performing-systematic-investment-plan?category=Equity:%20&amp;period=2&amp;amount=3000';url355 &lt;-  read_html (url355);url_tbl355 &lt;- url355 %&gt;%   html_nodes('table') %&gt;%   html_table(fill = TRUE) %&gt;%   .[[1]];url_tbl355 &lt;- data.table(url_tbl355);url_tbl355 &lt;- url_tbl355[, `:=` (url ='', year =2),];</v>
      </c>
    </row>
    <row r="357" spans="1:14">
      <c r="A357" t="s">
        <v>730</v>
      </c>
      <c r="B357" t="s">
        <v>731</v>
      </c>
      <c r="E357">
        <v>3</v>
      </c>
      <c r="F357" s="159" t="s">
        <v>3</v>
      </c>
      <c r="G357" t="s">
        <v>4</v>
      </c>
      <c r="H357" t="s">
        <v>5</v>
      </c>
      <c r="I357" t="str">
        <f t="shared" si="34"/>
        <v>url356 &lt;- 'https://www.advisorkhoj.com/mutual-funds-research/top-performing-systematic-investment-plan?category=Equity:%20&amp;period=3&amp;amount=3000';</v>
      </c>
      <c r="J357" t="str">
        <f t="shared" si="35"/>
        <v>url356 &lt;-  read_html (url356);</v>
      </c>
      <c r="K357" t="str">
        <f t="shared" si="36"/>
        <v>url_tbl356 &lt;- url356 %&gt;%   html_nodes('table') %&gt;%   html_table(fill = TRUE) %&gt;%   .[[1]];</v>
      </c>
      <c r="L357" t="str">
        <f t="shared" si="37"/>
        <v>url_tbl356 &lt;- data.table(url_tbl356);</v>
      </c>
      <c r="M357" t="str">
        <f t="shared" si="38"/>
        <v>url_tbl356 &lt;- url_tbl356[, `:=` (url ='', year =3),];</v>
      </c>
      <c r="N357" t="str">
        <f t="shared" si="39"/>
        <v>url356 &lt;- 'https://www.advisorkhoj.com/mutual-funds-research/top-performing-systematic-investment-plan?category=Equity:%20&amp;period=3&amp;amount=3000';url356 &lt;-  read_html (url356);url_tbl356 &lt;- url356 %&gt;%   html_nodes('table') %&gt;%   html_table(fill = TRUE) %&gt;%   .[[1]];url_tbl356 &lt;- data.table(url_tbl356);url_tbl356 &lt;- url_tbl356[, `:=` (url ='', year =3),];</v>
      </c>
    </row>
    <row r="358" spans="1:14">
      <c r="A358" t="s">
        <v>732</v>
      </c>
      <c r="B358" t="s">
        <v>733</v>
      </c>
      <c r="E358">
        <v>4</v>
      </c>
      <c r="F358" s="159" t="s">
        <v>3</v>
      </c>
      <c r="G358" t="s">
        <v>4</v>
      </c>
      <c r="H358" t="s">
        <v>5</v>
      </c>
      <c r="I358" t="str">
        <f t="shared" si="34"/>
        <v>url357 &lt;- 'https://www.advisorkhoj.com/mutual-funds-research/top-performing-systematic-investment-plan?category=Equity:%20&amp;period=4&amp;amount=3000';</v>
      </c>
      <c r="J358" t="str">
        <f t="shared" si="35"/>
        <v>url357 &lt;-  read_html (url357);</v>
      </c>
      <c r="K358" t="str">
        <f t="shared" si="36"/>
        <v>url_tbl357 &lt;- url357 %&gt;%   html_nodes('table') %&gt;%   html_table(fill = TRUE) %&gt;%   .[[1]];</v>
      </c>
      <c r="L358" t="str">
        <f t="shared" si="37"/>
        <v>url_tbl357 &lt;- data.table(url_tbl357);</v>
      </c>
      <c r="M358" t="str">
        <f t="shared" si="38"/>
        <v>url_tbl357 &lt;- url_tbl357[, `:=` (url ='', year =4),];</v>
      </c>
      <c r="N358" t="str">
        <f t="shared" si="39"/>
        <v>url357 &lt;- 'https://www.advisorkhoj.com/mutual-funds-research/top-performing-systematic-investment-plan?category=Equity:%20&amp;period=4&amp;amount=3000';url357 &lt;-  read_html (url357);url_tbl357 &lt;- url357 %&gt;%   html_nodes('table') %&gt;%   html_table(fill = TRUE) %&gt;%   .[[1]];url_tbl357 &lt;- data.table(url_tbl357);url_tbl357 &lt;- url_tbl357[, `:=` (url ='', year =4),];</v>
      </c>
    </row>
    <row r="359" spans="1:14">
      <c r="A359" t="s">
        <v>734</v>
      </c>
      <c r="B359" t="s">
        <v>735</v>
      </c>
      <c r="E359">
        <v>5</v>
      </c>
      <c r="F359" s="159" t="s">
        <v>3</v>
      </c>
      <c r="G359" t="s">
        <v>4</v>
      </c>
      <c r="H359" t="s">
        <v>5</v>
      </c>
      <c r="I359" t="str">
        <f t="shared" si="34"/>
        <v>url358 &lt;- 'https://www.advisorkhoj.com/mutual-funds-research/top-performing-systematic-investment-plan?category=Equity:%20&amp;period=5&amp;amount=3000';</v>
      </c>
      <c r="J359" t="str">
        <f t="shared" si="35"/>
        <v>url358 &lt;-  read_html (url358);</v>
      </c>
      <c r="K359" t="str">
        <f t="shared" si="36"/>
        <v>url_tbl358 &lt;- url358 %&gt;%   html_nodes('table') %&gt;%   html_table(fill = TRUE) %&gt;%   .[[1]];</v>
      </c>
      <c r="L359" t="str">
        <f t="shared" si="37"/>
        <v>url_tbl358 &lt;- data.table(url_tbl358);</v>
      </c>
      <c r="M359" t="str">
        <f t="shared" si="38"/>
        <v>url_tbl358 &lt;- url_tbl358[, `:=` (url ='', year =5),];</v>
      </c>
      <c r="N359" t="str">
        <f t="shared" si="39"/>
        <v>url358 &lt;- 'https://www.advisorkhoj.com/mutual-funds-research/top-performing-systematic-investment-plan?category=Equity:%20&amp;period=5&amp;amount=3000';url358 &lt;-  read_html (url358);url_tbl358 &lt;- url358 %&gt;%   html_nodes('table') %&gt;%   html_table(fill = TRUE) %&gt;%   .[[1]];url_tbl358 &lt;- data.table(url_tbl358);url_tbl358 &lt;- url_tbl358[, `:=` (url ='', year =5),];</v>
      </c>
    </row>
    <row r="360" spans="1:14">
      <c r="A360" t="s">
        <v>736</v>
      </c>
      <c r="B360" t="s">
        <v>737</v>
      </c>
      <c r="E360">
        <v>6</v>
      </c>
      <c r="F360" s="159" t="s">
        <v>3</v>
      </c>
      <c r="G360" t="s">
        <v>4</v>
      </c>
      <c r="H360" t="s">
        <v>5</v>
      </c>
      <c r="I360" t="str">
        <f t="shared" si="34"/>
        <v>url359 &lt;- 'https://www.advisorkhoj.com/mutual-funds-research/top-performing-systematic-investment-plan?category=Equity:%20&amp;period=6&amp;amount=3000';</v>
      </c>
      <c r="J360" t="str">
        <f t="shared" si="35"/>
        <v>url359 &lt;-  read_html (url359);</v>
      </c>
      <c r="K360" t="str">
        <f t="shared" si="36"/>
        <v>url_tbl359 &lt;- url359 %&gt;%   html_nodes('table') %&gt;%   html_table(fill = TRUE) %&gt;%   .[[1]];</v>
      </c>
      <c r="L360" t="str">
        <f t="shared" si="37"/>
        <v>url_tbl359 &lt;- data.table(url_tbl359);</v>
      </c>
      <c r="M360" t="str">
        <f t="shared" si="38"/>
        <v>url_tbl359 &lt;- url_tbl359[, `:=` (url ='', year =6),];</v>
      </c>
      <c r="N360" t="str">
        <f t="shared" si="39"/>
        <v>url359 &lt;- 'https://www.advisorkhoj.com/mutual-funds-research/top-performing-systematic-investment-plan?category=Equity:%20&amp;period=6&amp;amount=3000';url359 &lt;-  read_html (url359);url_tbl359 &lt;- url359 %&gt;%   html_nodes('table') %&gt;%   html_table(fill = TRUE) %&gt;%   .[[1]];url_tbl359 &lt;- data.table(url_tbl359);url_tbl359 &lt;- url_tbl359[, `:=` (url ='', year =6),];</v>
      </c>
    </row>
    <row r="361" spans="1:14">
      <c r="A361" t="s">
        <v>738</v>
      </c>
      <c r="B361" t="s">
        <v>739</v>
      </c>
      <c r="E361">
        <v>7</v>
      </c>
      <c r="F361" s="159" t="s">
        <v>3</v>
      </c>
      <c r="G361" t="s">
        <v>4</v>
      </c>
      <c r="H361" t="s">
        <v>5</v>
      </c>
      <c r="I361" t="str">
        <f t="shared" si="34"/>
        <v>url360 &lt;- 'https://www.advisorkhoj.com/mutual-funds-research/top-performing-systematic-investment-plan?category=Equity:%20&amp;period=7&amp;amount=3000';</v>
      </c>
      <c r="J361" t="str">
        <f t="shared" si="35"/>
        <v>url360 &lt;-  read_html (url360);</v>
      </c>
      <c r="K361" t="str">
        <f t="shared" si="36"/>
        <v>url_tbl360 &lt;- url360 %&gt;%   html_nodes('table') %&gt;%   html_table(fill = TRUE) %&gt;%   .[[1]];</v>
      </c>
      <c r="L361" t="str">
        <f t="shared" si="37"/>
        <v>url_tbl360 &lt;- data.table(url_tbl360);</v>
      </c>
      <c r="M361" t="str">
        <f t="shared" si="38"/>
        <v>url_tbl360 &lt;- url_tbl360[, `:=` (url ='', year =7),];</v>
      </c>
      <c r="N361" t="str">
        <f t="shared" si="39"/>
        <v>url360 &lt;- 'https://www.advisorkhoj.com/mutual-funds-research/top-performing-systematic-investment-plan?category=Equity:%20&amp;period=7&amp;amount=3000';url360 &lt;-  read_html (url360);url_tbl360 &lt;- url360 %&gt;%   html_nodes('table') %&gt;%   html_table(fill = TRUE) %&gt;%   .[[1]];url_tbl360 &lt;- data.table(url_tbl360);url_tbl360 &lt;- url_tbl360[, `:=` (url ='', year =7),];</v>
      </c>
    </row>
    <row r="362" spans="1:14">
      <c r="A362" t="s">
        <v>740</v>
      </c>
      <c r="B362" t="s">
        <v>741</v>
      </c>
      <c r="E362">
        <v>8</v>
      </c>
      <c r="F362" s="159" t="s">
        <v>3</v>
      </c>
      <c r="G362" t="s">
        <v>4</v>
      </c>
      <c r="H362" t="s">
        <v>5</v>
      </c>
      <c r="I362" t="str">
        <f t="shared" si="34"/>
        <v>url361 &lt;- 'https://www.advisorkhoj.com/mutual-funds-research/top-performing-systematic-investment-plan?category=Equity:%20&amp;period=8&amp;amount=3000';</v>
      </c>
      <c r="J362" t="str">
        <f t="shared" si="35"/>
        <v>url361 &lt;-  read_html (url361);</v>
      </c>
      <c r="K362" t="str">
        <f t="shared" si="36"/>
        <v>url_tbl361 &lt;- url361 %&gt;%   html_nodes('table') %&gt;%   html_table(fill = TRUE) %&gt;%   .[[1]];</v>
      </c>
      <c r="L362" t="str">
        <f t="shared" si="37"/>
        <v>url_tbl361 &lt;- data.table(url_tbl361);</v>
      </c>
      <c r="M362" t="str">
        <f t="shared" si="38"/>
        <v>url_tbl361 &lt;- url_tbl361[, `:=` (url ='', year =8),];</v>
      </c>
      <c r="N362" t="str">
        <f t="shared" si="39"/>
        <v>url361 &lt;- 'https://www.advisorkhoj.com/mutual-funds-research/top-performing-systematic-investment-plan?category=Equity:%20&amp;period=8&amp;amount=3000';url361 &lt;-  read_html (url361);url_tbl361 &lt;- url361 %&gt;%   html_nodes('table') %&gt;%   html_table(fill = TRUE) %&gt;%   .[[1]];url_tbl361 &lt;- data.table(url_tbl361);url_tbl361 &lt;- url_tbl361[, `:=` (url ='', year =8),];</v>
      </c>
    </row>
    <row r="363" spans="1:14">
      <c r="A363" t="s">
        <v>742</v>
      </c>
      <c r="B363" t="s">
        <v>743</v>
      </c>
      <c r="E363">
        <v>9</v>
      </c>
      <c r="F363" s="159" t="s">
        <v>3</v>
      </c>
      <c r="G363" t="s">
        <v>4</v>
      </c>
      <c r="H363" t="s">
        <v>5</v>
      </c>
      <c r="I363" t="str">
        <f t="shared" si="34"/>
        <v>url362 &lt;- 'https://www.advisorkhoj.com/mutual-funds-research/top-performing-systematic-investment-plan?category=Equity:%20&amp;period=9&amp;amount=3000';</v>
      </c>
      <c r="J363" t="str">
        <f t="shared" si="35"/>
        <v>url362 &lt;-  read_html (url362);</v>
      </c>
      <c r="K363" t="str">
        <f t="shared" si="36"/>
        <v>url_tbl362 &lt;- url362 %&gt;%   html_nodes('table') %&gt;%   html_table(fill = TRUE) %&gt;%   .[[1]];</v>
      </c>
      <c r="L363" t="str">
        <f t="shared" si="37"/>
        <v>url_tbl362 &lt;- data.table(url_tbl362);</v>
      </c>
      <c r="M363" t="str">
        <f t="shared" si="38"/>
        <v>url_tbl362 &lt;- url_tbl362[, `:=` (url ='', year =9),];</v>
      </c>
      <c r="N363" t="str">
        <f t="shared" si="39"/>
        <v>url362 &lt;- 'https://www.advisorkhoj.com/mutual-funds-research/top-performing-systematic-investment-plan?category=Equity:%20&amp;period=9&amp;amount=3000';url362 &lt;-  read_html (url362);url_tbl362 &lt;- url362 %&gt;%   html_nodes('table') %&gt;%   html_table(fill = TRUE) %&gt;%   .[[1]];url_tbl362 &lt;- data.table(url_tbl362);url_tbl362 &lt;- url_tbl362[, `:=` (url ='', year =9),];</v>
      </c>
    </row>
    <row r="364" spans="1:14">
      <c r="A364" t="s">
        <v>744</v>
      </c>
      <c r="B364" t="s">
        <v>745</v>
      </c>
      <c r="E364">
        <v>10</v>
      </c>
      <c r="F364" s="159" t="s">
        <v>3</v>
      </c>
      <c r="G364" t="s">
        <v>4</v>
      </c>
      <c r="H364" t="s">
        <v>5</v>
      </c>
      <c r="I364" t="str">
        <f t="shared" si="34"/>
        <v>url363 &lt;- 'https://www.advisorkhoj.com/mutual-funds-research/top-performing-systematic-investment-plan?category=Equity:%20&amp;period=10&amp;amount=3000';</v>
      </c>
      <c r="J364" t="str">
        <f t="shared" si="35"/>
        <v>url363 &lt;-  read_html (url363);</v>
      </c>
      <c r="K364" t="str">
        <f t="shared" si="36"/>
        <v>url_tbl363 &lt;- url363 %&gt;%   html_nodes('table') %&gt;%   html_table(fill = TRUE) %&gt;%   .[[1]];</v>
      </c>
      <c r="L364" t="str">
        <f t="shared" si="37"/>
        <v>url_tbl363 &lt;- data.table(url_tbl363);</v>
      </c>
      <c r="M364" t="str">
        <f t="shared" si="38"/>
        <v>url_tbl363 &lt;- url_tbl363[, `:=` (url ='', year =10),];</v>
      </c>
      <c r="N364" t="str">
        <f t="shared" si="39"/>
        <v>url363 &lt;- 'https://www.advisorkhoj.com/mutual-funds-research/top-performing-systematic-investment-plan?category=Equity:%20&amp;period=10&amp;amount=3000';url363 &lt;-  read_html (url363);url_tbl363 &lt;- url363 %&gt;%   html_nodes('table') %&gt;%   html_table(fill = TRUE) %&gt;%   .[[1]];url_tbl363 &lt;- data.table(url_tbl363);url_tbl363 &lt;- url_tbl363[, `:=` (url ='', year =10),];</v>
      </c>
    </row>
    <row r="365" spans="1:14">
      <c r="A365" t="s">
        <v>746</v>
      </c>
      <c r="B365" t="s">
        <v>747</v>
      </c>
      <c r="E365">
        <v>11</v>
      </c>
      <c r="F365" s="159" t="s">
        <v>3</v>
      </c>
      <c r="G365" t="s">
        <v>4</v>
      </c>
      <c r="H365" t="s">
        <v>5</v>
      </c>
      <c r="I365" t="str">
        <f t="shared" si="34"/>
        <v>url364 &lt;- 'https://www.advisorkhoj.com/mutual-funds-research/top-performing-systematic-investment-plan?category=Equity:%20&amp;period=11&amp;amount=3000';</v>
      </c>
      <c r="J365" t="str">
        <f t="shared" si="35"/>
        <v>url364 &lt;-  read_html (url364);</v>
      </c>
      <c r="K365" t="str">
        <f t="shared" si="36"/>
        <v>url_tbl364 &lt;- url364 %&gt;%   html_nodes('table') %&gt;%   html_table(fill = TRUE) %&gt;%   .[[1]];</v>
      </c>
      <c r="L365" t="str">
        <f t="shared" si="37"/>
        <v>url_tbl364 &lt;- data.table(url_tbl364);</v>
      </c>
      <c r="M365" t="str">
        <f t="shared" si="38"/>
        <v>url_tbl364 &lt;- url_tbl364[, `:=` (url ='', year =11),];</v>
      </c>
      <c r="N365" t="str">
        <f t="shared" si="39"/>
        <v>url364 &lt;- 'https://www.advisorkhoj.com/mutual-funds-research/top-performing-systematic-investment-plan?category=Equity:%20&amp;period=11&amp;amount=3000';url364 &lt;-  read_html (url364);url_tbl364 &lt;- url364 %&gt;%   html_nodes('table') %&gt;%   html_table(fill = TRUE) %&gt;%   .[[1]];url_tbl364 &lt;- data.table(url_tbl364);url_tbl364 &lt;- url_tbl364[, `:=` (url ='', year =11),];</v>
      </c>
    </row>
    <row r="366" spans="1:14">
      <c r="A366" t="s">
        <v>748</v>
      </c>
      <c r="B366" t="s">
        <v>749</v>
      </c>
      <c r="E366">
        <v>12</v>
      </c>
      <c r="F366" s="159" t="s">
        <v>3</v>
      </c>
      <c r="G366" t="s">
        <v>4</v>
      </c>
      <c r="H366" t="s">
        <v>5</v>
      </c>
      <c r="I366" t="str">
        <f t="shared" si="34"/>
        <v>url365 &lt;- 'https://www.advisorkhoj.com/mutual-funds-research/top-performing-systematic-investment-plan?category=Equity:%20&amp;period=12&amp;amount=3000';</v>
      </c>
      <c r="J366" t="str">
        <f t="shared" si="35"/>
        <v>url365 &lt;-  read_html (url365);</v>
      </c>
      <c r="K366" t="str">
        <f t="shared" si="36"/>
        <v>url_tbl365 &lt;- url365 %&gt;%   html_nodes('table') %&gt;%   html_table(fill = TRUE) %&gt;%   .[[1]];</v>
      </c>
      <c r="L366" t="str">
        <f t="shared" si="37"/>
        <v>url_tbl365 &lt;- data.table(url_tbl365);</v>
      </c>
      <c r="M366" t="str">
        <f t="shared" si="38"/>
        <v>url_tbl365 &lt;- url_tbl365[, `:=` (url ='', year =12),];</v>
      </c>
      <c r="N366" t="str">
        <f t="shared" si="39"/>
        <v>url365 &lt;- 'https://www.advisorkhoj.com/mutual-funds-research/top-performing-systematic-investment-plan?category=Equity:%20&amp;period=12&amp;amount=3000';url365 &lt;-  read_html (url365);url_tbl365 &lt;- url365 %&gt;%   html_nodes('table') %&gt;%   html_table(fill = TRUE) %&gt;%   .[[1]];url_tbl365 &lt;- data.table(url_tbl365);url_tbl365 &lt;- url_tbl365[, `:=` (url ='', year =12),];</v>
      </c>
    </row>
    <row r="367" spans="1:14">
      <c r="A367" t="s">
        <v>750</v>
      </c>
      <c r="B367" t="s">
        <v>751</v>
      </c>
      <c r="E367">
        <v>13</v>
      </c>
      <c r="F367" s="159" t="s">
        <v>3</v>
      </c>
      <c r="G367" t="s">
        <v>4</v>
      </c>
      <c r="H367" t="s">
        <v>5</v>
      </c>
      <c r="I367" t="str">
        <f t="shared" si="34"/>
        <v>url366 &lt;- 'https://www.advisorkhoj.com/mutual-funds-research/top-performing-systematic-investment-plan?category=Equity:%20&amp;period=13&amp;amount=3000';</v>
      </c>
      <c r="J367" t="str">
        <f t="shared" si="35"/>
        <v>url366 &lt;-  read_html (url366);</v>
      </c>
      <c r="K367" t="str">
        <f t="shared" si="36"/>
        <v>url_tbl366 &lt;- url366 %&gt;%   html_nodes('table') %&gt;%   html_table(fill = TRUE) %&gt;%   .[[1]];</v>
      </c>
      <c r="L367" t="str">
        <f t="shared" si="37"/>
        <v>url_tbl366 &lt;- data.table(url_tbl366);</v>
      </c>
      <c r="M367" t="str">
        <f t="shared" si="38"/>
        <v>url_tbl366 &lt;- url_tbl366[, `:=` (url ='', year =13),];</v>
      </c>
      <c r="N367" t="str">
        <f t="shared" si="39"/>
        <v>url366 &lt;- 'https://www.advisorkhoj.com/mutual-funds-research/top-performing-systematic-investment-plan?category=Equity:%20&amp;period=13&amp;amount=3000';url366 &lt;-  read_html (url366);url_tbl366 &lt;- url366 %&gt;%   html_nodes('table') %&gt;%   html_table(fill = TRUE) %&gt;%   .[[1]];url_tbl366 &lt;- data.table(url_tbl366);url_tbl366 &lt;- url_tbl366[, `:=` (url ='', year =13),];</v>
      </c>
    </row>
    <row r="368" spans="1:14">
      <c r="A368" t="s">
        <v>752</v>
      </c>
      <c r="B368" t="s">
        <v>753</v>
      </c>
      <c r="E368">
        <v>14</v>
      </c>
      <c r="F368" s="159" t="s">
        <v>3</v>
      </c>
      <c r="G368" t="s">
        <v>4</v>
      </c>
      <c r="H368" t="s">
        <v>5</v>
      </c>
      <c r="I368" t="str">
        <f t="shared" si="34"/>
        <v>url367 &lt;- 'https://www.advisorkhoj.com/mutual-funds-research/top-performing-systematic-investment-plan?category=Equity:%20&amp;period=14&amp;amount=3000';</v>
      </c>
      <c r="J368" t="str">
        <f t="shared" si="35"/>
        <v>url367 &lt;-  read_html (url367);</v>
      </c>
      <c r="K368" t="str">
        <f t="shared" si="36"/>
        <v>url_tbl367 &lt;- url367 %&gt;%   html_nodes('table') %&gt;%   html_table(fill = TRUE) %&gt;%   .[[1]];</v>
      </c>
      <c r="L368" t="str">
        <f t="shared" si="37"/>
        <v>url_tbl367 &lt;- data.table(url_tbl367);</v>
      </c>
      <c r="M368" t="str">
        <f t="shared" si="38"/>
        <v>url_tbl367 &lt;- url_tbl367[, `:=` (url ='', year =14),];</v>
      </c>
      <c r="N368" t="str">
        <f t="shared" si="39"/>
        <v>url367 &lt;- 'https://www.advisorkhoj.com/mutual-funds-research/top-performing-systematic-investment-plan?category=Equity:%20&amp;period=14&amp;amount=3000';url367 &lt;-  read_html (url367);url_tbl367 &lt;- url367 %&gt;%   html_nodes('table') %&gt;%   html_table(fill = TRUE) %&gt;%   .[[1]];url_tbl367 &lt;- data.table(url_tbl367);url_tbl367 &lt;- url_tbl367[, `:=` (url ='', year =14),];</v>
      </c>
    </row>
    <row r="369" spans="1:14">
      <c r="A369" t="s">
        <v>754</v>
      </c>
      <c r="B369" t="s">
        <v>755</v>
      </c>
      <c r="E369">
        <v>15</v>
      </c>
      <c r="F369" s="159" t="s">
        <v>3</v>
      </c>
      <c r="G369" t="s">
        <v>4</v>
      </c>
      <c r="H369" t="s">
        <v>5</v>
      </c>
      <c r="I369" t="str">
        <f t="shared" si="34"/>
        <v>url368 &lt;- 'https://www.advisorkhoj.com/mutual-funds-research/top-performing-systematic-investment-plan?category=Equity:%20&amp;period=15&amp;amount=3000';</v>
      </c>
      <c r="J369" t="str">
        <f t="shared" si="35"/>
        <v>url368 &lt;-  read_html (url368);</v>
      </c>
      <c r="K369" t="str">
        <f t="shared" si="36"/>
        <v>url_tbl368 &lt;- url368 %&gt;%   html_nodes('table') %&gt;%   html_table(fill = TRUE) %&gt;%   .[[1]];</v>
      </c>
      <c r="L369" t="str">
        <f t="shared" si="37"/>
        <v>url_tbl368 &lt;- data.table(url_tbl368);</v>
      </c>
      <c r="M369" t="str">
        <f t="shared" si="38"/>
        <v>url_tbl368 &lt;- url_tbl368[, `:=` (url ='', year =15),];</v>
      </c>
      <c r="N369" t="str">
        <f t="shared" si="39"/>
        <v>url368 &lt;- 'https://www.advisorkhoj.com/mutual-funds-research/top-performing-systematic-investment-plan?category=Equity:%20&amp;period=15&amp;amount=3000';url368 &lt;-  read_html (url368);url_tbl368 &lt;- url368 %&gt;%   html_nodes('table') %&gt;%   html_table(fill = TRUE) %&gt;%   .[[1]];url_tbl368 &lt;- data.table(url_tbl368);url_tbl368 &lt;- url_tbl368[, `:=` (url ='', year =15),];</v>
      </c>
    </row>
    <row r="370" spans="1:14">
      <c r="A370" t="s">
        <v>756</v>
      </c>
      <c r="B370" t="s">
        <v>757</v>
      </c>
      <c r="E370">
        <v>16</v>
      </c>
      <c r="F370" s="159" t="s">
        <v>3</v>
      </c>
      <c r="G370" t="s">
        <v>4</v>
      </c>
      <c r="H370" t="s">
        <v>5</v>
      </c>
      <c r="I370" t="str">
        <f t="shared" si="34"/>
        <v>url369 &lt;- 'https://www.advisorkhoj.com/mutual-funds-research/top-performing-systematic-investment-plan?category=Equity:%20&amp;period=16&amp;amount=3000';</v>
      </c>
      <c r="J370" t="str">
        <f t="shared" si="35"/>
        <v>url369 &lt;-  read_html (url369);</v>
      </c>
      <c r="K370" t="str">
        <f t="shared" si="36"/>
        <v>url_tbl369 &lt;- url369 %&gt;%   html_nodes('table') %&gt;%   html_table(fill = TRUE) %&gt;%   .[[1]];</v>
      </c>
      <c r="L370" t="str">
        <f t="shared" si="37"/>
        <v>url_tbl369 &lt;- data.table(url_tbl369);</v>
      </c>
      <c r="M370" t="str">
        <f t="shared" si="38"/>
        <v>url_tbl369 &lt;- url_tbl369[, `:=` (url ='', year =16),];</v>
      </c>
      <c r="N370" t="str">
        <f t="shared" si="39"/>
        <v>url369 &lt;- 'https://www.advisorkhoj.com/mutual-funds-research/top-performing-systematic-investment-plan?category=Equity:%20&amp;period=16&amp;amount=3000';url369 &lt;-  read_html (url369);url_tbl369 &lt;- url369 %&gt;%   html_nodes('table') %&gt;%   html_table(fill = TRUE) %&gt;%   .[[1]];url_tbl369 &lt;- data.table(url_tbl369);url_tbl369 &lt;- url_tbl369[, `:=` (url ='', year =16),];</v>
      </c>
    </row>
    <row r="371" spans="1:14">
      <c r="A371" t="s">
        <v>758</v>
      </c>
      <c r="B371" t="s">
        <v>759</v>
      </c>
      <c r="E371">
        <v>1</v>
      </c>
      <c r="F371" s="159" t="s">
        <v>3</v>
      </c>
      <c r="G371" t="s">
        <v>4</v>
      </c>
      <c r="H371" t="s">
        <v>5</v>
      </c>
      <c r="I371" t="str">
        <f t="shared" si="34"/>
        <v>url370 &lt;- 'https://www.advisorkhoj.com/mutual-funds-research/top-performing-systematic-investment-plan?category=Equity:%20&amp;period=1&amp;amount=3000';</v>
      </c>
      <c r="J371" t="str">
        <f t="shared" si="35"/>
        <v>url370 &lt;-  read_html (url370);</v>
      </c>
      <c r="K371" t="str">
        <f t="shared" si="36"/>
        <v>url_tbl370 &lt;- url370 %&gt;%   html_nodes('table') %&gt;%   html_table(fill = TRUE) %&gt;%   .[[1]];</v>
      </c>
      <c r="L371" t="str">
        <f t="shared" si="37"/>
        <v>url_tbl370 &lt;- data.table(url_tbl370);</v>
      </c>
      <c r="M371" t="str">
        <f t="shared" si="38"/>
        <v>url_tbl370 &lt;- url_tbl370[, `:=` (url ='', year =1),];</v>
      </c>
      <c r="N371" t="str">
        <f t="shared" si="39"/>
        <v>url370 &lt;- 'https://www.advisorkhoj.com/mutual-funds-research/top-performing-systematic-investment-plan?category=Equity:%20&amp;period=1&amp;amount=3000';url370 &lt;-  read_html (url370);url_tbl370 &lt;- url370 %&gt;%   html_nodes('table') %&gt;%   html_table(fill = TRUE) %&gt;%   .[[1]];url_tbl370 &lt;- data.table(url_tbl370);url_tbl370 &lt;- url_tbl370[, `:=` (url ='', year =1),];</v>
      </c>
    </row>
    <row r="372" spans="1:14">
      <c r="A372" t="s">
        <v>760</v>
      </c>
      <c r="B372" t="s">
        <v>761</v>
      </c>
      <c r="E372">
        <v>2</v>
      </c>
      <c r="F372" s="159" t="s">
        <v>3</v>
      </c>
      <c r="G372" t="s">
        <v>4</v>
      </c>
      <c r="H372" t="s">
        <v>5</v>
      </c>
      <c r="I372" t="str">
        <f t="shared" si="34"/>
        <v>url371 &lt;- 'https://www.advisorkhoj.com/mutual-funds-research/top-performing-systematic-investment-plan?category=Equity:%20&amp;period=2&amp;amount=3000';</v>
      </c>
      <c r="J372" t="str">
        <f t="shared" si="35"/>
        <v>url371 &lt;-  read_html (url371);</v>
      </c>
      <c r="K372" t="str">
        <f t="shared" si="36"/>
        <v>url_tbl371 &lt;- url371 %&gt;%   html_nodes('table') %&gt;%   html_table(fill = TRUE) %&gt;%   .[[1]];</v>
      </c>
      <c r="L372" t="str">
        <f t="shared" si="37"/>
        <v>url_tbl371 &lt;- data.table(url_tbl371);</v>
      </c>
      <c r="M372" t="str">
        <f t="shared" si="38"/>
        <v>url_tbl371 &lt;- url_tbl371[, `:=` (url ='', year =2),];</v>
      </c>
      <c r="N372" t="str">
        <f t="shared" si="39"/>
        <v>url371 &lt;- 'https://www.advisorkhoj.com/mutual-funds-research/top-performing-systematic-investment-plan?category=Equity:%20&amp;period=2&amp;amount=3000';url371 &lt;-  read_html (url371);url_tbl371 &lt;- url371 %&gt;%   html_nodes('table') %&gt;%   html_table(fill = TRUE) %&gt;%   .[[1]];url_tbl371 &lt;- data.table(url_tbl371);url_tbl371 &lt;- url_tbl371[, `:=` (url ='', year =2),];</v>
      </c>
    </row>
    <row r="373" spans="1:14">
      <c r="A373" t="s">
        <v>762</v>
      </c>
      <c r="B373" t="s">
        <v>763</v>
      </c>
      <c r="E373">
        <v>3</v>
      </c>
      <c r="F373" s="159" t="s">
        <v>3</v>
      </c>
      <c r="G373" t="s">
        <v>4</v>
      </c>
      <c r="H373" t="s">
        <v>5</v>
      </c>
      <c r="I373" t="str">
        <f t="shared" si="34"/>
        <v>url372 &lt;- 'https://www.advisorkhoj.com/mutual-funds-research/top-performing-systematic-investment-plan?category=Equity:%20&amp;period=3&amp;amount=3000';</v>
      </c>
      <c r="J373" t="str">
        <f t="shared" si="35"/>
        <v>url372 &lt;-  read_html (url372);</v>
      </c>
      <c r="K373" t="str">
        <f t="shared" si="36"/>
        <v>url_tbl372 &lt;- url372 %&gt;%   html_nodes('table') %&gt;%   html_table(fill = TRUE) %&gt;%   .[[1]];</v>
      </c>
      <c r="L373" t="str">
        <f t="shared" si="37"/>
        <v>url_tbl372 &lt;- data.table(url_tbl372);</v>
      </c>
      <c r="M373" t="str">
        <f t="shared" si="38"/>
        <v>url_tbl372 &lt;- url_tbl372[, `:=` (url ='', year =3),];</v>
      </c>
      <c r="N373" t="str">
        <f t="shared" si="39"/>
        <v>url372 &lt;- 'https://www.advisorkhoj.com/mutual-funds-research/top-performing-systematic-investment-plan?category=Equity:%20&amp;period=3&amp;amount=3000';url372 &lt;-  read_html (url372);url_tbl372 &lt;- url372 %&gt;%   html_nodes('table') %&gt;%   html_table(fill = TRUE) %&gt;%   .[[1]];url_tbl372 &lt;- data.table(url_tbl372);url_tbl372 &lt;- url_tbl372[, `:=` (url ='', year =3),];</v>
      </c>
    </row>
    <row r="374" spans="1:14">
      <c r="A374" t="s">
        <v>764</v>
      </c>
      <c r="B374" t="s">
        <v>765</v>
      </c>
      <c r="E374">
        <v>4</v>
      </c>
      <c r="F374" s="159" t="s">
        <v>3</v>
      </c>
      <c r="G374" t="s">
        <v>4</v>
      </c>
      <c r="H374" t="s">
        <v>5</v>
      </c>
      <c r="I374" t="str">
        <f t="shared" si="34"/>
        <v>url373 &lt;- 'https://www.advisorkhoj.com/mutual-funds-research/top-performing-systematic-investment-plan?category=Equity:%20&amp;period=4&amp;amount=3000';</v>
      </c>
      <c r="J374" t="str">
        <f t="shared" si="35"/>
        <v>url373 &lt;-  read_html (url373);</v>
      </c>
      <c r="K374" t="str">
        <f t="shared" si="36"/>
        <v>url_tbl373 &lt;- url373 %&gt;%   html_nodes('table') %&gt;%   html_table(fill = TRUE) %&gt;%   .[[1]];</v>
      </c>
      <c r="L374" t="str">
        <f t="shared" si="37"/>
        <v>url_tbl373 &lt;- data.table(url_tbl373);</v>
      </c>
      <c r="M374" t="str">
        <f t="shared" si="38"/>
        <v>url_tbl373 &lt;- url_tbl373[, `:=` (url ='', year =4),];</v>
      </c>
      <c r="N374" t="str">
        <f t="shared" si="39"/>
        <v>url373 &lt;- 'https://www.advisorkhoj.com/mutual-funds-research/top-performing-systematic-investment-plan?category=Equity:%20&amp;period=4&amp;amount=3000';url373 &lt;-  read_html (url373);url_tbl373 &lt;- url373 %&gt;%   html_nodes('table') %&gt;%   html_table(fill = TRUE) %&gt;%   .[[1]];url_tbl373 &lt;- data.table(url_tbl373);url_tbl373 &lt;- url_tbl373[, `:=` (url ='', year =4),];</v>
      </c>
    </row>
    <row r="375" spans="1:14">
      <c r="A375" t="s">
        <v>766</v>
      </c>
      <c r="B375" t="s">
        <v>767</v>
      </c>
      <c r="E375">
        <v>5</v>
      </c>
      <c r="F375" s="159" t="s">
        <v>3</v>
      </c>
      <c r="G375" t="s">
        <v>4</v>
      </c>
      <c r="H375" t="s">
        <v>5</v>
      </c>
      <c r="I375" t="str">
        <f t="shared" si="34"/>
        <v>url374 &lt;- 'https://www.advisorkhoj.com/mutual-funds-research/top-performing-systematic-investment-plan?category=Equity:%20&amp;period=5&amp;amount=3000';</v>
      </c>
      <c r="J375" t="str">
        <f t="shared" si="35"/>
        <v>url374 &lt;-  read_html (url374);</v>
      </c>
      <c r="K375" t="str">
        <f t="shared" si="36"/>
        <v>url_tbl374 &lt;- url374 %&gt;%   html_nodes('table') %&gt;%   html_table(fill = TRUE) %&gt;%   .[[1]];</v>
      </c>
      <c r="L375" t="str">
        <f t="shared" si="37"/>
        <v>url_tbl374 &lt;- data.table(url_tbl374);</v>
      </c>
      <c r="M375" t="str">
        <f t="shared" si="38"/>
        <v>url_tbl374 &lt;- url_tbl374[, `:=` (url ='', year =5),];</v>
      </c>
      <c r="N375" t="str">
        <f t="shared" si="39"/>
        <v>url374 &lt;- 'https://www.advisorkhoj.com/mutual-funds-research/top-performing-systematic-investment-plan?category=Equity:%20&amp;period=5&amp;amount=3000';url374 &lt;-  read_html (url374);url_tbl374 &lt;- url374 %&gt;%   html_nodes('table') %&gt;%   html_table(fill = TRUE) %&gt;%   .[[1]];url_tbl374 &lt;- data.table(url_tbl374);url_tbl374 &lt;- url_tbl374[, `:=` (url ='', year =5),];</v>
      </c>
    </row>
    <row r="376" spans="1:14">
      <c r="A376" t="s">
        <v>768</v>
      </c>
      <c r="B376" t="s">
        <v>769</v>
      </c>
      <c r="E376">
        <v>6</v>
      </c>
      <c r="F376" s="159" t="s">
        <v>3</v>
      </c>
      <c r="G376" t="s">
        <v>4</v>
      </c>
      <c r="H376" t="s">
        <v>5</v>
      </c>
      <c r="I376" t="str">
        <f t="shared" si="34"/>
        <v>url375 &lt;- 'https://www.advisorkhoj.com/mutual-funds-research/top-performing-systematic-investment-plan?category=Equity:%20&amp;period=6&amp;amount=3000';</v>
      </c>
      <c r="J376" t="str">
        <f t="shared" si="35"/>
        <v>url375 &lt;-  read_html (url375);</v>
      </c>
      <c r="K376" t="str">
        <f t="shared" si="36"/>
        <v>url_tbl375 &lt;- url375 %&gt;%   html_nodes('table') %&gt;%   html_table(fill = TRUE) %&gt;%   .[[1]];</v>
      </c>
      <c r="L376" t="str">
        <f t="shared" si="37"/>
        <v>url_tbl375 &lt;- data.table(url_tbl375);</v>
      </c>
      <c r="M376" t="str">
        <f t="shared" si="38"/>
        <v>url_tbl375 &lt;- url_tbl375[, `:=` (url ='', year =6),];</v>
      </c>
      <c r="N376" t="str">
        <f t="shared" si="39"/>
        <v>url375 &lt;- 'https://www.advisorkhoj.com/mutual-funds-research/top-performing-systematic-investment-plan?category=Equity:%20&amp;period=6&amp;amount=3000';url375 &lt;-  read_html (url375);url_tbl375 &lt;- url375 %&gt;%   html_nodes('table') %&gt;%   html_table(fill = TRUE) %&gt;%   .[[1]];url_tbl375 &lt;- data.table(url_tbl375);url_tbl375 &lt;- url_tbl375[, `:=` (url ='', year =6),];</v>
      </c>
    </row>
    <row r="377" spans="1:14">
      <c r="A377" t="s">
        <v>770</v>
      </c>
      <c r="B377" t="s">
        <v>771</v>
      </c>
      <c r="E377">
        <v>7</v>
      </c>
      <c r="F377" s="159" t="s">
        <v>3</v>
      </c>
      <c r="G377" t="s">
        <v>4</v>
      </c>
      <c r="H377" t="s">
        <v>5</v>
      </c>
      <c r="I377" t="str">
        <f t="shared" si="34"/>
        <v>url376 &lt;- 'https://www.advisorkhoj.com/mutual-funds-research/top-performing-systematic-investment-plan?category=Equity:%20&amp;period=7&amp;amount=3000';</v>
      </c>
      <c r="J377" t="str">
        <f t="shared" si="35"/>
        <v>url376 &lt;-  read_html (url376);</v>
      </c>
      <c r="K377" t="str">
        <f t="shared" si="36"/>
        <v>url_tbl376 &lt;- url376 %&gt;%   html_nodes('table') %&gt;%   html_table(fill = TRUE) %&gt;%   .[[1]];</v>
      </c>
      <c r="L377" t="str">
        <f t="shared" si="37"/>
        <v>url_tbl376 &lt;- data.table(url_tbl376);</v>
      </c>
      <c r="M377" t="str">
        <f t="shared" si="38"/>
        <v>url_tbl376 &lt;- url_tbl376[, `:=` (url ='', year =7),];</v>
      </c>
      <c r="N377" t="str">
        <f t="shared" si="39"/>
        <v>url376 &lt;- 'https://www.advisorkhoj.com/mutual-funds-research/top-performing-systematic-investment-plan?category=Equity:%20&amp;period=7&amp;amount=3000';url376 &lt;-  read_html (url376);url_tbl376 &lt;- url376 %&gt;%   html_nodes('table') %&gt;%   html_table(fill = TRUE) %&gt;%   .[[1]];url_tbl376 &lt;- data.table(url_tbl376);url_tbl376 &lt;- url_tbl376[, `:=` (url ='', year =7),];</v>
      </c>
    </row>
    <row r="378" spans="1:14">
      <c r="A378" t="s">
        <v>772</v>
      </c>
      <c r="B378" t="s">
        <v>773</v>
      </c>
      <c r="E378">
        <v>8</v>
      </c>
      <c r="F378" s="159" t="s">
        <v>3</v>
      </c>
      <c r="G378" t="s">
        <v>4</v>
      </c>
      <c r="H378" t="s">
        <v>5</v>
      </c>
      <c r="I378" t="str">
        <f t="shared" si="34"/>
        <v>url377 &lt;- 'https://www.advisorkhoj.com/mutual-funds-research/top-performing-systematic-investment-plan?category=Equity:%20&amp;period=8&amp;amount=3000';</v>
      </c>
      <c r="J378" t="str">
        <f t="shared" si="35"/>
        <v>url377 &lt;-  read_html (url377);</v>
      </c>
      <c r="K378" t="str">
        <f t="shared" si="36"/>
        <v>url_tbl377 &lt;- url377 %&gt;%   html_nodes('table') %&gt;%   html_table(fill = TRUE) %&gt;%   .[[1]];</v>
      </c>
      <c r="L378" t="str">
        <f t="shared" si="37"/>
        <v>url_tbl377 &lt;- data.table(url_tbl377);</v>
      </c>
      <c r="M378" t="str">
        <f t="shared" si="38"/>
        <v>url_tbl377 &lt;- url_tbl377[, `:=` (url ='', year =8),];</v>
      </c>
      <c r="N378" t="str">
        <f t="shared" si="39"/>
        <v>url377 &lt;- 'https://www.advisorkhoj.com/mutual-funds-research/top-performing-systematic-investment-plan?category=Equity:%20&amp;period=8&amp;amount=3000';url377 &lt;-  read_html (url377);url_tbl377 &lt;- url377 %&gt;%   html_nodes('table') %&gt;%   html_table(fill = TRUE) %&gt;%   .[[1]];url_tbl377 &lt;- data.table(url_tbl377);url_tbl377 &lt;- url_tbl377[, `:=` (url ='', year =8),];</v>
      </c>
    </row>
    <row r="379" spans="1:14">
      <c r="A379" t="s">
        <v>774</v>
      </c>
      <c r="B379" t="s">
        <v>775</v>
      </c>
      <c r="E379">
        <v>9</v>
      </c>
      <c r="F379" s="159" t="s">
        <v>3</v>
      </c>
      <c r="G379" t="s">
        <v>4</v>
      </c>
      <c r="H379" t="s">
        <v>5</v>
      </c>
      <c r="I379" t="str">
        <f t="shared" si="34"/>
        <v>url378 &lt;- 'https://www.advisorkhoj.com/mutual-funds-research/top-performing-systematic-investment-plan?category=Equity:%20&amp;period=9&amp;amount=3000';</v>
      </c>
      <c r="J379" t="str">
        <f t="shared" si="35"/>
        <v>url378 &lt;-  read_html (url378);</v>
      </c>
      <c r="K379" t="str">
        <f t="shared" si="36"/>
        <v>url_tbl378 &lt;- url378 %&gt;%   html_nodes('table') %&gt;%   html_table(fill = TRUE) %&gt;%   .[[1]];</v>
      </c>
      <c r="L379" t="str">
        <f t="shared" si="37"/>
        <v>url_tbl378 &lt;- data.table(url_tbl378);</v>
      </c>
      <c r="M379" t="str">
        <f t="shared" si="38"/>
        <v>url_tbl378 &lt;- url_tbl378[, `:=` (url ='', year =9),];</v>
      </c>
      <c r="N379" t="str">
        <f t="shared" si="39"/>
        <v>url378 &lt;- 'https://www.advisorkhoj.com/mutual-funds-research/top-performing-systematic-investment-plan?category=Equity:%20&amp;period=9&amp;amount=3000';url378 &lt;-  read_html (url378);url_tbl378 &lt;- url378 %&gt;%   html_nodes('table') %&gt;%   html_table(fill = TRUE) %&gt;%   .[[1]];url_tbl378 &lt;- data.table(url_tbl378);url_tbl378 &lt;- url_tbl378[, `:=` (url ='', year =9),];</v>
      </c>
    </row>
    <row r="380" spans="1:14">
      <c r="A380" t="s">
        <v>776</v>
      </c>
      <c r="B380" t="s">
        <v>777</v>
      </c>
      <c r="E380">
        <v>10</v>
      </c>
      <c r="F380" s="159" t="s">
        <v>3</v>
      </c>
      <c r="G380" t="s">
        <v>4</v>
      </c>
      <c r="H380" t="s">
        <v>5</v>
      </c>
      <c r="I380" t="str">
        <f t="shared" si="34"/>
        <v>url379 &lt;- 'https://www.advisorkhoj.com/mutual-funds-research/top-performing-systematic-investment-plan?category=Equity:%20&amp;period=10&amp;amount=3000';</v>
      </c>
      <c r="J380" t="str">
        <f t="shared" si="35"/>
        <v>url379 &lt;-  read_html (url379);</v>
      </c>
      <c r="K380" t="str">
        <f t="shared" si="36"/>
        <v>url_tbl379 &lt;- url379 %&gt;%   html_nodes('table') %&gt;%   html_table(fill = TRUE) %&gt;%   .[[1]];</v>
      </c>
      <c r="L380" t="str">
        <f t="shared" si="37"/>
        <v>url_tbl379 &lt;- data.table(url_tbl379);</v>
      </c>
      <c r="M380" t="str">
        <f t="shared" si="38"/>
        <v>url_tbl379 &lt;- url_tbl379[, `:=` (url ='', year =10),];</v>
      </c>
      <c r="N380" t="str">
        <f t="shared" si="39"/>
        <v>url379 &lt;- 'https://www.advisorkhoj.com/mutual-funds-research/top-performing-systematic-investment-plan?category=Equity:%20&amp;period=10&amp;amount=3000';url379 &lt;-  read_html (url379);url_tbl379 &lt;- url379 %&gt;%   html_nodes('table') %&gt;%   html_table(fill = TRUE) %&gt;%   .[[1]];url_tbl379 &lt;- data.table(url_tbl379);url_tbl379 &lt;- url_tbl379[, `:=` (url ='', year =10),];</v>
      </c>
    </row>
    <row r="381" spans="1:14">
      <c r="A381" t="s">
        <v>778</v>
      </c>
      <c r="B381" t="s">
        <v>779</v>
      </c>
      <c r="E381">
        <v>11</v>
      </c>
      <c r="F381" s="159" t="s">
        <v>3</v>
      </c>
      <c r="G381" t="s">
        <v>4</v>
      </c>
      <c r="H381" t="s">
        <v>5</v>
      </c>
      <c r="I381" t="str">
        <f t="shared" si="34"/>
        <v>url380 &lt;- 'https://www.advisorkhoj.com/mutual-funds-research/top-performing-systematic-investment-plan?category=Equity:%20&amp;period=11&amp;amount=3000';</v>
      </c>
      <c r="J381" t="str">
        <f t="shared" si="35"/>
        <v>url380 &lt;-  read_html (url380);</v>
      </c>
      <c r="K381" t="str">
        <f t="shared" si="36"/>
        <v>url_tbl380 &lt;- url380 %&gt;%   html_nodes('table') %&gt;%   html_table(fill = TRUE) %&gt;%   .[[1]];</v>
      </c>
      <c r="L381" t="str">
        <f t="shared" si="37"/>
        <v>url_tbl380 &lt;- data.table(url_tbl380);</v>
      </c>
      <c r="M381" t="str">
        <f t="shared" si="38"/>
        <v>url_tbl380 &lt;- url_tbl380[, `:=` (url ='', year =11),];</v>
      </c>
      <c r="N381" t="str">
        <f t="shared" si="39"/>
        <v>url380 &lt;- 'https://www.advisorkhoj.com/mutual-funds-research/top-performing-systematic-investment-plan?category=Equity:%20&amp;period=11&amp;amount=3000';url380 &lt;-  read_html (url380);url_tbl380 &lt;- url380 %&gt;%   html_nodes('table') %&gt;%   html_table(fill = TRUE) %&gt;%   .[[1]];url_tbl380 &lt;- data.table(url_tbl380);url_tbl380 &lt;- url_tbl380[, `:=` (url ='', year =11),];</v>
      </c>
    </row>
    <row r="382" spans="1:14">
      <c r="A382" t="s">
        <v>780</v>
      </c>
      <c r="B382" t="s">
        <v>781</v>
      </c>
      <c r="E382">
        <v>12</v>
      </c>
      <c r="F382" s="159" t="s">
        <v>3</v>
      </c>
      <c r="G382" t="s">
        <v>4</v>
      </c>
      <c r="H382" t="s">
        <v>5</v>
      </c>
      <c r="I382" t="str">
        <f t="shared" si="34"/>
        <v>url381 &lt;- 'https://www.advisorkhoj.com/mutual-funds-research/top-performing-systematic-investment-plan?category=Equity:%20&amp;period=12&amp;amount=3000';</v>
      </c>
      <c r="J382" t="str">
        <f t="shared" si="35"/>
        <v>url381 &lt;-  read_html (url381);</v>
      </c>
      <c r="K382" t="str">
        <f t="shared" si="36"/>
        <v>url_tbl381 &lt;- url381 %&gt;%   html_nodes('table') %&gt;%   html_table(fill = TRUE) %&gt;%   .[[1]];</v>
      </c>
      <c r="L382" t="str">
        <f t="shared" si="37"/>
        <v>url_tbl381 &lt;- data.table(url_tbl381);</v>
      </c>
      <c r="M382" t="str">
        <f t="shared" si="38"/>
        <v>url_tbl381 &lt;- url_tbl381[, `:=` (url ='', year =12),];</v>
      </c>
      <c r="N382" t="str">
        <f t="shared" si="39"/>
        <v>url381 &lt;- 'https://www.advisorkhoj.com/mutual-funds-research/top-performing-systematic-investment-plan?category=Equity:%20&amp;period=12&amp;amount=3000';url381 &lt;-  read_html (url381);url_tbl381 &lt;- url381 %&gt;%   html_nodes('table') %&gt;%   html_table(fill = TRUE) %&gt;%   .[[1]];url_tbl381 &lt;- data.table(url_tbl381);url_tbl381 &lt;- url_tbl381[, `:=` (url ='', year =12),];</v>
      </c>
    </row>
    <row r="383" spans="1:14">
      <c r="A383" t="s">
        <v>782</v>
      </c>
      <c r="B383" t="s">
        <v>783</v>
      </c>
      <c r="E383">
        <v>13</v>
      </c>
      <c r="F383" s="159" t="s">
        <v>3</v>
      </c>
      <c r="G383" t="s">
        <v>4</v>
      </c>
      <c r="H383" t="s">
        <v>5</v>
      </c>
      <c r="I383" t="str">
        <f t="shared" si="34"/>
        <v>url382 &lt;- 'https://www.advisorkhoj.com/mutual-funds-research/top-performing-systematic-investment-plan?category=Equity:%20&amp;period=13&amp;amount=3000';</v>
      </c>
      <c r="J383" t="str">
        <f t="shared" si="35"/>
        <v>url382 &lt;-  read_html (url382);</v>
      </c>
      <c r="K383" t="str">
        <f t="shared" si="36"/>
        <v>url_tbl382 &lt;- url382 %&gt;%   html_nodes('table') %&gt;%   html_table(fill = TRUE) %&gt;%   .[[1]];</v>
      </c>
      <c r="L383" t="str">
        <f t="shared" si="37"/>
        <v>url_tbl382 &lt;- data.table(url_tbl382);</v>
      </c>
      <c r="M383" t="str">
        <f t="shared" si="38"/>
        <v>url_tbl382 &lt;- url_tbl382[, `:=` (url ='', year =13),];</v>
      </c>
      <c r="N383" t="str">
        <f t="shared" si="39"/>
        <v>url382 &lt;- 'https://www.advisorkhoj.com/mutual-funds-research/top-performing-systematic-investment-plan?category=Equity:%20&amp;period=13&amp;amount=3000';url382 &lt;-  read_html (url382);url_tbl382 &lt;- url382 %&gt;%   html_nodes('table') %&gt;%   html_table(fill = TRUE) %&gt;%   .[[1]];url_tbl382 &lt;- data.table(url_tbl382);url_tbl382 &lt;- url_tbl382[, `:=` (url ='', year =13),];</v>
      </c>
    </row>
    <row r="384" spans="1:14">
      <c r="A384" t="s">
        <v>784</v>
      </c>
      <c r="B384" t="s">
        <v>785</v>
      </c>
      <c r="E384">
        <v>14</v>
      </c>
      <c r="F384" s="159" t="s">
        <v>3</v>
      </c>
      <c r="G384" t="s">
        <v>4</v>
      </c>
      <c r="H384" t="s">
        <v>5</v>
      </c>
      <c r="I384" t="str">
        <f t="shared" si="34"/>
        <v>url383 &lt;- 'https://www.advisorkhoj.com/mutual-funds-research/top-performing-systematic-investment-plan?category=Equity:%20&amp;period=14&amp;amount=3000';</v>
      </c>
      <c r="J384" t="str">
        <f t="shared" si="35"/>
        <v>url383 &lt;-  read_html (url383);</v>
      </c>
      <c r="K384" t="str">
        <f t="shared" si="36"/>
        <v>url_tbl383 &lt;- url383 %&gt;%   html_nodes('table') %&gt;%   html_table(fill = TRUE) %&gt;%   .[[1]];</v>
      </c>
      <c r="L384" t="str">
        <f t="shared" si="37"/>
        <v>url_tbl383 &lt;- data.table(url_tbl383);</v>
      </c>
      <c r="M384" t="str">
        <f t="shared" si="38"/>
        <v>url_tbl383 &lt;- url_tbl383[, `:=` (url ='', year =14),];</v>
      </c>
      <c r="N384" t="str">
        <f t="shared" si="39"/>
        <v>url383 &lt;- 'https://www.advisorkhoj.com/mutual-funds-research/top-performing-systematic-investment-plan?category=Equity:%20&amp;period=14&amp;amount=3000';url383 &lt;-  read_html (url383);url_tbl383 &lt;- url383 %&gt;%   html_nodes('table') %&gt;%   html_table(fill = TRUE) %&gt;%   .[[1]];url_tbl383 &lt;- data.table(url_tbl383);url_tbl383 &lt;- url_tbl383[, `:=` (url ='', year =14),];</v>
      </c>
    </row>
    <row r="385" spans="1:14">
      <c r="A385" t="s">
        <v>786</v>
      </c>
      <c r="B385" t="s">
        <v>787</v>
      </c>
      <c r="E385">
        <v>15</v>
      </c>
      <c r="F385" s="159" t="s">
        <v>3</v>
      </c>
      <c r="G385" t="s">
        <v>4</v>
      </c>
      <c r="H385" t="s">
        <v>5</v>
      </c>
      <c r="I385" t="str">
        <f t="shared" si="34"/>
        <v>url384 &lt;- 'https://www.advisorkhoj.com/mutual-funds-research/top-performing-systematic-investment-plan?category=Equity:%20&amp;period=15&amp;amount=3000';</v>
      </c>
      <c r="J385" t="str">
        <f t="shared" si="35"/>
        <v>url384 &lt;-  read_html (url384);</v>
      </c>
      <c r="K385" t="str">
        <f t="shared" si="36"/>
        <v>url_tbl384 &lt;- url384 %&gt;%   html_nodes('table') %&gt;%   html_table(fill = TRUE) %&gt;%   .[[1]];</v>
      </c>
      <c r="L385" t="str">
        <f t="shared" si="37"/>
        <v>url_tbl384 &lt;- data.table(url_tbl384);</v>
      </c>
      <c r="M385" t="str">
        <f t="shared" si="38"/>
        <v>url_tbl384 &lt;- url_tbl384[, `:=` (url ='', year =15),];</v>
      </c>
      <c r="N385" t="str">
        <f t="shared" si="39"/>
        <v>url384 &lt;- 'https://www.advisorkhoj.com/mutual-funds-research/top-performing-systematic-investment-plan?category=Equity:%20&amp;period=15&amp;amount=3000';url384 &lt;-  read_html (url384);url_tbl384 &lt;- url384 %&gt;%   html_nodes('table') %&gt;%   html_table(fill = TRUE) %&gt;%   .[[1]];url_tbl384 &lt;- data.table(url_tbl384);url_tbl384 &lt;- url_tbl384[, `:=` (url ='', year =15),];</v>
      </c>
    </row>
    <row r="386" spans="1:14">
      <c r="A386" t="s">
        <v>788</v>
      </c>
      <c r="B386" t="s">
        <v>789</v>
      </c>
      <c r="E386">
        <v>16</v>
      </c>
      <c r="F386" s="159" t="s">
        <v>3</v>
      </c>
      <c r="G386" t="s">
        <v>4</v>
      </c>
      <c r="H386" t="s">
        <v>5</v>
      </c>
      <c r="I386" t="str">
        <f t="shared" si="34"/>
        <v>url385 &lt;- 'https://www.advisorkhoj.com/mutual-funds-research/top-performing-systematic-investment-plan?category=Equity:%20&amp;period=16&amp;amount=3000';</v>
      </c>
      <c r="J386" t="str">
        <f t="shared" si="35"/>
        <v>url385 &lt;-  read_html (url385);</v>
      </c>
      <c r="K386" t="str">
        <f t="shared" si="36"/>
        <v>url_tbl385 &lt;- url385 %&gt;%   html_nodes('table') %&gt;%   html_table(fill = TRUE) %&gt;%   .[[1]];</v>
      </c>
      <c r="L386" t="str">
        <f t="shared" si="37"/>
        <v>url_tbl385 &lt;- data.table(url_tbl385);</v>
      </c>
      <c r="M386" t="str">
        <f t="shared" si="38"/>
        <v>url_tbl385 &lt;- url_tbl385[, `:=` (url ='', year =16),];</v>
      </c>
      <c r="N386" t="str">
        <f t="shared" si="39"/>
        <v>url385 &lt;- 'https://www.advisorkhoj.com/mutual-funds-research/top-performing-systematic-investment-plan?category=Equity:%20&amp;period=16&amp;amount=3000';url385 &lt;-  read_html (url385);url_tbl385 &lt;- url385 %&gt;%   html_nodes('table') %&gt;%   html_table(fill = TRUE) %&gt;%   .[[1]];url_tbl385 &lt;- data.table(url_tbl385);url_tbl385 &lt;- url_tbl385[, `:=` (url ='', year =16),];</v>
      </c>
    </row>
    <row r="387" spans="1:14">
      <c r="A387" t="s">
        <v>790</v>
      </c>
      <c r="B387" t="s">
        <v>791</v>
      </c>
      <c r="E387">
        <v>1</v>
      </c>
      <c r="F387" s="159" t="s">
        <v>3</v>
      </c>
      <c r="G387" t="s">
        <v>4</v>
      </c>
      <c r="H387" t="s">
        <v>5</v>
      </c>
      <c r="I387" t="str">
        <f t="shared" ref="I387:I418" si="40">CONCATENATE(A387, " &lt;- '", F387, D387, G387, E387, H387, "';")</f>
        <v>url386 &lt;- 'https://www.advisorkhoj.com/mutual-funds-research/top-performing-systematic-investment-plan?category=Equity:%20&amp;period=1&amp;amount=3000';</v>
      </c>
      <c r="J387" t="str">
        <f t="shared" ref="J387:J418" si="41">CONCATENATE(A387, " &lt;-  read_html (", A387, ");")</f>
        <v>url386 &lt;-  read_html (url386);</v>
      </c>
      <c r="K387" t="str">
        <f t="shared" ref="K387:K418" si="42">CONCATENATE(B387, " &lt;- ", A387, " %&gt;%   html_nodes('table') %&gt;%   html_table(fill = TRUE) %&gt;%   .[[1]];")</f>
        <v>url_tbl386 &lt;- url386 %&gt;%   html_nodes('table') %&gt;%   html_table(fill = TRUE) %&gt;%   .[[1]];</v>
      </c>
      <c r="L387" t="str">
        <f t="shared" ref="L387:L418" si="43">CONCATENATE(B387, " &lt;- data.table(", B387, ");" )</f>
        <v>url_tbl386 &lt;- data.table(url_tbl386);</v>
      </c>
      <c r="M387" t="str">
        <f t="shared" ref="M387:M418" si="44">CONCATENATE(B387, " &lt;- ", B387, "[, `:=` (url ='",C387, "', year =", E387, "),];" )</f>
        <v>url_tbl386 &lt;- url_tbl386[, `:=` (url ='', year =1),];</v>
      </c>
      <c r="N387" t="str">
        <f t="shared" ref="N387:N418" si="45">CONCATENATE(I387, J387, K387, L387, M387)</f>
        <v>url386 &lt;- 'https://www.advisorkhoj.com/mutual-funds-research/top-performing-systematic-investment-plan?category=Equity:%20&amp;period=1&amp;amount=3000';url386 &lt;-  read_html (url386);url_tbl386 &lt;- url386 %&gt;%   html_nodes('table') %&gt;%   html_table(fill = TRUE) %&gt;%   .[[1]];url_tbl386 &lt;- data.table(url_tbl386);url_tbl386 &lt;- url_tbl386[, `:=` (url ='', year =1),];</v>
      </c>
    </row>
    <row r="388" spans="1:14">
      <c r="A388" t="s">
        <v>792</v>
      </c>
      <c r="B388" t="s">
        <v>793</v>
      </c>
      <c r="E388">
        <v>2</v>
      </c>
      <c r="F388" s="159" t="s">
        <v>3</v>
      </c>
      <c r="G388" t="s">
        <v>4</v>
      </c>
      <c r="H388" t="s">
        <v>5</v>
      </c>
      <c r="I388" t="str">
        <f t="shared" si="40"/>
        <v>url387 &lt;- 'https://www.advisorkhoj.com/mutual-funds-research/top-performing-systematic-investment-plan?category=Equity:%20&amp;period=2&amp;amount=3000';</v>
      </c>
      <c r="J388" t="str">
        <f t="shared" si="41"/>
        <v>url387 &lt;-  read_html (url387);</v>
      </c>
      <c r="K388" t="str">
        <f t="shared" si="42"/>
        <v>url_tbl387 &lt;- url387 %&gt;%   html_nodes('table') %&gt;%   html_table(fill = TRUE) %&gt;%   .[[1]];</v>
      </c>
      <c r="L388" t="str">
        <f t="shared" si="43"/>
        <v>url_tbl387 &lt;- data.table(url_tbl387);</v>
      </c>
      <c r="M388" t="str">
        <f t="shared" si="44"/>
        <v>url_tbl387 &lt;- url_tbl387[, `:=` (url ='', year =2),];</v>
      </c>
      <c r="N388" t="str">
        <f t="shared" si="45"/>
        <v>url387 &lt;- 'https://www.advisorkhoj.com/mutual-funds-research/top-performing-systematic-investment-plan?category=Equity:%20&amp;period=2&amp;amount=3000';url387 &lt;-  read_html (url387);url_tbl387 &lt;- url387 %&gt;%   html_nodes('table') %&gt;%   html_table(fill = TRUE) %&gt;%   .[[1]];url_tbl387 &lt;- data.table(url_tbl387);url_tbl387 &lt;- url_tbl387[, `:=` (url ='', year =2),];</v>
      </c>
    </row>
    <row r="389" spans="1:14">
      <c r="A389" t="s">
        <v>794</v>
      </c>
      <c r="B389" t="s">
        <v>795</v>
      </c>
      <c r="E389">
        <v>3</v>
      </c>
      <c r="F389" s="159" t="s">
        <v>3</v>
      </c>
      <c r="G389" t="s">
        <v>4</v>
      </c>
      <c r="H389" t="s">
        <v>5</v>
      </c>
      <c r="I389" t="str">
        <f t="shared" si="40"/>
        <v>url388 &lt;- 'https://www.advisorkhoj.com/mutual-funds-research/top-performing-systematic-investment-plan?category=Equity:%20&amp;period=3&amp;amount=3000';</v>
      </c>
      <c r="J389" t="str">
        <f t="shared" si="41"/>
        <v>url388 &lt;-  read_html (url388);</v>
      </c>
      <c r="K389" t="str">
        <f t="shared" si="42"/>
        <v>url_tbl388 &lt;- url388 %&gt;%   html_nodes('table') %&gt;%   html_table(fill = TRUE) %&gt;%   .[[1]];</v>
      </c>
      <c r="L389" t="str">
        <f t="shared" si="43"/>
        <v>url_tbl388 &lt;- data.table(url_tbl388);</v>
      </c>
      <c r="M389" t="str">
        <f t="shared" si="44"/>
        <v>url_tbl388 &lt;- url_tbl388[, `:=` (url ='', year =3),];</v>
      </c>
      <c r="N389" t="str">
        <f t="shared" si="45"/>
        <v>url388 &lt;- 'https://www.advisorkhoj.com/mutual-funds-research/top-performing-systematic-investment-plan?category=Equity:%20&amp;period=3&amp;amount=3000';url388 &lt;-  read_html (url388);url_tbl388 &lt;- url388 %&gt;%   html_nodes('table') %&gt;%   html_table(fill = TRUE) %&gt;%   .[[1]];url_tbl388 &lt;- data.table(url_tbl388);url_tbl388 &lt;- url_tbl388[, `:=` (url ='', year =3),];</v>
      </c>
    </row>
    <row r="390" spans="1:14">
      <c r="A390" t="s">
        <v>796</v>
      </c>
      <c r="B390" t="s">
        <v>797</v>
      </c>
      <c r="E390">
        <v>4</v>
      </c>
      <c r="F390" s="159" t="s">
        <v>3</v>
      </c>
      <c r="G390" t="s">
        <v>4</v>
      </c>
      <c r="H390" t="s">
        <v>5</v>
      </c>
      <c r="I390" t="str">
        <f t="shared" si="40"/>
        <v>url389 &lt;- 'https://www.advisorkhoj.com/mutual-funds-research/top-performing-systematic-investment-plan?category=Equity:%20&amp;period=4&amp;amount=3000';</v>
      </c>
      <c r="J390" t="str">
        <f t="shared" si="41"/>
        <v>url389 &lt;-  read_html (url389);</v>
      </c>
      <c r="K390" t="str">
        <f t="shared" si="42"/>
        <v>url_tbl389 &lt;- url389 %&gt;%   html_nodes('table') %&gt;%   html_table(fill = TRUE) %&gt;%   .[[1]];</v>
      </c>
      <c r="L390" t="str">
        <f t="shared" si="43"/>
        <v>url_tbl389 &lt;- data.table(url_tbl389);</v>
      </c>
      <c r="M390" t="str">
        <f t="shared" si="44"/>
        <v>url_tbl389 &lt;- url_tbl389[, `:=` (url ='', year =4),];</v>
      </c>
      <c r="N390" t="str">
        <f t="shared" si="45"/>
        <v>url389 &lt;- 'https://www.advisorkhoj.com/mutual-funds-research/top-performing-systematic-investment-plan?category=Equity:%20&amp;period=4&amp;amount=3000';url389 &lt;-  read_html (url389);url_tbl389 &lt;- url389 %&gt;%   html_nodes('table') %&gt;%   html_table(fill = TRUE) %&gt;%   .[[1]];url_tbl389 &lt;- data.table(url_tbl389);url_tbl389 &lt;- url_tbl389[, `:=` (url ='', year =4),];</v>
      </c>
    </row>
    <row r="391" spans="1:14">
      <c r="A391" t="s">
        <v>798</v>
      </c>
      <c r="B391" t="s">
        <v>799</v>
      </c>
      <c r="E391">
        <v>5</v>
      </c>
      <c r="F391" s="159" t="s">
        <v>3</v>
      </c>
      <c r="G391" t="s">
        <v>4</v>
      </c>
      <c r="H391" t="s">
        <v>5</v>
      </c>
      <c r="I391" t="str">
        <f t="shared" si="40"/>
        <v>url390 &lt;- 'https://www.advisorkhoj.com/mutual-funds-research/top-performing-systematic-investment-plan?category=Equity:%20&amp;period=5&amp;amount=3000';</v>
      </c>
      <c r="J391" t="str">
        <f t="shared" si="41"/>
        <v>url390 &lt;-  read_html (url390);</v>
      </c>
      <c r="K391" t="str">
        <f t="shared" si="42"/>
        <v>url_tbl390 &lt;- url390 %&gt;%   html_nodes('table') %&gt;%   html_table(fill = TRUE) %&gt;%   .[[1]];</v>
      </c>
      <c r="L391" t="str">
        <f t="shared" si="43"/>
        <v>url_tbl390 &lt;- data.table(url_tbl390);</v>
      </c>
      <c r="M391" t="str">
        <f t="shared" si="44"/>
        <v>url_tbl390 &lt;- url_tbl390[, `:=` (url ='', year =5),];</v>
      </c>
      <c r="N391" t="str">
        <f t="shared" si="45"/>
        <v>url390 &lt;- 'https://www.advisorkhoj.com/mutual-funds-research/top-performing-systematic-investment-plan?category=Equity:%20&amp;period=5&amp;amount=3000';url390 &lt;-  read_html (url390);url_tbl390 &lt;- url390 %&gt;%   html_nodes('table') %&gt;%   html_table(fill = TRUE) %&gt;%   .[[1]];url_tbl390 &lt;- data.table(url_tbl390);url_tbl390 &lt;- url_tbl390[, `:=` (url ='', year =5),];</v>
      </c>
    </row>
    <row r="392" spans="1:14">
      <c r="A392" t="s">
        <v>800</v>
      </c>
      <c r="B392" t="s">
        <v>801</v>
      </c>
      <c r="E392">
        <v>6</v>
      </c>
      <c r="F392" s="159" t="s">
        <v>3</v>
      </c>
      <c r="G392" t="s">
        <v>4</v>
      </c>
      <c r="H392" t="s">
        <v>5</v>
      </c>
      <c r="I392" t="str">
        <f t="shared" si="40"/>
        <v>url391 &lt;- 'https://www.advisorkhoj.com/mutual-funds-research/top-performing-systematic-investment-plan?category=Equity:%20&amp;period=6&amp;amount=3000';</v>
      </c>
      <c r="J392" t="str">
        <f t="shared" si="41"/>
        <v>url391 &lt;-  read_html (url391);</v>
      </c>
      <c r="K392" t="str">
        <f t="shared" si="42"/>
        <v>url_tbl391 &lt;- url391 %&gt;%   html_nodes('table') %&gt;%   html_table(fill = TRUE) %&gt;%   .[[1]];</v>
      </c>
      <c r="L392" t="str">
        <f t="shared" si="43"/>
        <v>url_tbl391 &lt;- data.table(url_tbl391);</v>
      </c>
      <c r="M392" t="str">
        <f t="shared" si="44"/>
        <v>url_tbl391 &lt;- url_tbl391[, `:=` (url ='', year =6),];</v>
      </c>
      <c r="N392" t="str">
        <f t="shared" si="45"/>
        <v>url391 &lt;- 'https://www.advisorkhoj.com/mutual-funds-research/top-performing-systematic-investment-plan?category=Equity:%20&amp;period=6&amp;amount=3000';url391 &lt;-  read_html (url391);url_tbl391 &lt;- url391 %&gt;%   html_nodes('table') %&gt;%   html_table(fill = TRUE) %&gt;%   .[[1]];url_tbl391 &lt;- data.table(url_tbl391);url_tbl391 &lt;- url_tbl391[, `:=` (url ='', year =6),];</v>
      </c>
    </row>
    <row r="393" spans="1:14">
      <c r="A393" t="s">
        <v>802</v>
      </c>
      <c r="B393" t="s">
        <v>803</v>
      </c>
      <c r="E393">
        <v>7</v>
      </c>
      <c r="F393" s="159" t="s">
        <v>3</v>
      </c>
      <c r="G393" t="s">
        <v>4</v>
      </c>
      <c r="H393" t="s">
        <v>5</v>
      </c>
      <c r="I393" t="str">
        <f t="shared" si="40"/>
        <v>url392 &lt;- 'https://www.advisorkhoj.com/mutual-funds-research/top-performing-systematic-investment-plan?category=Equity:%20&amp;period=7&amp;amount=3000';</v>
      </c>
      <c r="J393" t="str">
        <f t="shared" si="41"/>
        <v>url392 &lt;-  read_html (url392);</v>
      </c>
      <c r="K393" t="str">
        <f t="shared" si="42"/>
        <v>url_tbl392 &lt;- url392 %&gt;%   html_nodes('table') %&gt;%   html_table(fill = TRUE) %&gt;%   .[[1]];</v>
      </c>
      <c r="L393" t="str">
        <f t="shared" si="43"/>
        <v>url_tbl392 &lt;- data.table(url_tbl392);</v>
      </c>
      <c r="M393" t="str">
        <f t="shared" si="44"/>
        <v>url_tbl392 &lt;- url_tbl392[, `:=` (url ='', year =7),];</v>
      </c>
      <c r="N393" t="str">
        <f t="shared" si="45"/>
        <v>url392 &lt;- 'https://www.advisorkhoj.com/mutual-funds-research/top-performing-systematic-investment-plan?category=Equity:%20&amp;period=7&amp;amount=3000';url392 &lt;-  read_html (url392);url_tbl392 &lt;- url392 %&gt;%   html_nodes('table') %&gt;%   html_table(fill = TRUE) %&gt;%   .[[1]];url_tbl392 &lt;- data.table(url_tbl392);url_tbl392 &lt;- url_tbl392[, `:=` (url ='', year =7),];</v>
      </c>
    </row>
    <row r="394" spans="1:14">
      <c r="A394" t="s">
        <v>804</v>
      </c>
      <c r="B394" t="s">
        <v>805</v>
      </c>
      <c r="E394">
        <v>8</v>
      </c>
      <c r="F394" s="159" t="s">
        <v>3</v>
      </c>
      <c r="G394" t="s">
        <v>4</v>
      </c>
      <c r="H394" t="s">
        <v>5</v>
      </c>
      <c r="I394" t="str">
        <f t="shared" si="40"/>
        <v>url393 &lt;- 'https://www.advisorkhoj.com/mutual-funds-research/top-performing-systematic-investment-plan?category=Equity:%20&amp;period=8&amp;amount=3000';</v>
      </c>
      <c r="J394" t="str">
        <f t="shared" si="41"/>
        <v>url393 &lt;-  read_html (url393);</v>
      </c>
      <c r="K394" t="str">
        <f t="shared" si="42"/>
        <v>url_tbl393 &lt;- url393 %&gt;%   html_nodes('table') %&gt;%   html_table(fill = TRUE) %&gt;%   .[[1]];</v>
      </c>
      <c r="L394" t="str">
        <f t="shared" si="43"/>
        <v>url_tbl393 &lt;- data.table(url_tbl393);</v>
      </c>
      <c r="M394" t="str">
        <f t="shared" si="44"/>
        <v>url_tbl393 &lt;- url_tbl393[, `:=` (url ='', year =8),];</v>
      </c>
      <c r="N394" t="str">
        <f t="shared" si="45"/>
        <v>url393 &lt;- 'https://www.advisorkhoj.com/mutual-funds-research/top-performing-systematic-investment-plan?category=Equity:%20&amp;period=8&amp;amount=3000';url393 &lt;-  read_html (url393);url_tbl393 &lt;- url393 %&gt;%   html_nodes('table') %&gt;%   html_table(fill = TRUE) %&gt;%   .[[1]];url_tbl393 &lt;- data.table(url_tbl393);url_tbl393 &lt;- url_tbl393[, `:=` (url ='', year =8),];</v>
      </c>
    </row>
    <row r="395" spans="1:14">
      <c r="A395" t="s">
        <v>806</v>
      </c>
      <c r="B395" t="s">
        <v>807</v>
      </c>
      <c r="E395">
        <v>9</v>
      </c>
      <c r="F395" s="159" t="s">
        <v>3</v>
      </c>
      <c r="G395" t="s">
        <v>4</v>
      </c>
      <c r="H395" t="s">
        <v>5</v>
      </c>
      <c r="I395" t="str">
        <f t="shared" si="40"/>
        <v>url394 &lt;- 'https://www.advisorkhoj.com/mutual-funds-research/top-performing-systematic-investment-plan?category=Equity:%20&amp;period=9&amp;amount=3000';</v>
      </c>
      <c r="J395" t="str">
        <f t="shared" si="41"/>
        <v>url394 &lt;-  read_html (url394);</v>
      </c>
      <c r="K395" t="str">
        <f t="shared" si="42"/>
        <v>url_tbl394 &lt;- url394 %&gt;%   html_nodes('table') %&gt;%   html_table(fill = TRUE) %&gt;%   .[[1]];</v>
      </c>
      <c r="L395" t="str">
        <f t="shared" si="43"/>
        <v>url_tbl394 &lt;- data.table(url_tbl394);</v>
      </c>
      <c r="M395" t="str">
        <f t="shared" si="44"/>
        <v>url_tbl394 &lt;- url_tbl394[, `:=` (url ='', year =9),];</v>
      </c>
      <c r="N395" t="str">
        <f t="shared" si="45"/>
        <v>url394 &lt;- 'https://www.advisorkhoj.com/mutual-funds-research/top-performing-systematic-investment-plan?category=Equity:%20&amp;period=9&amp;amount=3000';url394 &lt;-  read_html (url394);url_tbl394 &lt;- url394 %&gt;%   html_nodes('table') %&gt;%   html_table(fill = TRUE) %&gt;%   .[[1]];url_tbl394 &lt;- data.table(url_tbl394);url_tbl394 &lt;- url_tbl394[, `:=` (url ='', year =9),];</v>
      </c>
    </row>
    <row r="396" spans="1:14">
      <c r="A396" t="s">
        <v>808</v>
      </c>
      <c r="B396" t="s">
        <v>809</v>
      </c>
      <c r="E396">
        <v>10</v>
      </c>
      <c r="F396" s="159" t="s">
        <v>3</v>
      </c>
      <c r="G396" t="s">
        <v>4</v>
      </c>
      <c r="H396" t="s">
        <v>5</v>
      </c>
      <c r="I396" t="str">
        <f t="shared" si="40"/>
        <v>url395 &lt;- 'https://www.advisorkhoj.com/mutual-funds-research/top-performing-systematic-investment-plan?category=Equity:%20&amp;period=10&amp;amount=3000';</v>
      </c>
      <c r="J396" t="str">
        <f t="shared" si="41"/>
        <v>url395 &lt;-  read_html (url395);</v>
      </c>
      <c r="K396" t="str">
        <f t="shared" si="42"/>
        <v>url_tbl395 &lt;- url395 %&gt;%   html_nodes('table') %&gt;%   html_table(fill = TRUE) %&gt;%   .[[1]];</v>
      </c>
      <c r="L396" t="str">
        <f t="shared" si="43"/>
        <v>url_tbl395 &lt;- data.table(url_tbl395);</v>
      </c>
      <c r="M396" t="str">
        <f t="shared" si="44"/>
        <v>url_tbl395 &lt;- url_tbl395[, `:=` (url ='', year =10),];</v>
      </c>
      <c r="N396" t="str">
        <f t="shared" si="45"/>
        <v>url395 &lt;- 'https://www.advisorkhoj.com/mutual-funds-research/top-performing-systematic-investment-plan?category=Equity:%20&amp;period=10&amp;amount=3000';url395 &lt;-  read_html (url395);url_tbl395 &lt;- url395 %&gt;%   html_nodes('table') %&gt;%   html_table(fill = TRUE) %&gt;%   .[[1]];url_tbl395 &lt;- data.table(url_tbl395);url_tbl395 &lt;- url_tbl395[, `:=` (url ='', year =10),];</v>
      </c>
    </row>
    <row r="397" spans="1:14">
      <c r="A397" t="s">
        <v>810</v>
      </c>
      <c r="B397" t="s">
        <v>811</v>
      </c>
      <c r="E397">
        <v>11</v>
      </c>
      <c r="F397" s="159" t="s">
        <v>3</v>
      </c>
      <c r="G397" t="s">
        <v>4</v>
      </c>
      <c r="H397" t="s">
        <v>5</v>
      </c>
      <c r="I397" t="str">
        <f t="shared" si="40"/>
        <v>url396 &lt;- 'https://www.advisorkhoj.com/mutual-funds-research/top-performing-systematic-investment-plan?category=Equity:%20&amp;period=11&amp;amount=3000';</v>
      </c>
      <c r="J397" t="str">
        <f t="shared" si="41"/>
        <v>url396 &lt;-  read_html (url396);</v>
      </c>
      <c r="K397" t="str">
        <f t="shared" si="42"/>
        <v>url_tbl396 &lt;- url396 %&gt;%   html_nodes('table') %&gt;%   html_table(fill = TRUE) %&gt;%   .[[1]];</v>
      </c>
      <c r="L397" t="str">
        <f t="shared" si="43"/>
        <v>url_tbl396 &lt;- data.table(url_tbl396);</v>
      </c>
      <c r="M397" t="str">
        <f t="shared" si="44"/>
        <v>url_tbl396 &lt;- url_tbl396[, `:=` (url ='', year =11),];</v>
      </c>
      <c r="N397" t="str">
        <f t="shared" si="45"/>
        <v>url396 &lt;- 'https://www.advisorkhoj.com/mutual-funds-research/top-performing-systematic-investment-plan?category=Equity:%20&amp;period=11&amp;amount=3000';url396 &lt;-  read_html (url396);url_tbl396 &lt;- url396 %&gt;%   html_nodes('table') %&gt;%   html_table(fill = TRUE) %&gt;%   .[[1]];url_tbl396 &lt;- data.table(url_tbl396);url_tbl396 &lt;- url_tbl396[, `:=` (url ='', year =11),];</v>
      </c>
    </row>
    <row r="398" spans="1:14">
      <c r="A398" t="s">
        <v>812</v>
      </c>
      <c r="B398" t="s">
        <v>813</v>
      </c>
      <c r="E398">
        <v>12</v>
      </c>
      <c r="F398" s="159" t="s">
        <v>3</v>
      </c>
      <c r="G398" t="s">
        <v>4</v>
      </c>
      <c r="H398" t="s">
        <v>5</v>
      </c>
      <c r="I398" t="str">
        <f t="shared" si="40"/>
        <v>url397 &lt;- 'https://www.advisorkhoj.com/mutual-funds-research/top-performing-systematic-investment-plan?category=Equity:%20&amp;period=12&amp;amount=3000';</v>
      </c>
      <c r="J398" t="str">
        <f t="shared" si="41"/>
        <v>url397 &lt;-  read_html (url397);</v>
      </c>
      <c r="K398" t="str">
        <f t="shared" si="42"/>
        <v>url_tbl397 &lt;- url397 %&gt;%   html_nodes('table') %&gt;%   html_table(fill = TRUE) %&gt;%   .[[1]];</v>
      </c>
      <c r="L398" t="str">
        <f t="shared" si="43"/>
        <v>url_tbl397 &lt;- data.table(url_tbl397);</v>
      </c>
      <c r="M398" t="str">
        <f t="shared" si="44"/>
        <v>url_tbl397 &lt;- url_tbl397[, `:=` (url ='', year =12),];</v>
      </c>
      <c r="N398" t="str">
        <f t="shared" si="45"/>
        <v>url397 &lt;- 'https://www.advisorkhoj.com/mutual-funds-research/top-performing-systematic-investment-plan?category=Equity:%20&amp;period=12&amp;amount=3000';url397 &lt;-  read_html (url397);url_tbl397 &lt;- url397 %&gt;%   html_nodes('table') %&gt;%   html_table(fill = TRUE) %&gt;%   .[[1]];url_tbl397 &lt;- data.table(url_tbl397);url_tbl397 &lt;- url_tbl397[, `:=` (url ='', year =12),];</v>
      </c>
    </row>
    <row r="399" spans="1:14">
      <c r="A399" t="s">
        <v>814</v>
      </c>
      <c r="B399" t="s">
        <v>815</v>
      </c>
      <c r="E399">
        <v>13</v>
      </c>
      <c r="F399" s="159" t="s">
        <v>3</v>
      </c>
      <c r="G399" t="s">
        <v>4</v>
      </c>
      <c r="H399" t="s">
        <v>5</v>
      </c>
      <c r="I399" t="str">
        <f t="shared" si="40"/>
        <v>url398 &lt;- 'https://www.advisorkhoj.com/mutual-funds-research/top-performing-systematic-investment-plan?category=Equity:%20&amp;period=13&amp;amount=3000';</v>
      </c>
      <c r="J399" t="str">
        <f t="shared" si="41"/>
        <v>url398 &lt;-  read_html (url398);</v>
      </c>
      <c r="K399" t="str">
        <f t="shared" si="42"/>
        <v>url_tbl398 &lt;- url398 %&gt;%   html_nodes('table') %&gt;%   html_table(fill = TRUE) %&gt;%   .[[1]];</v>
      </c>
      <c r="L399" t="str">
        <f t="shared" si="43"/>
        <v>url_tbl398 &lt;- data.table(url_tbl398);</v>
      </c>
      <c r="M399" t="str">
        <f t="shared" si="44"/>
        <v>url_tbl398 &lt;- url_tbl398[, `:=` (url ='', year =13),];</v>
      </c>
      <c r="N399" t="str">
        <f t="shared" si="45"/>
        <v>url398 &lt;- 'https://www.advisorkhoj.com/mutual-funds-research/top-performing-systematic-investment-plan?category=Equity:%20&amp;period=13&amp;amount=3000';url398 &lt;-  read_html (url398);url_tbl398 &lt;- url398 %&gt;%   html_nodes('table') %&gt;%   html_table(fill = TRUE) %&gt;%   .[[1]];url_tbl398 &lt;- data.table(url_tbl398);url_tbl398 &lt;- url_tbl398[, `:=` (url ='', year =13),];</v>
      </c>
    </row>
    <row r="400" spans="1:14">
      <c r="A400" t="s">
        <v>816</v>
      </c>
      <c r="B400" t="s">
        <v>817</v>
      </c>
      <c r="E400">
        <v>14</v>
      </c>
      <c r="F400" s="159" t="s">
        <v>3</v>
      </c>
      <c r="G400" t="s">
        <v>4</v>
      </c>
      <c r="H400" t="s">
        <v>5</v>
      </c>
      <c r="I400" t="str">
        <f t="shared" si="40"/>
        <v>url399 &lt;- 'https://www.advisorkhoj.com/mutual-funds-research/top-performing-systematic-investment-plan?category=Equity:%20&amp;period=14&amp;amount=3000';</v>
      </c>
      <c r="J400" t="str">
        <f t="shared" si="41"/>
        <v>url399 &lt;-  read_html (url399);</v>
      </c>
      <c r="K400" t="str">
        <f t="shared" si="42"/>
        <v>url_tbl399 &lt;- url399 %&gt;%   html_nodes('table') %&gt;%   html_table(fill = TRUE) %&gt;%   .[[1]];</v>
      </c>
      <c r="L400" t="str">
        <f t="shared" si="43"/>
        <v>url_tbl399 &lt;- data.table(url_tbl399);</v>
      </c>
      <c r="M400" t="str">
        <f t="shared" si="44"/>
        <v>url_tbl399 &lt;- url_tbl399[, `:=` (url ='', year =14),];</v>
      </c>
      <c r="N400" t="str">
        <f t="shared" si="45"/>
        <v>url399 &lt;- 'https://www.advisorkhoj.com/mutual-funds-research/top-performing-systematic-investment-plan?category=Equity:%20&amp;period=14&amp;amount=3000';url399 &lt;-  read_html (url399);url_tbl399 &lt;- url399 %&gt;%   html_nodes('table') %&gt;%   html_table(fill = TRUE) %&gt;%   .[[1]];url_tbl399 &lt;- data.table(url_tbl399);url_tbl399 &lt;- url_tbl399[, `:=` (url ='', year =14),];</v>
      </c>
    </row>
    <row r="401" spans="1:14">
      <c r="A401" t="s">
        <v>818</v>
      </c>
      <c r="B401" t="s">
        <v>819</v>
      </c>
      <c r="E401">
        <v>15</v>
      </c>
      <c r="F401" s="159" t="s">
        <v>3</v>
      </c>
      <c r="G401" t="s">
        <v>4</v>
      </c>
      <c r="H401" t="s">
        <v>5</v>
      </c>
      <c r="I401" t="str">
        <f t="shared" si="40"/>
        <v>url400 &lt;- 'https://www.advisorkhoj.com/mutual-funds-research/top-performing-systematic-investment-plan?category=Equity:%20&amp;period=15&amp;amount=3000';</v>
      </c>
      <c r="J401" t="str">
        <f t="shared" si="41"/>
        <v>url400 &lt;-  read_html (url400);</v>
      </c>
      <c r="K401" t="str">
        <f t="shared" si="42"/>
        <v>url_tbl400 &lt;- url400 %&gt;%   html_nodes('table') %&gt;%   html_table(fill = TRUE) %&gt;%   .[[1]];</v>
      </c>
      <c r="L401" t="str">
        <f t="shared" si="43"/>
        <v>url_tbl400 &lt;- data.table(url_tbl400);</v>
      </c>
      <c r="M401" t="str">
        <f t="shared" si="44"/>
        <v>url_tbl400 &lt;- url_tbl400[, `:=` (url ='', year =15),];</v>
      </c>
      <c r="N401" t="str">
        <f t="shared" si="45"/>
        <v>url400 &lt;- 'https://www.advisorkhoj.com/mutual-funds-research/top-performing-systematic-investment-plan?category=Equity:%20&amp;period=15&amp;amount=3000';url400 &lt;-  read_html (url400);url_tbl400 &lt;- url400 %&gt;%   html_nodes('table') %&gt;%   html_table(fill = TRUE) %&gt;%   .[[1]];url_tbl400 &lt;- data.table(url_tbl400);url_tbl400 &lt;- url_tbl400[, `:=` (url ='', year =15),];</v>
      </c>
    </row>
    <row r="402" spans="1:14">
      <c r="A402" t="s">
        <v>820</v>
      </c>
      <c r="B402" t="s">
        <v>821</v>
      </c>
      <c r="E402">
        <v>16</v>
      </c>
      <c r="F402" s="159" t="s">
        <v>3</v>
      </c>
      <c r="G402" t="s">
        <v>4</v>
      </c>
      <c r="H402" t="s">
        <v>5</v>
      </c>
      <c r="I402" t="str">
        <f t="shared" si="40"/>
        <v>url401 &lt;- 'https://www.advisorkhoj.com/mutual-funds-research/top-performing-systematic-investment-plan?category=Equity:%20&amp;period=16&amp;amount=3000';</v>
      </c>
      <c r="J402" t="str">
        <f t="shared" si="41"/>
        <v>url401 &lt;-  read_html (url401);</v>
      </c>
      <c r="K402" t="str">
        <f t="shared" si="42"/>
        <v>url_tbl401 &lt;- url401 %&gt;%   html_nodes('table') %&gt;%   html_table(fill = TRUE) %&gt;%   .[[1]];</v>
      </c>
      <c r="L402" t="str">
        <f t="shared" si="43"/>
        <v>url_tbl401 &lt;- data.table(url_tbl401);</v>
      </c>
      <c r="M402" t="str">
        <f t="shared" si="44"/>
        <v>url_tbl401 &lt;- url_tbl401[, `:=` (url ='', year =16),];</v>
      </c>
      <c r="N402" t="str">
        <f t="shared" si="45"/>
        <v>url401 &lt;- 'https://www.advisorkhoj.com/mutual-funds-research/top-performing-systematic-investment-plan?category=Equity:%20&amp;period=16&amp;amount=3000';url401 &lt;-  read_html (url401);url_tbl401 &lt;- url401 %&gt;%   html_nodes('table') %&gt;%   html_table(fill = TRUE) %&gt;%   .[[1]];url_tbl401 &lt;- data.table(url_tbl401);url_tbl401 &lt;- url_tbl401[, `:=` (url ='', year =16),];</v>
      </c>
    </row>
    <row r="403" spans="1:14">
      <c r="A403" t="s">
        <v>822</v>
      </c>
      <c r="B403" t="s">
        <v>823</v>
      </c>
      <c r="E403">
        <v>1</v>
      </c>
      <c r="F403" s="159" t="s">
        <v>3</v>
      </c>
      <c r="G403" t="s">
        <v>4</v>
      </c>
      <c r="H403" t="s">
        <v>5</v>
      </c>
      <c r="I403" t="str">
        <f t="shared" si="40"/>
        <v>url402 &lt;- 'https://www.advisorkhoj.com/mutual-funds-research/top-performing-systematic-investment-plan?category=Equity:%20&amp;period=1&amp;amount=3000';</v>
      </c>
      <c r="J403" t="str">
        <f t="shared" si="41"/>
        <v>url402 &lt;-  read_html (url402);</v>
      </c>
      <c r="K403" t="str">
        <f t="shared" si="42"/>
        <v>url_tbl402 &lt;- url402 %&gt;%   html_nodes('table') %&gt;%   html_table(fill = TRUE) %&gt;%   .[[1]];</v>
      </c>
      <c r="L403" t="str">
        <f t="shared" si="43"/>
        <v>url_tbl402 &lt;- data.table(url_tbl402);</v>
      </c>
      <c r="M403" t="str">
        <f t="shared" si="44"/>
        <v>url_tbl402 &lt;- url_tbl402[, `:=` (url ='', year =1),];</v>
      </c>
      <c r="N403" t="str">
        <f t="shared" si="45"/>
        <v>url402 &lt;- 'https://www.advisorkhoj.com/mutual-funds-research/top-performing-systematic-investment-plan?category=Equity:%20&amp;period=1&amp;amount=3000';url402 &lt;-  read_html (url402);url_tbl402 &lt;- url402 %&gt;%   html_nodes('table') %&gt;%   html_table(fill = TRUE) %&gt;%   .[[1]];url_tbl402 &lt;- data.table(url_tbl402);url_tbl402 &lt;- url_tbl402[, `:=` (url ='', year =1),];</v>
      </c>
    </row>
    <row r="404" spans="1:14">
      <c r="A404" t="s">
        <v>824</v>
      </c>
      <c r="B404" t="s">
        <v>825</v>
      </c>
      <c r="E404">
        <v>2</v>
      </c>
      <c r="F404" s="159" t="s">
        <v>3</v>
      </c>
      <c r="G404" t="s">
        <v>4</v>
      </c>
      <c r="H404" t="s">
        <v>5</v>
      </c>
      <c r="I404" t="str">
        <f t="shared" si="40"/>
        <v>url403 &lt;- 'https://www.advisorkhoj.com/mutual-funds-research/top-performing-systematic-investment-plan?category=Equity:%20&amp;period=2&amp;amount=3000';</v>
      </c>
      <c r="J404" t="str">
        <f t="shared" si="41"/>
        <v>url403 &lt;-  read_html (url403);</v>
      </c>
      <c r="K404" t="str">
        <f t="shared" si="42"/>
        <v>url_tbl403 &lt;- url403 %&gt;%   html_nodes('table') %&gt;%   html_table(fill = TRUE) %&gt;%   .[[1]];</v>
      </c>
      <c r="L404" t="str">
        <f t="shared" si="43"/>
        <v>url_tbl403 &lt;- data.table(url_tbl403);</v>
      </c>
      <c r="M404" t="str">
        <f t="shared" si="44"/>
        <v>url_tbl403 &lt;- url_tbl403[, `:=` (url ='', year =2),];</v>
      </c>
      <c r="N404" t="str">
        <f t="shared" si="45"/>
        <v>url403 &lt;- 'https://www.advisorkhoj.com/mutual-funds-research/top-performing-systematic-investment-plan?category=Equity:%20&amp;period=2&amp;amount=3000';url403 &lt;-  read_html (url403);url_tbl403 &lt;- url403 %&gt;%   html_nodes('table') %&gt;%   html_table(fill = TRUE) %&gt;%   .[[1]];url_tbl403 &lt;- data.table(url_tbl403);url_tbl403 &lt;- url_tbl403[, `:=` (url ='', year =2),];</v>
      </c>
    </row>
    <row r="405" spans="1:14">
      <c r="A405" t="s">
        <v>826</v>
      </c>
      <c r="B405" t="s">
        <v>827</v>
      </c>
      <c r="E405">
        <v>3</v>
      </c>
      <c r="F405" s="159" t="s">
        <v>3</v>
      </c>
      <c r="G405" t="s">
        <v>4</v>
      </c>
      <c r="H405" t="s">
        <v>5</v>
      </c>
      <c r="I405" t="str">
        <f t="shared" si="40"/>
        <v>url404 &lt;- 'https://www.advisorkhoj.com/mutual-funds-research/top-performing-systematic-investment-plan?category=Equity:%20&amp;period=3&amp;amount=3000';</v>
      </c>
      <c r="J405" t="str">
        <f t="shared" si="41"/>
        <v>url404 &lt;-  read_html (url404);</v>
      </c>
      <c r="K405" t="str">
        <f t="shared" si="42"/>
        <v>url_tbl404 &lt;- url404 %&gt;%   html_nodes('table') %&gt;%   html_table(fill = TRUE) %&gt;%   .[[1]];</v>
      </c>
      <c r="L405" t="str">
        <f t="shared" si="43"/>
        <v>url_tbl404 &lt;- data.table(url_tbl404);</v>
      </c>
      <c r="M405" t="str">
        <f t="shared" si="44"/>
        <v>url_tbl404 &lt;- url_tbl404[, `:=` (url ='', year =3),];</v>
      </c>
      <c r="N405" t="str">
        <f t="shared" si="45"/>
        <v>url404 &lt;- 'https://www.advisorkhoj.com/mutual-funds-research/top-performing-systematic-investment-plan?category=Equity:%20&amp;period=3&amp;amount=3000';url404 &lt;-  read_html (url404);url_tbl404 &lt;- url404 %&gt;%   html_nodes('table') %&gt;%   html_table(fill = TRUE) %&gt;%   .[[1]];url_tbl404 &lt;- data.table(url_tbl404);url_tbl404 &lt;- url_tbl404[, `:=` (url ='', year =3),];</v>
      </c>
    </row>
    <row r="406" spans="1:14">
      <c r="A406" t="s">
        <v>828</v>
      </c>
      <c r="B406" t="s">
        <v>829</v>
      </c>
      <c r="E406">
        <v>4</v>
      </c>
      <c r="F406" s="159" t="s">
        <v>3</v>
      </c>
      <c r="G406" t="s">
        <v>4</v>
      </c>
      <c r="H406" t="s">
        <v>5</v>
      </c>
      <c r="I406" t="str">
        <f t="shared" si="40"/>
        <v>url405 &lt;- 'https://www.advisorkhoj.com/mutual-funds-research/top-performing-systematic-investment-plan?category=Equity:%20&amp;period=4&amp;amount=3000';</v>
      </c>
      <c r="J406" t="str">
        <f t="shared" si="41"/>
        <v>url405 &lt;-  read_html (url405);</v>
      </c>
      <c r="K406" t="str">
        <f t="shared" si="42"/>
        <v>url_tbl405 &lt;- url405 %&gt;%   html_nodes('table') %&gt;%   html_table(fill = TRUE) %&gt;%   .[[1]];</v>
      </c>
      <c r="L406" t="str">
        <f t="shared" si="43"/>
        <v>url_tbl405 &lt;- data.table(url_tbl405);</v>
      </c>
      <c r="M406" t="str">
        <f t="shared" si="44"/>
        <v>url_tbl405 &lt;- url_tbl405[, `:=` (url ='', year =4),];</v>
      </c>
      <c r="N406" t="str">
        <f t="shared" si="45"/>
        <v>url405 &lt;- 'https://www.advisorkhoj.com/mutual-funds-research/top-performing-systematic-investment-plan?category=Equity:%20&amp;period=4&amp;amount=3000';url405 &lt;-  read_html (url405);url_tbl405 &lt;- url405 %&gt;%   html_nodes('table') %&gt;%   html_table(fill = TRUE) %&gt;%   .[[1]];url_tbl405 &lt;- data.table(url_tbl405);url_tbl405 &lt;- url_tbl405[, `:=` (url ='', year =4),];</v>
      </c>
    </row>
    <row r="407" spans="1:14">
      <c r="A407" t="s">
        <v>830</v>
      </c>
      <c r="B407" t="s">
        <v>831</v>
      </c>
      <c r="E407">
        <v>5</v>
      </c>
      <c r="F407" s="159" t="s">
        <v>3</v>
      </c>
      <c r="G407" t="s">
        <v>4</v>
      </c>
      <c r="H407" t="s">
        <v>5</v>
      </c>
      <c r="I407" t="str">
        <f t="shared" si="40"/>
        <v>url406 &lt;- 'https://www.advisorkhoj.com/mutual-funds-research/top-performing-systematic-investment-plan?category=Equity:%20&amp;period=5&amp;amount=3000';</v>
      </c>
      <c r="J407" t="str">
        <f t="shared" si="41"/>
        <v>url406 &lt;-  read_html (url406);</v>
      </c>
      <c r="K407" t="str">
        <f t="shared" si="42"/>
        <v>url_tbl406 &lt;- url406 %&gt;%   html_nodes('table') %&gt;%   html_table(fill = TRUE) %&gt;%   .[[1]];</v>
      </c>
      <c r="L407" t="str">
        <f t="shared" si="43"/>
        <v>url_tbl406 &lt;- data.table(url_tbl406);</v>
      </c>
      <c r="M407" t="str">
        <f t="shared" si="44"/>
        <v>url_tbl406 &lt;- url_tbl406[, `:=` (url ='', year =5),];</v>
      </c>
      <c r="N407" t="str">
        <f t="shared" si="45"/>
        <v>url406 &lt;- 'https://www.advisorkhoj.com/mutual-funds-research/top-performing-systematic-investment-plan?category=Equity:%20&amp;period=5&amp;amount=3000';url406 &lt;-  read_html (url406);url_tbl406 &lt;- url406 %&gt;%   html_nodes('table') %&gt;%   html_table(fill = TRUE) %&gt;%   .[[1]];url_tbl406 &lt;- data.table(url_tbl406);url_tbl406 &lt;- url_tbl406[, `:=` (url ='', year =5),];</v>
      </c>
    </row>
    <row r="408" spans="1:14">
      <c r="A408" t="s">
        <v>832</v>
      </c>
      <c r="B408" t="s">
        <v>833</v>
      </c>
      <c r="E408">
        <v>6</v>
      </c>
      <c r="F408" s="159" t="s">
        <v>3</v>
      </c>
      <c r="G408" t="s">
        <v>4</v>
      </c>
      <c r="H408" t="s">
        <v>5</v>
      </c>
      <c r="I408" t="str">
        <f t="shared" si="40"/>
        <v>url407 &lt;- 'https://www.advisorkhoj.com/mutual-funds-research/top-performing-systematic-investment-plan?category=Equity:%20&amp;period=6&amp;amount=3000';</v>
      </c>
      <c r="J408" t="str">
        <f t="shared" si="41"/>
        <v>url407 &lt;-  read_html (url407);</v>
      </c>
      <c r="K408" t="str">
        <f t="shared" si="42"/>
        <v>url_tbl407 &lt;- url407 %&gt;%   html_nodes('table') %&gt;%   html_table(fill = TRUE) %&gt;%   .[[1]];</v>
      </c>
      <c r="L408" t="str">
        <f t="shared" si="43"/>
        <v>url_tbl407 &lt;- data.table(url_tbl407);</v>
      </c>
      <c r="M408" t="str">
        <f t="shared" si="44"/>
        <v>url_tbl407 &lt;- url_tbl407[, `:=` (url ='', year =6),];</v>
      </c>
      <c r="N408" t="str">
        <f t="shared" si="45"/>
        <v>url407 &lt;- 'https://www.advisorkhoj.com/mutual-funds-research/top-performing-systematic-investment-plan?category=Equity:%20&amp;period=6&amp;amount=3000';url407 &lt;-  read_html (url407);url_tbl407 &lt;- url407 %&gt;%   html_nodes('table') %&gt;%   html_table(fill = TRUE) %&gt;%   .[[1]];url_tbl407 &lt;- data.table(url_tbl407);url_tbl407 &lt;- url_tbl407[, `:=` (url ='', year =6),];</v>
      </c>
    </row>
    <row r="409" spans="1:14">
      <c r="A409" t="s">
        <v>834</v>
      </c>
      <c r="B409" t="s">
        <v>835</v>
      </c>
      <c r="E409">
        <v>7</v>
      </c>
      <c r="F409" s="159" t="s">
        <v>3</v>
      </c>
      <c r="G409" t="s">
        <v>4</v>
      </c>
      <c r="H409" t="s">
        <v>5</v>
      </c>
      <c r="I409" t="str">
        <f t="shared" si="40"/>
        <v>url408 &lt;- 'https://www.advisorkhoj.com/mutual-funds-research/top-performing-systematic-investment-plan?category=Equity:%20&amp;period=7&amp;amount=3000';</v>
      </c>
      <c r="J409" t="str">
        <f t="shared" si="41"/>
        <v>url408 &lt;-  read_html (url408);</v>
      </c>
      <c r="K409" t="str">
        <f t="shared" si="42"/>
        <v>url_tbl408 &lt;- url408 %&gt;%   html_nodes('table') %&gt;%   html_table(fill = TRUE) %&gt;%   .[[1]];</v>
      </c>
      <c r="L409" t="str">
        <f t="shared" si="43"/>
        <v>url_tbl408 &lt;- data.table(url_tbl408);</v>
      </c>
      <c r="M409" t="str">
        <f t="shared" si="44"/>
        <v>url_tbl408 &lt;- url_tbl408[, `:=` (url ='', year =7),];</v>
      </c>
      <c r="N409" t="str">
        <f t="shared" si="45"/>
        <v>url408 &lt;- 'https://www.advisorkhoj.com/mutual-funds-research/top-performing-systematic-investment-plan?category=Equity:%20&amp;period=7&amp;amount=3000';url408 &lt;-  read_html (url408);url_tbl408 &lt;- url408 %&gt;%   html_nodes('table') %&gt;%   html_table(fill = TRUE) %&gt;%   .[[1]];url_tbl408 &lt;- data.table(url_tbl408);url_tbl408 &lt;- url_tbl408[, `:=` (url ='', year =7),];</v>
      </c>
    </row>
    <row r="410" spans="1:14">
      <c r="A410" t="s">
        <v>836</v>
      </c>
      <c r="B410" t="s">
        <v>837</v>
      </c>
      <c r="E410">
        <v>8</v>
      </c>
      <c r="F410" s="159" t="s">
        <v>3</v>
      </c>
      <c r="G410" t="s">
        <v>4</v>
      </c>
      <c r="H410" t="s">
        <v>5</v>
      </c>
      <c r="I410" t="str">
        <f t="shared" si="40"/>
        <v>url409 &lt;- 'https://www.advisorkhoj.com/mutual-funds-research/top-performing-systematic-investment-plan?category=Equity:%20&amp;period=8&amp;amount=3000';</v>
      </c>
      <c r="J410" t="str">
        <f t="shared" si="41"/>
        <v>url409 &lt;-  read_html (url409);</v>
      </c>
      <c r="K410" t="str">
        <f t="shared" si="42"/>
        <v>url_tbl409 &lt;- url409 %&gt;%   html_nodes('table') %&gt;%   html_table(fill = TRUE) %&gt;%   .[[1]];</v>
      </c>
      <c r="L410" t="str">
        <f t="shared" si="43"/>
        <v>url_tbl409 &lt;- data.table(url_tbl409);</v>
      </c>
      <c r="M410" t="str">
        <f t="shared" si="44"/>
        <v>url_tbl409 &lt;- url_tbl409[, `:=` (url ='', year =8),];</v>
      </c>
      <c r="N410" t="str">
        <f t="shared" si="45"/>
        <v>url409 &lt;- 'https://www.advisorkhoj.com/mutual-funds-research/top-performing-systematic-investment-plan?category=Equity:%20&amp;period=8&amp;amount=3000';url409 &lt;-  read_html (url409);url_tbl409 &lt;- url409 %&gt;%   html_nodes('table') %&gt;%   html_table(fill = TRUE) %&gt;%   .[[1]];url_tbl409 &lt;- data.table(url_tbl409);url_tbl409 &lt;- url_tbl409[, `:=` (url ='', year =8),];</v>
      </c>
    </row>
    <row r="411" spans="1:14">
      <c r="A411" t="s">
        <v>838</v>
      </c>
      <c r="B411" t="s">
        <v>839</v>
      </c>
      <c r="E411">
        <v>9</v>
      </c>
      <c r="F411" s="159" t="s">
        <v>3</v>
      </c>
      <c r="G411" t="s">
        <v>4</v>
      </c>
      <c r="H411" t="s">
        <v>5</v>
      </c>
      <c r="I411" t="str">
        <f t="shared" si="40"/>
        <v>url410 &lt;- 'https://www.advisorkhoj.com/mutual-funds-research/top-performing-systematic-investment-plan?category=Equity:%20&amp;period=9&amp;amount=3000';</v>
      </c>
      <c r="J411" t="str">
        <f t="shared" si="41"/>
        <v>url410 &lt;-  read_html (url410);</v>
      </c>
      <c r="K411" t="str">
        <f t="shared" si="42"/>
        <v>url_tbl410 &lt;- url410 %&gt;%   html_nodes('table') %&gt;%   html_table(fill = TRUE) %&gt;%   .[[1]];</v>
      </c>
      <c r="L411" t="str">
        <f t="shared" si="43"/>
        <v>url_tbl410 &lt;- data.table(url_tbl410);</v>
      </c>
      <c r="M411" t="str">
        <f t="shared" si="44"/>
        <v>url_tbl410 &lt;- url_tbl410[, `:=` (url ='', year =9),];</v>
      </c>
      <c r="N411" t="str">
        <f t="shared" si="45"/>
        <v>url410 &lt;- 'https://www.advisorkhoj.com/mutual-funds-research/top-performing-systematic-investment-plan?category=Equity:%20&amp;period=9&amp;amount=3000';url410 &lt;-  read_html (url410);url_tbl410 &lt;- url410 %&gt;%   html_nodes('table') %&gt;%   html_table(fill = TRUE) %&gt;%   .[[1]];url_tbl410 &lt;- data.table(url_tbl410);url_tbl410 &lt;- url_tbl410[, `:=` (url ='', year =9),];</v>
      </c>
    </row>
    <row r="412" spans="1:14">
      <c r="A412" t="s">
        <v>840</v>
      </c>
      <c r="B412" t="s">
        <v>841</v>
      </c>
      <c r="E412">
        <v>10</v>
      </c>
      <c r="F412" s="159" t="s">
        <v>3</v>
      </c>
      <c r="G412" t="s">
        <v>4</v>
      </c>
      <c r="H412" t="s">
        <v>5</v>
      </c>
      <c r="I412" t="str">
        <f t="shared" si="40"/>
        <v>url411 &lt;- 'https://www.advisorkhoj.com/mutual-funds-research/top-performing-systematic-investment-plan?category=Equity:%20&amp;period=10&amp;amount=3000';</v>
      </c>
      <c r="J412" t="str">
        <f t="shared" si="41"/>
        <v>url411 &lt;-  read_html (url411);</v>
      </c>
      <c r="K412" t="str">
        <f t="shared" si="42"/>
        <v>url_tbl411 &lt;- url411 %&gt;%   html_nodes('table') %&gt;%   html_table(fill = TRUE) %&gt;%   .[[1]];</v>
      </c>
      <c r="L412" t="str">
        <f t="shared" si="43"/>
        <v>url_tbl411 &lt;- data.table(url_tbl411);</v>
      </c>
      <c r="M412" t="str">
        <f t="shared" si="44"/>
        <v>url_tbl411 &lt;- url_tbl411[, `:=` (url ='', year =10),];</v>
      </c>
      <c r="N412" t="str">
        <f t="shared" si="45"/>
        <v>url411 &lt;- 'https://www.advisorkhoj.com/mutual-funds-research/top-performing-systematic-investment-plan?category=Equity:%20&amp;period=10&amp;amount=3000';url411 &lt;-  read_html (url411);url_tbl411 &lt;- url411 %&gt;%   html_nodes('table') %&gt;%   html_table(fill = TRUE) %&gt;%   .[[1]];url_tbl411 &lt;- data.table(url_tbl411);url_tbl411 &lt;- url_tbl411[, `:=` (url ='', year =10),];</v>
      </c>
    </row>
    <row r="413" spans="1:14">
      <c r="A413" t="s">
        <v>842</v>
      </c>
      <c r="B413" t="s">
        <v>843</v>
      </c>
      <c r="E413">
        <v>11</v>
      </c>
      <c r="F413" s="159" t="s">
        <v>3</v>
      </c>
      <c r="G413" t="s">
        <v>4</v>
      </c>
      <c r="H413" t="s">
        <v>5</v>
      </c>
      <c r="I413" t="str">
        <f t="shared" si="40"/>
        <v>url412 &lt;- 'https://www.advisorkhoj.com/mutual-funds-research/top-performing-systematic-investment-plan?category=Equity:%20&amp;period=11&amp;amount=3000';</v>
      </c>
      <c r="J413" t="str">
        <f t="shared" si="41"/>
        <v>url412 &lt;-  read_html (url412);</v>
      </c>
      <c r="K413" t="str">
        <f t="shared" si="42"/>
        <v>url_tbl412 &lt;- url412 %&gt;%   html_nodes('table') %&gt;%   html_table(fill = TRUE) %&gt;%   .[[1]];</v>
      </c>
      <c r="L413" t="str">
        <f t="shared" si="43"/>
        <v>url_tbl412 &lt;- data.table(url_tbl412);</v>
      </c>
      <c r="M413" t="str">
        <f t="shared" si="44"/>
        <v>url_tbl412 &lt;- url_tbl412[, `:=` (url ='', year =11),];</v>
      </c>
      <c r="N413" t="str">
        <f t="shared" si="45"/>
        <v>url412 &lt;- 'https://www.advisorkhoj.com/mutual-funds-research/top-performing-systematic-investment-plan?category=Equity:%20&amp;period=11&amp;amount=3000';url412 &lt;-  read_html (url412);url_tbl412 &lt;- url412 %&gt;%   html_nodes('table') %&gt;%   html_table(fill = TRUE) %&gt;%   .[[1]];url_tbl412 &lt;- data.table(url_tbl412);url_tbl412 &lt;- url_tbl412[, `:=` (url ='', year =11),];</v>
      </c>
    </row>
    <row r="414" spans="1:14">
      <c r="A414" t="s">
        <v>844</v>
      </c>
      <c r="B414" t="s">
        <v>845</v>
      </c>
      <c r="E414">
        <v>12</v>
      </c>
      <c r="F414" s="159" t="s">
        <v>3</v>
      </c>
      <c r="G414" t="s">
        <v>4</v>
      </c>
      <c r="H414" t="s">
        <v>5</v>
      </c>
      <c r="I414" t="str">
        <f t="shared" si="40"/>
        <v>url413 &lt;- 'https://www.advisorkhoj.com/mutual-funds-research/top-performing-systematic-investment-plan?category=Equity:%20&amp;period=12&amp;amount=3000';</v>
      </c>
      <c r="J414" t="str">
        <f t="shared" si="41"/>
        <v>url413 &lt;-  read_html (url413);</v>
      </c>
      <c r="K414" t="str">
        <f t="shared" si="42"/>
        <v>url_tbl413 &lt;- url413 %&gt;%   html_nodes('table') %&gt;%   html_table(fill = TRUE) %&gt;%   .[[1]];</v>
      </c>
      <c r="L414" t="str">
        <f t="shared" si="43"/>
        <v>url_tbl413 &lt;- data.table(url_tbl413);</v>
      </c>
      <c r="M414" t="str">
        <f t="shared" si="44"/>
        <v>url_tbl413 &lt;- url_tbl413[, `:=` (url ='', year =12),];</v>
      </c>
      <c r="N414" t="str">
        <f t="shared" si="45"/>
        <v>url413 &lt;- 'https://www.advisorkhoj.com/mutual-funds-research/top-performing-systematic-investment-plan?category=Equity:%20&amp;period=12&amp;amount=3000';url413 &lt;-  read_html (url413);url_tbl413 &lt;- url413 %&gt;%   html_nodes('table') %&gt;%   html_table(fill = TRUE) %&gt;%   .[[1]];url_tbl413 &lt;- data.table(url_tbl413);url_tbl413 &lt;- url_tbl413[, `:=` (url ='', year =12),];</v>
      </c>
    </row>
    <row r="415" spans="1:14">
      <c r="A415" t="s">
        <v>846</v>
      </c>
      <c r="B415" t="s">
        <v>847</v>
      </c>
      <c r="E415">
        <v>13</v>
      </c>
      <c r="F415" s="159" t="s">
        <v>3</v>
      </c>
      <c r="G415" t="s">
        <v>4</v>
      </c>
      <c r="H415" t="s">
        <v>5</v>
      </c>
      <c r="I415" t="str">
        <f t="shared" si="40"/>
        <v>url414 &lt;- 'https://www.advisorkhoj.com/mutual-funds-research/top-performing-systematic-investment-plan?category=Equity:%20&amp;period=13&amp;amount=3000';</v>
      </c>
      <c r="J415" t="str">
        <f t="shared" si="41"/>
        <v>url414 &lt;-  read_html (url414);</v>
      </c>
      <c r="K415" t="str">
        <f t="shared" si="42"/>
        <v>url_tbl414 &lt;- url414 %&gt;%   html_nodes('table') %&gt;%   html_table(fill = TRUE) %&gt;%   .[[1]];</v>
      </c>
      <c r="L415" t="str">
        <f t="shared" si="43"/>
        <v>url_tbl414 &lt;- data.table(url_tbl414);</v>
      </c>
      <c r="M415" t="str">
        <f t="shared" si="44"/>
        <v>url_tbl414 &lt;- url_tbl414[, `:=` (url ='', year =13),];</v>
      </c>
      <c r="N415" t="str">
        <f t="shared" si="45"/>
        <v>url414 &lt;- 'https://www.advisorkhoj.com/mutual-funds-research/top-performing-systematic-investment-plan?category=Equity:%20&amp;period=13&amp;amount=3000';url414 &lt;-  read_html (url414);url_tbl414 &lt;- url414 %&gt;%   html_nodes('table') %&gt;%   html_table(fill = TRUE) %&gt;%   .[[1]];url_tbl414 &lt;- data.table(url_tbl414);url_tbl414 &lt;- url_tbl414[, `:=` (url ='', year =13),];</v>
      </c>
    </row>
    <row r="416" spans="1:14">
      <c r="A416" t="s">
        <v>848</v>
      </c>
      <c r="B416" t="s">
        <v>849</v>
      </c>
      <c r="E416">
        <v>14</v>
      </c>
      <c r="F416" s="159" t="s">
        <v>3</v>
      </c>
      <c r="G416" t="s">
        <v>4</v>
      </c>
      <c r="H416" t="s">
        <v>5</v>
      </c>
      <c r="I416" t="str">
        <f t="shared" si="40"/>
        <v>url415 &lt;- 'https://www.advisorkhoj.com/mutual-funds-research/top-performing-systematic-investment-plan?category=Equity:%20&amp;period=14&amp;amount=3000';</v>
      </c>
      <c r="J416" t="str">
        <f t="shared" si="41"/>
        <v>url415 &lt;-  read_html (url415);</v>
      </c>
      <c r="K416" t="str">
        <f t="shared" si="42"/>
        <v>url_tbl415 &lt;- url415 %&gt;%   html_nodes('table') %&gt;%   html_table(fill = TRUE) %&gt;%   .[[1]];</v>
      </c>
      <c r="L416" t="str">
        <f t="shared" si="43"/>
        <v>url_tbl415 &lt;- data.table(url_tbl415);</v>
      </c>
      <c r="M416" t="str">
        <f t="shared" si="44"/>
        <v>url_tbl415 &lt;- url_tbl415[, `:=` (url ='', year =14),];</v>
      </c>
      <c r="N416" t="str">
        <f t="shared" si="45"/>
        <v>url415 &lt;- 'https://www.advisorkhoj.com/mutual-funds-research/top-performing-systematic-investment-plan?category=Equity:%20&amp;period=14&amp;amount=3000';url415 &lt;-  read_html (url415);url_tbl415 &lt;- url415 %&gt;%   html_nodes('table') %&gt;%   html_table(fill = TRUE) %&gt;%   .[[1]];url_tbl415 &lt;- data.table(url_tbl415);url_tbl415 &lt;- url_tbl415[, `:=` (url ='', year =14),];</v>
      </c>
    </row>
    <row r="417" spans="1:14">
      <c r="A417" t="s">
        <v>850</v>
      </c>
      <c r="B417" t="s">
        <v>851</v>
      </c>
      <c r="E417">
        <v>15</v>
      </c>
      <c r="F417" s="159" t="s">
        <v>3</v>
      </c>
      <c r="G417" t="s">
        <v>4</v>
      </c>
      <c r="H417" t="s">
        <v>5</v>
      </c>
      <c r="I417" t="str">
        <f t="shared" si="40"/>
        <v>url416 &lt;- 'https://www.advisorkhoj.com/mutual-funds-research/top-performing-systematic-investment-plan?category=Equity:%20&amp;period=15&amp;amount=3000';</v>
      </c>
      <c r="J417" t="str">
        <f t="shared" si="41"/>
        <v>url416 &lt;-  read_html (url416);</v>
      </c>
      <c r="K417" t="str">
        <f t="shared" si="42"/>
        <v>url_tbl416 &lt;- url416 %&gt;%   html_nodes('table') %&gt;%   html_table(fill = TRUE) %&gt;%   .[[1]];</v>
      </c>
      <c r="L417" t="str">
        <f t="shared" si="43"/>
        <v>url_tbl416 &lt;- data.table(url_tbl416);</v>
      </c>
      <c r="M417" t="str">
        <f t="shared" si="44"/>
        <v>url_tbl416 &lt;- url_tbl416[, `:=` (url ='', year =15),];</v>
      </c>
      <c r="N417" t="str">
        <f t="shared" si="45"/>
        <v>url416 &lt;- 'https://www.advisorkhoj.com/mutual-funds-research/top-performing-systematic-investment-plan?category=Equity:%20&amp;period=15&amp;amount=3000';url416 &lt;-  read_html (url416);url_tbl416 &lt;- url416 %&gt;%   html_nodes('table') %&gt;%   html_table(fill = TRUE) %&gt;%   .[[1]];url_tbl416 &lt;- data.table(url_tbl416);url_tbl416 &lt;- url_tbl416[, `:=` (url ='', year =15),];</v>
      </c>
    </row>
    <row r="418" spans="1:14">
      <c r="A418" t="s">
        <v>852</v>
      </c>
      <c r="B418" t="s">
        <v>853</v>
      </c>
      <c r="E418">
        <v>16</v>
      </c>
      <c r="F418" s="159" t="s">
        <v>3</v>
      </c>
      <c r="G418" t="s">
        <v>4</v>
      </c>
      <c r="H418" t="s">
        <v>5</v>
      </c>
      <c r="I418" t="str">
        <f t="shared" si="40"/>
        <v>url417 &lt;- 'https://www.advisorkhoj.com/mutual-funds-research/top-performing-systematic-investment-plan?category=Equity:%20&amp;period=16&amp;amount=3000';</v>
      </c>
      <c r="J418" t="str">
        <f t="shared" si="41"/>
        <v>url417 &lt;-  read_html (url417);</v>
      </c>
      <c r="K418" t="str">
        <f t="shared" si="42"/>
        <v>url_tbl417 &lt;- url417 %&gt;%   html_nodes('table') %&gt;%   html_table(fill = TRUE) %&gt;%   .[[1]];</v>
      </c>
      <c r="L418" t="str">
        <f t="shared" si="43"/>
        <v>url_tbl417 &lt;- data.table(url_tbl417);</v>
      </c>
      <c r="M418" t="str">
        <f t="shared" si="44"/>
        <v>url_tbl417 &lt;- url_tbl417[, `:=` (url ='', year =16),];</v>
      </c>
      <c r="N418" t="str">
        <f t="shared" si="45"/>
        <v>url417 &lt;- 'https://www.advisorkhoj.com/mutual-funds-research/top-performing-systematic-investment-plan?category=Equity:%20&amp;period=16&amp;amount=3000';url417 &lt;-  read_html (url417);url_tbl417 &lt;- url417 %&gt;%   html_nodes('table') %&gt;%   html_table(fill = TRUE) %&gt;%   .[[1]];url_tbl417 &lt;- data.table(url_tbl417);url_tbl417 &lt;- url_tbl417[, `:=` (url ='', year =16),];</v>
      </c>
    </row>
  </sheetData>
  <hyperlinks>
    <hyperlink ref="F2" r:id="rId1" xr:uid="{00000000-0004-0000-0000-000000000000}"/>
    <hyperlink ref="F242" r:id="rId2" xr:uid="{00000000-0004-0000-0000-000001000000}"/>
    <hyperlink ref="F227:F241" r:id="rId3" display="https://www.advisorkhoj.com/mutual-funds-research/top-performing-systematic-investment-plan?category=" xr:uid="{00000000-0004-0000-0000-000002000000}"/>
  </hyperlinks>
  <pageMargins left="0.7" right="0.7" top="0.75" bottom="0.75" header="0.3" footer="0.3"/>
  <pageSetup orientation="portrait" r:id="rId4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2:J4"/>
  <sheetViews>
    <sheetView workbookViewId="0"/>
  </sheetViews>
  <sheetFormatPr defaultColWidth="8.85546875" defaultRowHeight="15"/>
  <cols>
    <col min="1" max="1" width="12.5703125" bestFit="1" customWidth="1"/>
  </cols>
  <sheetData>
    <row r="2" spans="1:10">
      <c r="B2" s="159" t="s">
        <v>854</v>
      </c>
      <c r="J2" t="s">
        <v>855</v>
      </c>
    </row>
    <row r="3" spans="1:10">
      <c r="B3" s="159" t="s">
        <v>856</v>
      </c>
      <c r="J3" t="s">
        <v>857</v>
      </c>
    </row>
    <row r="4" spans="1:10">
      <c r="A4" t="s">
        <v>858</v>
      </c>
      <c r="B4" s="159" t="s">
        <v>859</v>
      </c>
      <c r="J4" t="s">
        <v>860</v>
      </c>
    </row>
  </sheetData>
  <hyperlinks>
    <hyperlink ref="B2" r:id="rId1" xr:uid="{00000000-0004-0000-0100-000000000000}"/>
    <hyperlink ref="B3" r:id="rId2" xr:uid="{00000000-0004-0000-0100-000001000000}"/>
    <hyperlink ref="B4" display="http://lt.morningstar.com/dk7pkae7kl/fundcompare/default.aspx?SecurityTokenList=F00000PDTT%5D2%5D0%5DFOIND$$ALL%7cF00000SC5Y%5D2%5D0%5DFOIND$$ALL%7cF00000PD8F%5D2%5D0%5DFOIND$$ALL%7cF00000PCZA%5D2%5D0%5DFOIND$$ALL%7cF00000PDUM%5D2%5D0%5DFOIND$$ALL&amp;Currenc" xr:uid="{00000000-0004-0000-0100-000002000000}"/>
  </hyperlinks>
  <pageMargins left="0.7" right="0.7" top="0.75" bottom="0.75" header="0.3" footer="0.3"/>
  <pageSetup orientation="portrait" r:id="rId3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N22"/>
  <sheetViews>
    <sheetView workbookViewId="0"/>
  </sheetViews>
  <sheetFormatPr defaultColWidth="8.85546875" defaultRowHeight="15"/>
  <sheetData>
    <row r="1" spans="1:14">
      <c r="B1" s="152" t="s">
        <v>861</v>
      </c>
      <c r="C1" s="145" t="s">
        <v>862</v>
      </c>
      <c r="D1" s="145" t="s">
        <v>863</v>
      </c>
      <c r="E1" s="145" t="s">
        <v>864</v>
      </c>
      <c r="F1" s="145" t="s">
        <v>865</v>
      </c>
      <c r="G1" s="145" t="s">
        <v>866</v>
      </c>
      <c r="H1" s="145" t="s">
        <v>867</v>
      </c>
      <c r="I1" s="145" t="s">
        <v>868</v>
      </c>
      <c r="J1" s="145" t="s">
        <v>869</v>
      </c>
      <c r="K1" s="145" t="s">
        <v>870</v>
      </c>
      <c r="L1" s="145" t="s">
        <v>871</v>
      </c>
      <c r="M1" s="145" t="s">
        <v>872</v>
      </c>
      <c r="N1" s="145" t="s">
        <v>873</v>
      </c>
    </row>
    <row r="2" spans="1:14">
      <c r="A2" s="152" t="s">
        <v>861</v>
      </c>
      <c r="B2" s="152"/>
      <c r="C2" s="167" t="s">
        <v>874</v>
      </c>
      <c r="D2" t="s">
        <v>875</v>
      </c>
      <c r="E2" t="s">
        <v>876</v>
      </c>
      <c r="F2" t="s">
        <v>877</v>
      </c>
      <c r="G2" t="s">
        <v>878</v>
      </c>
      <c r="H2" t="s">
        <v>879</v>
      </c>
      <c r="I2" t="s">
        <v>880</v>
      </c>
      <c r="J2">
        <v>0</v>
      </c>
      <c r="K2">
        <v>0</v>
      </c>
      <c r="L2">
        <v>0</v>
      </c>
      <c r="M2" t="s">
        <v>881</v>
      </c>
    </row>
    <row r="3" spans="1:14">
      <c r="A3" s="145" t="s">
        <v>862</v>
      </c>
      <c r="C3" s="152"/>
      <c r="D3" t="s">
        <v>882</v>
      </c>
      <c r="E3" t="s">
        <v>883</v>
      </c>
      <c r="F3" t="s">
        <v>884</v>
      </c>
      <c r="G3" t="s">
        <v>885</v>
      </c>
      <c r="H3" t="s">
        <v>886</v>
      </c>
      <c r="I3" t="s">
        <v>887</v>
      </c>
      <c r="J3" t="s">
        <v>888</v>
      </c>
      <c r="K3" t="s">
        <v>889</v>
      </c>
      <c r="L3" t="s">
        <v>890</v>
      </c>
      <c r="M3" t="s">
        <v>891</v>
      </c>
    </row>
    <row r="4" spans="1:14">
      <c r="A4" s="145" t="s">
        <v>863</v>
      </c>
      <c r="D4" s="152"/>
      <c r="E4" t="s">
        <v>892</v>
      </c>
      <c r="F4" t="s">
        <v>893</v>
      </c>
      <c r="G4" t="s">
        <v>894</v>
      </c>
      <c r="H4" t="s">
        <v>895</v>
      </c>
      <c r="I4" t="s">
        <v>885</v>
      </c>
      <c r="J4" t="s">
        <v>896</v>
      </c>
      <c r="K4" t="s">
        <v>896</v>
      </c>
      <c r="L4" t="s">
        <v>887</v>
      </c>
      <c r="M4" t="s">
        <v>897</v>
      </c>
    </row>
    <row r="5" spans="1:14">
      <c r="A5" s="145" t="s">
        <v>864</v>
      </c>
      <c r="E5" s="152"/>
      <c r="F5" t="s">
        <v>898</v>
      </c>
      <c r="G5" t="s">
        <v>899</v>
      </c>
      <c r="H5" t="s">
        <v>900</v>
      </c>
      <c r="I5" t="s">
        <v>899</v>
      </c>
      <c r="J5">
        <v>0</v>
      </c>
      <c r="K5">
        <v>0</v>
      </c>
      <c r="L5">
        <v>0</v>
      </c>
      <c r="M5" t="s">
        <v>881</v>
      </c>
    </row>
    <row r="6" spans="1:14">
      <c r="A6" s="145" t="s">
        <v>865</v>
      </c>
      <c r="F6" s="152"/>
      <c r="G6" t="s">
        <v>901</v>
      </c>
      <c r="H6" t="s">
        <v>893</v>
      </c>
      <c r="I6" t="s">
        <v>902</v>
      </c>
      <c r="J6" t="s">
        <v>888</v>
      </c>
      <c r="K6">
        <v>0</v>
      </c>
      <c r="L6" t="s">
        <v>903</v>
      </c>
      <c r="M6" t="s">
        <v>888</v>
      </c>
    </row>
    <row r="7" spans="1:14">
      <c r="A7" s="145" t="s">
        <v>866</v>
      </c>
      <c r="G7" s="152"/>
      <c r="H7" s="168" t="s">
        <v>904</v>
      </c>
      <c r="I7" t="s">
        <v>905</v>
      </c>
      <c r="J7" s="168" t="s">
        <v>906</v>
      </c>
      <c r="K7" t="s">
        <v>907</v>
      </c>
      <c r="L7" t="s">
        <v>908</v>
      </c>
      <c r="M7" t="s">
        <v>909</v>
      </c>
    </row>
    <row r="8" spans="1:14">
      <c r="A8" s="145" t="s">
        <v>867</v>
      </c>
      <c r="H8" s="152"/>
      <c r="I8" t="s">
        <v>910</v>
      </c>
      <c r="J8" s="168" t="s">
        <v>911</v>
      </c>
      <c r="K8" t="s">
        <v>912</v>
      </c>
      <c r="L8" t="s">
        <v>913</v>
      </c>
      <c r="M8" t="s">
        <v>914</v>
      </c>
    </row>
    <row r="9" spans="1:14">
      <c r="A9" s="145" t="s">
        <v>868</v>
      </c>
      <c r="I9" s="152"/>
      <c r="J9" t="s">
        <v>915</v>
      </c>
      <c r="K9" t="s">
        <v>916</v>
      </c>
      <c r="L9" s="168" t="s">
        <v>917</v>
      </c>
      <c r="M9" t="s">
        <v>918</v>
      </c>
    </row>
    <row r="10" spans="1:14">
      <c r="A10" s="145" t="s">
        <v>869</v>
      </c>
      <c r="J10" s="152"/>
      <c r="K10" s="168" t="s">
        <v>919</v>
      </c>
      <c r="L10" t="s">
        <v>920</v>
      </c>
      <c r="M10" s="168" t="s">
        <v>921</v>
      </c>
    </row>
    <row r="11" spans="1:14">
      <c r="A11" s="145" t="s">
        <v>870</v>
      </c>
      <c r="K11" s="152"/>
      <c r="L11" t="s">
        <v>922</v>
      </c>
      <c r="M11" s="168" t="s">
        <v>923</v>
      </c>
    </row>
    <row r="12" spans="1:14">
      <c r="A12" s="145" t="s">
        <v>871</v>
      </c>
      <c r="L12" s="152"/>
      <c r="M12" t="s">
        <v>905</v>
      </c>
    </row>
    <row r="13" spans="1:14">
      <c r="A13" s="145" t="s">
        <v>872</v>
      </c>
      <c r="M13" s="152"/>
    </row>
    <row r="14" spans="1:14">
      <c r="A14" s="145" t="s">
        <v>873</v>
      </c>
      <c r="N14" s="152"/>
    </row>
    <row r="21" spans="10:10">
      <c r="J21" s="70"/>
    </row>
    <row r="22" spans="10:10">
      <c r="J22" s="70"/>
    </row>
  </sheetData>
  <pageMargins left="0.7" right="0.7" top="0.75" bottom="0.75" header="0.3" footer="0.3"/>
  <pageSetup orientation="portrait" r:id="rId1"/>
  <legacy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S29"/>
  <sheetViews>
    <sheetView workbookViewId="0">
      <selection activeCell="A25" sqref="A25"/>
    </sheetView>
  </sheetViews>
  <sheetFormatPr defaultColWidth="8.85546875" defaultRowHeight="15"/>
  <cols>
    <col min="1" max="1" width="67.85546875" bestFit="1" customWidth="1"/>
    <col min="3" max="3" width="2" bestFit="1" customWidth="1"/>
    <col min="4" max="4" width="5.28515625" bestFit="1" customWidth="1"/>
    <col min="5" max="5" width="4.85546875" bestFit="1" customWidth="1"/>
    <col min="6" max="6" width="7.7109375" bestFit="1" customWidth="1"/>
    <col min="7" max="9" width="7.28515625" bestFit="1" customWidth="1"/>
    <col min="10" max="11" width="6.7109375" bestFit="1" customWidth="1"/>
    <col min="12" max="14" width="2" bestFit="1" customWidth="1"/>
    <col min="15" max="15" width="2.85546875" customWidth="1"/>
    <col min="16" max="16" width="14.42578125" bestFit="1" customWidth="1"/>
    <col min="17" max="17" width="14" bestFit="1" customWidth="1"/>
    <col min="18" max="18" width="27.7109375" bestFit="1" customWidth="1"/>
  </cols>
  <sheetData>
    <row r="1" spans="1:19">
      <c r="E1" t="s">
        <v>924</v>
      </c>
      <c r="F1" t="s">
        <v>925</v>
      </c>
      <c r="G1" t="s">
        <v>926</v>
      </c>
      <c r="H1" t="s">
        <v>925</v>
      </c>
      <c r="I1" t="s">
        <v>926</v>
      </c>
      <c r="J1" t="s">
        <v>925</v>
      </c>
      <c r="K1" t="s">
        <v>926</v>
      </c>
      <c r="P1" t="s">
        <v>925</v>
      </c>
      <c r="Q1" t="s">
        <v>926</v>
      </c>
      <c r="R1" t="s">
        <v>927</v>
      </c>
      <c r="S1" t="s">
        <v>928</v>
      </c>
    </row>
    <row r="2" spans="1:19">
      <c r="A2" s="152" t="s">
        <v>861</v>
      </c>
      <c r="B2" s="145" t="s">
        <v>929</v>
      </c>
      <c r="C2" s="145">
        <v>4</v>
      </c>
      <c r="D2" t="s">
        <v>930</v>
      </c>
      <c r="E2">
        <v>1</v>
      </c>
      <c r="F2" s="8" t="s">
        <v>929</v>
      </c>
      <c r="G2" s="8" t="s">
        <v>929</v>
      </c>
      <c r="J2" t="s">
        <v>931</v>
      </c>
      <c r="L2">
        <f>COUNTA(F2,H2,J2)</f>
        <v>2</v>
      </c>
      <c r="M2">
        <f>COUNTA(G2,I2,K2)</f>
        <v>1</v>
      </c>
      <c r="N2">
        <f>L2+M2</f>
        <v>3</v>
      </c>
      <c r="P2" t="str">
        <f>CONCATENATE(F2, " ", H2, " ", J2)</f>
        <v>Small 1  Small 4</v>
      </c>
      <c r="Q2" t="str">
        <f>CONCATENATE(G2, " ", I2, " ", K2)</f>
        <v xml:space="preserve">Small 1  </v>
      </c>
      <c r="R2" t="str">
        <f>CONCATENATE(P2, " ", Q2)</f>
        <v xml:space="preserve">Small 1  Small 4 Small 1  </v>
      </c>
    </row>
    <row r="3" spans="1:19">
      <c r="A3" s="145" t="s">
        <v>862</v>
      </c>
      <c r="B3" s="145" t="s">
        <v>932</v>
      </c>
      <c r="C3" s="145">
        <v>4</v>
      </c>
      <c r="D3" t="s">
        <v>930</v>
      </c>
      <c r="E3">
        <v>2</v>
      </c>
      <c r="F3" t="s">
        <v>933</v>
      </c>
      <c r="G3" t="s">
        <v>934</v>
      </c>
      <c r="K3" t="s">
        <v>935</v>
      </c>
      <c r="L3">
        <f t="shared" ref="L3:M29" si="0">COUNTA(F3,H3,J3)</f>
        <v>1</v>
      </c>
      <c r="M3">
        <f t="shared" si="0"/>
        <v>2</v>
      </c>
      <c r="N3">
        <f t="shared" ref="N3:N29" si="1">L3+M3</f>
        <v>3</v>
      </c>
      <c r="P3" t="str">
        <f t="shared" ref="P3:Q29" si="2">CONCATENATE(F3, " ", H3, " ", J3)</f>
        <v xml:space="preserve">Flexi  </v>
      </c>
      <c r="Q3" t="str">
        <f t="shared" si="2"/>
        <v>Sector  Small 5</v>
      </c>
      <c r="R3" t="str">
        <f t="shared" ref="R3:R29" si="3">CONCATENATE(P3, " ", Q3)</f>
        <v>Flexi   Sector  Small 5</v>
      </c>
    </row>
    <row r="4" spans="1:19">
      <c r="A4" s="145" t="s">
        <v>863</v>
      </c>
      <c r="B4" s="145" t="s">
        <v>936</v>
      </c>
      <c r="C4" s="145">
        <v>4</v>
      </c>
      <c r="D4" t="s">
        <v>930</v>
      </c>
      <c r="E4">
        <v>3</v>
      </c>
      <c r="F4" t="s">
        <v>932</v>
      </c>
      <c r="G4" s="166" t="s">
        <v>937</v>
      </c>
      <c r="J4" t="s">
        <v>936</v>
      </c>
      <c r="L4">
        <f t="shared" si="0"/>
        <v>2</v>
      </c>
      <c r="M4">
        <f t="shared" si="0"/>
        <v>1</v>
      </c>
      <c r="N4">
        <f t="shared" si="1"/>
        <v>3</v>
      </c>
      <c r="P4" t="str">
        <f t="shared" si="2"/>
        <v>Small 2  Small 3</v>
      </c>
      <c r="Q4" t="str">
        <f t="shared" si="2"/>
        <v xml:space="preserve">Flexi 1  </v>
      </c>
      <c r="R4" t="str">
        <f t="shared" si="3"/>
        <v xml:space="preserve">Small 2  Small 3 Flexi 1  </v>
      </c>
    </row>
    <row r="5" spans="1:19">
      <c r="A5" s="145" t="s">
        <v>864</v>
      </c>
      <c r="B5" s="145" t="s">
        <v>931</v>
      </c>
      <c r="C5" s="145">
        <v>4</v>
      </c>
      <c r="E5">
        <v>4</v>
      </c>
      <c r="F5" t="s">
        <v>139</v>
      </c>
      <c r="G5" t="s">
        <v>938</v>
      </c>
      <c r="L5">
        <f t="shared" si="0"/>
        <v>1</v>
      </c>
      <c r="M5">
        <f t="shared" si="0"/>
        <v>1</v>
      </c>
      <c r="N5">
        <f t="shared" si="1"/>
        <v>2</v>
      </c>
      <c r="P5" t="str">
        <f t="shared" si="2"/>
        <v xml:space="preserve">Focused  </v>
      </c>
      <c r="Q5" t="str">
        <f t="shared" si="2"/>
        <v xml:space="preserve">Large  </v>
      </c>
      <c r="R5" t="str">
        <f t="shared" si="3"/>
        <v xml:space="preserve">Focused   Large  </v>
      </c>
    </row>
    <row r="6" spans="1:19">
      <c r="A6" s="145" t="s">
        <v>865</v>
      </c>
      <c r="B6" s="145" t="s">
        <v>935</v>
      </c>
      <c r="C6" s="145">
        <v>4</v>
      </c>
      <c r="E6">
        <v>5</v>
      </c>
      <c r="F6" s="8" t="s">
        <v>929</v>
      </c>
      <c r="G6" s="8" t="s">
        <v>929</v>
      </c>
      <c r="H6" s="8" t="s">
        <v>939</v>
      </c>
      <c r="I6" s="8" t="s">
        <v>939</v>
      </c>
      <c r="L6">
        <f t="shared" si="0"/>
        <v>2</v>
      </c>
      <c r="M6">
        <f t="shared" si="0"/>
        <v>2</v>
      </c>
      <c r="N6">
        <f t="shared" si="1"/>
        <v>4</v>
      </c>
      <c r="P6" t="str">
        <f t="shared" si="2"/>
        <v xml:space="preserve">Small 1 L &amp; M 1 </v>
      </c>
      <c r="Q6" t="str">
        <f t="shared" si="2"/>
        <v xml:space="preserve">Small 1 L &amp; M 1 </v>
      </c>
      <c r="R6" t="str">
        <f t="shared" si="3"/>
        <v xml:space="preserve">Small 1 L &amp; M 1  Small 1 L &amp; M 1 </v>
      </c>
    </row>
    <row r="7" spans="1:19">
      <c r="E7">
        <v>6</v>
      </c>
      <c r="F7" t="s">
        <v>934</v>
      </c>
      <c r="G7" t="s">
        <v>940</v>
      </c>
      <c r="K7" t="s">
        <v>931</v>
      </c>
      <c r="L7">
        <f t="shared" si="0"/>
        <v>1</v>
      </c>
      <c r="M7">
        <f t="shared" si="0"/>
        <v>2</v>
      </c>
      <c r="N7">
        <f t="shared" si="1"/>
        <v>3</v>
      </c>
      <c r="P7" t="str">
        <f t="shared" si="2"/>
        <v xml:space="preserve">Sector  </v>
      </c>
      <c r="Q7" t="str">
        <f t="shared" si="2"/>
        <v>L &amp; M 2  Small 4</v>
      </c>
      <c r="R7" t="str">
        <f t="shared" si="3"/>
        <v>Sector   L &amp; M 2  Small 4</v>
      </c>
    </row>
    <row r="8" spans="1:19">
      <c r="A8" s="145" t="s">
        <v>873</v>
      </c>
      <c r="B8" s="145" t="s">
        <v>937</v>
      </c>
      <c r="C8" s="145">
        <v>4</v>
      </c>
      <c r="D8" t="s">
        <v>930</v>
      </c>
      <c r="E8">
        <v>7</v>
      </c>
      <c r="F8" t="s">
        <v>931</v>
      </c>
      <c r="G8" t="s">
        <v>932</v>
      </c>
      <c r="L8">
        <f t="shared" si="0"/>
        <v>1</v>
      </c>
      <c r="M8">
        <f t="shared" si="0"/>
        <v>1</v>
      </c>
      <c r="N8">
        <f t="shared" si="1"/>
        <v>2</v>
      </c>
      <c r="P8" t="str">
        <f t="shared" si="2"/>
        <v xml:space="preserve">Small 4  </v>
      </c>
      <c r="Q8" t="str">
        <f t="shared" si="2"/>
        <v xml:space="preserve">Small 2  </v>
      </c>
      <c r="R8" t="str">
        <f t="shared" si="3"/>
        <v xml:space="preserve">Small 4   Small 2  </v>
      </c>
    </row>
    <row r="9" spans="1:19">
      <c r="A9" s="145" t="s">
        <v>866</v>
      </c>
      <c r="B9" s="145" t="s">
        <v>939</v>
      </c>
      <c r="C9" s="145">
        <v>2</v>
      </c>
      <c r="D9" t="s">
        <v>930</v>
      </c>
      <c r="E9">
        <v>8</v>
      </c>
      <c r="F9" s="166" t="s">
        <v>937</v>
      </c>
      <c r="G9" t="s">
        <v>936</v>
      </c>
      <c r="L9">
        <f t="shared" si="0"/>
        <v>1</v>
      </c>
      <c r="M9">
        <f t="shared" si="0"/>
        <v>1</v>
      </c>
      <c r="N9">
        <f t="shared" si="1"/>
        <v>2</v>
      </c>
      <c r="P9" t="str">
        <f t="shared" si="2"/>
        <v xml:space="preserve">Flexi 1  </v>
      </c>
      <c r="Q9" t="str">
        <f t="shared" si="2"/>
        <v xml:space="preserve">Small 3  </v>
      </c>
      <c r="R9" t="str">
        <f t="shared" si="3"/>
        <v xml:space="preserve">Flexi 1   Small 3  </v>
      </c>
    </row>
    <row r="10" spans="1:19">
      <c r="A10" s="145" t="s">
        <v>867</v>
      </c>
      <c r="B10" s="145" t="s">
        <v>940</v>
      </c>
      <c r="C10" s="145">
        <v>4</v>
      </c>
      <c r="D10" t="s">
        <v>930</v>
      </c>
      <c r="E10">
        <v>9</v>
      </c>
      <c r="F10" t="s">
        <v>932</v>
      </c>
      <c r="G10" t="s">
        <v>938</v>
      </c>
      <c r="K10" t="s">
        <v>935</v>
      </c>
      <c r="L10">
        <f t="shared" si="0"/>
        <v>1</v>
      </c>
      <c r="M10">
        <f t="shared" si="0"/>
        <v>2</v>
      </c>
      <c r="N10">
        <f t="shared" si="1"/>
        <v>3</v>
      </c>
      <c r="P10" t="str">
        <f t="shared" si="2"/>
        <v xml:space="preserve">Small 2  </v>
      </c>
      <c r="Q10" t="str">
        <f t="shared" si="2"/>
        <v>Large  Small 5</v>
      </c>
      <c r="R10" t="str">
        <f t="shared" si="3"/>
        <v>Small 2   Large  Small 5</v>
      </c>
    </row>
    <row r="11" spans="1:19">
      <c r="A11" s="145" t="s">
        <v>868</v>
      </c>
      <c r="B11" s="145" t="s">
        <v>934</v>
      </c>
      <c r="C11" s="145">
        <v>2</v>
      </c>
      <c r="D11" t="s">
        <v>930</v>
      </c>
      <c r="E11">
        <v>10</v>
      </c>
      <c r="F11" s="8" t="s">
        <v>929</v>
      </c>
      <c r="G11" s="8" t="s">
        <v>929</v>
      </c>
      <c r="L11">
        <f t="shared" si="0"/>
        <v>1</v>
      </c>
      <c r="M11">
        <f t="shared" si="0"/>
        <v>1</v>
      </c>
      <c r="N11">
        <f t="shared" si="1"/>
        <v>2</v>
      </c>
      <c r="P11" t="str">
        <f t="shared" si="2"/>
        <v xml:space="preserve">Small 1  </v>
      </c>
      <c r="Q11" t="str">
        <f t="shared" si="2"/>
        <v xml:space="preserve">Small 1  </v>
      </c>
      <c r="R11" t="str">
        <f t="shared" si="3"/>
        <v xml:space="preserve">Small 1   Small 1  </v>
      </c>
    </row>
    <row r="12" spans="1:19">
      <c r="A12" s="145" t="s">
        <v>869</v>
      </c>
      <c r="B12" s="145" t="s">
        <v>938</v>
      </c>
      <c r="C12" s="145">
        <v>4</v>
      </c>
      <c r="D12" t="s">
        <v>930</v>
      </c>
      <c r="E12">
        <v>11</v>
      </c>
      <c r="F12" t="s">
        <v>139</v>
      </c>
      <c r="G12" t="s">
        <v>934</v>
      </c>
      <c r="J12" t="s">
        <v>935</v>
      </c>
      <c r="L12">
        <f t="shared" si="0"/>
        <v>2</v>
      </c>
      <c r="M12">
        <f t="shared" si="0"/>
        <v>1</v>
      </c>
      <c r="N12">
        <f t="shared" si="1"/>
        <v>3</v>
      </c>
      <c r="P12" t="str">
        <f t="shared" si="2"/>
        <v>Focused  Small 5</v>
      </c>
      <c r="Q12" t="str">
        <f t="shared" si="2"/>
        <v xml:space="preserve">Sector  </v>
      </c>
      <c r="R12" t="str">
        <f t="shared" si="3"/>
        <v xml:space="preserve">Focused  Small 5 Sector  </v>
      </c>
      <c r="S12" t="s">
        <v>928</v>
      </c>
    </row>
    <row r="13" spans="1:19">
      <c r="E13">
        <v>12</v>
      </c>
      <c r="F13" t="s">
        <v>933</v>
      </c>
      <c r="G13" s="166" t="s">
        <v>937</v>
      </c>
      <c r="L13">
        <f t="shared" si="0"/>
        <v>1</v>
      </c>
      <c r="M13">
        <f t="shared" si="0"/>
        <v>1</v>
      </c>
      <c r="N13">
        <f t="shared" si="1"/>
        <v>2</v>
      </c>
      <c r="P13" t="str">
        <f t="shared" si="2"/>
        <v xml:space="preserve">Flexi  </v>
      </c>
      <c r="Q13" t="str">
        <f t="shared" si="2"/>
        <v xml:space="preserve">Flexi 1  </v>
      </c>
      <c r="R13" t="str">
        <f t="shared" si="3"/>
        <v xml:space="preserve">Flexi   Flexi 1  </v>
      </c>
    </row>
    <row r="14" spans="1:19">
      <c r="A14" s="145" t="s">
        <v>873</v>
      </c>
      <c r="B14" s="145" t="s">
        <v>937</v>
      </c>
      <c r="C14" s="145">
        <v>4</v>
      </c>
      <c r="D14" t="s">
        <v>930</v>
      </c>
      <c r="E14">
        <v>13</v>
      </c>
      <c r="F14" t="s">
        <v>936</v>
      </c>
      <c r="G14" t="s">
        <v>940</v>
      </c>
      <c r="K14" t="s">
        <v>931</v>
      </c>
      <c r="L14">
        <f t="shared" si="0"/>
        <v>1</v>
      </c>
      <c r="M14">
        <f t="shared" si="0"/>
        <v>2</v>
      </c>
      <c r="N14">
        <f t="shared" si="1"/>
        <v>3</v>
      </c>
      <c r="P14" t="str">
        <f t="shared" si="2"/>
        <v xml:space="preserve">Small 3  </v>
      </c>
      <c r="Q14" t="str">
        <f t="shared" si="2"/>
        <v>L &amp; M 2  Small 4</v>
      </c>
      <c r="R14" t="str">
        <f t="shared" si="3"/>
        <v>Small 3   L &amp; M 2  Small 4</v>
      </c>
    </row>
    <row r="15" spans="1:19">
      <c r="A15" s="145" t="s">
        <v>866</v>
      </c>
      <c r="B15" s="145" t="s">
        <v>939</v>
      </c>
      <c r="C15" s="145">
        <v>2</v>
      </c>
      <c r="D15" t="s">
        <v>930</v>
      </c>
      <c r="E15">
        <v>14</v>
      </c>
      <c r="F15" s="166" t="s">
        <v>937</v>
      </c>
      <c r="G15" t="s">
        <v>935</v>
      </c>
      <c r="L15">
        <f t="shared" si="0"/>
        <v>1</v>
      </c>
      <c r="M15">
        <f t="shared" si="0"/>
        <v>1</v>
      </c>
      <c r="N15">
        <f t="shared" si="1"/>
        <v>2</v>
      </c>
      <c r="P15" t="str">
        <f t="shared" si="2"/>
        <v xml:space="preserve">Flexi 1  </v>
      </c>
      <c r="Q15" t="str">
        <f t="shared" si="2"/>
        <v xml:space="preserve">Small 5  </v>
      </c>
      <c r="R15" t="str">
        <f t="shared" si="3"/>
        <v xml:space="preserve">Flexi 1   Small 5  </v>
      </c>
    </row>
    <row r="16" spans="1:19">
      <c r="A16" s="145" t="s">
        <v>870</v>
      </c>
      <c r="B16" s="145" t="s">
        <v>139</v>
      </c>
      <c r="C16" s="145">
        <v>4</v>
      </c>
      <c r="D16" t="s">
        <v>930</v>
      </c>
      <c r="E16">
        <v>15</v>
      </c>
      <c r="F16" s="8" t="s">
        <v>929</v>
      </c>
      <c r="G16" s="8" t="s">
        <v>929</v>
      </c>
      <c r="H16" s="8" t="s">
        <v>939</v>
      </c>
      <c r="I16" s="8" t="s">
        <v>939</v>
      </c>
      <c r="L16">
        <f t="shared" si="0"/>
        <v>2</v>
      </c>
      <c r="M16">
        <f t="shared" si="0"/>
        <v>2</v>
      </c>
      <c r="N16">
        <f t="shared" si="1"/>
        <v>4</v>
      </c>
      <c r="P16" t="str">
        <f t="shared" si="2"/>
        <v xml:space="preserve">Small 1 L &amp; M 1 </v>
      </c>
      <c r="Q16" t="str">
        <f t="shared" si="2"/>
        <v xml:space="preserve">Small 1 L &amp; M 1 </v>
      </c>
      <c r="R16" t="str">
        <f t="shared" si="3"/>
        <v xml:space="preserve">Small 1 L &amp; M 1  Small 1 L &amp; M 1 </v>
      </c>
    </row>
    <row r="17" spans="1:19">
      <c r="A17" s="145" t="s">
        <v>941</v>
      </c>
      <c r="B17" s="145" t="s">
        <v>934</v>
      </c>
      <c r="C17" s="145">
        <v>2</v>
      </c>
      <c r="D17" s="145" t="s">
        <v>930</v>
      </c>
      <c r="E17">
        <v>16</v>
      </c>
      <c r="F17" t="s">
        <v>934</v>
      </c>
      <c r="G17" t="s">
        <v>932</v>
      </c>
      <c r="L17">
        <f t="shared" si="0"/>
        <v>1</v>
      </c>
      <c r="M17">
        <f t="shared" si="0"/>
        <v>1</v>
      </c>
      <c r="N17">
        <f t="shared" si="1"/>
        <v>2</v>
      </c>
      <c r="P17" t="str">
        <f t="shared" si="2"/>
        <v xml:space="preserve">Sector  </v>
      </c>
      <c r="Q17" t="str">
        <f t="shared" si="2"/>
        <v xml:space="preserve">Small 2  </v>
      </c>
      <c r="R17" t="str">
        <f t="shared" si="3"/>
        <v xml:space="preserve">Sector   Small 2  </v>
      </c>
    </row>
    <row r="18" spans="1:19">
      <c r="A18" s="145" t="s">
        <v>872</v>
      </c>
      <c r="B18" s="145" t="s">
        <v>933</v>
      </c>
      <c r="C18" s="145">
        <v>4</v>
      </c>
      <c r="D18" t="s">
        <v>930</v>
      </c>
      <c r="E18">
        <v>17</v>
      </c>
      <c r="F18" t="s">
        <v>933</v>
      </c>
      <c r="G18" t="s">
        <v>936</v>
      </c>
      <c r="J18" t="s">
        <v>935</v>
      </c>
      <c r="L18">
        <f t="shared" si="0"/>
        <v>2</v>
      </c>
      <c r="M18">
        <f t="shared" si="0"/>
        <v>1</v>
      </c>
      <c r="N18">
        <f t="shared" si="1"/>
        <v>3</v>
      </c>
      <c r="P18" t="str">
        <f t="shared" si="2"/>
        <v>Flexi  Small 5</v>
      </c>
      <c r="Q18" t="str">
        <f t="shared" si="2"/>
        <v xml:space="preserve">Small 3  </v>
      </c>
      <c r="R18" t="str">
        <f t="shared" si="3"/>
        <v xml:space="preserve">Flexi  Small 5 Small 3  </v>
      </c>
      <c r="S18" t="s">
        <v>928</v>
      </c>
    </row>
    <row r="19" spans="1:19">
      <c r="E19">
        <v>18</v>
      </c>
      <c r="F19" t="s">
        <v>932</v>
      </c>
      <c r="G19" t="s">
        <v>940</v>
      </c>
      <c r="L19">
        <f t="shared" si="0"/>
        <v>1</v>
      </c>
      <c r="M19">
        <f t="shared" si="0"/>
        <v>1</v>
      </c>
      <c r="N19">
        <f t="shared" si="1"/>
        <v>2</v>
      </c>
      <c r="P19" t="str">
        <f t="shared" si="2"/>
        <v xml:space="preserve">Small 2  </v>
      </c>
      <c r="Q19" t="str">
        <f t="shared" si="2"/>
        <v xml:space="preserve">L &amp; M 2  </v>
      </c>
      <c r="R19" t="str">
        <f t="shared" si="3"/>
        <v xml:space="preserve">Small 2   L &amp; M 2  </v>
      </c>
    </row>
    <row r="20" spans="1:19">
      <c r="E20">
        <v>19</v>
      </c>
      <c r="F20" t="s">
        <v>936</v>
      </c>
      <c r="G20" s="166" t="s">
        <v>937</v>
      </c>
      <c r="K20" t="s">
        <v>931</v>
      </c>
      <c r="L20">
        <f t="shared" si="0"/>
        <v>1</v>
      </c>
      <c r="M20">
        <f t="shared" si="0"/>
        <v>2</v>
      </c>
      <c r="N20">
        <f t="shared" si="1"/>
        <v>3</v>
      </c>
      <c r="P20" t="str">
        <f t="shared" si="2"/>
        <v xml:space="preserve">Small 3  </v>
      </c>
      <c r="Q20" t="str">
        <f t="shared" si="2"/>
        <v>Flexi 1  Small 4</v>
      </c>
      <c r="R20" t="str">
        <f t="shared" si="3"/>
        <v>Small 3   Flexi 1  Small 4</v>
      </c>
    </row>
    <row r="21" spans="1:19">
      <c r="A21" s="145" t="s">
        <v>12353</v>
      </c>
      <c r="E21">
        <v>20</v>
      </c>
      <c r="F21" t="s">
        <v>931</v>
      </c>
      <c r="G21" t="s">
        <v>938</v>
      </c>
      <c r="L21">
        <f t="shared" si="0"/>
        <v>1</v>
      </c>
      <c r="M21">
        <f t="shared" si="0"/>
        <v>1</v>
      </c>
      <c r="N21">
        <f t="shared" si="1"/>
        <v>2</v>
      </c>
      <c r="P21" t="str">
        <f t="shared" si="2"/>
        <v xml:space="preserve">Small 4  </v>
      </c>
      <c r="Q21" t="str">
        <f t="shared" si="2"/>
        <v xml:space="preserve">Large  </v>
      </c>
      <c r="R21" t="str">
        <f t="shared" si="3"/>
        <v xml:space="preserve">Small 4   Large  </v>
      </c>
    </row>
    <row r="22" spans="1:19">
      <c r="A22" s="145" t="s">
        <v>12354</v>
      </c>
      <c r="E22">
        <v>21</v>
      </c>
      <c r="F22" t="s">
        <v>139</v>
      </c>
      <c r="G22" t="s">
        <v>932</v>
      </c>
      <c r="K22" t="s">
        <v>935</v>
      </c>
      <c r="L22">
        <f t="shared" si="0"/>
        <v>1</v>
      </c>
      <c r="M22">
        <f t="shared" si="0"/>
        <v>2</v>
      </c>
      <c r="N22">
        <f t="shared" si="1"/>
        <v>3</v>
      </c>
      <c r="P22" t="str">
        <f t="shared" si="2"/>
        <v xml:space="preserve">Focused  </v>
      </c>
      <c r="Q22" t="str">
        <f t="shared" si="2"/>
        <v>Small 2  Small 5</v>
      </c>
      <c r="R22" t="str">
        <f t="shared" si="3"/>
        <v>Focused   Small 2  Small 5</v>
      </c>
    </row>
    <row r="23" spans="1:19">
      <c r="A23" s="145" t="s">
        <v>12355</v>
      </c>
      <c r="E23">
        <v>22</v>
      </c>
      <c r="F23" s="166" t="s">
        <v>937</v>
      </c>
      <c r="G23" t="s">
        <v>936</v>
      </c>
      <c r="L23">
        <f t="shared" si="0"/>
        <v>1</v>
      </c>
      <c r="M23">
        <f t="shared" si="0"/>
        <v>1</v>
      </c>
      <c r="N23">
        <f t="shared" si="1"/>
        <v>2</v>
      </c>
      <c r="P23" t="str">
        <f t="shared" si="2"/>
        <v xml:space="preserve">Flexi 1  </v>
      </c>
      <c r="Q23" t="str">
        <f t="shared" si="2"/>
        <v xml:space="preserve">Small 3  </v>
      </c>
      <c r="R23" t="str">
        <f t="shared" si="3"/>
        <v xml:space="preserve">Flexi 1   Small 3  </v>
      </c>
    </row>
    <row r="24" spans="1:19">
      <c r="A24" s="145" t="s">
        <v>12356</v>
      </c>
      <c r="E24">
        <v>23</v>
      </c>
      <c r="F24" t="s">
        <v>935</v>
      </c>
      <c r="G24" t="s">
        <v>931</v>
      </c>
      <c r="J24" t="s">
        <v>935</v>
      </c>
      <c r="L24">
        <f t="shared" si="0"/>
        <v>2</v>
      </c>
      <c r="M24">
        <f t="shared" si="0"/>
        <v>1</v>
      </c>
      <c r="N24">
        <f t="shared" si="1"/>
        <v>3</v>
      </c>
      <c r="P24" t="str">
        <f t="shared" si="2"/>
        <v>Small 5  Small 5</v>
      </c>
      <c r="Q24" t="str">
        <f t="shared" si="2"/>
        <v xml:space="preserve">Small 4  </v>
      </c>
      <c r="R24" t="str">
        <f t="shared" si="3"/>
        <v xml:space="preserve">Small 5  Small 5 Small 4  </v>
      </c>
      <c r="S24" t="s">
        <v>928</v>
      </c>
    </row>
    <row r="25" spans="1:19">
      <c r="E25">
        <v>24</v>
      </c>
      <c r="F25" t="s">
        <v>932</v>
      </c>
      <c r="G25" t="s">
        <v>940</v>
      </c>
      <c r="L25">
        <f t="shared" si="0"/>
        <v>1</v>
      </c>
      <c r="M25">
        <f>COUNTA(G26,I25,K25)</f>
        <v>1</v>
      </c>
      <c r="N25">
        <f t="shared" si="1"/>
        <v>2</v>
      </c>
      <c r="P25" t="str">
        <f t="shared" si="2"/>
        <v xml:space="preserve">Small 2  </v>
      </c>
      <c r="Q25" t="str">
        <f t="shared" si="2"/>
        <v xml:space="preserve">L &amp; M 2  </v>
      </c>
      <c r="R25" t="str">
        <f t="shared" si="3"/>
        <v xml:space="preserve">Small 2   L &amp; M 2  </v>
      </c>
    </row>
    <row r="26" spans="1:19">
      <c r="E26">
        <v>25</v>
      </c>
      <c r="F26" t="s">
        <v>933</v>
      </c>
      <c r="G26" t="s">
        <v>938</v>
      </c>
      <c r="L26">
        <f t="shared" si="0"/>
        <v>1</v>
      </c>
      <c r="M26">
        <f>COUNTA(G25,I26,K26)</f>
        <v>1</v>
      </c>
      <c r="N26">
        <f t="shared" si="1"/>
        <v>2</v>
      </c>
      <c r="P26" t="str">
        <f t="shared" si="2"/>
        <v xml:space="preserve">Flexi  </v>
      </c>
      <c r="Q26" t="str">
        <f t="shared" si="2"/>
        <v xml:space="preserve">Large  </v>
      </c>
      <c r="R26" t="str">
        <f t="shared" si="3"/>
        <v xml:space="preserve">Flexi   Large  </v>
      </c>
    </row>
    <row r="27" spans="1:19">
      <c r="E27">
        <v>26</v>
      </c>
      <c r="F27" t="s">
        <v>936</v>
      </c>
      <c r="G27" s="166" t="s">
        <v>937</v>
      </c>
      <c r="J27" t="s">
        <v>931</v>
      </c>
      <c r="L27">
        <f t="shared" si="0"/>
        <v>2</v>
      </c>
      <c r="M27">
        <f t="shared" si="0"/>
        <v>1</v>
      </c>
      <c r="N27">
        <f t="shared" si="1"/>
        <v>3</v>
      </c>
      <c r="P27" t="str">
        <f t="shared" si="2"/>
        <v>Small 3  Small 4</v>
      </c>
      <c r="Q27" t="str">
        <f t="shared" si="2"/>
        <v xml:space="preserve">Flexi 1  </v>
      </c>
      <c r="R27" t="str">
        <f t="shared" si="3"/>
        <v xml:space="preserve">Small 3  Small 4 Flexi 1  </v>
      </c>
    </row>
    <row r="28" spans="1:19">
      <c r="E28">
        <v>27</v>
      </c>
      <c r="F28" t="s">
        <v>139</v>
      </c>
      <c r="G28" t="s">
        <v>932</v>
      </c>
      <c r="L28">
        <f t="shared" si="0"/>
        <v>1</v>
      </c>
      <c r="M28">
        <f t="shared" si="0"/>
        <v>1</v>
      </c>
      <c r="N28">
        <f t="shared" si="1"/>
        <v>2</v>
      </c>
      <c r="P28" t="str">
        <f t="shared" si="2"/>
        <v xml:space="preserve">Focused  </v>
      </c>
      <c r="Q28" t="str">
        <f t="shared" si="2"/>
        <v xml:space="preserve">Small 2  </v>
      </c>
      <c r="R28" t="str">
        <f t="shared" si="3"/>
        <v xml:space="preserve">Focused   Small 2  </v>
      </c>
    </row>
    <row r="29" spans="1:19">
      <c r="E29">
        <v>28</v>
      </c>
      <c r="F29" s="166" t="s">
        <v>937</v>
      </c>
      <c r="G29" t="s">
        <v>936</v>
      </c>
      <c r="J29" t="s">
        <v>935</v>
      </c>
      <c r="L29">
        <f t="shared" si="0"/>
        <v>2</v>
      </c>
      <c r="M29">
        <f t="shared" si="0"/>
        <v>1</v>
      </c>
      <c r="N29">
        <f t="shared" si="1"/>
        <v>3</v>
      </c>
      <c r="P29" t="str">
        <f t="shared" si="2"/>
        <v>Flexi 1  Small 5</v>
      </c>
      <c r="Q29" t="str">
        <f t="shared" si="2"/>
        <v xml:space="preserve">Small 3  </v>
      </c>
      <c r="R29" t="str">
        <f t="shared" si="3"/>
        <v xml:space="preserve">Flexi 1  Small 5 Small 3  </v>
      </c>
      <c r="S29" t="s">
        <v>928</v>
      </c>
    </row>
  </sheetData>
  <autoFilter ref="P1:R29" xr:uid="{00000000-0009-0000-0000-000003000000}"/>
  <pageMargins left="0.7" right="0.7" top="0.75" bottom="0.75" header="0.3" footer="0.3"/>
  <pageSetup orientation="portrait" r:id="rId1"/>
  <legacy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CG54"/>
  <sheetViews>
    <sheetView topLeftCell="BB1" workbookViewId="0">
      <selection activeCell="BI1" sqref="BI1"/>
    </sheetView>
  </sheetViews>
  <sheetFormatPr defaultColWidth="9.140625" defaultRowHeight="12.75"/>
  <cols>
    <col min="1" max="1" width="4.28515625" style="144" bestFit="1" customWidth="1"/>
    <col min="2" max="2" width="48.28515625" style="144" bestFit="1" customWidth="1"/>
    <col min="3" max="3" width="7.28515625" style="144" bestFit="1" customWidth="1"/>
    <col min="4" max="4" width="43.42578125" style="144" bestFit="1" customWidth="1"/>
    <col min="5" max="5" width="7.28515625" style="144" bestFit="1" customWidth="1"/>
    <col min="6" max="6" width="36" style="144" bestFit="1" customWidth="1"/>
    <col min="7" max="7" width="7.28515625" style="144" bestFit="1" customWidth="1"/>
    <col min="8" max="8" width="41.28515625" style="144" bestFit="1" customWidth="1"/>
    <col min="9" max="9" width="6.5703125" style="144" bestFit="1" customWidth="1"/>
    <col min="10" max="10" width="37.42578125" style="144" bestFit="1" customWidth="1"/>
    <col min="11" max="11" width="9.140625" style="144"/>
    <col min="12" max="12" width="3.28515625" style="144" bestFit="1" customWidth="1"/>
    <col min="13" max="13" width="6.5703125" style="144" bestFit="1" customWidth="1"/>
    <col min="14" max="14" width="4.7109375" style="144" bestFit="1" customWidth="1"/>
    <col min="15" max="15" width="6.5703125" style="144" bestFit="1" customWidth="1"/>
    <col min="16" max="16" width="4.28515625" style="144" bestFit="1" customWidth="1"/>
    <col min="17" max="17" width="5" style="144" bestFit="1" customWidth="1"/>
    <col min="18" max="18" width="7.42578125" style="144" bestFit="1" customWidth="1"/>
    <col min="19" max="19" width="55.42578125" style="144" bestFit="1" customWidth="1"/>
    <col min="20" max="20" width="9.140625" style="144"/>
    <col min="21" max="21" width="5.42578125" style="144" bestFit="1" customWidth="1"/>
    <col min="22" max="22" width="55.42578125" style="144" bestFit="1" customWidth="1"/>
    <col min="23" max="24" width="5" style="144" bestFit="1" customWidth="1"/>
    <col min="25" max="25" width="3" style="144" bestFit="1" customWidth="1"/>
    <col min="26" max="26" width="9.140625" style="144"/>
    <col min="27" max="27" width="5.7109375" style="144" bestFit="1" customWidth="1"/>
    <col min="28" max="28" width="6.5703125" style="144" bestFit="1" customWidth="1"/>
    <col min="29" max="29" width="7.7109375" style="144" bestFit="1" customWidth="1"/>
    <col min="30" max="30" width="5" style="144" bestFit="1" customWidth="1"/>
    <col min="31" max="32" width="6" style="144" bestFit="1" customWidth="1"/>
    <col min="33" max="33" width="9.140625" style="144"/>
    <col min="34" max="34" width="8.42578125" style="144" bestFit="1" customWidth="1"/>
    <col min="35" max="35" width="15" style="144" bestFit="1" customWidth="1"/>
    <col min="36" max="36" width="6" style="144" bestFit="1" customWidth="1"/>
    <col min="37" max="37" width="8.140625" style="144" bestFit="1" customWidth="1"/>
    <col min="38" max="38" width="4.42578125" style="144" bestFit="1" customWidth="1"/>
    <col min="39" max="39" width="5.7109375" style="144" bestFit="1" customWidth="1"/>
    <col min="40" max="40" width="6" style="144" bestFit="1" customWidth="1"/>
    <col min="41" max="41" width="7.7109375" style="144" bestFit="1" customWidth="1"/>
    <col min="42" max="42" width="4.5703125" style="144" bestFit="1" customWidth="1"/>
    <col min="43" max="43" width="5.5703125" style="144" bestFit="1" customWidth="1"/>
    <col min="44" max="44" width="6" style="144" bestFit="1" customWidth="1"/>
    <col min="45" max="45" width="13.85546875" style="144" bestFit="1" customWidth="1"/>
    <col min="46" max="46" width="9.140625" style="144"/>
    <col min="47" max="47" width="16.5703125" style="144" bestFit="1" customWidth="1"/>
    <col min="48" max="48" width="12.42578125" style="144" bestFit="1" customWidth="1"/>
    <col min="49" max="50" width="6" style="144" bestFit="1" customWidth="1"/>
    <col min="51" max="52" width="5.28515625" style="144" bestFit="1" customWidth="1"/>
    <col min="53" max="53" width="6" style="144" bestFit="1" customWidth="1"/>
    <col min="54" max="16384" width="9.140625" style="144"/>
  </cols>
  <sheetData>
    <row r="1" spans="1:85" ht="63.75">
      <c r="C1" s="144" t="s">
        <v>942</v>
      </c>
      <c r="E1" s="144" t="s">
        <v>942</v>
      </c>
      <c r="G1" s="144" t="s">
        <v>942</v>
      </c>
      <c r="H1" s="144" t="s">
        <v>942</v>
      </c>
      <c r="AH1" s="145"/>
      <c r="AI1" s="145"/>
      <c r="AJ1" s="145"/>
      <c r="AK1" s="145"/>
      <c r="AL1" s="145"/>
      <c r="AM1" s="145"/>
      <c r="AN1" s="145"/>
      <c r="AO1" s="145"/>
      <c r="AP1" s="145"/>
      <c r="AQ1" s="145"/>
      <c r="AR1" s="145"/>
      <c r="AS1" s="146" t="s">
        <v>943</v>
      </c>
      <c r="AT1" s="145"/>
      <c r="AU1" s="145"/>
      <c r="AV1" s="145"/>
      <c r="AW1" s="145" t="s">
        <v>944</v>
      </c>
      <c r="AX1" s="145" t="s">
        <v>944</v>
      </c>
      <c r="AY1" s="145" t="s">
        <v>944</v>
      </c>
      <c r="AZ1" s="145" t="s">
        <v>944</v>
      </c>
      <c r="BA1" s="145"/>
      <c r="BB1" s="145"/>
      <c r="BC1" s="145"/>
      <c r="BD1" s="145"/>
      <c r="BE1" s="145"/>
      <c r="BF1" s="145"/>
      <c r="BI1" s="170" t="s">
        <v>945</v>
      </c>
      <c r="BJ1" s="145"/>
      <c r="BK1" s="145"/>
      <c r="BL1" s="145"/>
      <c r="BM1" s="145"/>
      <c r="BN1" s="145"/>
      <c r="BO1" s="145"/>
      <c r="BP1" s="145"/>
      <c r="BQ1" s="145"/>
      <c r="BR1" s="145"/>
      <c r="BS1" s="145"/>
      <c r="BT1" s="146" t="s">
        <v>943</v>
      </c>
      <c r="BU1" s="145"/>
      <c r="BV1" s="145"/>
      <c r="BW1" s="145"/>
      <c r="BX1" s="145" t="s">
        <v>944</v>
      </c>
      <c r="BY1" s="145" t="s">
        <v>944</v>
      </c>
      <c r="BZ1" s="145" t="s">
        <v>944</v>
      </c>
      <c r="CA1" s="145" t="s">
        <v>944</v>
      </c>
      <c r="CB1" s="145"/>
      <c r="CC1" s="145"/>
      <c r="CD1" s="145"/>
      <c r="CE1" s="145"/>
      <c r="CF1" s="145"/>
      <c r="CG1" s="145"/>
    </row>
    <row r="2" spans="1:85" ht="15">
      <c r="A2" s="147">
        <v>0.15</v>
      </c>
      <c r="AA2" t="s">
        <v>946</v>
      </c>
      <c r="AB2" t="s">
        <v>947</v>
      </c>
      <c r="AC2" t="s">
        <v>948</v>
      </c>
      <c r="AD2" t="s">
        <v>949</v>
      </c>
      <c r="AE2" t="s">
        <v>950</v>
      </c>
      <c r="AF2" t="s">
        <v>951</v>
      </c>
      <c r="AH2" s="145"/>
      <c r="AI2" s="145"/>
      <c r="AJ2" s="145" t="s">
        <v>952</v>
      </c>
      <c r="AK2" s="145" t="s">
        <v>953</v>
      </c>
      <c r="AL2" s="145" t="s">
        <v>954</v>
      </c>
      <c r="AM2" s="21" t="s">
        <v>946</v>
      </c>
      <c r="AN2" s="21" t="s">
        <v>947</v>
      </c>
      <c r="AO2" s="21" t="s">
        <v>948</v>
      </c>
      <c r="AP2" s="21" t="s">
        <v>949</v>
      </c>
      <c r="AQ2" s="21" t="s">
        <v>950</v>
      </c>
      <c r="AR2" s="21" t="s">
        <v>951</v>
      </c>
      <c r="AS2" s="145"/>
      <c r="AT2" s="145"/>
      <c r="AU2" s="145"/>
      <c r="AV2" s="145"/>
      <c r="AW2" s="145">
        <v>1</v>
      </c>
      <c r="AX2" s="145">
        <v>2</v>
      </c>
      <c r="AY2" s="145">
        <v>3</v>
      </c>
      <c r="AZ2" s="145">
        <v>4</v>
      </c>
      <c r="BA2" s="145"/>
      <c r="BB2" s="145"/>
      <c r="BC2" s="145"/>
      <c r="BD2" s="145"/>
      <c r="BE2" s="145"/>
      <c r="BF2" s="145"/>
      <c r="BI2" s="145"/>
      <c r="BJ2" s="145"/>
      <c r="BK2" s="145" t="s">
        <v>952</v>
      </c>
      <c r="BL2" s="145" t="s">
        <v>953</v>
      </c>
      <c r="BM2" s="145" t="s">
        <v>954</v>
      </c>
      <c r="BN2" s="21" t="s">
        <v>946</v>
      </c>
      <c r="BO2" s="21" t="s">
        <v>947</v>
      </c>
      <c r="BP2" s="21" t="s">
        <v>948</v>
      </c>
      <c r="BQ2" s="21" t="s">
        <v>949</v>
      </c>
      <c r="BR2" s="21" t="s">
        <v>950</v>
      </c>
      <c r="BS2" s="21" t="s">
        <v>951</v>
      </c>
      <c r="BT2" s="145"/>
      <c r="BU2" s="145"/>
      <c r="BV2" s="145"/>
      <c r="BW2" s="145"/>
      <c r="BX2" s="145">
        <v>1</v>
      </c>
      <c r="BY2" s="145">
        <v>2</v>
      </c>
      <c r="BZ2" s="145">
        <v>3</v>
      </c>
      <c r="CA2" s="145">
        <v>4</v>
      </c>
      <c r="CB2" s="145"/>
      <c r="CC2" s="145"/>
      <c r="CD2" s="145"/>
      <c r="CE2" s="145"/>
      <c r="CF2" s="145"/>
      <c r="CG2" s="145"/>
    </row>
    <row r="3" spans="1:85" ht="15">
      <c r="A3" s="147">
        <v>0.35</v>
      </c>
      <c r="B3" s="148" t="s">
        <v>955</v>
      </c>
      <c r="C3" s="149">
        <v>6.1000000000000004E-3</v>
      </c>
      <c r="D3" s="148" t="s">
        <v>956</v>
      </c>
      <c r="E3" s="149">
        <v>9.7999999999999997E-3</v>
      </c>
      <c r="F3" s="148" t="s">
        <v>957</v>
      </c>
      <c r="G3" s="149">
        <v>6.3E-3</v>
      </c>
      <c r="H3" s="148" t="s">
        <v>873</v>
      </c>
      <c r="I3" s="149">
        <v>9.7999999999999997E-3</v>
      </c>
      <c r="J3" s="144" t="s">
        <v>958</v>
      </c>
      <c r="L3" s="148" t="s">
        <v>959</v>
      </c>
      <c r="M3" s="149">
        <v>8.6999999999999994E-3</v>
      </c>
      <c r="N3" s="144" t="s">
        <v>960</v>
      </c>
      <c r="O3" s="149">
        <v>1.1299999999999999E-2</v>
      </c>
      <c r="R3" s="144" t="s">
        <v>961</v>
      </c>
      <c r="S3" s="150" t="s">
        <v>861</v>
      </c>
      <c r="T3" s="144">
        <v>5000</v>
      </c>
      <c r="V3" s="147" t="s">
        <v>861</v>
      </c>
      <c r="W3" s="144">
        <v>5000</v>
      </c>
      <c r="X3" s="144">
        <f>W3/4</f>
        <v>1250</v>
      </c>
      <c r="Y3" s="144">
        <v>4</v>
      </c>
      <c r="AA3" s="151">
        <v>9</v>
      </c>
      <c r="AB3" s="151">
        <v>23.72</v>
      </c>
      <c r="AC3" s="151">
        <v>23.29</v>
      </c>
      <c r="AD3" s="151">
        <v>2.97</v>
      </c>
      <c r="AE3" s="151">
        <v>20.65</v>
      </c>
      <c r="AF3" s="151">
        <v>30.75</v>
      </c>
      <c r="AH3" s="145" t="s">
        <v>961</v>
      </c>
      <c r="AI3" s="152" t="s">
        <v>861</v>
      </c>
      <c r="AJ3" s="145">
        <v>5000</v>
      </c>
      <c r="AK3" s="145">
        <f>AJ3/AL3</f>
        <v>1250</v>
      </c>
      <c r="AL3" s="145">
        <v>4</v>
      </c>
      <c r="AM3" s="153">
        <v>9</v>
      </c>
      <c r="AN3" s="154">
        <v>23.72</v>
      </c>
      <c r="AO3" s="154">
        <v>23.29</v>
      </c>
      <c r="AP3" s="154">
        <v>2.97</v>
      </c>
      <c r="AQ3" s="154">
        <v>20.65</v>
      </c>
      <c r="AR3" s="154">
        <v>30.75</v>
      </c>
      <c r="AS3" s="145">
        <v>0</v>
      </c>
      <c r="AT3" s="145" t="s">
        <v>962</v>
      </c>
      <c r="AU3" s="145" t="s">
        <v>963</v>
      </c>
      <c r="AV3" s="145"/>
      <c r="AW3" s="145">
        <v>1250</v>
      </c>
      <c r="AX3" s="145">
        <v>1250</v>
      </c>
      <c r="AY3" s="145">
        <v>1250</v>
      </c>
      <c r="AZ3" s="145">
        <v>1250</v>
      </c>
      <c r="BA3" s="145"/>
      <c r="BB3" s="145"/>
      <c r="BC3" s="145"/>
      <c r="BD3" s="145"/>
      <c r="BE3" s="145"/>
      <c r="BF3" s="145"/>
      <c r="BI3" s="145" t="s">
        <v>961</v>
      </c>
      <c r="BJ3" s="152" t="s">
        <v>861</v>
      </c>
      <c r="BK3" s="145">
        <v>5000</v>
      </c>
      <c r="BL3" s="145">
        <f>BK3/BM3</f>
        <v>1250</v>
      </c>
      <c r="BM3" s="145">
        <v>4</v>
      </c>
      <c r="BN3" s="153">
        <v>9</v>
      </c>
      <c r="BO3" s="154">
        <v>23.72</v>
      </c>
      <c r="BP3" s="154">
        <v>23.29</v>
      </c>
      <c r="BQ3" s="154">
        <v>2.97</v>
      </c>
      <c r="BR3" s="154">
        <v>20.65</v>
      </c>
      <c r="BS3" s="154">
        <v>30.75</v>
      </c>
      <c r="BT3" s="145">
        <v>0</v>
      </c>
      <c r="BU3" s="145" t="s">
        <v>962</v>
      </c>
      <c r="BV3" s="145" t="s">
        <v>963</v>
      </c>
      <c r="BW3" s="145"/>
      <c r="BX3" s="145">
        <v>1250</v>
      </c>
      <c r="BY3" s="145">
        <v>1250</v>
      </c>
      <c r="BZ3" s="145">
        <v>1250</v>
      </c>
      <c r="CA3" s="145">
        <v>1250</v>
      </c>
      <c r="CB3" s="145"/>
      <c r="CC3" s="145"/>
      <c r="CD3" s="145"/>
      <c r="CE3" s="145"/>
      <c r="CF3" s="145"/>
      <c r="CG3" s="145"/>
    </row>
    <row r="4" spans="1:85" ht="15">
      <c r="A4" s="147"/>
      <c r="C4" s="149" t="s">
        <v>964</v>
      </c>
      <c r="E4" s="149" t="s">
        <v>965</v>
      </c>
      <c r="G4" s="149" t="s">
        <v>966</v>
      </c>
      <c r="I4" s="149" t="s">
        <v>965</v>
      </c>
      <c r="M4" s="149" t="s">
        <v>967</v>
      </c>
      <c r="O4" s="144" t="s">
        <v>968</v>
      </c>
      <c r="R4" s="144" t="s">
        <v>961</v>
      </c>
      <c r="S4" s="148" t="s">
        <v>862</v>
      </c>
      <c r="T4" s="144">
        <f>15000/4</f>
        <v>3750</v>
      </c>
      <c r="V4" s="144" t="s">
        <v>862</v>
      </c>
      <c r="W4" s="144">
        <f>15000/4</f>
        <v>3750</v>
      </c>
      <c r="X4" s="144">
        <f>W4/3</f>
        <v>1250</v>
      </c>
      <c r="Y4" s="144">
        <v>3</v>
      </c>
      <c r="AA4" s="151">
        <v>14</v>
      </c>
      <c r="AB4" s="151">
        <v>21.04</v>
      </c>
      <c r="AC4" s="151">
        <v>19.64</v>
      </c>
      <c r="AD4" s="151">
        <v>5.36</v>
      </c>
      <c r="AE4" s="151">
        <v>16.62</v>
      </c>
      <c r="AF4" s="151">
        <v>37.659999999999997</v>
      </c>
      <c r="AH4" s="145" t="s">
        <v>961</v>
      </c>
      <c r="AI4" s="145" t="s">
        <v>862</v>
      </c>
      <c r="AJ4" s="145">
        <v>4000</v>
      </c>
      <c r="AK4" s="145">
        <f>AJ4/AL4</f>
        <v>1000</v>
      </c>
      <c r="AL4" s="145">
        <v>4</v>
      </c>
      <c r="AM4" s="153">
        <v>14</v>
      </c>
      <c r="AN4" s="154">
        <v>21.04</v>
      </c>
      <c r="AO4" s="154">
        <v>19.64</v>
      </c>
      <c r="AP4" s="154">
        <v>5.36</v>
      </c>
      <c r="AQ4" s="154">
        <v>16.62</v>
      </c>
      <c r="AR4" s="154">
        <v>37.659999999999997</v>
      </c>
      <c r="AS4" s="145">
        <v>5000</v>
      </c>
      <c r="AT4" s="145"/>
      <c r="AU4" s="145" t="s">
        <v>963</v>
      </c>
      <c r="AV4" s="145"/>
      <c r="AW4" s="145">
        <v>1000</v>
      </c>
      <c r="AX4" s="145">
        <v>1000</v>
      </c>
      <c r="AY4" s="145">
        <v>1000</v>
      </c>
      <c r="AZ4" s="145">
        <v>1000</v>
      </c>
      <c r="BA4" s="145"/>
      <c r="BB4" s="145"/>
      <c r="BC4" s="145"/>
      <c r="BD4" s="145"/>
      <c r="BE4" s="145"/>
      <c r="BF4" s="145"/>
      <c r="BI4" s="145" t="s">
        <v>961</v>
      </c>
      <c r="BJ4" s="145" t="s">
        <v>862</v>
      </c>
      <c r="BK4" s="145">
        <v>4000</v>
      </c>
      <c r="BL4" s="145">
        <f>BK4/BM4</f>
        <v>1000</v>
      </c>
      <c r="BM4" s="145">
        <v>4</v>
      </c>
      <c r="BN4" s="153">
        <v>14</v>
      </c>
      <c r="BO4" s="154">
        <v>21.04</v>
      </c>
      <c r="BP4" s="154">
        <v>19.64</v>
      </c>
      <c r="BQ4" s="154">
        <v>5.36</v>
      </c>
      <c r="BR4" s="154">
        <v>16.62</v>
      </c>
      <c r="BS4" s="154">
        <v>37.659999999999997</v>
      </c>
      <c r="BT4" s="145">
        <v>5000</v>
      </c>
      <c r="BU4" s="145"/>
      <c r="BV4" s="145" t="s">
        <v>963</v>
      </c>
      <c r="BW4" s="145"/>
      <c r="BX4" s="145">
        <v>1000</v>
      </c>
      <c r="BY4" s="145">
        <v>1000</v>
      </c>
      <c r="BZ4" s="145">
        <v>1000</v>
      </c>
      <c r="CA4" s="145">
        <v>1000</v>
      </c>
      <c r="CB4" s="145"/>
      <c r="CC4" s="145"/>
      <c r="CD4" s="145"/>
      <c r="CE4" s="145"/>
      <c r="CF4" s="145"/>
      <c r="CG4" s="145"/>
    </row>
    <row r="5" spans="1:85" ht="15">
      <c r="A5" s="147">
        <v>0.5</v>
      </c>
      <c r="B5" s="148" t="s">
        <v>969</v>
      </c>
      <c r="C5" s="149">
        <v>3.8999999999999998E-3</v>
      </c>
      <c r="D5" s="148" t="s">
        <v>970</v>
      </c>
      <c r="E5" s="149">
        <v>6.0000000000000001E-3</v>
      </c>
      <c r="F5" s="148" t="s">
        <v>971</v>
      </c>
      <c r="G5" s="149">
        <v>1.0699999999999999E-2</v>
      </c>
      <c r="H5" s="144" t="s">
        <v>972</v>
      </c>
      <c r="I5" s="149">
        <v>8.8000000000000005E-3</v>
      </c>
      <c r="R5" s="144" t="s">
        <v>961</v>
      </c>
      <c r="S5" s="148" t="s">
        <v>863</v>
      </c>
      <c r="T5" s="144">
        <f>15000/4</f>
        <v>3750</v>
      </c>
      <c r="V5" s="144" t="s">
        <v>863</v>
      </c>
      <c r="W5" s="144">
        <f>15000/4</f>
        <v>3750</v>
      </c>
      <c r="X5" s="144">
        <f>W5/3</f>
        <v>1250</v>
      </c>
      <c r="Y5" s="144">
        <v>3</v>
      </c>
      <c r="AA5" s="151">
        <v>5</v>
      </c>
      <c r="AB5" s="151">
        <v>21.46</v>
      </c>
      <c r="AC5" s="151">
        <v>20.09</v>
      </c>
      <c r="AD5" s="151">
        <v>4.2300000000000004</v>
      </c>
      <c r="AE5" s="151">
        <v>18.04</v>
      </c>
      <c r="AF5" s="151">
        <v>28.47</v>
      </c>
      <c r="AH5" s="145" t="s">
        <v>961</v>
      </c>
      <c r="AI5" s="145" t="s">
        <v>863</v>
      </c>
      <c r="AJ5" s="145">
        <v>4000</v>
      </c>
      <c r="AK5" s="145">
        <f>AJ5/AL5</f>
        <v>1000</v>
      </c>
      <c r="AL5" s="145">
        <v>4</v>
      </c>
      <c r="AM5" s="153">
        <v>5</v>
      </c>
      <c r="AN5" s="154">
        <v>21.46</v>
      </c>
      <c r="AO5" s="154">
        <v>20.09</v>
      </c>
      <c r="AP5" s="154">
        <v>4.2300000000000004</v>
      </c>
      <c r="AQ5" s="154">
        <v>18.04</v>
      </c>
      <c r="AR5" s="154">
        <v>28.47</v>
      </c>
      <c r="AS5" s="145">
        <v>5000</v>
      </c>
      <c r="AT5" s="145"/>
      <c r="AU5" s="145" t="s">
        <v>973</v>
      </c>
      <c r="AV5" s="145"/>
      <c r="AW5" s="145">
        <v>1000</v>
      </c>
      <c r="AX5" s="145">
        <v>1000</v>
      </c>
      <c r="AY5" s="145">
        <v>1000</v>
      </c>
      <c r="AZ5" s="145">
        <v>1000</v>
      </c>
      <c r="BA5" s="145"/>
      <c r="BB5" s="145"/>
      <c r="BC5" s="145"/>
      <c r="BD5" s="145"/>
      <c r="BE5" s="145"/>
      <c r="BF5" s="145"/>
      <c r="BI5" s="145" t="s">
        <v>961</v>
      </c>
      <c r="BJ5" s="145" t="s">
        <v>863</v>
      </c>
      <c r="BK5" s="145">
        <v>4000</v>
      </c>
      <c r="BL5" s="145">
        <f>BK5/BM5</f>
        <v>1000</v>
      </c>
      <c r="BM5" s="145">
        <v>4</v>
      </c>
      <c r="BN5" s="153">
        <v>5</v>
      </c>
      <c r="BO5" s="154">
        <v>21.46</v>
      </c>
      <c r="BP5" s="154">
        <v>20.09</v>
      </c>
      <c r="BQ5" s="154">
        <v>4.2300000000000004</v>
      </c>
      <c r="BR5" s="154">
        <v>18.04</v>
      </c>
      <c r="BS5" s="154">
        <v>28.47</v>
      </c>
      <c r="BT5" s="145">
        <v>5000</v>
      </c>
      <c r="BU5" s="145"/>
      <c r="BV5" s="145" t="s">
        <v>973</v>
      </c>
      <c r="BW5" s="145"/>
      <c r="BX5" s="145">
        <v>1000</v>
      </c>
      <c r="BY5" s="145">
        <v>1000</v>
      </c>
      <c r="BZ5" s="145">
        <v>1000</v>
      </c>
      <c r="CA5" s="145">
        <v>1000</v>
      </c>
      <c r="CB5" s="145"/>
      <c r="CC5" s="145"/>
      <c r="CD5" s="145"/>
      <c r="CE5" s="145"/>
      <c r="CF5" s="145"/>
      <c r="CG5" s="145"/>
    </row>
    <row r="6" spans="1:85" ht="15">
      <c r="E6" s="144" t="s">
        <v>974</v>
      </c>
      <c r="G6" s="144" t="s">
        <v>975</v>
      </c>
      <c r="I6" s="144" t="s">
        <v>975</v>
      </c>
      <c r="R6" s="144" t="s">
        <v>961</v>
      </c>
      <c r="S6" s="148" t="s">
        <v>864</v>
      </c>
      <c r="T6" s="144">
        <f>15000/4</f>
        <v>3750</v>
      </c>
      <c r="V6" s="144" t="s">
        <v>864</v>
      </c>
      <c r="W6" s="144">
        <f>15000/4</f>
        <v>3750</v>
      </c>
      <c r="X6" s="144">
        <f>W6/3</f>
        <v>1250</v>
      </c>
      <c r="Y6" s="144">
        <v>3</v>
      </c>
      <c r="AA6" s="151">
        <v>11</v>
      </c>
      <c r="AB6" s="151">
        <v>18.97</v>
      </c>
      <c r="AC6" s="151">
        <v>18.84</v>
      </c>
      <c r="AD6" s="151">
        <v>3.51</v>
      </c>
      <c r="AE6" s="151">
        <v>14.81</v>
      </c>
      <c r="AF6" s="151">
        <v>27.97</v>
      </c>
      <c r="AH6" s="145" t="s">
        <v>961</v>
      </c>
      <c r="AI6" s="145" t="s">
        <v>864</v>
      </c>
      <c r="AJ6" s="145">
        <v>4000</v>
      </c>
      <c r="AK6" s="145">
        <f>AJ6/AL6</f>
        <v>1000</v>
      </c>
      <c r="AL6" s="145">
        <v>4</v>
      </c>
      <c r="AM6" s="153">
        <v>11</v>
      </c>
      <c r="AN6" s="154">
        <v>18.97</v>
      </c>
      <c r="AO6" s="154">
        <v>18.84</v>
      </c>
      <c r="AP6" s="154">
        <v>3.51</v>
      </c>
      <c r="AQ6" s="154">
        <v>14.81</v>
      </c>
      <c r="AR6" s="154">
        <v>27.97</v>
      </c>
      <c r="AS6" s="145">
        <v>500</v>
      </c>
      <c r="AT6" s="145"/>
      <c r="AU6" s="145" t="s">
        <v>973</v>
      </c>
      <c r="AV6" s="145"/>
      <c r="AW6" s="145">
        <v>1000</v>
      </c>
      <c r="AX6" s="145">
        <v>1000</v>
      </c>
      <c r="AY6" s="145">
        <v>1000</v>
      </c>
      <c r="AZ6" s="145">
        <v>1000</v>
      </c>
      <c r="BA6" s="145"/>
      <c r="BB6" s="145"/>
      <c r="BC6" s="145"/>
      <c r="BD6" s="145"/>
      <c r="BE6" s="145"/>
      <c r="BF6" s="145"/>
      <c r="BI6" s="145" t="s">
        <v>961</v>
      </c>
      <c r="BJ6" s="145" t="s">
        <v>864</v>
      </c>
      <c r="BK6" s="145">
        <v>4000</v>
      </c>
      <c r="BL6" s="145">
        <f>BK6/BM6</f>
        <v>1000</v>
      </c>
      <c r="BM6" s="145">
        <v>4</v>
      </c>
      <c r="BN6" s="153">
        <v>11</v>
      </c>
      <c r="BO6" s="154">
        <v>18.97</v>
      </c>
      <c r="BP6" s="154">
        <v>18.84</v>
      </c>
      <c r="BQ6" s="154">
        <v>3.51</v>
      </c>
      <c r="BR6" s="154">
        <v>14.81</v>
      </c>
      <c r="BS6" s="154">
        <v>27.97</v>
      </c>
      <c r="BT6" s="145">
        <v>500</v>
      </c>
      <c r="BU6" s="145"/>
      <c r="BV6" s="145" t="s">
        <v>973</v>
      </c>
      <c r="BW6" s="145"/>
      <c r="BX6" s="145">
        <v>1000</v>
      </c>
      <c r="BY6" s="145">
        <v>1000</v>
      </c>
      <c r="BZ6" s="145">
        <v>1000</v>
      </c>
      <c r="CA6" s="145">
        <v>1000</v>
      </c>
      <c r="CB6" s="145"/>
      <c r="CC6" s="145"/>
      <c r="CD6" s="145"/>
      <c r="CE6" s="145"/>
      <c r="CF6" s="145"/>
      <c r="CG6" s="145"/>
    </row>
    <row r="7" spans="1:85" ht="15">
      <c r="A7" s="147">
        <v>0.15</v>
      </c>
      <c r="B7" s="148" t="s">
        <v>976</v>
      </c>
      <c r="C7" s="149">
        <v>5.7000000000000002E-3</v>
      </c>
      <c r="D7" s="148" t="s">
        <v>977</v>
      </c>
      <c r="E7" s="149">
        <v>5.0000000000000001E-3</v>
      </c>
      <c r="F7" s="144" t="s">
        <v>978</v>
      </c>
      <c r="G7" s="149">
        <v>9.1999999999999998E-3</v>
      </c>
      <c r="R7" s="144" t="s">
        <v>961</v>
      </c>
      <c r="S7" s="148" t="s">
        <v>865</v>
      </c>
      <c r="T7" s="144">
        <f>15000/4</f>
        <v>3750</v>
      </c>
      <c r="V7" s="144" t="s">
        <v>865</v>
      </c>
      <c r="W7" s="144">
        <f>15000/4</f>
        <v>3750</v>
      </c>
      <c r="X7" s="144">
        <f>W7/3</f>
        <v>1250</v>
      </c>
      <c r="Y7" s="144">
        <v>3</v>
      </c>
      <c r="AA7" s="151">
        <v>8</v>
      </c>
      <c r="AB7" s="151">
        <v>22.21</v>
      </c>
      <c r="AC7" s="151">
        <v>21.85</v>
      </c>
      <c r="AD7" s="151">
        <v>3.74</v>
      </c>
      <c r="AE7" s="151">
        <v>18.98</v>
      </c>
      <c r="AF7" s="151">
        <v>30.72</v>
      </c>
      <c r="AH7" s="145" t="s">
        <v>961</v>
      </c>
      <c r="AI7" s="145" t="s">
        <v>865</v>
      </c>
      <c r="AJ7" s="145">
        <v>4000</v>
      </c>
      <c r="AK7" s="145">
        <f>AJ7/AL7</f>
        <v>1000</v>
      </c>
      <c r="AL7" s="145">
        <v>4</v>
      </c>
      <c r="AM7" s="153">
        <v>8</v>
      </c>
      <c r="AN7" s="154">
        <v>22.21</v>
      </c>
      <c r="AO7" s="154">
        <v>21.85</v>
      </c>
      <c r="AP7" s="154">
        <v>3.74</v>
      </c>
      <c r="AQ7" s="154">
        <v>18.98</v>
      </c>
      <c r="AR7" s="154">
        <v>30.72</v>
      </c>
      <c r="AS7" s="145">
        <v>5000</v>
      </c>
      <c r="AT7" s="145"/>
      <c r="AU7" s="145" t="s">
        <v>973</v>
      </c>
      <c r="AV7" s="145"/>
      <c r="AW7" s="145">
        <v>1000</v>
      </c>
      <c r="AX7" s="145">
        <v>1000</v>
      </c>
      <c r="AY7" s="145">
        <v>1000</v>
      </c>
      <c r="AZ7" s="145">
        <v>1000</v>
      </c>
      <c r="BA7" s="145"/>
      <c r="BB7" s="145"/>
      <c r="BC7" s="145"/>
      <c r="BD7" s="145"/>
      <c r="BE7" s="145"/>
      <c r="BF7" s="145"/>
      <c r="BI7" s="145" t="s">
        <v>961</v>
      </c>
      <c r="BJ7" s="145" t="s">
        <v>865</v>
      </c>
      <c r="BK7" s="145">
        <v>4000</v>
      </c>
      <c r="BL7" s="145">
        <f>BK7/BM7</f>
        <v>1000</v>
      </c>
      <c r="BM7" s="145">
        <v>4</v>
      </c>
      <c r="BN7" s="153">
        <v>8</v>
      </c>
      <c r="BO7" s="154">
        <v>22.21</v>
      </c>
      <c r="BP7" s="154">
        <v>21.85</v>
      </c>
      <c r="BQ7" s="154">
        <v>3.74</v>
      </c>
      <c r="BR7" s="154">
        <v>18.98</v>
      </c>
      <c r="BS7" s="154">
        <v>30.72</v>
      </c>
      <c r="BT7" s="145">
        <v>5000</v>
      </c>
      <c r="BU7" s="145"/>
      <c r="BV7" s="145" t="s">
        <v>973</v>
      </c>
      <c r="BW7" s="145"/>
      <c r="BX7" s="145">
        <v>1000</v>
      </c>
      <c r="BY7" s="145">
        <v>1000</v>
      </c>
      <c r="BZ7" s="145">
        <v>1000</v>
      </c>
      <c r="CA7" s="145">
        <v>1000</v>
      </c>
      <c r="CB7" s="145"/>
      <c r="CC7" s="145"/>
      <c r="CD7" s="145"/>
      <c r="CE7" s="145"/>
      <c r="CF7" s="145"/>
      <c r="CG7" s="145"/>
    </row>
    <row r="8" spans="1:85">
      <c r="C8" s="144" t="s">
        <v>964</v>
      </c>
      <c r="E8" s="144" t="s">
        <v>979</v>
      </c>
      <c r="G8" s="144" t="s">
        <v>980</v>
      </c>
      <c r="V8" s="155"/>
      <c r="Y8" s="144">
        <f>SUM(Y3:Y7)</f>
        <v>16</v>
      </c>
      <c r="Z8" s="144" t="s">
        <v>981</v>
      </c>
      <c r="AH8" s="145"/>
      <c r="AI8" s="145"/>
      <c r="AJ8" s="156">
        <f>SUM(AJ3:AJ7)</f>
        <v>21000</v>
      </c>
      <c r="AK8" s="145"/>
      <c r="AL8" s="145"/>
      <c r="AM8" s="145"/>
      <c r="AN8" s="157">
        <f>AVERAGE(AN3:AN7)</f>
        <v>21.48</v>
      </c>
      <c r="AO8" s="157">
        <f>AVERAGE(AO3:AO7)</f>
        <v>20.742000000000001</v>
      </c>
      <c r="AP8" s="157"/>
      <c r="AQ8" s="157"/>
      <c r="AR8" s="157"/>
      <c r="AS8" s="156">
        <f>SUM(AS3:AS7)</f>
        <v>15500</v>
      </c>
      <c r="AT8" s="145"/>
      <c r="AU8" s="145"/>
      <c r="AV8" s="145"/>
      <c r="AW8" s="156">
        <f>SUM(AW3:AW7)</f>
        <v>5250</v>
      </c>
      <c r="AX8" s="156">
        <f t="shared" ref="AX8:AZ8" si="0">SUM(AX3:AX7)</f>
        <v>5250</v>
      </c>
      <c r="AY8" s="156">
        <f t="shared" si="0"/>
        <v>5250</v>
      </c>
      <c r="AZ8" s="156">
        <f t="shared" si="0"/>
        <v>5250</v>
      </c>
      <c r="BA8" s="145"/>
      <c r="BB8" s="145"/>
      <c r="BC8" s="145"/>
      <c r="BD8" s="145"/>
      <c r="BE8" s="145"/>
      <c r="BF8" s="145"/>
      <c r="BI8" s="145"/>
      <c r="BJ8" s="145"/>
      <c r="BK8" s="156">
        <f>SUM(BK3:BK7)</f>
        <v>21000</v>
      </c>
      <c r="BL8" s="145"/>
      <c r="BM8" s="145"/>
      <c r="BN8" s="145"/>
      <c r="BO8" s="157">
        <f>AVERAGE(BO3:BO7)</f>
        <v>21.48</v>
      </c>
      <c r="BP8" s="157">
        <f>AVERAGE(BP3:BP7)</f>
        <v>20.742000000000001</v>
      </c>
      <c r="BQ8" s="157"/>
      <c r="BR8" s="157"/>
      <c r="BS8" s="157"/>
      <c r="BT8" s="156">
        <f>SUM(BT3:BT7)</f>
        <v>15500</v>
      </c>
      <c r="BU8" s="145"/>
      <c r="BV8" s="145"/>
      <c r="BW8" s="145"/>
      <c r="BX8" s="156">
        <f>SUM(BX3:BX7)</f>
        <v>5250</v>
      </c>
      <c r="BY8" s="156">
        <f t="shared" ref="BY8:CA8" si="1">SUM(BY3:BY7)</f>
        <v>5250</v>
      </c>
      <c r="BZ8" s="156">
        <f t="shared" si="1"/>
        <v>5250</v>
      </c>
      <c r="CA8" s="156">
        <f t="shared" si="1"/>
        <v>5250</v>
      </c>
      <c r="CB8" s="145"/>
      <c r="CC8" s="145"/>
      <c r="CD8" s="145"/>
      <c r="CE8" s="145"/>
      <c r="CF8" s="145"/>
      <c r="CG8" s="145"/>
    </row>
    <row r="9" spans="1:85">
      <c r="AH9" s="145"/>
      <c r="AI9" s="145"/>
      <c r="AJ9" s="145"/>
      <c r="AK9" s="145"/>
      <c r="AL9" s="145"/>
      <c r="AM9" s="145"/>
      <c r="AN9" s="145"/>
      <c r="AO9" s="145"/>
      <c r="AP9" s="145"/>
      <c r="AQ9" s="145"/>
      <c r="AR9" s="145"/>
      <c r="AS9" s="145"/>
      <c r="AT9" s="145"/>
      <c r="AU9" s="145"/>
      <c r="AV9" s="145"/>
      <c r="AW9" s="145"/>
      <c r="AX9" s="145"/>
      <c r="AY9" s="145"/>
      <c r="AZ9" s="145"/>
      <c r="BA9" s="145"/>
      <c r="BB9" s="145"/>
      <c r="BC9" s="145"/>
      <c r="BD9" s="145"/>
      <c r="BE9" s="145"/>
      <c r="BF9" s="145"/>
      <c r="BI9" s="145"/>
      <c r="BJ9" s="145"/>
      <c r="BK9" s="145"/>
      <c r="BL9" s="145"/>
      <c r="BM9" s="145"/>
      <c r="BN9" s="145"/>
      <c r="BO9" s="145"/>
      <c r="BP9" s="145"/>
      <c r="BQ9" s="145"/>
      <c r="BR9" s="145"/>
      <c r="BS9" s="145"/>
      <c r="BT9" s="145"/>
      <c r="BU9" s="145"/>
      <c r="BV9" s="145"/>
      <c r="BW9" s="145"/>
      <c r="BX9" s="145"/>
      <c r="BY9" s="145"/>
      <c r="BZ9" s="145"/>
      <c r="CA9" s="145"/>
      <c r="CB9" s="145"/>
      <c r="CC9" s="145"/>
      <c r="CD9" s="145"/>
      <c r="CE9" s="145"/>
      <c r="CF9" s="145"/>
      <c r="CG9" s="145"/>
    </row>
    <row r="10" spans="1:85" ht="15">
      <c r="A10" s="147">
        <v>0.35</v>
      </c>
      <c r="B10" s="148" t="s">
        <v>955</v>
      </c>
      <c r="C10" s="149">
        <v>6.1000000000000004E-3</v>
      </c>
      <c r="R10" s="144" t="s">
        <v>933</v>
      </c>
      <c r="S10" s="148" t="s">
        <v>873</v>
      </c>
      <c r="T10" s="144">
        <v>5000</v>
      </c>
      <c r="V10" s="148" t="s">
        <v>873</v>
      </c>
      <c r="W10" s="144">
        <v>5000</v>
      </c>
      <c r="AH10" s="145" t="s">
        <v>933</v>
      </c>
      <c r="AI10" s="145" t="s">
        <v>873</v>
      </c>
      <c r="AJ10" s="145">
        <v>5000</v>
      </c>
      <c r="AK10" s="145">
        <f>AJ10/AL10</f>
        <v>1250</v>
      </c>
      <c r="AL10" s="145">
        <v>4</v>
      </c>
      <c r="AM10" s="153">
        <v>5</v>
      </c>
      <c r="AN10" s="154">
        <v>21.36</v>
      </c>
      <c r="AO10" s="154">
        <v>20.53</v>
      </c>
      <c r="AP10" s="154">
        <v>3.55</v>
      </c>
      <c r="AQ10" s="154">
        <v>18.010000000000002</v>
      </c>
      <c r="AR10" s="154">
        <v>27.02</v>
      </c>
      <c r="AS10" s="145">
        <v>1000</v>
      </c>
      <c r="AT10" s="145"/>
      <c r="AU10" s="145" t="s">
        <v>973</v>
      </c>
      <c r="AV10" s="145"/>
      <c r="AW10" s="145">
        <v>1250</v>
      </c>
      <c r="AX10" s="145">
        <v>1250</v>
      </c>
      <c r="AY10" s="145">
        <v>1250</v>
      </c>
      <c r="AZ10" s="145">
        <v>1250</v>
      </c>
      <c r="BA10" s="145"/>
      <c r="BB10" s="145"/>
      <c r="BC10" s="145"/>
      <c r="BD10" s="145"/>
      <c r="BE10" s="145"/>
      <c r="BF10" s="145"/>
      <c r="BI10" s="145" t="s">
        <v>933</v>
      </c>
      <c r="BJ10" s="145" t="s">
        <v>873</v>
      </c>
      <c r="BK10" s="145">
        <v>5000</v>
      </c>
      <c r="BL10" s="145">
        <f>BK10/BM10</f>
        <v>1250</v>
      </c>
      <c r="BM10" s="145">
        <v>4</v>
      </c>
      <c r="BN10" s="153">
        <v>5</v>
      </c>
      <c r="BO10" s="154">
        <v>21.36</v>
      </c>
      <c r="BP10" s="154">
        <v>20.53</v>
      </c>
      <c r="BQ10" s="154">
        <v>3.55</v>
      </c>
      <c r="BR10" s="154">
        <v>18.010000000000002</v>
      </c>
      <c r="BS10" s="154">
        <v>27.02</v>
      </c>
      <c r="BT10" s="145">
        <v>1000</v>
      </c>
      <c r="BU10" s="145"/>
      <c r="BV10" s="145" t="s">
        <v>973</v>
      </c>
      <c r="BW10" s="145"/>
      <c r="BX10" s="145">
        <v>1250</v>
      </c>
      <c r="BY10" s="145">
        <v>1250</v>
      </c>
      <c r="BZ10" s="145">
        <v>1250</v>
      </c>
      <c r="CA10" s="145">
        <v>1250</v>
      </c>
      <c r="CB10" s="145"/>
      <c r="CC10" s="145"/>
      <c r="CD10" s="145"/>
      <c r="CE10" s="145"/>
      <c r="CF10" s="145"/>
      <c r="CG10" s="145"/>
    </row>
    <row r="11" spans="1:85" ht="15">
      <c r="A11" s="147">
        <v>0.5</v>
      </c>
      <c r="B11" s="148" t="s">
        <v>970</v>
      </c>
      <c r="C11" s="149">
        <v>6.0000000000000001E-3</v>
      </c>
      <c r="R11" s="144" t="s">
        <v>982</v>
      </c>
      <c r="S11" s="144" t="s">
        <v>983</v>
      </c>
      <c r="T11" s="144">
        <f>15000/5</f>
        <v>3000</v>
      </c>
      <c r="V11" s="148" t="s">
        <v>872</v>
      </c>
      <c r="W11" s="144">
        <v>3000</v>
      </c>
      <c r="AH11" s="145" t="s">
        <v>984</v>
      </c>
      <c r="AI11" s="145" t="s">
        <v>866</v>
      </c>
      <c r="AJ11" s="145">
        <v>2500</v>
      </c>
      <c r="AK11" s="145">
        <f>AJ11/AL11</f>
        <v>1250</v>
      </c>
      <c r="AL11" s="145">
        <v>2</v>
      </c>
      <c r="AM11" s="153">
        <v>8</v>
      </c>
      <c r="AN11" s="154">
        <v>23.09</v>
      </c>
      <c r="AO11" s="154">
        <v>22.8</v>
      </c>
      <c r="AP11" s="154">
        <v>2.7</v>
      </c>
      <c r="AQ11" s="154">
        <v>20.69</v>
      </c>
      <c r="AR11" s="154">
        <v>29.11</v>
      </c>
      <c r="AS11" s="145">
        <v>0</v>
      </c>
      <c r="AT11" s="145" t="s">
        <v>962</v>
      </c>
      <c r="AU11" s="145" t="s">
        <v>963</v>
      </c>
      <c r="AV11" s="145"/>
      <c r="AW11" s="145">
        <v>1250</v>
      </c>
      <c r="AX11" s="145">
        <v>1250</v>
      </c>
      <c r="AY11" s="145"/>
      <c r="AZ11" s="145"/>
      <c r="BA11" s="145"/>
      <c r="BB11" s="145"/>
      <c r="BC11" s="145"/>
      <c r="BD11" s="145"/>
      <c r="BE11" s="145"/>
      <c r="BF11" s="145"/>
      <c r="BI11" s="145" t="s">
        <v>984</v>
      </c>
      <c r="BJ11" s="145" t="s">
        <v>866</v>
      </c>
      <c r="BK11" s="145">
        <v>2500</v>
      </c>
      <c r="BL11" s="145">
        <f>BK11/BM11</f>
        <v>1250</v>
      </c>
      <c r="BM11" s="145">
        <v>2</v>
      </c>
      <c r="BN11" s="153">
        <v>8</v>
      </c>
      <c r="BO11" s="154">
        <v>23.09</v>
      </c>
      <c r="BP11" s="154">
        <v>22.8</v>
      </c>
      <c r="BQ11" s="154">
        <v>2.7</v>
      </c>
      <c r="BR11" s="154">
        <v>20.69</v>
      </c>
      <c r="BS11" s="154">
        <v>29.11</v>
      </c>
      <c r="BT11" s="145">
        <v>0</v>
      </c>
      <c r="BU11" s="145" t="s">
        <v>962</v>
      </c>
      <c r="BV11" s="145" t="s">
        <v>963</v>
      </c>
      <c r="BW11" s="145"/>
      <c r="BX11" s="145">
        <v>1250</v>
      </c>
      <c r="BY11" s="145">
        <v>1250</v>
      </c>
      <c r="BZ11" s="145"/>
      <c r="CA11" s="145"/>
      <c r="CB11" s="145"/>
      <c r="CC11" s="145"/>
      <c r="CD11" s="145"/>
      <c r="CE11" s="145"/>
      <c r="CF11" s="145"/>
      <c r="CG11" s="145"/>
    </row>
    <row r="12" spans="1:85" ht="15">
      <c r="A12" s="147">
        <v>0.15</v>
      </c>
      <c r="B12" s="148" t="s">
        <v>977</v>
      </c>
      <c r="C12" s="149">
        <v>5.0000000000000001E-3</v>
      </c>
      <c r="R12" s="144" t="s">
        <v>982</v>
      </c>
      <c r="S12" s="155" t="s">
        <v>985</v>
      </c>
      <c r="T12" s="144">
        <f>15000/5</f>
        <v>3000</v>
      </c>
      <c r="V12" s="144" t="s">
        <v>986</v>
      </c>
      <c r="W12" s="144">
        <v>3000</v>
      </c>
      <c r="AH12" s="145" t="s">
        <v>984</v>
      </c>
      <c r="AI12" s="145" t="s">
        <v>867</v>
      </c>
      <c r="AJ12" s="145">
        <v>5000</v>
      </c>
      <c r="AK12" s="145">
        <f>AJ12/AL12</f>
        <v>1250</v>
      </c>
      <c r="AL12" s="145">
        <v>4</v>
      </c>
      <c r="AM12" s="153">
        <v>14</v>
      </c>
      <c r="AN12" s="154">
        <v>19.77</v>
      </c>
      <c r="AO12" s="154">
        <v>20.05</v>
      </c>
      <c r="AP12" s="154">
        <v>1.9</v>
      </c>
      <c r="AQ12" s="154">
        <v>17.079999999999998</v>
      </c>
      <c r="AR12" s="154">
        <v>24.53</v>
      </c>
      <c r="AS12" s="145">
        <v>5000</v>
      </c>
      <c r="AT12" s="145"/>
      <c r="AU12" s="145" t="s">
        <v>926</v>
      </c>
      <c r="AV12" s="145"/>
      <c r="AW12" s="145">
        <v>1250</v>
      </c>
      <c r="AX12" s="145">
        <v>1250</v>
      </c>
      <c r="AY12" s="145">
        <v>1250</v>
      </c>
      <c r="AZ12" s="145">
        <v>1250</v>
      </c>
      <c r="BA12" s="145"/>
      <c r="BB12" s="145"/>
      <c r="BC12" s="145"/>
      <c r="BD12" s="145"/>
      <c r="BE12" s="145"/>
      <c r="BF12" s="145"/>
      <c r="BI12" s="145" t="s">
        <v>984</v>
      </c>
      <c r="BJ12" s="145" t="s">
        <v>867</v>
      </c>
      <c r="BK12" s="145">
        <v>5000</v>
      </c>
      <c r="BL12" s="145">
        <f>BK12/BM12</f>
        <v>1250</v>
      </c>
      <c r="BM12" s="145">
        <v>4</v>
      </c>
      <c r="BN12" s="153">
        <v>14</v>
      </c>
      <c r="BO12" s="154">
        <v>19.77</v>
      </c>
      <c r="BP12" s="154">
        <v>20.05</v>
      </c>
      <c r="BQ12" s="154">
        <v>1.9</v>
      </c>
      <c r="BR12" s="154">
        <v>17.079999999999998</v>
      </c>
      <c r="BS12" s="154">
        <v>24.53</v>
      </c>
      <c r="BT12" s="145">
        <v>5000</v>
      </c>
      <c r="BU12" s="145"/>
      <c r="BV12" s="145" t="s">
        <v>926</v>
      </c>
      <c r="BW12" s="145"/>
      <c r="BX12" s="145">
        <v>1250</v>
      </c>
      <c r="BY12" s="145">
        <v>1250</v>
      </c>
      <c r="BZ12" s="145">
        <v>1250</v>
      </c>
      <c r="CA12" s="145">
        <v>1250</v>
      </c>
      <c r="CB12" s="145"/>
      <c r="CC12" s="145"/>
      <c r="CD12" s="145"/>
      <c r="CE12" s="145"/>
      <c r="CF12" s="145"/>
      <c r="CG12" s="145"/>
    </row>
    <row r="13" spans="1:85" ht="15">
      <c r="R13" s="144" t="s">
        <v>984</v>
      </c>
      <c r="S13" s="144" t="s">
        <v>866</v>
      </c>
      <c r="T13" s="144">
        <f>15000/5</f>
        <v>3000</v>
      </c>
      <c r="V13" s="144" t="s">
        <v>866</v>
      </c>
      <c r="W13" s="144">
        <f>15000/5</f>
        <v>3000</v>
      </c>
      <c r="AH13" s="145" t="s">
        <v>934</v>
      </c>
      <c r="AI13" s="145" t="s">
        <v>868</v>
      </c>
      <c r="AJ13" s="145">
        <v>2500</v>
      </c>
      <c r="AK13" s="145">
        <f>AJ13/AL13</f>
        <v>1250</v>
      </c>
      <c r="AL13" s="145">
        <v>2</v>
      </c>
      <c r="AM13" s="153">
        <v>14</v>
      </c>
      <c r="AN13" s="154">
        <v>25.57</v>
      </c>
      <c r="AO13" s="154">
        <v>22.94</v>
      </c>
      <c r="AP13" s="154">
        <v>6.85</v>
      </c>
      <c r="AQ13" s="154">
        <v>19.53</v>
      </c>
      <c r="AR13" s="154">
        <v>43.15</v>
      </c>
      <c r="AS13" s="145">
        <v>5000</v>
      </c>
      <c r="AT13" s="145"/>
      <c r="AU13" s="145" t="s">
        <v>926</v>
      </c>
      <c r="AV13" s="145"/>
      <c r="AW13" s="145">
        <v>1250</v>
      </c>
      <c r="AX13" s="145">
        <v>1250</v>
      </c>
      <c r="AY13" s="145"/>
      <c r="AZ13" s="145"/>
      <c r="BA13" s="145"/>
      <c r="BB13" s="145"/>
      <c r="BC13" s="145"/>
      <c r="BD13" s="145"/>
      <c r="BE13" s="145"/>
      <c r="BF13" s="145"/>
      <c r="BI13" s="145" t="s">
        <v>934</v>
      </c>
      <c r="BJ13" s="145" t="s">
        <v>868</v>
      </c>
      <c r="BK13" s="145">
        <v>2500</v>
      </c>
      <c r="BL13" s="145">
        <f>BK13/BM13</f>
        <v>1250</v>
      </c>
      <c r="BM13" s="145">
        <v>2</v>
      </c>
      <c r="BN13" s="153">
        <v>14</v>
      </c>
      <c r="BO13" s="154">
        <v>25.57</v>
      </c>
      <c r="BP13" s="154">
        <v>22.94</v>
      </c>
      <c r="BQ13" s="154">
        <v>6.85</v>
      </c>
      <c r="BR13" s="154">
        <v>19.53</v>
      </c>
      <c r="BS13" s="154">
        <v>43.15</v>
      </c>
      <c r="BT13" s="145">
        <v>5000</v>
      </c>
      <c r="BU13" s="145"/>
      <c r="BV13" s="145" t="s">
        <v>926</v>
      </c>
      <c r="BW13" s="145"/>
      <c r="BX13" s="145">
        <v>1250</v>
      </c>
      <c r="BY13" s="145">
        <v>1250</v>
      </c>
      <c r="BZ13" s="145"/>
      <c r="CA13" s="145"/>
      <c r="CB13" s="145"/>
      <c r="CC13" s="145"/>
      <c r="CD13" s="145"/>
      <c r="CE13" s="145"/>
      <c r="CF13" s="145"/>
      <c r="CG13" s="145"/>
    </row>
    <row r="14" spans="1:85" ht="15">
      <c r="A14" s="147">
        <v>0.35</v>
      </c>
      <c r="B14" s="148" t="s">
        <v>957</v>
      </c>
      <c r="C14" s="149">
        <v>6.3E-3</v>
      </c>
      <c r="P14" s="147"/>
      <c r="R14" s="144" t="s">
        <v>987</v>
      </c>
      <c r="S14" s="158" t="s">
        <v>988</v>
      </c>
      <c r="T14" s="144">
        <f>15000/5</f>
        <v>3000</v>
      </c>
      <c r="V14" s="144" t="s">
        <v>989</v>
      </c>
      <c r="W14" s="144">
        <v>3000</v>
      </c>
      <c r="AH14" s="145" t="s">
        <v>205</v>
      </c>
      <c r="AI14" s="145" t="s">
        <v>869</v>
      </c>
      <c r="AJ14" s="145">
        <v>5000</v>
      </c>
      <c r="AK14" s="145">
        <f>AJ14/AL14</f>
        <v>1250</v>
      </c>
      <c r="AL14" s="145">
        <v>4</v>
      </c>
      <c r="AM14" s="153">
        <v>9</v>
      </c>
      <c r="AN14" s="153">
        <v>17.079999999999998</v>
      </c>
      <c r="AO14" s="153">
        <v>16</v>
      </c>
      <c r="AP14" s="153">
        <v>1.98</v>
      </c>
      <c r="AQ14" s="153">
        <v>15.17</v>
      </c>
      <c r="AR14" s="153">
        <v>21.32</v>
      </c>
      <c r="AS14" s="145">
        <v>5000</v>
      </c>
      <c r="AT14" s="145"/>
      <c r="AU14" s="145" t="s">
        <v>926</v>
      </c>
      <c r="AV14" s="145"/>
      <c r="AW14" s="145">
        <v>1250</v>
      </c>
      <c r="AX14" s="145">
        <v>1250</v>
      </c>
      <c r="AY14" s="145">
        <v>1250</v>
      </c>
      <c r="AZ14" s="145">
        <v>1250</v>
      </c>
      <c r="BA14" s="145"/>
      <c r="BB14" s="145"/>
      <c r="BC14" s="145"/>
      <c r="BD14" s="145"/>
      <c r="BE14" s="145"/>
      <c r="BF14" s="145"/>
      <c r="BI14" s="145" t="s">
        <v>205</v>
      </c>
      <c r="BJ14" s="145" t="s">
        <v>869</v>
      </c>
      <c r="BK14" s="145">
        <v>5000</v>
      </c>
      <c r="BL14" s="145">
        <f>BK14/BM14</f>
        <v>1250</v>
      </c>
      <c r="BM14" s="145">
        <v>4</v>
      </c>
      <c r="BN14" s="153">
        <v>9</v>
      </c>
      <c r="BO14" s="153">
        <v>17.079999999999998</v>
      </c>
      <c r="BP14" s="153">
        <v>16</v>
      </c>
      <c r="BQ14" s="153">
        <v>1.98</v>
      </c>
      <c r="BR14" s="153">
        <v>15.17</v>
      </c>
      <c r="BS14" s="153">
        <v>21.32</v>
      </c>
      <c r="BT14" s="145">
        <v>5000</v>
      </c>
      <c r="BU14" s="145"/>
      <c r="BV14" s="145" t="s">
        <v>926</v>
      </c>
      <c r="BW14" s="145"/>
      <c r="BX14" s="145">
        <v>1250</v>
      </c>
      <c r="BY14" s="145">
        <v>1250</v>
      </c>
      <c r="BZ14" s="145">
        <v>1250</v>
      </c>
      <c r="CA14" s="145">
        <v>1250</v>
      </c>
      <c r="CB14" s="145"/>
      <c r="CC14" s="145"/>
      <c r="CD14" s="145"/>
      <c r="CE14" s="145"/>
      <c r="CF14" s="145"/>
      <c r="CG14" s="145"/>
    </row>
    <row r="15" spans="1:85">
      <c r="A15" s="147">
        <v>0.5</v>
      </c>
      <c r="B15" s="148" t="s">
        <v>969</v>
      </c>
      <c r="C15" s="149">
        <v>3.8999999999999998E-3</v>
      </c>
      <c r="R15" s="144" t="s">
        <v>139</v>
      </c>
      <c r="S15" s="148" t="s">
        <v>990</v>
      </c>
      <c r="T15" s="144">
        <f>15000/5</f>
        <v>3000</v>
      </c>
      <c r="V15" s="144" t="s">
        <v>991</v>
      </c>
      <c r="W15" s="144">
        <v>3000</v>
      </c>
      <c r="AH15" s="145"/>
      <c r="AI15" s="145"/>
      <c r="AJ15" s="156">
        <f>SUM(AJ10:AJ14)</f>
        <v>20000</v>
      </c>
      <c r="AK15" s="145"/>
      <c r="AL15" s="145"/>
      <c r="AM15" s="145"/>
      <c r="AN15" s="157">
        <f>AVERAGE(AN10:AN14)</f>
        <v>21.373999999999999</v>
      </c>
      <c r="AO15" s="157">
        <f>AVERAGE(AO10:AO14)</f>
        <v>20.463999999999999</v>
      </c>
      <c r="AP15" s="145"/>
      <c r="AQ15" s="145"/>
      <c r="AR15" s="145"/>
      <c r="AS15" s="156">
        <f>SUM(AS10:AS14)</f>
        <v>16000</v>
      </c>
      <c r="AT15" s="145"/>
      <c r="AU15" s="145"/>
      <c r="AV15" s="145"/>
      <c r="AW15" s="156">
        <f t="shared" ref="AW15:AZ15" si="2">SUM(AW10:AW14)</f>
        <v>6250</v>
      </c>
      <c r="AX15" s="156">
        <f t="shared" si="2"/>
        <v>6250</v>
      </c>
      <c r="AY15" s="156">
        <f t="shared" si="2"/>
        <v>3750</v>
      </c>
      <c r="AZ15" s="156">
        <f t="shared" si="2"/>
        <v>3750</v>
      </c>
      <c r="BA15" s="145"/>
      <c r="BB15" s="145"/>
      <c r="BC15" s="145"/>
      <c r="BD15" s="145"/>
      <c r="BE15" s="145"/>
      <c r="BF15" s="145"/>
      <c r="BI15" s="145"/>
      <c r="BJ15" s="145"/>
      <c r="BK15" s="156">
        <f>SUM(BK10:BK14)</f>
        <v>20000</v>
      </c>
      <c r="BL15" s="145"/>
      <c r="BM15" s="145"/>
      <c r="BN15" s="145"/>
      <c r="BO15" s="157">
        <f>AVERAGE(BO10:BO14)</f>
        <v>21.373999999999999</v>
      </c>
      <c r="BP15" s="157">
        <f>AVERAGE(BP10:BP14)</f>
        <v>20.463999999999999</v>
      </c>
      <c r="BQ15" s="145"/>
      <c r="BR15" s="145"/>
      <c r="BS15" s="145"/>
      <c r="BT15" s="156">
        <f>SUM(BT10:BT14)</f>
        <v>16000</v>
      </c>
      <c r="BU15" s="145"/>
      <c r="BV15" s="145"/>
      <c r="BW15" s="145"/>
      <c r="BX15" s="156">
        <f t="shared" ref="BX15:CA15" si="3">SUM(BX10:BX14)</f>
        <v>6250</v>
      </c>
      <c r="BY15" s="156">
        <f t="shared" si="3"/>
        <v>6250</v>
      </c>
      <c r="BZ15" s="156">
        <f t="shared" si="3"/>
        <v>3750</v>
      </c>
      <c r="CA15" s="156">
        <f t="shared" si="3"/>
        <v>3750</v>
      </c>
      <c r="CB15" s="145"/>
      <c r="CC15" s="145"/>
      <c r="CD15" s="145"/>
      <c r="CE15" s="145"/>
      <c r="CF15" s="145"/>
      <c r="CG15" s="145"/>
    </row>
    <row r="16" spans="1:85">
      <c r="A16" s="147">
        <v>0.15</v>
      </c>
      <c r="B16" s="148" t="s">
        <v>976</v>
      </c>
      <c r="C16" s="149">
        <v>5.7000000000000002E-3</v>
      </c>
      <c r="V16" s="144" t="s">
        <v>992</v>
      </c>
      <c r="W16" s="144">
        <v>3000</v>
      </c>
      <c r="AH16" s="145"/>
      <c r="AI16" s="145"/>
      <c r="AJ16" s="145"/>
      <c r="AK16" s="145"/>
      <c r="AL16" s="145"/>
      <c r="AM16" s="145"/>
      <c r="AN16" s="145"/>
      <c r="AO16" s="145"/>
      <c r="AP16" s="145"/>
      <c r="AQ16" s="145"/>
      <c r="AR16" s="145"/>
      <c r="AS16" s="145"/>
      <c r="AT16" s="145"/>
      <c r="AU16" s="145"/>
      <c r="AV16" s="145"/>
      <c r="AW16" s="145"/>
      <c r="AX16" s="145"/>
      <c r="AY16" s="145"/>
      <c r="AZ16" s="145"/>
      <c r="BA16" s="145"/>
      <c r="BB16" s="145"/>
      <c r="BC16" s="145"/>
      <c r="BD16" s="145"/>
      <c r="BE16" s="145"/>
      <c r="BF16" s="145"/>
      <c r="BI16" s="145"/>
      <c r="BJ16" s="145"/>
      <c r="BK16" s="145"/>
      <c r="BL16" s="145"/>
      <c r="BM16" s="145"/>
      <c r="BN16" s="145"/>
      <c r="BO16" s="145"/>
      <c r="BP16" s="145"/>
      <c r="BQ16" s="145"/>
      <c r="BR16" s="145"/>
      <c r="BS16" s="145"/>
      <c r="BT16" s="145"/>
      <c r="BU16" s="145"/>
      <c r="BV16" s="145"/>
      <c r="BW16" s="145"/>
      <c r="BX16" s="145"/>
      <c r="BY16" s="145"/>
      <c r="BZ16" s="145"/>
      <c r="CA16" s="145"/>
      <c r="CB16" s="145"/>
      <c r="CC16" s="145"/>
      <c r="CD16" s="145"/>
      <c r="CE16" s="145"/>
      <c r="CF16" s="145"/>
      <c r="CG16" s="145"/>
    </row>
    <row r="17" spans="2:85" ht="15">
      <c r="AH17" s="145" t="s">
        <v>933</v>
      </c>
      <c r="AI17" s="145" t="s">
        <v>873</v>
      </c>
      <c r="AJ17" s="145">
        <v>5000</v>
      </c>
      <c r="AK17" s="145">
        <f>AJ17/AL17</f>
        <v>1250</v>
      </c>
      <c r="AL17" s="145">
        <v>4</v>
      </c>
      <c r="AM17" s="153">
        <v>5</v>
      </c>
      <c r="AN17" s="154">
        <v>21.36</v>
      </c>
      <c r="AO17" s="154">
        <v>20.53</v>
      </c>
      <c r="AP17" s="154">
        <v>3.55</v>
      </c>
      <c r="AQ17" s="154">
        <v>18.010000000000002</v>
      </c>
      <c r="AR17" s="154">
        <v>27.02</v>
      </c>
      <c r="AS17" s="145">
        <v>1000</v>
      </c>
      <c r="AT17" s="145"/>
      <c r="AU17" s="145" t="s">
        <v>973</v>
      </c>
      <c r="AV17" s="145"/>
      <c r="AW17" s="145">
        <v>1250</v>
      </c>
      <c r="AX17" s="145">
        <v>1250</v>
      </c>
      <c r="AY17" s="145">
        <v>1250</v>
      </c>
      <c r="AZ17" s="145">
        <v>1250</v>
      </c>
      <c r="BA17" s="145"/>
      <c r="BB17" s="145"/>
      <c r="BC17" s="145"/>
      <c r="BD17" s="145"/>
      <c r="BE17" s="145"/>
      <c r="BF17" s="145"/>
      <c r="BI17" s="145" t="s">
        <v>933</v>
      </c>
      <c r="BJ17" s="145" t="s">
        <v>873</v>
      </c>
      <c r="BK17" s="145">
        <v>5000</v>
      </c>
      <c r="BL17" s="145">
        <f>BK17/BM17</f>
        <v>1250</v>
      </c>
      <c r="BM17" s="145">
        <v>4</v>
      </c>
      <c r="BN17" s="153">
        <v>5</v>
      </c>
      <c r="BO17" s="154">
        <v>21.36</v>
      </c>
      <c r="BP17" s="154">
        <v>20.53</v>
      </c>
      <c r="BQ17" s="154">
        <v>3.55</v>
      </c>
      <c r="BR17" s="154">
        <v>18.010000000000002</v>
      </c>
      <c r="BS17" s="154">
        <v>27.02</v>
      </c>
      <c r="BT17" s="145">
        <v>1000</v>
      </c>
      <c r="BU17" s="145"/>
      <c r="BV17" s="145" t="s">
        <v>973</v>
      </c>
      <c r="BW17" s="145"/>
      <c r="BX17" s="145">
        <v>1250</v>
      </c>
      <c r="BY17" s="145">
        <v>1250</v>
      </c>
      <c r="BZ17" s="145">
        <v>1250</v>
      </c>
      <c r="CA17" s="145">
        <v>1250</v>
      </c>
      <c r="CB17" s="145"/>
      <c r="CC17" s="145"/>
      <c r="CD17" s="145"/>
      <c r="CE17" s="145"/>
      <c r="CF17" s="145"/>
      <c r="CG17" s="145"/>
    </row>
    <row r="18" spans="2:85" ht="15">
      <c r="S18" s="148" t="s">
        <v>993</v>
      </c>
      <c r="T18" s="144" t="s">
        <v>994</v>
      </c>
      <c r="AH18" s="145" t="s">
        <v>984</v>
      </c>
      <c r="AI18" s="145" t="s">
        <v>866</v>
      </c>
      <c r="AJ18" s="145">
        <v>2500</v>
      </c>
      <c r="AK18" s="145">
        <f>AJ18/AL18</f>
        <v>1250</v>
      </c>
      <c r="AL18" s="145">
        <v>2</v>
      </c>
      <c r="AM18" s="153">
        <v>8</v>
      </c>
      <c r="AN18" s="154">
        <v>23.09</v>
      </c>
      <c r="AO18" s="154">
        <v>22.8</v>
      </c>
      <c r="AP18" s="154">
        <v>2.7</v>
      </c>
      <c r="AQ18" s="154">
        <v>20.69</v>
      </c>
      <c r="AR18" s="154">
        <v>29.11</v>
      </c>
      <c r="AS18" s="145">
        <v>0</v>
      </c>
      <c r="AT18" s="145" t="s">
        <v>962</v>
      </c>
      <c r="AU18" s="145" t="s">
        <v>963</v>
      </c>
      <c r="AV18" s="145"/>
      <c r="AW18" s="145">
        <v>1250</v>
      </c>
      <c r="AX18" s="145">
        <v>1250</v>
      </c>
      <c r="AY18" s="145"/>
      <c r="AZ18" s="145"/>
      <c r="BA18" s="145"/>
      <c r="BB18" s="145"/>
      <c r="BC18" s="145"/>
      <c r="BD18" s="145"/>
      <c r="BE18" s="145"/>
      <c r="BF18" s="145"/>
      <c r="BI18" s="145" t="s">
        <v>984</v>
      </c>
      <c r="BJ18" s="145" t="s">
        <v>866</v>
      </c>
      <c r="BK18" s="145">
        <v>2500</v>
      </c>
      <c r="BL18" s="145">
        <f>BK18/BM18</f>
        <v>1250</v>
      </c>
      <c r="BM18" s="145">
        <v>2</v>
      </c>
      <c r="BN18" s="153">
        <v>8</v>
      </c>
      <c r="BO18" s="154">
        <v>23.09</v>
      </c>
      <c r="BP18" s="154">
        <v>22.8</v>
      </c>
      <c r="BQ18" s="154">
        <v>2.7</v>
      </c>
      <c r="BR18" s="154">
        <v>20.69</v>
      </c>
      <c r="BS18" s="154">
        <v>29.11</v>
      </c>
      <c r="BT18" s="145">
        <v>0</v>
      </c>
      <c r="BU18" s="145" t="s">
        <v>962</v>
      </c>
      <c r="BV18" s="145" t="s">
        <v>963</v>
      </c>
      <c r="BW18" s="145"/>
      <c r="BX18" s="145">
        <v>1250</v>
      </c>
      <c r="BY18" s="145">
        <v>1250</v>
      </c>
      <c r="BZ18" s="145"/>
      <c r="CA18" s="145"/>
      <c r="CB18" s="145"/>
      <c r="CC18" s="145"/>
      <c r="CD18" s="145"/>
      <c r="CE18" s="145"/>
      <c r="CF18" s="145"/>
      <c r="CG18" s="145"/>
    </row>
    <row r="19" spans="2:85" ht="15">
      <c r="B19" s="144">
        <v>40000</v>
      </c>
      <c r="C19" s="147">
        <v>0.5</v>
      </c>
      <c r="D19" s="144">
        <f>B19*C19</f>
        <v>20000</v>
      </c>
      <c r="S19" s="148" t="s">
        <v>868</v>
      </c>
      <c r="T19" s="144" t="s">
        <v>995</v>
      </c>
      <c r="AH19" s="145" t="s">
        <v>139</v>
      </c>
      <c r="AI19" s="145" t="s">
        <v>870</v>
      </c>
      <c r="AJ19" s="145">
        <v>5000</v>
      </c>
      <c r="AK19" s="145">
        <f>AJ19/AL19</f>
        <v>1250</v>
      </c>
      <c r="AL19" s="145">
        <v>4</v>
      </c>
      <c r="AM19" s="153">
        <v>6</v>
      </c>
      <c r="AN19" s="153">
        <v>18.14</v>
      </c>
      <c r="AO19" s="153">
        <v>17.57</v>
      </c>
      <c r="AP19" s="153">
        <v>1.96</v>
      </c>
      <c r="AQ19" s="153">
        <v>16.64</v>
      </c>
      <c r="AR19" s="153">
        <v>21.94</v>
      </c>
      <c r="AS19" s="145">
        <v>5000</v>
      </c>
      <c r="AT19" s="145"/>
      <c r="AU19" s="145" t="s">
        <v>925</v>
      </c>
      <c r="AV19" s="145"/>
      <c r="AW19" s="145">
        <v>1250</v>
      </c>
      <c r="AX19" s="145">
        <v>1250</v>
      </c>
      <c r="AY19" s="145">
        <v>1250</v>
      </c>
      <c r="AZ19" s="145">
        <v>1250</v>
      </c>
      <c r="BA19" s="145"/>
      <c r="BB19" s="145"/>
      <c r="BC19" s="145"/>
      <c r="BD19" s="145"/>
      <c r="BE19" s="145"/>
      <c r="BF19" s="145"/>
      <c r="BI19" s="145" t="s">
        <v>139</v>
      </c>
      <c r="BJ19" s="145" t="s">
        <v>870</v>
      </c>
      <c r="BK19" s="145">
        <v>5000</v>
      </c>
      <c r="BL19" s="145">
        <f>BK19/BM19</f>
        <v>1250</v>
      </c>
      <c r="BM19" s="145">
        <v>4</v>
      </c>
      <c r="BN19" s="153">
        <v>6</v>
      </c>
      <c r="BO19" s="153">
        <v>18.14</v>
      </c>
      <c r="BP19" s="153">
        <v>17.57</v>
      </c>
      <c r="BQ19" s="153">
        <v>1.96</v>
      </c>
      <c r="BR19" s="153">
        <v>16.64</v>
      </c>
      <c r="BS19" s="153">
        <v>21.94</v>
      </c>
      <c r="BT19" s="145">
        <v>5000</v>
      </c>
      <c r="BU19" s="145"/>
      <c r="BV19" s="145" t="s">
        <v>925</v>
      </c>
      <c r="BW19" s="145"/>
      <c r="BX19" s="145">
        <v>1250</v>
      </c>
      <c r="BY19" s="145">
        <v>1250</v>
      </c>
      <c r="BZ19" s="145">
        <v>1250</v>
      </c>
      <c r="CA19" s="145">
        <v>1250</v>
      </c>
      <c r="CB19" s="145"/>
      <c r="CC19" s="145"/>
      <c r="CD19" s="145"/>
      <c r="CE19" s="145"/>
      <c r="CF19" s="145"/>
      <c r="CG19" s="145"/>
    </row>
    <row r="20" spans="2:85" ht="15">
      <c r="B20" s="144">
        <v>40000</v>
      </c>
      <c r="C20" s="147">
        <v>0.5</v>
      </c>
      <c r="D20" s="144">
        <f>B20*C20</f>
        <v>20000</v>
      </c>
      <c r="AH20" s="145" t="s">
        <v>934</v>
      </c>
      <c r="AI20" s="145" t="s">
        <v>941</v>
      </c>
      <c r="AJ20" s="145">
        <v>2500</v>
      </c>
      <c r="AK20" s="145">
        <f>AJ20/AL20</f>
        <v>1250</v>
      </c>
      <c r="AL20" s="145">
        <v>2</v>
      </c>
      <c r="AM20" s="153">
        <v>6</v>
      </c>
      <c r="AN20" s="154">
        <v>25.32</v>
      </c>
      <c r="AO20" s="154">
        <v>24.31</v>
      </c>
      <c r="AP20" s="154">
        <v>5.44</v>
      </c>
      <c r="AQ20" s="154">
        <v>19.79</v>
      </c>
      <c r="AR20" s="154">
        <v>33.43</v>
      </c>
      <c r="AS20" s="145">
        <v>5000</v>
      </c>
      <c r="AT20" s="145"/>
      <c r="AU20" s="145" t="s">
        <v>925</v>
      </c>
      <c r="AV20" s="145"/>
      <c r="AW20" s="145">
        <v>1250</v>
      </c>
      <c r="AX20" s="145">
        <v>1250</v>
      </c>
      <c r="AY20" s="145"/>
      <c r="AZ20" s="145"/>
      <c r="BA20" s="145"/>
      <c r="BB20" s="145"/>
      <c r="BC20" s="145"/>
      <c r="BD20" s="145"/>
      <c r="BE20" s="145"/>
      <c r="BF20" s="145"/>
      <c r="BI20" s="145" t="s">
        <v>934</v>
      </c>
      <c r="BJ20" s="145" t="s">
        <v>941</v>
      </c>
      <c r="BK20" s="145">
        <v>2500</v>
      </c>
      <c r="BL20" s="145">
        <f>BK20/BM20</f>
        <v>1250</v>
      </c>
      <c r="BM20" s="145">
        <v>2</v>
      </c>
      <c r="BN20" s="153">
        <v>6</v>
      </c>
      <c r="BO20" s="154">
        <v>25.32</v>
      </c>
      <c r="BP20" s="154">
        <v>24.31</v>
      </c>
      <c r="BQ20" s="154">
        <v>5.44</v>
      </c>
      <c r="BR20" s="154">
        <v>19.79</v>
      </c>
      <c r="BS20" s="154">
        <v>33.43</v>
      </c>
      <c r="BT20" s="145">
        <v>5000</v>
      </c>
      <c r="BU20" s="145"/>
      <c r="BV20" s="145" t="s">
        <v>925</v>
      </c>
      <c r="BW20" s="145"/>
      <c r="BX20" s="145">
        <v>1250</v>
      </c>
      <c r="BY20" s="145">
        <v>1250</v>
      </c>
      <c r="BZ20" s="145"/>
      <c r="CA20" s="145"/>
      <c r="CB20" s="145"/>
      <c r="CC20" s="145"/>
      <c r="CD20" s="145"/>
      <c r="CE20" s="145"/>
      <c r="CF20" s="145"/>
      <c r="CG20" s="145"/>
    </row>
    <row r="21" spans="2:85" ht="15">
      <c r="S21" s="159" t="s">
        <v>996</v>
      </c>
      <c r="AH21" s="145" t="s">
        <v>106</v>
      </c>
      <c r="AI21" s="145" t="s">
        <v>872</v>
      </c>
      <c r="AJ21" s="145">
        <v>5000</v>
      </c>
      <c r="AK21" s="145">
        <f>AJ21/AL21</f>
        <v>1250</v>
      </c>
      <c r="AL21" s="145">
        <v>4</v>
      </c>
      <c r="AM21" s="153">
        <v>13</v>
      </c>
      <c r="AN21" s="153">
        <v>18.5</v>
      </c>
      <c r="AO21" s="153">
        <v>17.32</v>
      </c>
      <c r="AP21" s="153">
        <v>3.69</v>
      </c>
      <c r="AQ21" s="153">
        <v>15.59</v>
      </c>
      <c r="AR21" s="153">
        <v>28.6</v>
      </c>
      <c r="AS21" s="145">
        <v>5000</v>
      </c>
      <c r="AT21" s="145"/>
      <c r="AU21" s="145" t="s">
        <v>925</v>
      </c>
      <c r="AV21" s="145"/>
      <c r="AW21" s="145">
        <v>1250</v>
      </c>
      <c r="AX21" s="145">
        <v>1250</v>
      </c>
      <c r="AY21" s="145">
        <v>1250</v>
      </c>
      <c r="AZ21" s="145">
        <v>1250</v>
      </c>
      <c r="BA21" s="145"/>
      <c r="BB21" s="145"/>
      <c r="BC21" s="145"/>
      <c r="BD21" s="145"/>
      <c r="BE21" s="145"/>
      <c r="BF21" s="145"/>
      <c r="BI21" s="145" t="s">
        <v>106</v>
      </c>
      <c r="BJ21" s="145" t="s">
        <v>872</v>
      </c>
      <c r="BK21" s="145">
        <v>5000</v>
      </c>
      <c r="BL21" s="145">
        <f>BK21/BM21</f>
        <v>1250</v>
      </c>
      <c r="BM21" s="145">
        <v>4</v>
      </c>
      <c r="BN21" s="153">
        <v>13</v>
      </c>
      <c r="BO21" s="153">
        <v>18.5</v>
      </c>
      <c r="BP21" s="153">
        <v>17.32</v>
      </c>
      <c r="BQ21" s="153">
        <v>3.69</v>
      </c>
      <c r="BR21" s="153">
        <v>15.59</v>
      </c>
      <c r="BS21" s="153">
        <v>28.6</v>
      </c>
      <c r="BT21" s="145">
        <v>5000</v>
      </c>
      <c r="BU21" s="145"/>
      <c r="BV21" s="145" t="s">
        <v>925</v>
      </c>
      <c r="BW21" s="145"/>
      <c r="BX21" s="145">
        <v>1250</v>
      </c>
      <c r="BY21" s="145">
        <v>1250</v>
      </c>
      <c r="BZ21" s="145">
        <v>1250</v>
      </c>
      <c r="CA21" s="145">
        <v>1250</v>
      </c>
      <c r="CB21" s="145"/>
      <c r="CC21" s="145"/>
      <c r="CD21" s="145"/>
      <c r="CE21" s="145"/>
      <c r="CF21" s="145"/>
      <c r="CG21" s="145"/>
    </row>
    <row r="22" spans="2:85">
      <c r="B22" s="144" t="s">
        <v>997</v>
      </c>
      <c r="AH22" s="145"/>
      <c r="AI22" s="145"/>
      <c r="AJ22" s="156">
        <f>SUM(AJ17:AJ21)</f>
        <v>20000</v>
      </c>
      <c r="AK22" s="145"/>
      <c r="AL22" s="145"/>
      <c r="AM22" s="145"/>
      <c r="AN22" s="157">
        <f>AVERAGE(AN17:AN21)</f>
        <v>21.282</v>
      </c>
      <c r="AO22" s="157">
        <f>AVERAGE(AO17:AO21)</f>
        <v>20.506</v>
      </c>
      <c r="AP22" s="145"/>
      <c r="AQ22" s="145"/>
      <c r="AR22" s="145"/>
      <c r="AS22" s="156">
        <f>SUM(AS17:AS21)</f>
        <v>16000</v>
      </c>
      <c r="AT22" s="145"/>
      <c r="AU22" s="145"/>
      <c r="AV22" s="145"/>
      <c r="AW22" s="156">
        <f>SUM(AW17:AW21)</f>
        <v>6250</v>
      </c>
      <c r="AX22" s="156">
        <f t="shared" ref="AX22:AZ22" si="4">SUM(AX17:AX21)</f>
        <v>6250</v>
      </c>
      <c r="AY22" s="156">
        <f t="shared" si="4"/>
        <v>3750</v>
      </c>
      <c r="AZ22" s="156">
        <f t="shared" si="4"/>
        <v>3750</v>
      </c>
      <c r="BA22" s="145"/>
      <c r="BB22" s="145"/>
      <c r="BC22" s="145"/>
      <c r="BD22" s="145"/>
      <c r="BE22" s="145"/>
      <c r="BF22" s="145"/>
      <c r="BI22" s="145"/>
      <c r="BJ22" s="145"/>
      <c r="BK22" s="156">
        <f>SUM(BK17:BK21)</f>
        <v>20000</v>
      </c>
      <c r="BL22" s="145"/>
      <c r="BM22" s="145"/>
      <c r="BN22" s="145"/>
      <c r="BO22" s="157">
        <f>AVERAGE(BO17:BO21)</f>
        <v>21.282</v>
      </c>
      <c r="BP22" s="157">
        <f>AVERAGE(BP17:BP21)</f>
        <v>20.506</v>
      </c>
      <c r="BQ22" s="145"/>
      <c r="BR22" s="145"/>
      <c r="BS22" s="145"/>
      <c r="BT22" s="156">
        <f>SUM(BT17:BT21)</f>
        <v>16000</v>
      </c>
      <c r="BU22" s="145"/>
      <c r="BV22" s="145"/>
      <c r="BW22" s="145"/>
      <c r="BX22" s="156">
        <f>SUM(BX17:BX21)</f>
        <v>6250</v>
      </c>
      <c r="BY22" s="156">
        <f t="shared" ref="BY22:CA22" si="5">SUM(BY17:BY21)</f>
        <v>6250</v>
      </c>
      <c r="BZ22" s="156">
        <f t="shared" si="5"/>
        <v>3750</v>
      </c>
      <c r="CA22" s="156">
        <f t="shared" si="5"/>
        <v>3750</v>
      </c>
      <c r="CB22" s="145"/>
      <c r="CC22" s="145"/>
      <c r="CD22" s="145"/>
      <c r="CE22" s="145"/>
      <c r="CF22" s="145"/>
      <c r="CG22" s="145"/>
    </row>
    <row r="23" spans="2:85" ht="15">
      <c r="B23" s="144" t="s">
        <v>998</v>
      </c>
      <c r="O23" s="144">
        <v>20000</v>
      </c>
      <c r="P23" s="147">
        <v>0.25</v>
      </c>
      <c r="Q23" s="144">
        <f t="shared" ref="Q23:Q28" si="6">O23*P23</f>
        <v>5000</v>
      </c>
      <c r="R23" s="144" t="s">
        <v>984</v>
      </c>
      <c r="S23" s="144" t="s">
        <v>866</v>
      </c>
      <c r="U23" s="155" t="s">
        <v>999</v>
      </c>
      <c r="V23" s="155" t="s">
        <v>1000</v>
      </c>
      <c r="W23" s="160">
        <v>1</v>
      </c>
      <c r="X23" s="160">
        <v>1</v>
      </c>
      <c r="Y23" s="155"/>
      <c r="AA23" s="151">
        <v>8</v>
      </c>
      <c r="AB23" s="161">
        <v>27.82</v>
      </c>
      <c r="AC23" s="161">
        <v>26.49</v>
      </c>
      <c r="AD23" s="161">
        <v>3.53</v>
      </c>
      <c r="AE23" s="161">
        <v>24.78</v>
      </c>
      <c r="AF23" s="161">
        <v>34.25</v>
      </c>
      <c r="AH23" s="145"/>
      <c r="AI23" s="145" t="s">
        <v>1001</v>
      </c>
      <c r="AJ23" s="156">
        <f>AJ8*2 +AJ15+AJ22</f>
        <v>82000</v>
      </c>
      <c r="AK23" s="145"/>
      <c r="AL23" s="145"/>
      <c r="AM23" s="145"/>
      <c r="AN23" s="145"/>
      <c r="AO23" s="145"/>
      <c r="AP23" s="145"/>
      <c r="AQ23" s="145"/>
      <c r="AR23" s="145"/>
      <c r="AS23" s="156">
        <f>AS8*2 +AS15+AS22</f>
        <v>63000</v>
      </c>
      <c r="AT23" s="156" t="s">
        <v>1002</v>
      </c>
      <c r="AU23" s="145"/>
      <c r="AV23" s="145"/>
      <c r="AW23" s="145"/>
      <c r="AX23" s="145"/>
      <c r="AY23" s="145"/>
      <c r="AZ23" s="145"/>
      <c r="BA23" s="145"/>
      <c r="BB23" s="145"/>
      <c r="BC23" s="145"/>
      <c r="BD23" s="145"/>
      <c r="BE23" s="145"/>
      <c r="BF23" s="145"/>
      <c r="BI23" s="145"/>
      <c r="BJ23" s="145" t="s">
        <v>1001</v>
      </c>
      <c r="BK23" s="156">
        <f>BK8*2 +BK15+BK22</f>
        <v>82000</v>
      </c>
      <c r="BL23" s="145"/>
      <c r="BM23" s="145"/>
      <c r="BN23" s="145"/>
      <c r="BO23" s="145"/>
      <c r="BP23" s="145"/>
      <c r="BQ23" s="145"/>
      <c r="BR23" s="145"/>
      <c r="BS23" s="145"/>
      <c r="BT23" s="156">
        <f>BT8*2 +BT15+BT22</f>
        <v>63000</v>
      </c>
      <c r="BU23" s="156" t="s">
        <v>1002</v>
      </c>
      <c r="BV23" s="145"/>
      <c r="BW23" s="145"/>
      <c r="BX23" s="145"/>
      <c r="BY23" s="145"/>
      <c r="BZ23" s="145"/>
      <c r="CA23" s="145"/>
      <c r="CB23" s="145"/>
      <c r="CC23" s="145"/>
      <c r="CD23" s="145"/>
      <c r="CE23" s="145"/>
      <c r="CF23" s="145"/>
      <c r="CG23" s="145"/>
    </row>
    <row r="24" spans="2:85" ht="15">
      <c r="B24" s="144" t="s">
        <v>1003</v>
      </c>
      <c r="O24" s="144">
        <v>20000</v>
      </c>
      <c r="P24" s="147">
        <v>0.25</v>
      </c>
      <c r="Q24" s="144">
        <f t="shared" si="6"/>
        <v>5000</v>
      </c>
      <c r="R24" s="144" t="s">
        <v>933</v>
      </c>
      <c r="S24" s="144" t="s">
        <v>872</v>
      </c>
      <c r="U24" s="144" t="s">
        <v>934</v>
      </c>
      <c r="V24" s="144" t="s">
        <v>941</v>
      </c>
      <c r="W24" s="162">
        <v>1</v>
      </c>
      <c r="X24"/>
      <c r="AA24" s="151">
        <v>6</v>
      </c>
      <c r="AB24" s="161">
        <v>25.32</v>
      </c>
      <c r="AC24" s="161">
        <v>24.31</v>
      </c>
      <c r="AD24" s="161">
        <v>5.44</v>
      </c>
      <c r="AE24" s="161">
        <v>19.79</v>
      </c>
      <c r="AF24" s="161">
        <v>33.43</v>
      </c>
      <c r="AH24" s="145"/>
      <c r="AI24" s="145"/>
      <c r="AJ24" s="145"/>
      <c r="AK24" s="145"/>
      <c r="AL24" s="145"/>
      <c r="AM24" s="145"/>
      <c r="AN24" s="145"/>
      <c r="AO24" s="145"/>
      <c r="AP24" s="145"/>
      <c r="AQ24" s="145"/>
      <c r="AR24" s="145"/>
      <c r="AS24" s="156">
        <f>AS23/2</f>
        <v>31500</v>
      </c>
      <c r="AT24" s="156" t="s">
        <v>1004</v>
      </c>
      <c r="AU24" s="145"/>
      <c r="AV24" s="145" t="s">
        <v>1005</v>
      </c>
      <c r="AW24" s="156">
        <f>AW8+AW15</f>
        <v>11500</v>
      </c>
      <c r="AX24" s="156">
        <f t="shared" ref="AX24:AZ24" si="7">AX8+AX15</f>
        <v>11500</v>
      </c>
      <c r="AY24" s="156">
        <f t="shared" si="7"/>
        <v>9000</v>
      </c>
      <c r="AZ24" s="156">
        <f t="shared" si="7"/>
        <v>9000</v>
      </c>
      <c r="BA24" s="156">
        <f>SUM(AW24:AZ24)</f>
        <v>41000</v>
      </c>
      <c r="BB24" s="145" t="s">
        <v>1006</v>
      </c>
      <c r="BC24" s="145"/>
      <c r="BD24" s="145"/>
      <c r="BE24" s="145"/>
      <c r="BF24" s="145"/>
      <c r="BI24" s="145"/>
      <c r="BJ24" s="145"/>
      <c r="BK24" s="145"/>
      <c r="BL24" s="145"/>
      <c r="BM24" s="145"/>
      <c r="BN24" s="145"/>
      <c r="BO24" s="145"/>
      <c r="BP24" s="145"/>
      <c r="BQ24" s="145"/>
      <c r="BR24" s="145"/>
      <c r="BS24" s="145"/>
      <c r="BT24" s="156">
        <f>BT23/2</f>
        <v>31500</v>
      </c>
      <c r="BU24" s="156" t="s">
        <v>1004</v>
      </c>
      <c r="BV24" s="145"/>
      <c r="BW24" s="145" t="s">
        <v>1005</v>
      </c>
      <c r="BX24" s="156">
        <f>BX8+BX15</f>
        <v>11500</v>
      </c>
      <c r="BY24" s="156">
        <f t="shared" ref="BY24:CA24" si="8">BY8+BY15</f>
        <v>11500</v>
      </c>
      <c r="BZ24" s="156">
        <f t="shared" si="8"/>
        <v>9000</v>
      </c>
      <c r="CA24" s="156">
        <f t="shared" si="8"/>
        <v>9000</v>
      </c>
      <c r="CB24" s="156">
        <f>SUM(BX24:CA24)</f>
        <v>41000</v>
      </c>
      <c r="CC24" s="145" t="s">
        <v>1006</v>
      </c>
      <c r="CD24" s="145"/>
      <c r="CE24" s="145"/>
      <c r="CF24" s="145"/>
      <c r="CG24" s="145"/>
    </row>
    <row r="25" spans="2:85" ht="15">
      <c r="B25" s="144" t="s">
        <v>1007</v>
      </c>
      <c r="O25" s="144">
        <v>20000</v>
      </c>
      <c r="P25" s="147">
        <v>0.15</v>
      </c>
      <c r="Q25" s="144">
        <f t="shared" si="6"/>
        <v>3000</v>
      </c>
      <c r="R25" s="144" t="s">
        <v>139</v>
      </c>
      <c r="S25" s="144" t="s">
        <v>870</v>
      </c>
      <c r="U25" s="144" t="s">
        <v>934</v>
      </c>
      <c r="V25" s="148" t="s">
        <v>868</v>
      </c>
      <c r="W25"/>
      <c r="X25" s="162">
        <v>1</v>
      </c>
      <c r="AA25" s="151">
        <v>14</v>
      </c>
      <c r="AB25" s="161">
        <v>25.57</v>
      </c>
      <c r="AC25" s="161">
        <v>22.94</v>
      </c>
      <c r="AD25" s="161">
        <v>6.85</v>
      </c>
      <c r="AE25" s="161">
        <v>19.53</v>
      </c>
      <c r="AF25" s="161">
        <v>43.15</v>
      </c>
      <c r="AH25" s="145"/>
      <c r="AI25" s="145"/>
      <c r="AJ25" s="145"/>
      <c r="AK25" s="145"/>
      <c r="AL25" s="145"/>
      <c r="AM25" s="145"/>
      <c r="AN25" s="145"/>
      <c r="AO25" s="145"/>
      <c r="AP25" s="145"/>
      <c r="AQ25" s="145"/>
      <c r="AR25" s="145"/>
      <c r="AS25" s="145"/>
      <c r="AT25" s="145"/>
      <c r="AU25" s="145"/>
      <c r="AV25" s="145" t="s">
        <v>1008</v>
      </c>
      <c r="AW25" s="156">
        <f>AW8+AW22</f>
        <v>11500</v>
      </c>
      <c r="AX25" s="156">
        <f>AX8+AX22</f>
        <v>11500</v>
      </c>
      <c r="AY25" s="156">
        <f>AY8+AY22</f>
        <v>9000</v>
      </c>
      <c r="AZ25" s="156">
        <f>AZ8+AZ22</f>
        <v>9000</v>
      </c>
      <c r="BA25" s="156">
        <f>SUM(AW25:AZ25)</f>
        <v>41000</v>
      </c>
      <c r="BB25" s="145" t="s">
        <v>1006</v>
      </c>
      <c r="BC25" s="145"/>
      <c r="BD25" s="145"/>
      <c r="BE25" s="145"/>
      <c r="BF25" s="145"/>
      <c r="BI25" s="145"/>
      <c r="BJ25" s="145"/>
      <c r="BK25" s="145"/>
      <c r="BL25" s="145"/>
      <c r="BM25" s="145"/>
      <c r="BN25" s="145"/>
      <c r="BO25" s="145"/>
      <c r="BP25" s="145"/>
      <c r="BQ25" s="145"/>
      <c r="BR25" s="145"/>
      <c r="BS25" s="145"/>
      <c r="BT25" s="145"/>
      <c r="BU25" s="145"/>
      <c r="BV25" s="145"/>
      <c r="BW25" s="145" t="s">
        <v>1008</v>
      </c>
      <c r="BX25" s="156">
        <f>BX8+BX22</f>
        <v>11500</v>
      </c>
      <c r="BY25" s="156">
        <f>BY8+BY22</f>
        <v>11500</v>
      </c>
      <c r="BZ25" s="156">
        <f>BZ8+BZ22</f>
        <v>9000</v>
      </c>
      <c r="CA25" s="156">
        <f>CA8+CA22</f>
        <v>9000</v>
      </c>
      <c r="CB25" s="156">
        <f>SUM(BX25:CA25)</f>
        <v>41000</v>
      </c>
      <c r="CC25" s="145" t="s">
        <v>1006</v>
      </c>
      <c r="CD25" s="145"/>
      <c r="CE25" s="145"/>
      <c r="CF25" s="145"/>
      <c r="CG25" s="145"/>
    </row>
    <row r="26" spans="2:85" ht="15">
      <c r="B26" s="144" t="s">
        <v>1009</v>
      </c>
      <c r="O26" s="144">
        <v>20000</v>
      </c>
      <c r="P26" s="147">
        <v>0.15</v>
      </c>
      <c r="Q26" s="144">
        <f t="shared" si="6"/>
        <v>3000</v>
      </c>
      <c r="U26" s="144" t="s">
        <v>984</v>
      </c>
      <c r="V26" s="144" t="s">
        <v>866</v>
      </c>
      <c r="W26" s="162">
        <v>2</v>
      </c>
      <c r="AA26" s="151">
        <v>8</v>
      </c>
      <c r="AB26" s="161">
        <v>23.09</v>
      </c>
      <c r="AC26" s="161">
        <v>22.8</v>
      </c>
      <c r="AD26" s="161">
        <v>2.7</v>
      </c>
      <c r="AE26" s="161">
        <v>20.69</v>
      </c>
      <c r="AF26" s="161">
        <v>29.11</v>
      </c>
      <c r="AH26" s="145"/>
      <c r="AI26" s="145"/>
      <c r="AJ26" s="145"/>
      <c r="AK26" s="145"/>
      <c r="AL26" s="145"/>
      <c r="AM26" s="145"/>
      <c r="AN26" s="145"/>
      <c r="AO26" s="145"/>
      <c r="AP26" s="145"/>
      <c r="AQ26" s="145"/>
      <c r="AR26" s="145"/>
      <c r="AS26" s="145"/>
      <c r="AT26" s="145"/>
      <c r="AU26" s="145"/>
      <c r="AV26" s="145"/>
      <c r="AW26" s="145"/>
      <c r="AX26" s="145"/>
      <c r="AY26" s="145"/>
      <c r="AZ26" s="145"/>
      <c r="BA26" s="156">
        <f>BA25/4</f>
        <v>10250</v>
      </c>
      <c r="BB26" s="145" t="s">
        <v>1010</v>
      </c>
      <c r="BC26" s="145"/>
      <c r="BD26" s="145"/>
      <c r="BE26" s="145"/>
      <c r="BF26" s="145"/>
      <c r="BI26" s="170" t="s">
        <v>1011</v>
      </c>
      <c r="BJ26" s="145"/>
      <c r="BK26" s="145"/>
      <c r="BL26" s="145"/>
      <c r="BM26" s="145"/>
      <c r="BN26" s="145"/>
      <c r="BO26" s="145"/>
      <c r="BP26" s="145"/>
      <c r="BQ26" s="145"/>
      <c r="BR26" s="145"/>
      <c r="BS26" s="145"/>
      <c r="BT26" s="145"/>
      <c r="BU26" s="145"/>
      <c r="BV26" s="145"/>
      <c r="BW26" s="145"/>
      <c r="BX26" s="145"/>
      <c r="BY26" s="145"/>
      <c r="BZ26" s="145"/>
      <c r="CA26" s="145"/>
      <c r="CB26" s="156">
        <f>CB25/4</f>
        <v>10250</v>
      </c>
      <c r="CC26" s="145" t="s">
        <v>1010</v>
      </c>
      <c r="CD26" s="145"/>
      <c r="CE26" s="145"/>
      <c r="CF26" s="145"/>
      <c r="CG26" s="145"/>
    </row>
    <row r="27" spans="2:85" ht="15">
      <c r="B27" s="144" t="s">
        <v>1012</v>
      </c>
      <c r="O27" s="144">
        <v>20000</v>
      </c>
      <c r="P27" s="147">
        <v>0.1</v>
      </c>
      <c r="Q27" s="144">
        <f t="shared" si="6"/>
        <v>2000</v>
      </c>
      <c r="R27" s="144" t="s">
        <v>934</v>
      </c>
      <c r="S27" s="148" t="s">
        <v>993</v>
      </c>
      <c r="U27" s="144" t="s">
        <v>73</v>
      </c>
      <c r="V27" s="144" t="s">
        <v>1013</v>
      </c>
      <c r="X27" s="162">
        <v>2</v>
      </c>
      <c r="AA27" s="151">
        <v>3</v>
      </c>
      <c r="AB27" s="161">
        <v>23.81</v>
      </c>
      <c r="AC27" s="161">
        <v>22.14</v>
      </c>
      <c r="AD27" s="161">
        <v>3.64</v>
      </c>
      <c r="AE27" s="161">
        <v>21.3</v>
      </c>
      <c r="AF27" s="161">
        <v>27.99</v>
      </c>
    </row>
    <row r="28" spans="2:85" ht="15">
      <c r="B28" s="144" t="s">
        <v>867</v>
      </c>
      <c r="O28" s="144">
        <v>20000</v>
      </c>
      <c r="P28" s="147">
        <v>0.1</v>
      </c>
      <c r="Q28" s="144">
        <f t="shared" si="6"/>
        <v>2000</v>
      </c>
      <c r="R28" s="144" t="s">
        <v>934</v>
      </c>
      <c r="S28" s="148" t="s">
        <v>868</v>
      </c>
      <c r="U28" s="144" t="s">
        <v>933</v>
      </c>
      <c r="V28" s="148" t="s">
        <v>873</v>
      </c>
      <c r="W28" s="162">
        <v>3</v>
      </c>
      <c r="X28" s="162">
        <v>3</v>
      </c>
      <c r="AA28" s="151">
        <v>5</v>
      </c>
      <c r="AB28" s="161">
        <v>21.36</v>
      </c>
      <c r="AC28" s="161">
        <v>20.53</v>
      </c>
      <c r="AD28" s="161">
        <v>3.55</v>
      </c>
      <c r="AE28" s="161">
        <v>18.010000000000002</v>
      </c>
      <c r="AF28" s="161">
        <v>27.02</v>
      </c>
      <c r="AH28" s="144" t="s">
        <v>238</v>
      </c>
      <c r="AI28" s="144" t="s">
        <v>1014</v>
      </c>
      <c r="AJ28" s="144">
        <v>2000</v>
      </c>
      <c r="AK28" s="144">
        <f>AJ28/2</f>
        <v>1000</v>
      </c>
      <c r="AL28" s="144">
        <v>2</v>
      </c>
      <c r="AM28" s="151">
        <v>8</v>
      </c>
      <c r="AN28" s="161">
        <v>21.16</v>
      </c>
      <c r="AO28" s="161">
        <v>19.829999999999998</v>
      </c>
      <c r="AP28" s="161">
        <v>3.08</v>
      </c>
      <c r="AQ28" s="161">
        <v>18.350000000000001</v>
      </c>
      <c r="AR28" s="161">
        <v>27.91</v>
      </c>
    </row>
    <row r="29" spans="2:85" ht="15">
      <c r="U29" s="144" t="s">
        <v>984</v>
      </c>
      <c r="V29" s="144" t="s">
        <v>867</v>
      </c>
      <c r="W29" s="162">
        <v>4</v>
      </c>
      <c r="AA29" s="151">
        <v>14</v>
      </c>
      <c r="AB29" s="161">
        <v>19.77</v>
      </c>
      <c r="AC29" s="161">
        <v>20.05</v>
      </c>
      <c r="AD29" s="161">
        <v>1.9</v>
      </c>
      <c r="AE29" s="161">
        <v>17.079999999999998</v>
      </c>
      <c r="AF29" s="161">
        <v>24.53</v>
      </c>
      <c r="AH29" s="144" t="s">
        <v>984</v>
      </c>
      <c r="AI29" s="144" t="s">
        <v>866</v>
      </c>
      <c r="AJ29" s="144">
        <v>5000</v>
      </c>
      <c r="AK29" s="144">
        <f>AJ29/4</f>
        <v>1250</v>
      </c>
      <c r="AL29" s="144">
        <v>4</v>
      </c>
      <c r="AM29" s="151">
        <v>8</v>
      </c>
      <c r="AN29" s="161">
        <v>23.09</v>
      </c>
      <c r="AO29" s="161">
        <v>22.8</v>
      </c>
      <c r="AP29" s="161">
        <v>2.7</v>
      </c>
      <c r="AQ29" s="161">
        <v>20.69</v>
      </c>
      <c r="AR29" s="161">
        <v>29.11</v>
      </c>
    </row>
    <row r="30" spans="2:85" ht="15">
      <c r="U30" s="144" t="s">
        <v>982</v>
      </c>
      <c r="V30" s="144" t="s">
        <v>983</v>
      </c>
      <c r="X30" s="162">
        <v>4</v>
      </c>
      <c r="AA30" s="151">
        <v>12</v>
      </c>
      <c r="AB30" s="161">
        <v>19.989999999999998</v>
      </c>
      <c r="AC30" s="161">
        <v>19.079999999999998</v>
      </c>
      <c r="AD30" s="161">
        <v>3.14</v>
      </c>
      <c r="AE30" s="161">
        <v>17.5</v>
      </c>
      <c r="AF30" s="161">
        <v>29.34</v>
      </c>
      <c r="AH30" s="144" t="s">
        <v>933</v>
      </c>
      <c r="AI30" s="148" t="s">
        <v>873</v>
      </c>
      <c r="AJ30" s="144">
        <v>5000</v>
      </c>
      <c r="AK30" s="144">
        <f>AJ30/4</f>
        <v>1250</v>
      </c>
      <c r="AL30" s="144">
        <v>4</v>
      </c>
      <c r="AM30" s="151">
        <v>5</v>
      </c>
      <c r="AN30" s="161">
        <v>21.36</v>
      </c>
      <c r="AO30" s="161">
        <v>20.53</v>
      </c>
      <c r="AP30" s="161">
        <v>3.55</v>
      </c>
      <c r="AQ30" s="161">
        <v>18.010000000000002</v>
      </c>
      <c r="AR30" s="161">
        <v>27.02</v>
      </c>
    </row>
    <row r="31" spans="2:85" ht="15">
      <c r="U31" s="144" t="s">
        <v>934</v>
      </c>
      <c r="V31" s="148" t="s">
        <v>993</v>
      </c>
      <c r="W31" s="162">
        <v>5</v>
      </c>
      <c r="AA31" s="151">
        <v>14</v>
      </c>
      <c r="AB31" s="161">
        <v>19.190000000000001</v>
      </c>
      <c r="AC31" s="161">
        <v>18.21</v>
      </c>
      <c r="AD31" s="161">
        <v>3.88</v>
      </c>
      <c r="AE31" s="161">
        <v>15.97</v>
      </c>
      <c r="AF31" s="161">
        <v>30.11</v>
      </c>
      <c r="AH31" s="144" t="s">
        <v>984</v>
      </c>
      <c r="AI31" s="144" t="s">
        <v>867</v>
      </c>
      <c r="AJ31" s="144">
        <v>3000</v>
      </c>
      <c r="AK31" s="144">
        <f>AJ31/3</f>
        <v>1000</v>
      </c>
      <c r="AL31" s="144">
        <v>3</v>
      </c>
      <c r="AM31" s="151">
        <v>14</v>
      </c>
      <c r="AN31" s="161">
        <v>19.77</v>
      </c>
      <c r="AO31" s="161">
        <v>20.05</v>
      </c>
      <c r="AP31" s="161">
        <v>1.9</v>
      </c>
      <c r="AQ31" s="161">
        <v>17.079999999999998</v>
      </c>
      <c r="AR31" s="161">
        <v>24.53</v>
      </c>
    </row>
    <row r="32" spans="2:85" ht="15">
      <c r="T32" s="149"/>
      <c r="U32" s="144" t="s">
        <v>238</v>
      </c>
      <c r="V32" s="144" t="s">
        <v>1015</v>
      </c>
      <c r="W32" s="162">
        <v>6</v>
      </c>
      <c r="X32" s="162">
        <v>5</v>
      </c>
      <c r="AA32" s="151">
        <v>13</v>
      </c>
      <c r="AB32" s="161">
        <v>18.18</v>
      </c>
      <c r="AC32" s="161">
        <v>17.61</v>
      </c>
      <c r="AD32" s="161">
        <v>2.78</v>
      </c>
      <c r="AE32" s="161">
        <v>15.93</v>
      </c>
      <c r="AF32" s="161">
        <v>26.78</v>
      </c>
      <c r="AH32" s="144" t="s">
        <v>238</v>
      </c>
      <c r="AI32" s="144" t="s">
        <v>1016</v>
      </c>
      <c r="AJ32" s="144">
        <v>2000</v>
      </c>
      <c r="AK32" s="144">
        <f>AJ32/2</f>
        <v>1000</v>
      </c>
      <c r="AL32" s="144">
        <v>2</v>
      </c>
      <c r="AM32" s="151">
        <v>11</v>
      </c>
      <c r="AN32" s="161">
        <v>19.97</v>
      </c>
      <c r="AO32" s="161">
        <v>19.11</v>
      </c>
      <c r="AP32" s="161">
        <v>3.24</v>
      </c>
      <c r="AQ32" s="161">
        <v>17.18</v>
      </c>
      <c r="AR32" s="161">
        <v>29.22</v>
      </c>
    </row>
    <row r="33" spans="21:44" ht="15">
      <c r="U33" s="144" t="s">
        <v>139</v>
      </c>
      <c r="V33" s="144" t="s">
        <v>870</v>
      </c>
      <c r="X33" s="162">
        <v>6</v>
      </c>
      <c r="AA33" s="151">
        <v>6</v>
      </c>
      <c r="AB33" s="161">
        <v>18.14</v>
      </c>
      <c r="AC33" s="161">
        <v>17.57</v>
      </c>
      <c r="AD33" s="161">
        <v>1.96</v>
      </c>
      <c r="AE33" s="161">
        <v>16.64</v>
      </c>
      <c r="AF33" s="161">
        <v>21.94</v>
      </c>
      <c r="AH33" s="144" t="s">
        <v>139</v>
      </c>
      <c r="AI33" s="144" t="s">
        <v>870</v>
      </c>
      <c r="AJ33" s="144">
        <v>3000</v>
      </c>
      <c r="AK33" s="144">
        <f>AJ33/3</f>
        <v>1000</v>
      </c>
      <c r="AL33" s="144">
        <v>3</v>
      </c>
      <c r="AM33" s="151">
        <v>6</v>
      </c>
      <c r="AN33" s="161">
        <v>18.14</v>
      </c>
      <c r="AO33" s="161">
        <v>17.57</v>
      </c>
      <c r="AP33" s="161">
        <v>1.96</v>
      </c>
      <c r="AQ33" s="161">
        <v>16.64</v>
      </c>
      <c r="AR33" s="161">
        <v>21.94</v>
      </c>
    </row>
    <row r="34" spans="21:44" ht="15">
      <c r="U34" s="144" t="s">
        <v>933</v>
      </c>
      <c r="V34" s="144" t="s">
        <v>872</v>
      </c>
      <c r="AA34" s="151">
        <v>13</v>
      </c>
      <c r="AB34" s="161">
        <v>18.5</v>
      </c>
      <c r="AC34" s="161">
        <v>17.32</v>
      </c>
      <c r="AD34" s="161">
        <v>3.69</v>
      </c>
      <c r="AE34" s="161">
        <v>15.59</v>
      </c>
      <c r="AF34" s="161">
        <v>28.6</v>
      </c>
      <c r="AN34" s="163"/>
      <c r="AO34" s="163"/>
      <c r="AP34" s="163"/>
      <c r="AQ34" s="163"/>
      <c r="AR34" s="163"/>
    </row>
    <row r="35" spans="21:44" ht="15">
      <c r="U35" s="144" t="s">
        <v>2</v>
      </c>
      <c r="V35" s="144" t="s">
        <v>1017</v>
      </c>
      <c r="AA35" s="151">
        <v>12</v>
      </c>
      <c r="AB35" s="161">
        <v>17.32</v>
      </c>
      <c r="AC35" s="161">
        <v>16.95</v>
      </c>
      <c r="AD35" s="161">
        <v>1.63</v>
      </c>
      <c r="AE35" s="161">
        <v>15.97</v>
      </c>
      <c r="AF35" s="161">
        <v>22.14</v>
      </c>
      <c r="AH35" s="144" t="s">
        <v>934</v>
      </c>
      <c r="AI35" s="148" t="s">
        <v>868</v>
      </c>
      <c r="AJ35" s="144">
        <v>2000</v>
      </c>
      <c r="AK35" s="144">
        <f>AJ35/2</f>
        <v>1000</v>
      </c>
      <c r="AL35" s="144">
        <v>2</v>
      </c>
      <c r="AM35" s="151">
        <v>14</v>
      </c>
      <c r="AN35" s="161">
        <v>25.57</v>
      </c>
      <c r="AO35" s="161">
        <v>22.94</v>
      </c>
      <c r="AP35" s="161">
        <v>6.85</v>
      </c>
      <c r="AQ35" s="161">
        <v>19.53</v>
      </c>
      <c r="AR35" s="161">
        <v>43.15</v>
      </c>
    </row>
    <row r="36" spans="21:44" ht="15">
      <c r="U36" s="144" t="s">
        <v>139</v>
      </c>
      <c r="V36" s="144" t="s">
        <v>991</v>
      </c>
      <c r="AA36" s="151">
        <v>14</v>
      </c>
      <c r="AB36" s="161">
        <v>17.11</v>
      </c>
      <c r="AC36" s="161">
        <v>16.71</v>
      </c>
      <c r="AD36" s="161">
        <v>1.34</v>
      </c>
      <c r="AE36" s="161">
        <v>15.7</v>
      </c>
      <c r="AF36" s="161">
        <v>21.28</v>
      </c>
      <c r="AH36" s="144" t="s">
        <v>73</v>
      </c>
      <c r="AI36" s="144" t="s">
        <v>1013</v>
      </c>
      <c r="AJ36" s="144">
        <v>5000</v>
      </c>
      <c r="AK36" s="144">
        <f>AJ36/4</f>
        <v>1250</v>
      </c>
      <c r="AL36" s="144">
        <v>4</v>
      </c>
      <c r="AM36" s="151">
        <v>3</v>
      </c>
      <c r="AN36" s="161">
        <v>23.81</v>
      </c>
      <c r="AO36" s="161">
        <v>22.14</v>
      </c>
      <c r="AP36" s="161">
        <v>3.64</v>
      </c>
      <c r="AQ36" s="161">
        <v>21.3</v>
      </c>
      <c r="AR36" s="161">
        <v>27.99</v>
      </c>
    </row>
    <row r="37" spans="21:44" ht="15">
      <c r="U37" s="144" t="s">
        <v>205</v>
      </c>
      <c r="V37" s="144" t="s">
        <v>1018</v>
      </c>
      <c r="AA37" s="151">
        <v>8</v>
      </c>
      <c r="AB37" s="161">
        <v>17.88</v>
      </c>
      <c r="AC37" s="161">
        <v>16.55</v>
      </c>
      <c r="AD37" s="161">
        <v>3.15</v>
      </c>
      <c r="AE37" s="161">
        <v>15.24</v>
      </c>
      <c r="AF37" s="161">
        <v>24.49</v>
      </c>
      <c r="AH37" s="144" t="s">
        <v>933</v>
      </c>
      <c r="AI37" s="148" t="s">
        <v>873</v>
      </c>
      <c r="AJ37" s="144">
        <v>5000</v>
      </c>
      <c r="AK37" s="144">
        <f>AJ37/4</f>
        <v>1250</v>
      </c>
      <c r="AL37" s="144">
        <v>4</v>
      </c>
      <c r="AM37" s="151">
        <v>5</v>
      </c>
      <c r="AN37" s="161">
        <v>21.36</v>
      </c>
      <c r="AO37" s="161">
        <v>20.53</v>
      </c>
      <c r="AP37" s="161">
        <v>3.55</v>
      </c>
      <c r="AQ37" s="161">
        <v>18.010000000000002</v>
      </c>
      <c r="AR37" s="161">
        <v>27.02</v>
      </c>
    </row>
    <row r="38" spans="21:44" ht="15">
      <c r="AA38" s="151"/>
      <c r="AB38" s="151"/>
      <c r="AC38" s="151"/>
      <c r="AD38" s="151"/>
      <c r="AE38" s="151"/>
      <c r="AF38" s="151"/>
      <c r="AH38" s="144" t="s">
        <v>982</v>
      </c>
      <c r="AI38" s="144" t="s">
        <v>983</v>
      </c>
      <c r="AJ38" s="144">
        <v>3000</v>
      </c>
      <c r="AK38" s="144">
        <f>AJ38/3</f>
        <v>1000</v>
      </c>
      <c r="AL38" s="144">
        <v>3</v>
      </c>
      <c r="AM38" s="151">
        <v>12</v>
      </c>
      <c r="AN38" s="161">
        <v>19.989999999999998</v>
      </c>
      <c r="AO38" s="161">
        <v>19.079999999999998</v>
      </c>
      <c r="AP38" s="161">
        <v>3.14</v>
      </c>
      <c r="AQ38" s="161">
        <v>17.5</v>
      </c>
      <c r="AR38" s="161">
        <v>29.34</v>
      </c>
    </row>
    <row r="39" spans="21:44" ht="15">
      <c r="AH39" s="144" t="s">
        <v>106</v>
      </c>
      <c r="AI39" s="144" t="s">
        <v>872</v>
      </c>
      <c r="AJ39" s="144">
        <v>2000</v>
      </c>
      <c r="AK39" s="144">
        <f>AJ39/2</f>
        <v>1000</v>
      </c>
      <c r="AL39" s="144">
        <v>2</v>
      </c>
      <c r="AM39" s="151">
        <v>13</v>
      </c>
      <c r="AN39" s="161">
        <v>18.5</v>
      </c>
      <c r="AO39" s="161">
        <v>17.32</v>
      </c>
      <c r="AP39" s="161">
        <v>3.69</v>
      </c>
      <c r="AQ39" s="161">
        <v>15.59</v>
      </c>
      <c r="AR39" s="161">
        <v>28.6</v>
      </c>
    </row>
    <row r="40" spans="21:44" ht="15">
      <c r="AH40" s="144" t="s">
        <v>139</v>
      </c>
      <c r="AI40" s="144" t="s">
        <v>870</v>
      </c>
      <c r="AJ40" s="144">
        <v>3000</v>
      </c>
      <c r="AK40" s="144">
        <f>AJ40/3</f>
        <v>1000</v>
      </c>
      <c r="AL40" s="144">
        <v>3</v>
      </c>
      <c r="AM40" s="151">
        <v>6</v>
      </c>
      <c r="AN40" s="161">
        <v>18.14</v>
      </c>
      <c r="AO40" s="161">
        <v>17.57</v>
      </c>
      <c r="AP40" s="161">
        <v>1.96</v>
      </c>
      <c r="AQ40" s="161">
        <v>16.64</v>
      </c>
      <c r="AR40" s="161">
        <v>21.94</v>
      </c>
    </row>
    <row r="41" spans="21:44">
      <c r="AH41" s="164"/>
      <c r="AI41" s="164"/>
      <c r="AJ41" s="164"/>
      <c r="AK41" s="164"/>
      <c r="AL41" s="164"/>
      <c r="AM41" s="164"/>
      <c r="AN41" s="165"/>
      <c r="AO41" s="165"/>
      <c r="AP41" s="165"/>
      <c r="AQ41" s="165"/>
      <c r="AR41" s="165"/>
    </row>
    <row r="42" spans="21:44" ht="15">
      <c r="AH42" s="144" t="s">
        <v>238</v>
      </c>
      <c r="AI42" s="144" t="s">
        <v>1014</v>
      </c>
      <c r="AJ42" s="144">
        <v>2000</v>
      </c>
      <c r="AK42" s="144">
        <f>AJ42/2</f>
        <v>1000</v>
      </c>
      <c r="AL42" s="144">
        <v>2</v>
      </c>
      <c r="AM42" s="151">
        <v>8</v>
      </c>
      <c r="AN42" s="161">
        <v>21.16</v>
      </c>
      <c r="AO42" s="161">
        <v>19.829999999999998</v>
      </c>
      <c r="AP42" s="161">
        <v>3.08</v>
      </c>
      <c r="AQ42" s="161">
        <v>18.350000000000001</v>
      </c>
      <c r="AR42" s="161">
        <v>27.91</v>
      </c>
    </row>
    <row r="43" spans="21:44" ht="15">
      <c r="AH43" s="144" t="s">
        <v>984</v>
      </c>
      <c r="AI43" s="144" t="s">
        <v>866</v>
      </c>
      <c r="AJ43" s="144">
        <v>5000</v>
      </c>
      <c r="AK43" s="144">
        <f>AJ43/4</f>
        <v>1250</v>
      </c>
      <c r="AL43" s="144">
        <v>4</v>
      </c>
      <c r="AM43" s="151">
        <v>8</v>
      </c>
      <c r="AN43" s="161">
        <v>23.09</v>
      </c>
      <c r="AO43" s="161">
        <v>22.8</v>
      </c>
      <c r="AP43" s="161">
        <v>2.7</v>
      </c>
      <c r="AQ43" s="161">
        <v>20.69</v>
      </c>
      <c r="AR43" s="161">
        <v>29.11</v>
      </c>
    </row>
    <row r="44" spans="21:44" ht="15">
      <c r="AH44" s="144" t="s">
        <v>933</v>
      </c>
      <c r="AI44" s="148" t="s">
        <v>873</v>
      </c>
      <c r="AJ44" s="144">
        <v>5000</v>
      </c>
      <c r="AK44" s="144">
        <f>AJ44/4</f>
        <v>1250</v>
      </c>
      <c r="AL44" s="144">
        <v>4</v>
      </c>
      <c r="AM44" s="151">
        <v>5</v>
      </c>
      <c r="AN44" s="161">
        <v>21.36</v>
      </c>
      <c r="AO44" s="161">
        <v>20.53</v>
      </c>
      <c r="AP44" s="161">
        <v>3.55</v>
      </c>
      <c r="AQ44" s="161">
        <v>18.010000000000002</v>
      </c>
      <c r="AR44" s="161">
        <v>27.02</v>
      </c>
    </row>
    <row r="45" spans="21:44" ht="15">
      <c r="AH45" s="144" t="s">
        <v>984</v>
      </c>
      <c r="AI45" s="144" t="s">
        <v>867</v>
      </c>
      <c r="AJ45" s="144">
        <v>3000</v>
      </c>
      <c r="AK45" s="144">
        <f>AJ45/3</f>
        <v>1000</v>
      </c>
      <c r="AL45" s="144">
        <v>3</v>
      </c>
      <c r="AM45" s="151">
        <v>14</v>
      </c>
      <c r="AN45" s="161">
        <v>19.77</v>
      </c>
      <c r="AO45" s="161">
        <v>20.05</v>
      </c>
      <c r="AP45" s="161">
        <v>1.9</v>
      </c>
      <c r="AQ45" s="161">
        <v>17.079999999999998</v>
      </c>
      <c r="AR45" s="161">
        <v>24.53</v>
      </c>
    </row>
    <row r="46" spans="21:44" ht="15">
      <c r="AH46" s="144" t="s">
        <v>934</v>
      </c>
      <c r="AI46" s="148" t="s">
        <v>993</v>
      </c>
      <c r="AJ46" s="144">
        <v>2000</v>
      </c>
      <c r="AK46" s="144">
        <f>AJ46/2</f>
        <v>1000</v>
      </c>
      <c r="AL46" s="144">
        <v>2</v>
      </c>
      <c r="AM46" s="151">
        <v>14</v>
      </c>
      <c r="AN46" s="161">
        <v>19.190000000000001</v>
      </c>
      <c r="AO46" s="161">
        <v>18.21</v>
      </c>
      <c r="AP46" s="161">
        <v>3.88</v>
      </c>
      <c r="AQ46" s="161">
        <v>15.97</v>
      </c>
      <c r="AR46" s="161">
        <v>30.11</v>
      </c>
    </row>
    <row r="47" spans="21:44" ht="15">
      <c r="AH47" s="144" t="s">
        <v>139</v>
      </c>
      <c r="AI47" s="144" t="s">
        <v>870</v>
      </c>
      <c r="AJ47" s="144">
        <v>3000</v>
      </c>
      <c r="AK47" s="144">
        <f>AJ47/3</f>
        <v>1000</v>
      </c>
      <c r="AL47" s="144">
        <v>3</v>
      </c>
      <c r="AM47" s="151">
        <v>6</v>
      </c>
      <c r="AN47" s="161">
        <v>18.14</v>
      </c>
      <c r="AO47" s="161">
        <v>17.57</v>
      </c>
      <c r="AP47" s="161">
        <v>1.96</v>
      </c>
      <c r="AQ47" s="161">
        <v>16.64</v>
      </c>
      <c r="AR47" s="161">
        <v>21.94</v>
      </c>
    </row>
    <row r="48" spans="21:44">
      <c r="AN48" s="163"/>
      <c r="AO48" s="163"/>
      <c r="AP48" s="163"/>
      <c r="AQ48" s="163"/>
      <c r="AR48" s="163"/>
    </row>
    <row r="49" spans="34:44" ht="15">
      <c r="AH49" s="144" t="s">
        <v>934</v>
      </c>
      <c r="AI49" s="148" t="s">
        <v>868</v>
      </c>
      <c r="AJ49" s="144">
        <v>2000</v>
      </c>
      <c r="AK49" s="144">
        <f>AJ49/2</f>
        <v>1000</v>
      </c>
      <c r="AL49" s="144">
        <v>2</v>
      </c>
      <c r="AM49" s="151">
        <v>14</v>
      </c>
      <c r="AN49" s="161">
        <v>25.57</v>
      </c>
      <c r="AO49" s="161">
        <v>22.94</v>
      </c>
      <c r="AP49" s="161">
        <v>6.85</v>
      </c>
      <c r="AQ49" s="161">
        <v>19.53</v>
      </c>
      <c r="AR49" s="161">
        <v>43.15</v>
      </c>
    </row>
    <row r="50" spans="34:44" ht="15">
      <c r="AH50" s="144" t="s">
        <v>73</v>
      </c>
      <c r="AI50" s="144" t="s">
        <v>1013</v>
      </c>
      <c r="AJ50" s="144">
        <v>5000</v>
      </c>
      <c r="AK50" s="144">
        <f>AJ50/4</f>
        <v>1250</v>
      </c>
      <c r="AL50" s="144">
        <v>4</v>
      </c>
      <c r="AM50" s="151">
        <v>3</v>
      </c>
      <c r="AN50" s="161">
        <v>23.81</v>
      </c>
      <c r="AO50" s="161">
        <v>22.14</v>
      </c>
      <c r="AP50" s="161">
        <v>3.64</v>
      </c>
      <c r="AQ50" s="161">
        <v>21.3</v>
      </c>
      <c r="AR50" s="161">
        <v>27.99</v>
      </c>
    </row>
    <row r="51" spans="34:44" ht="15">
      <c r="AH51" s="144" t="s">
        <v>933</v>
      </c>
      <c r="AI51" s="148" t="s">
        <v>873</v>
      </c>
      <c r="AJ51" s="144">
        <v>5000</v>
      </c>
      <c r="AK51" s="144">
        <f>AJ51/4</f>
        <v>1250</v>
      </c>
      <c r="AL51" s="144">
        <v>4</v>
      </c>
      <c r="AM51" s="151">
        <v>5</v>
      </c>
      <c r="AN51" s="161">
        <v>21.36</v>
      </c>
      <c r="AO51" s="161">
        <v>20.53</v>
      </c>
      <c r="AP51" s="161">
        <v>3.55</v>
      </c>
      <c r="AQ51" s="161">
        <v>18.010000000000002</v>
      </c>
      <c r="AR51" s="161">
        <v>27.02</v>
      </c>
    </row>
    <row r="52" spans="34:44" ht="15">
      <c r="AH52" s="144" t="s">
        <v>982</v>
      </c>
      <c r="AI52" s="144" t="s">
        <v>983</v>
      </c>
      <c r="AJ52" s="144">
        <v>3000</v>
      </c>
      <c r="AK52" s="144">
        <f>AJ52/3</f>
        <v>1000</v>
      </c>
      <c r="AL52" s="144">
        <v>3</v>
      </c>
      <c r="AM52" s="151">
        <v>12</v>
      </c>
      <c r="AN52" s="161">
        <v>19.989999999999998</v>
      </c>
      <c r="AO52" s="161">
        <v>19.079999999999998</v>
      </c>
      <c r="AP52" s="161">
        <v>3.14</v>
      </c>
      <c r="AQ52" s="161">
        <v>17.5</v>
      </c>
      <c r="AR52" s="161">
        <v>29.34</v>
      </c>
    </row>
    <row r="53" spans="34:44" ht="15">
      <c r="AH53" s="144" t="s">
        <v>934</v>
      </c>
      <c r="AI53" s="144" t="s">
        <v>1019</v>
      </c>
      <c r="AJ53" s="144">
        <v>2000</v>
      </c>
      <c r="AK53" s="144">
        <f>AJ53/2</f>
        <v>1000</v>
      </c>
      <c r="AL53" s="144">
        <v>2</v>
      </c>
      <c r="AM53" s="151">
        <v>3</v>
      </c>
      <c r="AN53" s="161">
        <v>22.87</v>
      </c>
      <c r="AO53" s="161">
        <v>22.42</v>
      </c>
      <c r="AP53" s="161">
        <v>5.34</v>
      </c>
      <c r="AQ53" s="161">
        <v>17.77</v>
      </c>
      <c r="AR53" s="161">
        <v>28.43</v>
      </c>
    </row>
    <row r="54" spans="34:44" ht="15">
      <c r="AH54" s="144" t="s">
        <v>139</v>
      </c>
      <c r="AI54" s="144" t="s">
        <v>870</v>
      </c>
      <c r="AJ54" s="144">
        <v>3000</v>
      </c>
      <c r="AK54" s="144">
        <f>AJ54/3</f>
        <v>1000</v>
      </c>
      <c r="AL54" s="144">
        <v>3</v>
      </c>
      <c r="AM54" s="151">
        <v>6</v>
      </c>
      <c r="AN54" s="161">
        <v>18.14</v>
      </c>
      <c r="AO54" s="161">
        <v>17.57</v>
      </c>
      <c r="AP54" s="161">
        <v>1.96</v>
      </c>
      <c r="AQ54" s="161">
        <v>16.64</v>
      </c>
      <c r="AR54" s="161">
        <v>21.94</v>
      </c>
    </row>
  </sheetData>
  <hyperlinks>
    <hyperlink ref="S21" r:id="rId1" xr:uid="{00000000-0004-0000-0400-000000000000}"/>
  </hyperlinks>
  <pageMargins left="0.7" right="0.7" top="0.75" bottom="0.75" header="0.3" footer="0.3"/>
  <pageSetup paperSize="9" orientation="portrait" r:id="rId2"/>
  <legacyDrawing r:id="rId3"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1:S43"/>
  <sheetViews>
    <sheetView topLeftCell="G1" workbookViewId="0">
      <selection activeCell="R28" sqref="R28"/>
    </sheetView>
  </sheetViews>
  <sheetFormatPr defaultColWidth="8.85546875" defaultRowHeight="12.75"/>
  <cols>
    <col min="1" max="1" width="4.28515625" style="138" bestFit="1" customWidth="1"/>
    <col min="2" max="2" width="12" style="138" bestFit="1" customWidth="1"/>
    <col min="3" max="3" width="9.7109375" style="138" bestFit="1" customWidth="1"/>
    <col min="4" max="4" width="9.7109375" style="138" customWidth="1"/>
    <col min="5" max="5" width="11.42578125" style="138" bestFit="1" customWidth="1"/>
    <col min="6" max="6" width="13.140625" style="138" bestFit="1" customWidth="1"/>
    <col min="7" max="7" width="12.7109375" style="138" customWidth="1"/>
    <col min="8" max="8" width="13.140625" style="138" bestFit="1" customWidth="1"/>
    <col min="9" max="9" width="17.28515625" style="138" bestFit="1" customWidth="1"/>
    <col min="10" max="10" width="12.5703125" style="138" bestFit="1" customWidth="1"/>
    <col min="11" max="11" width="11.42578125" style="138" customWidth="1"/>
    <col min="12" max="12" width="108" style="138" bestFit="1" customWidth="1"/>
    <col min="13" max="13" width="12.85546875" style="138" bestFit="1" customWidth="1"/>
    <col min="14" max="14" width="17.85546875" style="138" bestFit="1" customWidth="1"/>
    <col min="15" max="15" width="12.85546875" style="138" bestFit="1" customWidth="1"/>
    <col min="16" max="17" width="8.85546875" style="138"/>
    <col min="18" max="18" width="17.85546875" style="138" bestFit="1" customWidth="1"/>
    <col min="19" max="19" width="12.85546875" style="138" bestFit="1" customWidth="1"/>
    <col min="20" max="16384" width="8.85546875" style="138"/>
  </cols>
  <sheetData>
    <row r="1" spans="1:19">
      <c r="A1" s="140" t="s">
        <v>1020</v>
      </c>
      <c r="B1" s="140" t="s">
        <v>1021</v>
      </c>
      <c r="C1" s="140" t="s">
        <v>1022</v>
      </c>
      <c r="D1" s="140"/>
      <c r="E1" s="140" t="s">
        <v>1023</v>
      </c>
      <c r="F1" s="140" t="s">
        <v>1024</v>
      </c>
      <c r="G1" s="140" t="s">
        <v>933</v>
      </c>
      <c r="H1" s="140" t="s">
        <v>1025</v>
      </c>
      <c r="I1" s="140" t="s">
        <v>1026</v>
      </c>
      <c r="J1" s="140" t="s">
        <v>1027</v>
      </c>
      <c r="K1" s="140" t="s">
        <v>1028</v>
      </c>
      <c r="L1" s="286" t="s">
        <v>1029</v>
      </c>
      <c r="M1" s="286" t="s">
        <v>1030</v>
      </c>
      <c r="N1" s="286" t="s">
        <v>1031</v>
      </c>
      <c r="R1" s="286" t="s">
        <v>1032</v>
      </c>
    </row>
    <row r="2" spans="1:19">
      <c r="B2" s="141"/>
      <c r="C2" s="286" t="s">
        <v>952</v>
      </c>
      <c r="D2" s="286"/>
      <c r="E2" s="142">
        <f>SUM(E3:E38)</f>
        <v>1990452.8807000001</v>
      </c>
      <c r="F2" s="141"/>
      <c r="G2" s="141"/>
      <c r="H2" s="141"/>
      <c r="I2" s="141"/>
      <c r="J2" s="142">
        <f>SUM(J3:J38)</f>
        <v>250428425.34068349</v>
      </c>
      <c r="K2" s="142">
        <f>SUM(K3:K38)</f>
        <v>5413690</v>
      </c>
      <c r="L2" s="287"/>
      <c r="O2" s="143">
        <f>3%*J2</f>
        <v>7512852.7602205044</v>
      </c>
      <c r="R2" s="288">
        <f>AVERAGE(R3:R25)</f>
        <v>2.9757688177621935E-2</v>
      </c>
      <c r="S2" s="143">
        <f>R2*J2</f>
        <v>7452170.9921009345</v>
      </c>
    </row>
    <row r="3" spans="1:19">
      <c r="A3" s="138">
        <f>C3-1978</f>
        <v>23</v>
      </c>
      <c r="C3" s="138">
        <v>2001</v>
      </c>
      <c r="E3" s="289">
        <v>4000</v>
      </c>
      <c r="F3" s="289">
        <f>7720*6+8610*6</f>
        <v>97980</v>
      </c>
      <c r="G3" s="289"/>
      <c r="H3" s="289"/>
      <c r="I3" s="289"/>
      <c r="J3" s="289"/>
      <c r="K3" s="289"/>
      <c r="L3" s="290" t="s">
        <v>1033</v>
      </c>
      <c r="M3" s="288" t="e">
        <f t="shared" ref="M3:M23" si="0">E3/J3</f>
        <v>#DIV/0!</v>
      </c>
    </row>
    <row r="4" spans="1:19">
      <c r="A4" s="138">
        <f t="shared" ref="A4:A38" si="1">C4-1978</f>
        <v>24</v>
      </c>
      <c r="C4" s="138">
        <v>2002</v>
      </c>
      <c r="E4" s="289">
        <v>6000</v>
      </c>
      <c r="F4" s="289"/>
      <c r="G4" s="289"/>
      <c r="H4" s="289"/>
      <c r="I4" s="289"/>
      <c r="J4" s="289"/>
      <c r="K4" s="289"/>
      <c r="L4" s="290" t="s">
        <v>1033</v>
      </c>
      <c r="M4" s="288" t="e">
        <f t="shared" si="0"/>
        <v>#DIV/0!</v>
      </c>
    </row>
    <row r="5" spans="1:19">
      <c r="A5" s="138">
        <f t="shared" si="1"/>
        <v>25</v>
      </c>
      <c r="C5" s="138">
        <v>2003</v>
      </c>
      <c r="E5" s="289">
        <v>8000</v>
      </c>
      <c r="F5" s="289"/>
      <c r="G5" s="289"/>
      <c r="H5" s="289"/>
      <c r="I5" s="289"/>
      <c r="J5" s="289"/>
      <c r="K5" s="289"/>
      <c r="L5" s="290" t="s">
        <v>1033</v>
      </c>
      <c r="M5" s="288" t="e">
        <f t="shared" si="0"/>
        <v>#DIV/0!</v>
      </c>
    </row>
    <row r="6" spans="1:19">
      <c r="A6" s="138">
        <f t="shared" si="1"/>
        <v>26</v>
      </c>
      <c r="C6" s="138">
        <v>2004</v>
      </c>
      <c r="E6" s="289">
        <v>10000</v>
      </c>
      <c r="F6" s="289">
        <f>12037*12</f>
        <v>144444</v>
      </c>
      <c r="G6" s="289"/>
      <c r="H6" s="289">
        <f>1444*12</f>
        <v>17328</v>
      </c>
      <c r="I6" s="289">
        <v>35836</v>
      </c>
      <c r="J6" s="289">
        <v>417221</v>
      </c>
      <c r="K6" s="289"/>
      <c r="L6" s="290" t="s">
        <v>1034</v>
      </c>
      <c r="M6" s="288">
        <f t="shared" si="0"/>
        <v>2.3968112822700678E-2</v>
      </c>
      <c r="N6" s="288">
        <f>F6*8.33%/J6</f>
        <v>2.8838877237722934E-2</v>
      </c>
      <c r="R6" s="288">
        <f>F6*9.49%/J6</f>
        <v>3.2854855340455055E-2</v>
      </c>
    </row>
    <row r="7" spans="1:19">
      <c r="A7" s="138">
        <f t="shared" si="1"/>
        <v>27</v>
      </c>
      <c r="C7" s="138">
        <v>2005</v>
      </c>
      <c r="E7" s="289">
        <v>12000</v>
      </c>
      <c r="F7" s="289">
        <v>158527</v>
      </c>
      <c r="G7" s="289"/>
      <c r="H7" s="289"/>
      <c r="I7" s="289">
        <v>99593</v>
      </c>
      <c r="J7" s="289">
        <v>540427</v>
      </c>
      <c r="K7" s="289"/>
      <c r="L7" s="290" t="s">
        <v>1035</v>
      </c>
      <c r="M7" s="288">
        <f t="shared" si="0"/>
        <v>2.2204664089692041E-2</v>
      </c>
      <c r="N7" s="288">
        <f t="shared" ref="N7:N11" si="2">F7*8.33%/J7</f>
        <v>2.4434935893284385E-2</v>
      </c>
      <c r="R7" s="288">
        <f t="shared" ref="R7:R11" si="3">F7*9.49%/J7</f>
        <v>2.7837640051292772E-2</v>
      </c>
    </row>
    <row r="8" spans="1:19">
      <c r="A8" s="138">
        <f t="shared" si="1"/>
        <v>28</v>
      </c>
      <c r="C8" s="138">
        <v>2006</v>
      </c>
      <c r="E8" s="289">
        <v>14922</v>
      </c>
      <c r="F8" s="289">
        <v>179136</v>
      </c>
      <c r="G8" s="289"/>
      <c r="H8" s="289">
        <v>21496</v>
      </c>
      <c r="I8" s="289">
        <v>61215</v>
      </c>
      <c r="J8" s="289">
        <v>657770</v>
      </c>
      <c r="K8" s="289"/>
      <c r="L8" s="290" t="s">
        <v>1036</v>
      </c>
      <c r="M8" s="288">
        <f t="shared" si="0"/>
        <v>2.2685741216534654E-2</v>
      </c>
      <c r="N8" s="288">
        <f t="shared" si="2"/>
        <v>2.2685785000836158E-2</v>
      </c>
      <c r="R8" s="288">
        <f t="shared" si="3"/>
        <v>2.5844909922921384E-2</v>
      </c>
    </row>
    <row r="9" spans="1:19">
      <c r="A9" s="138">
        <f t="shared" si="1"/>
        <v>29</v>
      </c>
      <c r="C9" s="138">
        <v>2007</v>
      </c>
      <c r="E9" s="289">
        <v>30812</v>
      </c>
      <c r="F9" s="289">
        <v>369897</v>
      </c>
      <c r="G9" s="289"/>
      <c r="H9" s="289">
        <v>44388</v>
      </c>
      <c r="I9" s="289">
        <v>119189</v>
      </c>
      <c r="J9" s="289">
        <v>1133358</v>
      </c>
      <c r="K9" s="289"/>
      <c r="L9" s="290" t="s">
        <v>1037</v>
      </c>
      <c r="M9" s="288">
        <f t="shared" si="0"/>
        <v>2.7186467118068606E-2</v>
      </c>
      <c r="N9" s="288">
        <f t="shared" si="2"/>
        <v>2.7186837786471706E-2</v>
      </c>
      <c r="R9" s="288">
        <f t="shared" si="3"/>
        <v>3.0972759975224067E-2</v>
      </c>
    </row>
    <row r="10" spans="1:19">
      <c r="A10" s="138">
        <f t="shared" si="1"/>
        <v>30</v>
      </c>
      <c r="C10" s="138">
        <v>2008</v>
      </c>
      <c r="E10" s="289">
        <v>39333</v>
      </c>
      <c r="F10" s="289">
        <v>472181</v>
      </c>
      <c r="G10" s="289"/>
      <c r="H10" s="289">
        <v>56662</v>
      </c>
      <c r="I10" s="289">
        <v>141108</v>
      </c>
      <c r="J10" s="291">
        <v>1327362</v>
      </c>
      <c r="K10" s="291">
        <v>1195590</v>
      </c>
      <c r="L10" s="290" t="s">
        <v>1038</v>
      </c>
      <c r="M10" s="288">
        <f t="shared" si="0"/>
        <v>2.9632458967485887E-2</v>
      </c>
      <c r="N10" s="288">
        <f t="shared" si="2"/>
        <v>2.9632215853700801E-2</v>
      </c>
      <c r="R10" s="288">
        <f t="shared" si="3"/>
        <v>3.3758670882547491E-2</v>
      </c>
    </row>
    <row r="11" spans="1:19">
      <c r="A11" s="138">
        <f t="shared" si="1"/>
        <v>31</v>
      </c>
      <c r="C11" s="138">
        <v>2009</v>
      </c>
      <c r="D11" s="290" t="s">
        <v>1039</v>
      </c>
      <c r="E11" s="289">
        <v>43174</v>
      </c>
      <c r="F11" s="289">
        <v>518295</v>
      </c>
      <c r="G11" s="289"/>
      <c r="H11" s="289">
        <v>62195</v>
      </c>
      <c r="I11" s="289">
        <v>164644</v>
      </c>
      <c r="J11" s="291">
        <v>1460382</v>
      </c>
      <c r="K11" s="289"/>
      <c r="L11" s="290" t="s">
        <v>1040</v>
      </c>
      <c r="M11" s="288">
        <f t="shared" si="0"/>
        <v>2.956349776976161E-2</v>
      </c>
      <c r="N11" s="288">
        <f t="shared" si="2"/>
        <v>2.9563479623824451E-2</v>
      </c>
      <c r="R11" s="288">
        <f t="shared" si="3"/>
        <v>3.368036274070757E-2</v>
      </c>
    </row>
    <row r="12" spans="1:19">
      <c r="A12" s="138">
        <f t="shared" si="1"/>
        <v>32</v>
      </c>
      <c r="C12" s="138">
        <v>2010</v>
      </c>
      <c r="E12" s="289">
        <v>60452</v>
      </c>
      <c r="F12" s="289"/>
      <c r="G12" s="289"/>
      <c r="H12" s="289"/>
      <c r="I12" s="289" t="s">
        <v>1041</v>
      </c>
      <c r="J12" s="291">
        <f>(E12*100)/2</f>
        <v>3022600</v>
      </c>
      <c r="K12" s="289"/>
      <c r="L12" s="290" t="s">
        <v>1040</v>
      </c>
      <c r="M12" s="288">
        <f t="shared" si="0"/>
        <v>0.02</v>
      </c>
    </row>
    <row r="13" spans="1:19">
      <c r="A13" s="138">
        <f t="shared" si="1"/>
        <v>33</v>
      </c>
      <c r="C13" s="138">
        <v>2011</v>
      </c>
      <c r="E13" s="289">
        <v>69519</v>
      </c>
      <c r="F13" s="289"/>
      <c r="G13" s="289"/>
      <c r="H13" s="289"/>
      <c r="I13" s="289" t="s">
        <v>1041</v>
      </c>
      <c r="J13" s="291">
        <f>(E13*100)/2</f>
        <v>3475950</v>
      </c>
      <c r="K13" s="289"/>
      <c r="L13" s="290" t="s">
        <v>1040</v>
      </c>
      <c r="M13" s="288">
        <f t="shared" si="0"/>
        <v>0.02</v>
      </c>
    </row>
    <row r="14" spans="1:19">
      <c r="A14" s="138">
        <v>34</v>
      </c>
      <c r="C14" s="138" t="s">
        <v>1042</v>
      </c>
      <c r="E14" s="289">
        <v>85055.880699999994</v>
      </c>
      <c r="F14" s="289">
        <v>1021079</v>
      </c>
      <c r="G14" s="289">
        <v>1324033</v>
      </c>
      <c r="H14" s="289">
        <v>122529</v>
      </c>
      <c r="I14" s="289">
        <v>438390</v>
      </c>
      <c r="J14" s="289">
        <f>SUM(E14:I14)</f>
        <v>2991086.8807000001</v>
      </c>
      <c r="K14" s="289">
        <v>179090</v>
      </c>
      <c r="L14" s="290" t="s">
        <v>1043</v>
      </c>
      <c r="M14" s="288">
        <f t="shared" si="0"/>
        <v>2.8436446045356757E-2</v>
      </c>
      <c r="N14" s="288">
        <f>F14*8.33%/J14</f>
        <v>2.8436446045356757E-2</v>
      </c>
      <c r="P14" s="138">
        <v>2991086.8807000001</v>
      </c>
      <c r="Q14" s="138">
        <f>P14-E14-F14-H14-I14</f>
        <v>1324033</v>
      </c>
      <c r="R14" s="288">
        <f t="shared" ref="R14:R28" si="4">F14*9.49%/J14</f>
        <v>3.2396383309776185E-2</v>
      </c>
    </row>
    <row r="15" spans="1:19">
      <c r="A15" s="138">
        <v>35</v>
      </c>
      <c r="C15" s="138" t="s">
        <v>1044</v>
      </c>
      <c r="E15" s="289">
        <v>68872</v>
      </c>
      <c r="F15" s="289">
        <v>1212532</v>
      </c>
      <c r="G15" s="289"/>
      <c r="H15" s="289">
        <v>145504</v>
      </c>
      <c r="I15" s="289">
        <v>563390.86666666658</v>
      </c>
      <c r="J15" s="289">
        <v>3594721.0175999999</v>
      </c>
      <c r="K15" s="289"/>
      <c r="L15" s="290" t="s">
        <v>1045</v>
      </c>
      <c r="M15" s="288">
        <f t="shared" si="0"/>
        <v>1.915920586404285E-2</v>
      </c>
      <c r="N15" s="288">
        <f t="shared" ref="N15:N28" si="5">F15*8.33%/J15</f>
        <v>2.8097845453229308E-2</v>
      </c>
      <c r="R15" s="288">
        <f t="shared" si="4"/>
        <v>3.2010630654399297E-2</v>
      </c>
    </row>
    <row r="16" spans="1:19">
      <c r="A16" s="138">
        <f t="shared" si="1"/>
        <v>36</v>
      </c>
      <c r="C16" s="138">
        <v>2014</v>
      </c>
      <c r="E16" s="289">
        <v>75000</v>
      </c>
      <c r="F16" s="289"/>
      <c r="G16" s="289"/>
      <c r="H16" s="289"/>
      <c r="I16" s="289" t="s">
        <v>1041</v>
      </c>
      <c r="J16" s="291">
        <f>(E16*100)/2</f>
        <v>3750000</v>
      </c>
      <c r="K16" s="289"/>
      <c r="L16" s="290" t="s">
        <v>1033</v>
      </c>
      <c r="M16" s="288">
        <f t="shared" si="0"/>
        <v>0.02</v>
      </c>
      <c r="N16" s="288">
        <f t="shared" si="5"/>
        <v>0</v>
      </c>
      <c r="R16" s="288">
        <f t="shared" si="4"/>
        <v>0</v>
      </c>
    </row>
    <row r="17" spans="1:18">
      <c r="A17" s="138">
        <v>37</v>
      </c>
      <c r="C17" s="138" t="s">
        <v>1046</v>
      </c>
      <c r="E17" s="289">
        <v>86959</v>
      </c>
      <c r="F17" s="289">
        <v>1530968</v>
      </c>
      <c r="G17" s="289">
        <v>2025777</v>
      </c>
      <c r="H17" s="289">
        <v>183716</v>
      </c>
      <c r="I17" s="289">
        <v>711349</v>
      </c>
      <c r="J17" s="289">
        <f t="shared" ref="J17:J26" si="6">SUM(E17:I17)</f>
        <v>4538769</v>
      </c>
      <c r="K17" s="289"/>
      <c r="M17" s="288">
        <f t="shared" si="0"/>
        <v>1.9159159675233527E-2</v>
      </c>
      <c r="N17" s="288">
        <f t="shared" si="5"/>
        <v>2.8097846442504563E-2</v>
      </c>
      <c r="R17" s="288">
        <f t="shared" si="4"/>
        <v>3.2010631781436774E-2</v>
      </c>
    </row>
    <row r="18" spans="1:18" ht="15">
      <c r="A18" s="138">
        <v>38</v>
      </c>
      <c r="B18" s="139">
        <f t="shared" ref="B18:B26" si="7">E18/E17</f>
        <v>1.1600064398164653</v>
      </c>
      <c r="C18" s="138" t="s">
        <v>1047</v>
      </c>
      <c r="E18" s="289">
        <v>100873</v>
      </c>
      <c r="F18" s="289">
        <v>1775932</v>
      </c>
      <c r="G18" s="289">
        <v>2349914</v>
      </c>
      <c r="H18" s="289">
        <v>213112</v>
      </c>
      <c r="I18" s="289">
        <v>825169</v>
      </c>
      <c r="J18" s="289">
        <f t="shared" si="6"/>
        <v>5265000</v>
      </c>
      <c r="K18" s="289"/>
      <c r="M18" s="288">
        <f t="shared" si="0"/>
        <v>1.9159164292497626E-2</v>
      </c>
      <c r="N18" s="288">
        <f t="shared" si="5"/>
        <v>2.8097841519468189E-2</v>
      </c>
      <c r="R18" s="288">
        <f t="shared" si="4"/>
        <v>3.2010626172839507E-2</v>
      </c>
    </row>
    <row r="19" spans="1:18" ht="15">
      <c r="A19" s="138">
        <v>39</v>
      </c>
      <c r="B19" s="139">
        <f t="shared" si="7"/>
        <v>1.1514181198140236</v>
      </c>
      <c r="C19" s="138" t="s">
        <v>1048</v>
      </c>
      <c r="E19" s="289">
        <v>116147</v>
      </c>
      <c r="F19" s="289">
        <v>2044848</v>
      </c>
      <c r="G19" s="289">
        <v>2710612</v>
      </c>
      <c r="H19" s="289">
        <v>245382</v>
      </c>
      <c r="I19" s="289">
        <v>855983</v>
      </c>
      <c r="J19" s="289">
        <f t="shared" si="6"/>
        <v>5972972</v>
      </c>
      <c r="K19" s="289"/>
      <c r="M19" s="288">
        <f t="shared" si="0"/>
        <v>1.944542850694763E-2</v>
      </c>
      <c r="N19" s="288">
        <f t="shared" si="5"/>
        <v>2.8517769445428508E-2</v>
      </c>
      <c r="R19" s="288">
        <f t="shared" si="4"/>
        <v>3.2489031457036799E-2</v>
      </c>
    </row>
    <row r="20" spans="1:18" ht="15">
      <c r="A20" s="138">
        <v>40</v>
      </c>
      <c r="B20" s="139">
        <f t="shared" si="7"/>
        <v>1.1700000860977899</v>
      </c>
      <c r="C20" s="138" t="s">
        <v>1049</v>
      </c>
      <c r="E20" s="289">
        <v>135892</v>
      </c>
      <c r="F20" s="289">
        <v>2392472</v>
      </c>
      <c r="G20" s="289">
        <v>3171416</v>
      </c>
      <c r="H20" s="289">
        <v>287097</v>
      </c>
      <c r="I20" s="289">
        <v>1112778</v>
      </c>
      <c r="J20" s="289">
        <f t="shared" si="6"/>
        <v>7099655</v>
      </c>
      <c r="K20" s="289"/>
      <c r="M20" s="288">
        <f t="shared" si="0"/>
        <v>1.914064838361864E-2</v>
      </c>
      <c r="N20" s="288">
        <f t="shared" si="5"/>
        <v>2.8070789017212806E-2</v>
      </c>
      <c r="R20" s="288">
        <f t="shared" si="4"/>
        <v>3.1979806455384098E-2</v>
      </c>
    </row>
    <row r="21" spans="1:18" ht="15">
      <c r="A21" s="138">
        <f t="shared" si="1"/>
        <v>41</v>
      </c>
      <c r="B21" s="139">
        <f t="shared" si="7"/>
        <v>1.0800047096223471</v>
      </c>
      <c r="C21" s="138">
        <v>2019</v>
      </c>
      <c r="E21" s="289">
        <v>146764</v>
      </c>
      <c r="F21" s="289">
        <v>2583870</v>
      </c>
      <c r="G21" s="289">
        <v>3425130</v>
      </c>
      <c r="H21" s="289">
        <v>310064</v>
      </c>
      <c r="I21" s="289">
        <v>1201800</v>
      </c>
      <c r="J21" s="289">
        <f t="shared" si="6"/>
        <v>7667628</v>
      </c>
      <c r="K21" s="289"/>
      <c r="M21" s="288">
        <f t="shared" si="0"/>
        <v>1.9140730353637395E-2</v>
      </c>
      <c r="N21" s="288">
        <f t="shared" si="5"/>
        <v>2.8070789427969117E-2</v>
      </c>
      <c r="R21" s="288">
        <f t="shared" si="4"/>
        <v>3.197980692334057E-2</v>
      </c>
    </row>
    <row r="22" spans="1:18" ht="15">
      <c r="A22" s="138">
        <f t="shared" si="1"/>
        <v>42</v>
      </c>
      <c r="B22" s="139">
        <f t="shared" si="7"/>
        <v>1.0799991823607968</v>
      </c>
      <c r="C22" s="138">
        <v>2020</v>
      </c>
      <c r="E22" s="289">
        <v>158505</v>
      </c>
      <c r="F22" s="289">
        <v>2790580</v>
      </c>
      <c r="G22" s="289">
        <v>3699140</v>
      </c>
      <c r="H22" s="289">
        <v>334869</v>
      </c>
      <c r="I22" s="289">
        <v>1297944</v>
      </c>
      <c r="J22" s="289">
        <f t="shared" si="6"/>
        <v>8281038</v>
      </c>
      <c r="K22" s="289">
        <v>600900</v>
      </c>
      <c r="M22" s="288">
        <f t="shared" si="0"/>
        <v>1.9140716417434627E-2</v>
      </c>
      <c r="N22" s="288">
        <f t="shared" si="5"/>
        <v>2.8070794265163374E-2</v>
      </c>
      <c r="R22" s="288">
        <f t="shared" si="4"/>
        <v>3.1979812434141712E-2</v>
      </c>
    </row>
    <row r="23" spans="1:18" ht="15">
      <c r="A23" s="138">
        <f t="shared" si="1"/>
        <v>43</v>
      </c>
      <c r="B23" s="139">
        <f t="shared" si="7"/>
        <v>1.0379988012996435</v>
      </c>
      <c r="C23" s="138">
        <v>2021</v>
      </c>
      <c r="E23" s="289">
        <v>164528</v>
      </c>
      <c r="F23" s="289">
        <v>2896622</v>
      </c>
      <c r="G23" s="289">
        <v>3839707</v>
      </c>
      <c r="H23" s="289">
        <v>347595</v>
      </c>
      <c r="I23" s="289">
        <v>1347266</v>
      </c>
      <c r="J23" s="289">
        <f t="shared" si="6"/>
        <v>8595718</v>
      </c>
      <c r="K23" s="289">
        <v>713870</v>
      </c>
      <c r="M23" s="288">
        <f t="shared" si="0"/>
        <v>1.9140693075319595E-2</v>
      </c>
      <c r="N23" s="288">
        <f t="shared" si="5"/>
        <v>2.8070792061814964E-2</v>
      </c>
      <c r="R23" s="288">
        <f t="shared" si="4"/>
        <v>3.1979809923964465E-2</v>
      </c>
    </row>
    <row r="24" spans="1:18" ht="15">
      <c r="A24" s="138">
        <f t="shared" si="1"/>
        <v>44</v>
      </c>
      <c r="B24" s="139">
        <f t="shared" si="7"/>
        <v>1.0500036467956821</v>
      </c>
      <c r="C24" s="138">
        <v>2022</v>
      </c>
      <c r="E24" s="289">
        <v>172755</v>
      </c>
      <c r="F24" s="289">
        <v>3041453</v>
      </c>
      <c r="G24" s="289">
        <v>4031692</v>
      </c>
      <c r="H24" s="289">
        <v>364974</v>
      </c>
      <c r="I24" s="289">
        <v>1414629</v>
      </c>
      <c r="J24" s="289">
        <f t="shared" si="6"/>
        <v>9025503</v>
      </c>
      <c r="K24" s="289">
        <v>741000</v>
      </c>
      <c r="M24" s="288">
        <f>E24/J24</f>
        <v>1.9140761462269749E-2</v>
      </c>
      <c r="N24" s="288">
        <f t="shared" si="5"/>
        <v>2.807079393802207E-2</v>
      </c>
      <c r="R24" s="288">
        <f t="shared" si="4"/>
        <v>3.197981206144411E-2</v>
      </c>
    </row>
    <row r="25" spans="1:18" ht="15">
      <c r="A25" s="138">
        <f t="shared" si="1"/>
        <v>45</v>
      </c>
      <c r="B25" s="139">
        <f t="shared" si="7"/>
        <v>1.0599982634366589</v>
      </c>
      <c r="C25" s="138">
        <v>2023</v>
      </c>
      <c r="E25" s="289">
        <v>183120</v>
      </c>
      <c r="F25" s="289">
        <v>3223943</v>
      </c>
      <c r="G25" s="289">
        <v>4273597</v>
      </c>
      <c r="H25" s="289">
        <v>386873</v>
      </c>
      <c r="I25" s="289">
        <v>2174286</v>
      </c>
      <c r="J25" s="289">
        <f t="shared" si="6"/>
        <v>10241819</v>
      </c>
      <c r="K25" s="289">
        <f>919510+239000</f>
        <v>1158510</v>
      </c>
      <c r="L25" s="319" t="s">
        <v>12824</v>
      </c>
      <c r="M25" s="288">
        <f>E25/J25</f>
        <v>1.7879636420053899E-2</v>
      </c>
      <c r="N25" s="288">
        <f t="shared" si="5"/>
        <v>2.6221362816507495E-2</v>
      </c>
      <c r="O25" s="143"/>
      <c r="R25" s="288">
        <f t="shared" si="4"/>
        <v>2.9872837110282848E-2</v>
      </c>
    </row>
    <row r="26" spans="1:18" ht="15">
      <c r="A26" s="138">
        <f t="shared" si="1"/>
        <v>46</v>
      </c>
      <c r="B26" s="139">
        <f t="shared" si="7"/>
        <v>1.0800021843599825</v>
      </c>
      <c r="C26" s="138">
        <v>2024</v>
      </c>
      <c r="E26" s="289">
        <v>197770</v>
      </c>
      <c r="F26" s="289">
        <v>3481861</v>
      </c>
      <c r="G26" s="289">
        <v>4615489</v>
      </c>
      <c r="H26" s="289">
        <v>417823</v>
      </c>
      <c r="I26" s="289">
        <v>1619469</v>
      </c>
      <c r="J26" s="289">
        <f t="shared" si="6"/>
        <v>10332412</v>
      </c>
      <c r="K26" s="289">
        <v>824730</v>
      </c>
      <c r="L26" s="328"/>
      <c r="M26" s="288">
        <f>E26/J26</f>
        <v>1.9140738871039984E-2</v>
      </c>
      <c r="N26" s="288">
        <f t="shared" si="5"/>
        <v>2.8070795212192471E-2</v>
      </c>
      <c r="R26" s="288">
        <f t="shared" si="4"/>
        <v>3.1979813513050001E-2</v>
      </c>
    </row>
    <row r="27" spans="1:18">
      <c r="A27" s="138">
        <f t="shared" si="1"/>
        <v>47</v>
      </c>
      <c r="C27" s="138">
        <v>2025</v>
      </c>
      <c r="E27" s="289"/>
      <c r="F27" s="289"/>
      <c r="G27" s="289"/>
      <c r="H27" s="289"/>
      <c r="I27" s="289"/>
      <c r="J27" s="289">
        <f t="shared" ref="J27:J38" si="8">J26*1.03</f>
        <v>10642384.359999999</v>
      </c>
      <c r="K27" s="289"/>
      <c r="M27" s="288">
        <f>E27/J27</f>
        <v>0</v>
      </c>
      <c r="N27" s="288">
        <f t="shared" si="5"/>
        <v>0</v>
      </c>
      <c r="R27" s="288">
        <f t="shared" si="4"/>
        <v>0</v>
      </c>
    </row>
    <row r="28" spans="1:18">
      <c r="A28" s="138">
        <f t="shared" si="1"/>
        <v>48</v>
      </c>
      <c r="C28" s="138">
        <v>2026</v>
      </c>
      <c r="E28" s="289"/>
      <c r="F28" s="289"/>
      <c r="G28" s="289"/>
      <c r="H28" s="289"/>
      <c r="I28" s="289"/>
      <c r="J28" s="289">
        <f t="shared" si="8"/>
        <v>10961655.890799999</v>
      </c>
      <c r="K28" s="289"/>
      <c r="M28" s="288">
        <f>E28/J28</f>
        <v>0</v>
      </c>
      <c r="N28" s="288">
        <f t="shared" si="5"/>
        <v>0</v>
      </c>
      <c r="R28" s="288">
        <f t="shared" si="4"/>
        <v>0</v>
      </c>
    </row>
    <row r="29" spans="1:18">
      <c r="A29" s="138">
        <f t="shared" si="1"/>
        <v>49</v>
      </c>
      <c r="C29" s="138">
        <v>2027</v>
      </c>
      <c r="E29" s="289"/>
      <c r="F29" s="289"/>
      <c r="G29" s="289"/>
      <c r="H29" s="289"/>
      <c r="I29" s="289"/>
      <c r="J29" s="289">
        <f t="shared" si="8"/>
        <v>11290505.567523999</v>
      </c>
      <c r="K29" s="289"/>
    </row>
    <row r="30" spans="1:18">
      <c r="A30" s="138">
        <f t="shared" si="1"/>
        <v>50</v>
      </c>
      <c r="C30" s="138">
        <v>2028</v>
      </c>
      <c r="E30" s="289"/>
      <c r="F30" s="289"/>
      <c r="G30" s="289"/>
      <c r="H30" s="289"/>
      <c r="I30" s="289"/>
      <c r="J30" s="289">
        <f t="shared" si="8"/>
        <v>11629220.73454972</v>
      </c>
      <c r="K30" s="289"/>
    </row>
    <row r="31" spans="1:18">
      <c r="A31" s="138">
        <f t="shared" si="1"/>
        <v>51</v>
      </c>
      <c r="C31" s="138">
        <v>2029</v>
      </c>
      <c r="E31" s="289"/>
      <c r="F31" s="289"/>
      <c r="G31" s="289"/>
      <c r="H31" s="289"/>
      <c r="I31" s="289"/>
      <c r="J31" s="289">
        <f t="shared" si="8"/>
        <v>11978097.356586212</v>
      </c>
      <c r="K31" s="289"/>
    </row>
    <row r="32" spans="1:18">
      <c r="A32" s="138">
        <f t="shared" si="1"/>
        <v>52</v>
      </c>
      <c r="C32" s="138">
        <v>2030</v>
      </c>
      <c r="J32" s="289">
        <f t="shared" si="8"/>
        <v>12337440.277283799</v>
      </c>
    </row>
    <row r="33" spans="1:10">
      <c r="A33" s="138">
        <f t="shared" si="1"/>
        <v>53</v>
      </c>
      <c r="C33" s="138">
        <v>2031</v>
      </c>
      <c r="J33" s="289">
        <f t="shared" si="8"/>
        <v>12707563.485602314</v>
      </c>
    </row>
    <row r="34" spans="1:10">
      <c r="A34" s="138">
        <f t="shared" si="1"/>
        <v>54</v>
      </c>
      <c r="C34" s="138">
        <v>2032</v>
      </c>
      <c r="J34" s="289">
        <f t="shared" si="8"/>
        <v>13088790.390170384</v>
      </c>
    </row>
    <row r="35" spans="1:10">
      <c r="A35" s="138">
        <f t="shared" si="1"/>
        <v>55</v>
      </c>
      <c r="C35" s="138">
        <v>2033</v>
      </c>
      <c r="J35" s="289">
        <f t="shared" si="8"/>
        <v>13481454.101875495</v>
      </c>
    </row>
    <row r="36" spans="1:10">
      <c r="A36" s="138">
        <f t="shared" si="1"/>
        <v>56</v>
      </c>
      <c r="C36" s="138">
        <v>2034</v>
      </c>
      <c r="J36" s="289">
        <f t="shared" si="8"/>
        <v>13885897.72493176</v>
      </c>
    </row>
    <row r="37" spans="1:10">
      <c r="A37" s="138">
        <f t="shared" si="1"/>
        <v>57</v>
      </c>
      <c r="C37" s="138">
        <v>2035</v>
      </c>
      <c r="J37" s="289">
        <f t="shared" si="8"/>
        <v>14302474.656679712</v>
      </c>
    </row>
    <row r="38" spans="1:10">
      <c r="A38" s="138">
        <f t="shared" si="1"/>
        <v>58</v>
      </c>
      <c r="C38" s="138">
        <v>2036</v>
      </c>
      <c r="J38" s="289">
        <f t="shared" si="8"/>
        <v>14731548.896380104</v>
      </c>
    </row>
    <row r="39" spans="1:10">
      <c r="F39" s="143">
        <f>F23/12</f>
        <v>241385.16666666666</v>
      </c>
      <c r="G39" s="143">
        <f>F39*12%*2</f>
        <v>57932.439999999995</v>
      </c>
    </row>
    <row r="40" spans="1:10">
      <c r="F40" s="143">
        <f>33%*F39</f>
        <v>79657.104999999996</v>
      </c>
    </row>
    <row r="41" spans="1:10">
      <c r="F41" s="143">
        <f>F40*12</f>
        <v>955885.26</v>
      </c>
      <c r="G41" s="143">
        <f>G39*12</f>
        <v>695189.27999999991</v>
      </c>
    </row>
    <row r="42" spans="1:10">
      <c r="F42" s="143">
        <f>F41*0.08</f>
        <v>76470.820800000001</v>
      </c>
    </row>
    <row r="43" spans="1:10">
      <c r="F43" s="143">
        <f>F41+F42</f>
        <v>1032356.0808</v>
      </c>
      <c r="H43" s="143">
        <f>F43+G41</f>
        <v>1727545.3607999999</v>
      </c>
    </row>
  </sheetData>
  <pageMargins left="0.7" right="0.7" top="0.75" bottom="0.75" header="0.3" footer="0.3"/>
  <pageSetup orientation="portrait" r:id="rId1"/>
  <legacy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sheetPr>
    <tabColor rgb="FFFF0000"/>
  </sheetPr>
  <dimension ref="A1:DG111"/>
  <sheetViews>
    <sheetView topLeftCell="CI1" workbookViewId="0">
      <pane ySplit="1" topLeftCell="A12" activePane="bottomLeft" state="frozen"/>
      <selection activeCell="BQ1" sqref="BQ1"/>
      <selection pane="bottomLeft" activeCell="DA42" sqref="DA42"/>
    </sheetView>
  </sheetViews>
  <sheetFormatPr defaultRowHeight="15"/>
  <cols>
    <col min="1" max="1" width="5.7109375" bestFit="1" customWidth="1"/>
    <col min="2" max="2" width="9.28515625" bestFit="1" customWidth="1"/>
    <col min="4" max="4" width="0" hidden="1" customWidth="1"/>
    <col min="5" max="5" width="3" customWidth="1"/>
    <col min="6" max="6" width="6.7109375" bestFit="1" customWidth="1"/>
    <col min="7" max="9" width="8" bestFit="1" customWidth="1"/>
    <col min="10" max="10" width="7" bestFit="1" customWidth="1"/>
    <col min="11" max="11" width="9" bestFit="1" customWidth="1"/>
    <col min="12" max="12" width="6" bestFit="1" customWidth="1"/>
    <col min="13" max="13" width="7" bestFit="1" customWidth="1"/>
    <col min="14" max="14" width="9" bestFit="1" customWidth="1"/>
    <col min="15" max="16" width="7" bestFit="1" customWidth="1"/>
    <col min="17" max="17" width="9" bestFit="1" customWidth="1"/>
    <col min="18" max="19" width="7" bestFit="1" customWidth="1"/>
    <col min="20" max="20" width="11.5703125" bestFit="1" customWidth="1"/>
    <col min="21" max="21" width="9" bestFit="1" customWidth="1"/>
    <col min="22" max="22" width="7" bestFit="1" customWidth="1"/>
    <col min="23" max="23" width="9" bestFit="1" customWidth="1"/>
    <col min="24" max="24" width="6" bestFit="1" customWidth="1"/>
    <col min="25" max="25" width="7" bestFit="1" customWidth="1"/>
    <col min="26" max="26" width="9" bestFit="1" customWidth="1"/>
    <col min="29" max="29" width="10.5703125" customWidth="1"/>
    <col min="30" max="30" width="9.5703125" bestFit="1" customWidth="1"/>
    <col min="31" max="31" width="11.5703125" bestFit="1" customWidth="1"/>
    <col min="32" max="32" width="10.42578125" customWidth="1"/>
    <col min="33" max="33" width="9.5703125" bestFit="1" customWidth="1"/>
    <col min="34" max="34" width="13.28515625" bestFit="1" customWidth="1"/>
    <col min="35" max="35" width="9.5703125" bestFit="1" customWidth="1"/>
    <col min="36" max="36" width="10.28515625" customWidth="1"/>
    <col min="37" max="37" width="9.5703125" bestFit="1" customWidth="1"/>
    <col min="38" max="38" width="11.5703125" bestFit="1" customWidth="1"/>
    <col min="39" max="39" width="10.42578125" customWidth="1"/>
    <col min="40" max="40" width="9.5703125" bestFit="1" customWidth="1"/>
    <col min="41" max="41" width="10.5703125" bestFit="1" customWidth="1"/>
    <col min="42" max="42" width="11.5703125" bestFit="1" customWidth="1"/>
    <col min="43" max="43" width="10.5703125" customWidth="1"/>
    <col min="44" max="45" width="9.5703125" bestFit="1" customWidth="1"/>
    <col min="46" max="46" width="11.5703125" bestFit="1" customWidth="1"/>
    <col min="47" max="47" width="10.5703125" customWidth="1"/>
    <col min="48" max="48" width="9.5703125" bestFit="1" customWidth="1"/>
    <col min="49" max="50" width="11.5703125" bestFit="1" customWidth="1"/>
    <col min="51" max="51" width="10.5703125" bestFit="1" customWidth="1"/>
    <col min="52" max="52" width="11.5703125" bestFit="1" customWidth="1"/>
    <col min="53" max="53" width="10.5703125" bestFit="1" customWidth="1"/>
    <col min="54" max="54" width="11.5703125" bestFit="1" customWidth="1"/>
    <col min="55" max="55" width="10.28515625" customWidth="1"/>
    <col min="56" max="56" width="10.5703125" bestFit="1" customWidth="1"/>
    <col min="57" max="57" width="10.28515625" customWidth="1"/>
    <col min="58" max="59" width="10.5703125" bestFit="1" customWidth="1"/>
    <col min="60" max="60" width="10.28515625" customWidth="1"/>
    <col min="61" max="61" width="10.7109375" customWidth="1"/>
    <col min="62" max="62" width="9.5703125" bestFit="1" customWidth="1"/>
    <col min="63" max="64" width="10.5703125" bestFit="1" customWidth="1"/>
    <col min="65" max="65" width="10.7109375" customWidth="1"/>
    <col min="66" max="67" width="9.5703125" bestFit="1" customWidth="1"/>
    <col min="68" max="68" width="10.7109375" customWidth="1"/>
    <col min="69" max="69" width="12.28515625" customWidth="1"/>
    <col min="70" max="70" width="4.7109375" bestFit="1" customWidth="1"/>
    <col min="71" max="72" width="10.5703125" customWidth="1"/>
    <col min="73" max="73" width="11.7109375" customWidth="1"/>
    <col min="74" max="74" width="11.28515625" customWidth="1"/>
    <col min="75" max="75" width="13.42578125" bestFit="1" customWidth="1"/>
    <col min="76" max="76" width="4.7109375" bestFit="1" customWidth="1"/>
    <col min="77" max="77" width="10.85546875" customWidth="1"/>
    <col min="78" max="80" width="9.5703125" bestFit="1" customWidth="1"/>
    <col min="81" max="81" width="10.42578125" bestFit="1" customWidth="1"/>
    <col min="82" max="82" width="11.85546875" customWidth="1"/>
    <col min="83" max="83" width="4.7109375" bestFit="1" customWidth="1"/>
    <col min="84" max="84" width="10.7109375" customWidth="1"/>
    <col min="85" max="85" width="10.85546875" customWidth="1"/>
    <col min="86" max="86" width="11.5703125" bestFit="1" customWidth="1"/>
    <col min="87" max="87" width="10.140625" bestFit="1" customWidth="1"/>
    <col min="88" max="89" width="10.5703125" bestFit="1" customWidth="1"/>
    <col min="90" max="90" width="4.7109375" bestFit="1" customWidth="1"/>
    <col min="91" max="91" width="9.42578125" bestFit="1" customWidth="1"/>
    <col min="92" max="92" width="9.7109375" customWidth="1"/>
    <col min="94" max="94" width="10.5703125" bestFit="1" customWidth="1"/>
    <col min="95" max="95" width="11.85546875" customWidth="1"/>
    <col min="96" max="96" width="12.42578125" customWidth="1"/>
    <col min="98" max="98" width="12" customWidth="1"/>
    <col min="99" max="99" width="13" customWidth="1"/>
    <col min="100" max="100" width="9.85546875" bestFit="1" customWidth="1"/>
    <col min="101" max="101" width="10.85546875" customWidth="1"/>
    <col min="102" max="102" width="10.5703125" bestFit="1" customWidth="1"/>
    <col min="103" max="103" width="10.5703125" customWidth="1"/>
    <col min="105" max="108" width="9.5703125" bestFit="1" customWidth="1"/>
    <col min="109" max="109" width="10.5703125" bestFit="1" customWidth="1"/>
    <col min="110" max="110" width="12" customWidth="1"/>
  </cols>
  <sheetData>
    <row r="1" spans="1:111" ht="60">
      <c r="A1" t="s">
        <v>1050</v>
      </c>
      <c r="B1" s="7">
        <v>40422</v>
      </c>
      <c r="C1" s="1">
        <v>27350.04</v>
      </c>
      <c r="D1" t="str">
        <f t="shared" ref="D1:D15" si="0">RIGHT(B1,4)</f>
        <v>0422</v>
      </c>
      <c r="F1">
        <v>1</v>
      </c>
      <c r="H1" s="1">
        <v>53575.729999999996</v>
      </c>
      <c r="I1" s="1">
        <v>42715</v>
      </c>
      <c r="J1" s="1"/>
      <c r="K1" s="9"/>
      <c r="L1" s="1">
        <v>6639.42</v>
      </c>
      <c r="M1" s="1">
        <v>25118.87</v>
      </c>
      <c r="N1" s="9">
        <f>L1+M1</f>
        <v>31758.29</v>
      </c>
      <c r="O1" s="1">
        <v>10762</v>
      </c>
      <c r="P1" s="1">
        <v>65354.39</v>
      </c>
      <c r="Q1" s="9">
        <f>O1+P1</f>
        <v>76116.39</v>
      </c>
      <c r="R1" s="1">
        <v>31644.010000000002</v>
      </c>
      <c r="S1" s="1">
        <v>105193.67</v>
      </c>
      <c r="T1" s="9">
        <f>R1+S1</f>
        <v>136837.68</v>
      </c>
      <c r="U1" s="1">
        <v>22148</v>
      </c>
      <c r="V1" s="1">
        <v>68566.040000000008</v>
      </c>
      <c r="W1" s="9">
        <f>U1+V1</f>
        <v>90714.040000000008</v>
      </c>
      <c r="X1">
        <v>17500</v>
      </c>
      <c r="Y1" s="1">
        <v>61732.95</v>
      </c>
      <c r="Z1" s="9">
        <f>X1+Y1</f>
        <v>79232.95</v>
      </c>
      <c r="AA1" s="21"/>
      <c r="AB1" s="21" t="s">
        <v>1051</v>
      </c>
      <c r="AC1" s="21">
        <v>2009</v>
      </c>
      <c r="AD1" s="21" t="s">
        <v>1052</v>
      </c>
      <c r="AE1" s="8" t="s">
        <v>1053</v>
      </c>
      <c r="AF1" s="21">
        <v>2010</v>
      </c>
      <c r="AG1" s="21" t="s">
        <v>1054</v>
      </c>
      <c r="AH1" s="8" t="s">
        <v>1055</v>
      </c>
      <c r="AI1" s="22" t="s">
        <v>1056</v>
      </c>
      <c r="AJ1" s="22" t="s">
        <v>1057</v>
      </c>
      <c r="AK1" s="21" t="s">
        <v>1058</v>
      </c>
      <c r="AL1" s="8" t="s">
        <v>1059</v>
      </c>
      <c r="AM1" s="22" t="s">
        <v>1060</v>
      </c>
      <c r="AN1" s="22" t="s">
        <v>1061</v>
      </c>
      <c r="AO1" s="21" t="s">
        <v>1062</v>
      </c>
      <c r="AP1" s="8" t="s">
        <v>1063</v>
      </c>
      <c r="AQ1" s="22" t="s">
        <v>1064</v>
      </c>
      <c r="AR1" s="22" t="s">
        <v>1065</v>
      </c>
      <c r="AS1" s="21" t="s">
        <v>1066</v>
      </c>
      <c r="AT1" s="8" t="s">
        <v>1067</v>
      </c>
      <c r="AU1" s="22" t="s">
        <v>1068</v>
      </c>
      <c r="AV1" s="22" t="s">
        <v>1069</v>
      </c>
      <c r="AW1" s="21" t="s">
        <v>1070</v>
      </c>
      <c r="AX1" s="8" t="s">
        <v>1071</v>
      </c>
      <c r="AY1" s="22" t="s">
        <v>1072</v>
      </c>
      <c r="AZ1" s="22" t="s">
        <v>1073</v>
      </c>
      <c r="BA1" s="21" t="s">
        <v>1074</v>
      </c>
      <c r="BB1" s="8" t="s">
        <v>1075</v>
      </c>
      <c r="BC1" s="22" t="s">
        <v>1076</v>
      </c>
      <c r="BD1" s="22" t="s">
        <v>1077</v>
      </c>
      <c r="BE1" s="22" t="s">
        <v>1078</v>
      </c>
      <c r="BF1" s="8" t="s">
        <v>1079</v>
      </c>
      <c r="BG1" s="37" t="s">
        <v>1080</v>
      </c>
      <c r="BH1" s="22" t="s">
        <v>1081</v>
      </c>
      <c r="BI1" s="22" t="s">
        <v>1082</v>
      </c>
      <c r="BJ1" s="22" t="s">
        <v>1083</v>
      </c>
      <c r="BK1" s="8" t="s">
        <v>1084</v>
      </c>
      <c r="BL1" s="37" t="s">
        <v>1085</v>
      </c>
      <c r="BM1" s="22" t="s">
        <v>1086</v>
      </c>
      <c r="BN1" s="22" t="s">
        <v>1087</v>
      </c>
      <c r="BO1" s="22" t="s">
        <v>1088</v>
      </c>
      <c r="BP1" s="8" t="s">
        <v>1089</v>
      </c>
      <c r="BQ1" s="37" t="s">
        <v>1090</v>
      </c>
      <c r="BS1" s="22" t="s">
        <v>1091</v>
      </c>
      <c r="BT1" s="22" t="s">
        <v>1092</v>
      </c>
      <c r="BU1" s="22" t="s">
        <v>1093</v>
      </c>
      <c r="BV1" s="8" t="s">
        <v>1094</v>
      </c>
      <c r="BW1" s="37" t="s">
        <v>1095</v>
      </c>
      <c r="BY1" s="22" t="s">
        <v>1096</v>
      </c>
      <c r="BZ1" s="22" t="s">
        <v>1097</v>
      </c>
      <c r="CA1" s="22" t="s">
        <v>1098</v>
      </c>
      <c r="CB1" s="22" t="s">
        <v>1099</v>
      </c>
      <c r="CC1" s="8" t="s">
        <v>1100</v>
      </c>
      <c r="CD1" s="37" t="s">
        <v>1101</v>
      </c>
      <c r="CF1" s="22" t="s">
        <v>1102</v>
      </c>
      <c r="CG1" s="22" t="s">
        <v>1103</v>
      </c>
      <c r="CH1" s="22" t="s">
        <v>1104</v>
      </c>
      <c r="CI1" s="22" t="s">
        <v>1105</v>
      </c>
      <c r="CJ1" s="8" t="s">
        <v>1106</v>
      </c>
      <c r="CK1" s="37" t="s">
        <v>1107</v>
      </c>
      <c r="CM1" s="22" t="s">
        <v>1108</v>
      </c>
      <c r="CN1" s="22" t="s">
        <v>1109</v>
      </c>
      <c r="CO1" s="22" t="s">
        <v>1110</v>
      </c>
      <c r="CP1" s="22" t="s">
        <v>1111</v>
      </c>
      <c r="CQ1" s="8" t="s">
        <v>1112</v>
      </c>
      <c r="CR1" s="37" t="s">
        <v>1113</v>
      </c>
      <c r="CT1" s="22" t="s">
        <v>1114</v>
      </c>
      <c r="CU1" s="22" t="s">
        <v>1115</v>
      </c>
      <c r="CV1" s="22" t="s">
        <v>1116</v>
      </c>
      <c r="CW1" s="22" t="s">
        <v>1117</v>
      </c>
      <c r="CX1" s="8" t="s">
        <v>1118</v>
      </c>
      <c r="CY1" s="37" t="s">
        <v>1119</v>
      </c>
      <c r="DA1" s="22" t="s">
        <v>12976</v>
      </c>
      <c r="DB1" s="22" t="s">
        <v>12977</v>
      </c>
      <c r="DC1" s="22" t="s">
        <v>12978</v>
      </c>
      <c r="DD1" s="22" t="s">
        <v>12979</v>
      </c>
      <c r="DE1" s="8" t="s">
        <v>12980</v>
      </c>
      <c r="DF1" s="37" t="s">
        <v>12981</v>
      </c>
    </row>
    <row r="2" spans="1:111">
      <c r="A2" t="s">
        <v>1050</v>
      </c>
      <c r="B2" s="7">
        <v>40452</v>
      </c>
      <c r="C2" s="1">
        <v>83827.67</v>
      </c>
      <c r="D2" t="str">
        <f t="shared" si="0"/>
        <v>0452</v>
      </c>
      <c r="F2">
        <v>2</v>
      </c>
      <c r="H2" s="1">
        <v>46000</v>
      </c>
      <c r="I2" s="1">
        <v>24065.4</v>
      </c>
      <c r="J2" s="1"/>
      <c r="K2" s="9"/>
      <c r="L2" s="1">
        <v>5949.73</v>
      </c>
      <c r="M2" s="1">
        <v>51206.25</v>
      </c>
      <c r="N2" s="9">
        <f t="shared" ref="N2:N12" si="1">L2+M2</f>
        <v>57155.979999999996</v>
      </c>
      <c r="O2" s="1">
        <v>8198</v>
      </c>
      <c r="Q2" s="9">
        <f t="shared" ref="Q2:Q12" si="2">O2+P2</f>
        <v>8198</v>
      </c>
      <c r="R2" s="1">
        <v>22524</v>
      </c>
      <c r="S2" s="1">
        <v>107000</v>
      </c>
      <c r="T2" s="9">
        <f t="shared" ref="T2:T12" si="3">R2+S2</f>
        <v>129524</v>
      </c>
      <c r="U2" s="1">
        <v>19540</v>
      </c>
      <c r="V2" s="1">
        <v>18899.349999999999</v>
      </c>
      <c r="W2" s="9">
        <f>U2+V2</f>
        <v>38439.35</v>
      </c>
      <c r="X2">
        <v>33697</v>
      </c>
      <c r="Y2" s="1">
        <v>115279.05</v>
      </c>
      <c r="Z2" s="9">
        <f>X2+Y2</f>
        <v>148976.04999999999</v>
      </c>
      <c r="AA2" s="21"/>
      <c r="AB2" s="21">
        <v>1</v>
      </c>
      <c r="AC2" s="23"/>
      <c r="AD2" s="23"/>
      <c r="AE2" s="9"/>
      <c r="AF2" s="23">
        <v>53575.729999999996</v>
      </c>
      <c r="AG2" s="23">
        <v>51298.82</v>
      </c>
      <c r="AH2" s="9">
        <f>AF2+AG2</f>
        <v>104874.54999999999</v>
      </c>
      <c r="AI2" s="24">
        <v>42715</v>
      </c>
      <c r="AJ2" s="24"/>
      <c r="AK2" s="24">
        <v>30358.989999999998</v>
      </c>
      <c r="AL2" s="9">
        <f>AI2+AJ2+AK2</f>
        <v>73073.989999999991</v>
      </c>
      <c r="AM2" s="24">
        <v>6639.42</v>
      </c>
      <c r="AN2" s="24">
        <v>25118.87</v>
      </c>
      <c r="AO2" s="24">
        <v>1500</v>
      </c>
      <c r="AP2" s="9">
        <f>AM2+AN2+AO2</f>
        <v>33258.29</v>
      </c>
      <c r="AQ2" s="24">
        <v>10762</v>
      </c>
      <c r="AR2" s="24">
        <v>65354.39</v>
      </c>
      <c r="AS2" s="24">
        <v>44511</v>
      </c>
      <c r="AT2" s="9">
        <f>AQ2+AR2+AS2</f>
        <v>120627.39</v>
      </c>
      <c r="AU2" s="24">
        <v>31644.010000000002</v>
      </c>
      <c r="AV2" s="24">
        <f>105193.67-48000</f>
        <v>57193.67</v>
      </c>
      <c r="AW2" s="24">
        <v>42330.9</v>
      </c>
      <c r="AX2" s="9">
        <f>AU2+AV2+AW2</f>
        <v>131168.57999999999</v>
      </c>
      <c r="AY2" s="24">
        <v>22148</v>
      </c>
      <c r="AZ2" s="24">
        <v>68566.040000000008</v>
      </c>
      <c r="BA2" s="27">
        <v>25060.7</v>
      </c>
      <c r="BB2" s="9">
        <f>AY2+AZ2+BA2</f>
        <v>115774.74</v>
      </c>
      <c r="BC2" s="24">
        <v>17500</v>
      </c>
      <c r="BD2" s="24">
        <v>61732.95</v>
      </c>
      <c r="BE2" s="24">
        <v>39543.71</v>
      </c>
      <c r="BF2" s="9">
        <f>BC2+BD2+BE2</f>
        <v>118776.66</v>
      </c>
      <c r="BG2" s="26">
        <f>BF2</f>
        <v>118776.66</v>
      </c>
      <c r="BH2" s="24">
        <v>11892</v>
      </c>
      <c r="BI2" s="24">
        <v>81213</v>
      </c>
      <c r="BJ2" s="24">
        <v>24573.34</v>
      </c>
      <c r="BK2" s="9">
        <f>BH2+BI2+BJ2</f>
        <v>117678.34</v>
      </c>
      <c r="BL2" s="26">
        <f>BK2-12101</f>
        <v>105577.34</v>
      </c>
      <c r="BM2" s="24">
        <f>30803+120910.73</f>
        <v>151713.72999999998</v>
      </c>
      <c r="BN2" s="24">
        <v>346191.01</v>
      </c>
      <c r="BO2" s="24">
        <v>61534.5</v>
      </c>
      <c r="BP2" s="9">
        <f>BM2+BN2+BO2</f>
        <v>559439.24</v>
      </c>
      <c r="BQ2" s="26">
        <f>BP2-BP18-1991.74</f>
        <v>447920.5</v>
      </c>
      <c r="BR2" t="s">
        <v>1120</v>
      </c>
      <c r="BS2" s="24">
        <v>342293.75</v>
      </c>
      <c r="BT2" s="24">
        <v>222370</v>
      </c>
      <c r="BU2" s="24">
        <v>26123.22</v>
      </c>
      <c r="BV2" s="9">
        <f>BS2+BT2+BU2</f>
        <v>590786.97</v>
      </c>
      <c r="BW2" s="26">
        <f>BV2-BV19-BV20</f>
        <v>189736.96999999997</v>
      </c>
      <c r="BX2" t="s">
        <v>1120</v>
      </c>
      <c r="BY2" s="24">
        <v>330141.65999999997</v>
      </c>
      <c r="BZ2" s="24">
        <v>34898</v>
      </c>
      <c r="CA2" s="24">
        <v>44595</v>
      </c>
      <c r="CB2" s="24">
        <v>10870</v>
      </c>
      <c r="CC2" s="9">
        <f>BY2+BZ2+CA2+CB2</f>
        <v>420504.66</v>
      </c>
      <c r="CD2" s="26">
        <f>CC2-CC19-CC20</f>
        <v>75992.659999999974</v>
      </c>
      <c r="CE2" t="s">
        <v>1120</v>
      </c>
      <c r="CF2" s="24">
        <v>26264</v>
      </c>
      <c r="CG2" s="24">
        <v>1546</v>
      </c>
      <c r="CH2" s="24">
        <v>5928.5</v>
      </c>
      <c r="CI2" s="24">
        <f>101391-53999</f>
        <v>47392</v>
      </c>
      <c r="CJ2" s="9">
        <f>CF2+CG2+CH2+CI2</f>
        <v>81130.5</v>
      </c>
      <c r="CK2" s="26">
        <f>CJ2-CJ19-CJ20</f>
        <v>29303.5</v>
      </c>
      <c r="CL2" t="s">
        <v>1120</v>
      </c>
      <c r="CM2" s="24">
        <v>16614.2</v>
      </c>
      <c r="CN2" s="24">
        <v>21978</v>
      </c>
      <c r="CO2" s="24">
        <v>5207</v>
      </c>
      <c r="CP2" s="24">
        <v>80436.14</v>
      </c>
      <c r="CQ2" s="9">
        <f>CM2+CN2+CO2+CP2</f>
        <v>124235.34</v>
      </c>
      <c r="CR2" s="26">
        <f>CQ2</f>
        <v>124235.34</v>
      </c>
      <c r="CS2" t="s">
        <v>1120</v>
      </c>
      <c r="CT2" s="24">
        <v>62531.69</v>
      </c>
      <c r="CU2" s="24">
        <v>7788</v>
      </c>
      <c r="CV2" s="24">
        <v>5001</v>
      </c>
      <c r="CW2" s="24">
        <v>57272.93</v>
      </c>
      <c r="CX2" s="9">
        <f>CT2+CU2+CV2+CW2</f>
        <v>132593.62</v>
      </c>
      <c r="CY2" s="26">
        <f>CX2-CX20-CX21-CX23-CX22</f>
        <v>74313.539999999994</v>
      </c>
      <c r="CZ2" t="s">
        <v>1120</v>
      </c>
      <c r="DA2" s="24">
        <v>42249</v>
      </c>
      <c r="DB2" s="24">
        <v>26937</v>
      </c>
      <c r="DC2" s="24">
        <v>3610</v>
      </c>
      <c r="DD2" s="24">
        <v>83277.19</v>
      </c>
      <c r="DE2" s="9">
        <f>DA2+DB2+DC2+DD2</f>
        <v>156073.19</v>
      </c>
      <c r="DF2" s="26">
        <f>DE2-DE20-DE21-DE23-DE22</f>
        <v>-862591.81</v>
      </c>
      <c r="DG2" t="s">
        <v>1120</v>
      </c>
    </row>
    <row r="3" spans="1:111">
      <c r="A3" t="s">
        <v>1050</v>
      </c>
      <c r="B3" s="7">
        <v>40483</v>
      </c>
      <c r="C3" s="1">
        <v>18900</v>
      </c>
      <c r="D3" t="str">
        <f t="shared" si="0"/>
        <v>0483</v>
      </c>
      <c r="F3">
        <v>3</v>
      </c>
      <c r="H3" s="1">
        <v>63149.22</v>
      </c>
      <c r="I3" s="1">
        <v>19786</v>
      </c>
      <c r="J3" s="1"/>
      <c r="K3" s="9"/>
      <c r="L3" s="1">
        <v>13595.44</v>
      </c>
      <c r="M3" s="1">
        <v>105402.01</v>
      </c>
      <c r="N3" s="9">
        <f t="shared" si="1"/>
        <v>118997.45</v>
      </c>
      <c r="O3" s="1">
        <v>49849.36</v>
      </c>
      <c r="P3" s="1">
        <v>22312.38</v>
      </c>
      <c r="Q3" s="9">
        <f t="shared" si="2"/>
        <v>72161.740000000005</v>
      </c>
      <c r="R3" s="1">
        <v>32902.5</v>
      </c>
      <c r="S3" s="1">
        <v>23904.51</v>
      </c>
      <c r="T3" s="9">
        <f t="shared" si="3"/>
        <v>56807.009999999995</v>
      </c>
      <c r="U3" s="1">
        <v>26500</v>
      </c>
      <c r="W3" s="9">
        <f>U3+V3</f>
        <v>26500</v>
      </c>
      <c r="X3">
        <v>14000</v>
      </c>
      <c r="Y3" s="1">
        <v>224883.6</v>
      </c>
      <c r="Z3" s="9">
        <f>X3+Y3</f>
        <v>238883.6</v>
      </c>
      <c r="AA3" s="21"/>
      <c r="AB3" s="21">
        <v>2</v>
      </c>
      <c r="AC3" s="23"/>
      <c r="AD3" s="23"/>
      <c r="AE3" s="9"/>
      <c r="AF3" s="23">
        <v>46000</v>
      </c>
      <c r="AG3" s="23">
        <v>42163.64</v>
      </c>
      <c r="AH3" s="9">
        <f t="shared" ref="AH3:AH13" si="4">AF3+AG3</f>
        <v>88163.64</v>
      </c>
      <c r="AI3" s="24">
        <v>24065.4</v>
      </c>
      <c r="AJ3" s="24"/>
      <c r="AK3" s="24">
        <v>16092</v>
      </c>
      <c r="AL3" s="9">
        <f t="shared" ref="AL3:AL13" si="5">AI3+AJ3+AK3</f>
        <v>40157.4</v>
      </c>
      <c r="AM3" s="24">
        <v>5949.73</v>
      </c>
      <c r="AN3" s="24">
        <v>51206.25</v>
      </c>
      <c r="AO3" s="24">
        <v>16500</v>
      </c>
      <c r="AP3" s="9">
        <f t="shared" ref="AP3:AP13" si="6">AM3+AN3+AO3</f>
        <v>73655.98</v>
      </c>
      <c r="AQ3" s="24">
        <v>8198</v>
      </c>
      <c r="AR3" s="24"/>
      <c r="AS3" s="24">
        <v>7758</v>
      </c>
      <c r="AT3" s="9">
        <f t="shared" ref="AT3:AT13" si="7">AQ3+AR3+AS3</f>
        <v>15956</v>
      </c>
      <c r="AU3" s="24">
        <v>22524</v>
      </c>
      <c r="AV3" s="24">
        <f>107000-107797</f>
        <v>-797</v>
      </c>
      <c r="AW3" s="24">
        <v>16164.1</v>
      </c>
      <c r="AX3" s="9">
        <f t="shared" ref="AX3:AX13" si="8">AU3+AV3+AW3</f>
        <v>37891.1</v>
      </c>
      <c r="AY3" s="24">
        <v>19540</v>
      </c>
      <c r="AZ3" s="24">
        <v>18899.349999999999</v>
      </c>
      <c r="BA3" s="27">
        <v>43951.76</v>
      </c>
      <c r="BB3" s="9">
        <f t="shared" ref="BB3:BB13" si="9">AY3+AZ3+BA3</f>
        <v>82391.11</v>
      </c>
      <c r="BC3" s="24">
        <v>33697</v>
      </c>
      <c r="BD3" s="24">
        <v>115279.05</v>
      </c>
      <c r="BE3" s="24">
        <v>55898.73</v>
      </c>
      <c r="BF3" s="9">
        <f t="shared" ref="BF3:BF13" si="10">BC3+BD3+BE3</f>
        <v>204874.78</v>
      </c>
      <c r="BG3" s="26">
        <f>BF3</f>
        <v>204874.78</v>
      </c>
      <c r="BH3" s="24">
        <v>13610</v>
      </c>
      <c r="BI3" s="24">
        <v>66556</v>
      </c>
      <c r="BJ3" s="24">
        <v>14443.5</v>
      </c>
      <c r="BK3" s="9">
        <f t="shared" ref="BK3:BK13" si="11">BH3+BI3+BJ3</f>
        <v>94609.5</v>
      </c>
      <c r="BL3" s="26">
        <f>BK3</f>
        <v>94609.5</v>
      </c>
      <c r="BM3" s="24">
        <f>8693+12124</f>
        <v>20817</v>
      </c>
      <c r="BN3" s="24">
        <v>78278.11</v>
      </c>
      <c r="BO3" s="24">
        <v>35417.25</v>
      </c>
      <c r="BP3" s="9">
        <f t="shared" ref="BP3:BP13" si="12">BM3+BN3+BO3</f>
        <v>134512.35999999999</v>
      </c>
      <c r="BQ3" s="26">
        <f>BP3</f>
        <v>134512.35999999999</v>
      </c>
      <c r="BR3" t="s">
        <v>1121</v>
      </c>
      <c r="BS3" s="24">
        <v>17343</v>
      </c>
      <c r="BT3" s="24">
        <v>107223</v>
      </c>
      <c r="BU3" s="24">
        <v>40397.5</v>
      </c>
      <c r="BV3" s="9">
        <f t="shared" ref="BV3:BV13" si="13">BS3+BT3+BU3</f>
        <v>164963.5</v>
      </c>
      <c r="BW3" s="26">
        <f>BV3-BV21-BV22</f>
        <v>106973.5</v>
      </c>
      <c r="BX3" t="s">
        <v>1121</v>
      </c>
      <c r="BY3" s="24">
        <v>71271.7</v>
      </c>
      <c r="BZ3" s="24">
        <v>27002</v>
      </c>
      <c r="CA3" s="24">
        <v>37316.720000000001</v>
      </c>
      <c r="CB3" s="24"/>
      <c r="CC3" s="9">
        <f t="shared" ref="CC3:CC13" si="14">BY3+BZ3+CA3+CB3</f>
        <v>135590.41999999998</v>
      </c>
      <c r="CD3" s="26">
        <f>CC3-CC20-CC21</f>
        <v>75590.419999999984</v>
      </c>
      <c r="CE3" t="s">
        <v>1121</v>
      </c>
      <c r="CF3" s="24">
        <v>17377</v>
      </c>
      <c r="CG3" s="24">
        <v>4319</v>
      </c>
      <c r="CH3" s="24">
        <v>10737.5</v>
      </c>
      <c r="CI3" s="24">
        <v>74341</v>
      </c>
      <c r="CJ3" s="9">
        <f t="shared" ref="CJ3:CJ13" si="15">CF3+CG3+CH3+CI3</f>
        <v>106774.5</v>
      </c>
      <c r="CK3" s="26">
        <f>CJ3-CJ21-CJ23</f>
        <v>73775.5</v>
      </c>
      <c r="CL3" t="s">
        <v>1121</v>
      </c>
      <c r="CM3" s="24">
        <v>16345.35</v>
      </c>
      <c r="CN3" s="24">
        <v>55392</v>
      </c>
      <c r="CO3" s="24">
        <v>3500</v>
      </c>
      <c r="CP3" s="24">
        <v>138823.74</v>
      </c>
      <c r="CQ3" s="9">
        <f t="shared" ref="CQ3:CQ12" si="16">CM3+CN3+CO3+CP3</f>
        <v>214061.09</v>
      </c>
      <c r="CR3" s="26">
        <f>CQ3-CQ19</f>
        <v>124061.09</v>
      </c>
      <c r="CS3" t="s">
        <v>1121</v>
      </c>
      <c r="CT3" s="24">
        <v>70939.03</v>
      </c>
      <c r="CU3" s="24">
        <v>65739</v>
      </c>
      <c r="CV3" s="24">
        <v>10001</v>
      </c>
      <c r="CW3" s="24">
        <v>92597.72</v>
      </c>
      <c r="CX3" s="9">
        <f t="shared" ref="CX3:CX13" si="17">CT3+CU3+CV3+CW3</f>
        <v>239276.75</v>
      </c>
      <c r="CY3" s="26">
        <f>CX3-CX19-CX24-CX25-CX26-CX27</f>
        <v>-176999.25</v>
      </c>
      <c r="CZ3" t="s">
        <v>1121</v>
      </c>
      <c r="DA3" s="24">
        <v>95077</v>
      </c>
      <c r="DB3" s="24">
        <v>106525</v>
      </c>
      <c r="DC3" s="24">
        <v>199</v>
      </c>
      <c r="DD3" s="24">
        <v>107213</v>
      </c>
      <c r="DE3" s="9">
        <f t="shared" ref="DE3:DE13" si="18">DA3+DB3+DC3+DD3</f>
        <v>309014</v>
      </c>
      <c r="DF3" s="26">
        <f>DE3-DE19-DE24-DE25-DE26-DE27</f>
        <v>249014</v>
      </c>
      <c r="DG3" t="s">
        <v>1121</v>
      </c>
    </row>
    <row r="4" spans="1:111">
      <c r="A4" t="s">
        <v>1050</v>
      </c>
      <c r="B4" s="7">
        <v>40513</v>
      </c>
      <c r="C4" s="1">
        <v>84898.11</v>
      </c>
      <c r="D4" t="str">
        <f t="shared" si="0"/>
        <v>0513</v>
      </c>
      <c r="F4">
        <v>4</v>
      </c>
      <c r="G4" s="1">
        <v>35971.800000000003</v>
      </c>
      <c r="H4" s="1">
        <v>94149.41</v>
      </c>
      <c r="I4" s="1">
        <v>58444.77</v>
      </c>
      <c r="J4" s="1"/>
      <c r="K4" s="9"/>
      <c r="L4" s="1">
        <v>24119</v>
      </c>
      <c r="M4" s="1">
        <v>34186.620000000003</v>
      </c>
      <c r="N4" s="9">
        <f t="shared" si="1"/>
        <v>58305.62</v>
      </c>
      <c r="O4" s="1">
        <v>139046.19</v>
      </c>
      <c r="P4" s="1">
        <v>31212.49</v>
      </c>
      <c r="Q4" s="9">
        <f t="shared" si="2"/>
        <v>170258.68</v>
      </c>
      <c r="R4" s="1">
        <v>21846</v>
      </c>
      <c r="S4" s="1">
        <v>128369</v>
      </c>
      <c r="T4" s="9">
        <f t="shared" si="3"/>
        <v>150215</v>
      </c>
      <c r="U4" s="10">
        <v>6868.49</v>
      </c>
      <c r="V4" s="11">
        <f>303718.74-100000</f>
        <v>203718.74</v>
      </c>
      <c r="W4" s="9">
        <f t="shared" ref="W4:W12" si="19">U4+V4</f>
        <v>210587.22999999998</v>
      </c>
      <c r="X4" s="1"/>
      <c r="Y4" s="1">
        <v>52759.63</v>
      </c>
      <c r="Z4" s="9">
        <f t="shared" ref="Z4:Z12" si="20">X4+Y4</f>
        <v>52759.63</v>
      </c>
      <c r="AA4" s="21"/>
      <c r="AB4" s="21">
        <v>3</v>
      </c>
      <c r="AC4" s="23"/>
      <c r="AD4" s="23"/>
      <c r="AE4" s="9"/>
      <c r="AF4" s="23">
        <v>63149.22</v>
      </c>
      <c r="AG4" s="23">
        <v>26238</v>
      </c>
      <c r="AH4" s="9">
        <f t="shared" si="4"/>
        <v>89387.22</v>
      </c>
      <c r="AI4" s="24">
        <v>19786</v>
      </c>
      <c r="AJ4" s="24"/>
      <c r="AK4" s="24">
        <v>13658.83</v>
      </c>
      <c r="AL4" s="9">
        <f t="shared" si="5"/>
        <v>33444.83</v>
      </c>
      <c r="AM4" s="24">
        <v>13595.44</v>
      </c>
      <c r="AN4" s="24">
        <v>105402.01</v>
      </c>
      <c r="AO4" s="24">
        <v>2525</v>
      </c>
      <c r="AP4" s="9">
        <f t="shared" si="6"/>
        <v>121522.45</v>
      </c>
      <c r="AQ4" s="24">
        <v>49849.36</v>
      </c>
      <c r="AR4" s="24">
        <v>22312.38</v>
      </c>
      <c r="AS4" s="24">
        <v>45839</v>
      </c>
      <c r="AT4" s="9">
        <f t="shared" si="7"/>
        <v>118000.74</v>
      </c>
      <c r="AU4" s="24">
        <v>32902.5</v>
      </c>
      <c r="AV4" s="24">
        <v>23904.51</v>
      </c>
      <c r="AW4" s="24">
        <v>14415</v>
      </c>
      <c r="AX4" s="9">
        <f t="shared" si="8"/>
        <v>71222.009999999995</v>
      </c>
      <c r="AY4" s="24">
        <v>26500</v>
      </c>
      <c r="AZ4" s="24"/>
      <c r="BA4" s="27">
        <v>49149.369999999995</v>
      </c>
      <c r="BB4" s="9">
        <f t="shared" si="9"/>
        <v>75649.37</v>
      </c>
      <c r="BC4" s="24">
        <v>14000</v>
      </c>
      <c r="BD4" s="24">
        <v>224883.6</v>
      </c>
      <c r="BE4" s="24">
        <v>82439.95</v>
      </c>
      <c r="BF4" s="9">
        <f t="shared" si="10"/>
        <v>321323.55</v>
      </c>
      <c r="BG4" s="26">
        <f>BF4-BF22</f>
        <v>62006.549999999988</v>
      </c>
      <c r="BH4" s="24">
        <f>3777+16586</f>
        <v>20363</v>
      </c>
      <c r="BI4" s="24">
        <v>135066.39000000001</v>
      </c>
      <c r="BJ4" s="24">
        <v>12804</v>
      </c>
      <c r="BK4" s="9">
        <f t="shared" si="11"/>
        <v>168233.39</v>
      </c>
      <c r="BL4" s="26">
        <f>BK4-52000</f>
        <v>116233.39000000001</v>
      </c>
      <c r="BM4" s="24">
        <f>3023.65+8540</f>
        <v>11563.65</v>
      </c>
      <c r="BN4" s="24">
        <v>47376.34</v>
      </c>
      <c r="BO4" s="24">
        <v>34957</v>
      </c>
      <c r="BP4" s="9">
        <f t="shared" si="12"/>
        <v>93896.989999999991</v>
      </c>
      <c r="BQ4" s="26">
        <f>BP4</f>
        <v>93896.989999999991</v>
      </c>
      <c r="BR4" t="s">
        <v>1122</v>
      </c>
      <c r="BS4" s="24">
        <v>31257.89</v>
      </c>
      <c r="BT4" s="24">
        <v>38426</v>
      </c>
      <c r="BU4" s="24">
        <v>12502</v>
      </c>
      <c r="BV4" s="9">
        <f t="shared" si="13"/>
        <v>82185.89</v>
      </c>
      <c r="BW4" s="26">
        <f>BV4</f>
        <v>82185.89</v>
      </c>
      <c r="BX4" t="s">
        <v>1122</v>
      </c>
      <c r="BY4" s="24">
        <v>297424.09999999998</v>
      </c>
      <c r="BZ4" s="24">
        <v>10803</v>
      </c>
      <c r="CA4" s="24">
        <v>20119</v>
      </c>
      <c r="CB4" s="24"/>
      <c r="CC4" s="9">
        <f t="shared" si="14"/>
        <v>328346.09999999998</v>
      </c>
      <c r="CD4" s="26">
        <f>CC4-CC23-32000-CC25</f>
        <v>175301.88999999998</v>
      </c>
      <c r="CE4" t="s">
        <v>1122</v>
      </c>
      <c r="CF4" s="24">
        <v>14802</v>
      </c>
      <c r="CG4" s="24">
        <v>11767</v>
      </c>
      <c r="CH4" s="24">
        <v>3507</v>
      </c>
      <c r="CI4" s="24">
        <v>81685.5</v>
      </c>
      <c r="CJ4" s="9">
        <f t="shared" si="15"/>
        <v>111761.5</v>
      </c>
      <c r="CK4" s="26">
        <f>CJ4</f>
        <v>111761.5</v>
      </c>
      <c r="CL4" t="s">
        <v>1122</v>
      </c>
      <c r="CM4" s="24">
        <v>14723</v>
      </c>
      <c r="CN4" s="24">
        <v>21334</v>
      </c>
      <c r="CO4" s="24">
        <v>3640</v>
      </c>
      <c r="CP4" s="24">
        <v>83810.100000000006</v>
      </c>
      <c r="CQ4" s="9">
        <f t="shared" si="16"/>
        <v>123507.1</v>
      </c>
      <c r="CR4" s="26">
        <f>CQ4</f>
        <v>123507.1</v>
      </c>
      <c r="CS4" t="s">
        <v>1122</v>
      </c>
      <c r="CT4" s="24">
        <v>381506.38</v>
      </c>
      <c r="CU4" s="24">
        <v>14417</v>
      </c>
      <c r="CV4" s="24">
        <v>7164</v>
      </c>
      <c r="CW4" s="24">
        <v>29791.599999999999</v>
      </c>
      <c r="CX4" s="9">
        <f t="shared" si="17"/>
        <v>432878.98</v>
      </c>
      <c r="CY4" s="26">
        <f>CX4</f>
        <v>432878.98</v>
      </c>
      <c r="CZ4" t="s">
        <v>1122</v>
      </c>
      <c r="DA4" s="24">
        <v>55907</v>
      </c>
      <c r="DB4" s="24">
        <v>23243</v>
      </c>
      <c r="DC4" s="24">
        <v>199</v>
      </c>
      <c r="DD4" s="24">
        <v>63149.02</v>
      </c>
      <c r="DE4" s="9">
        <f t="shared" si="18"/>
        <v>142498.01999999999</v>
      </c>
      <c r="DF4" s="26">
        <f>DE4</f>
        <v>142498.01999999999</v>
      </c>
      <c r="DG4" t="s">
        <v>1122</v>
      </c>
    </row>
    <row r="5" spans="1:111">
      <c r="A5" t="s">
        <v>1050</v>
      </c>
      <c r="B5" s="7">
        <v>40544</v>
      </c>
      <c r="C5" s="1">
        <v>42715</v>
      </c>
      <c r="D5" t="str">
        <f t="shared" si="0"/>
        <v>0544</v>
      </c>
      <c r="F5">
        <v>5</v>
      </c>
      <c r="G5" s="1">
        <v>228281</v>
      </c>
      <c r="H5" s="1">
        <v>44489.69</v>
      </c>
      <c r="I5" s="1">
        <v>66232</v>
      </c>
      <c r="J5" s="1">
        <v>12431.03</v>
      </c>
      <c r="K5" s="9">
        <f>I5+J5</f>
        <v>78663.03</v>
      </c>
      <c r="L5" s="1">
        <v>26456</v>
      </c>
      <c r="M5" s="1">
        <v>52733.86</v>
      </c>
      <c r="N5" s="9">
        <f t="shared" si="1"/>
        <v>79189.86</v>
      </c>
      <c r="O5" s="1">
        <v>16917</v>
      </c>
      <c r="P5" s="1">
        <v>2250</v>
      </c>
      <c r="Q5" s="9">
        <f t="shared" si="2"/>
        <v>19167</v>
      </c>
      <c r="R5" s="1">
        <v>25832</v>
      </c>
      <c r="S5" s="11">
        <f>238974.74-100000</f>
        <v>138974.74</v>
      </c>
      <c r="T5" s="9">
        <f t="shared" si="3"/>
        <v>164806.74</v>
      </c>
      <c r="U5" s="10">
        <v>30030</v>
      </c>
      <c r="V5" s="1">
        <v>64194.49</v>
      </c>
      <c r="W5" s="9">
        <f t="shared" si="19"/>
        <v>94224.489999999991</v>
      </c>
      <c r="Y5" s="1"/>
      <c r="Z5" s="9">
        <f t="shared" si="20"/>
        <v>0</v>
      </c>
      <c r="AA5" s="21"/>
      <c r="AB5" s="21">
        <v>4</v>
      </c>
      <c r="AC5" s="23">
        <v>35971.800000000003</v>
      </c>
      <c r="AD5" s="23">
        <v>13703.01</v>
      </c>
      <c r="AE5" s="9">
        <f>AC5+AD5</f>
        <v>49674.810000000005</v>
      </c>
      <c r="AF5" s="23">
        <v>94149.41</v>
      </c>
      <c r="AG5" s="23">
        <v>4876.95</v>
      </c>
      <c r="AH5" s="9">
        <f t="shared" si="4"/>
        <v>99026.36</v>
      </c>
      <c r="AI5" s="24">
        <v>58444.77</v>
      </c>
      <c r="AJ5" s="24"/>
      <c r="AK5" s="24">
        <v>26765</v>
      </c>
      <c r="AL5" s="9">
        <f t="shared" si="5"/>
        <v>85209.76999999999</v>
      </c>
      <c r="AM5" s="24">
        <v>24119</v>
      </c>
      <c r="AN5" s="24">
        <v>34186.620000000003</v>
      </c>
      <c r="AO5" s="24">
        <v>7000</v>
      </c>
      <c r="AP5" s="9">
        <f t="shared" si="6"/>
        <v>65305.62</v>
      </c>
      <c r="AQ5" s="24">
        <f>139046.19-99000</f>
        <v>40046.19</v>
      </c>
      <c r="AR5" s="24">
        <v>31212.49</v>
      </c>
      <c r="AS5" s="24">
        <v>26888.15</v>
      </c>
      <c r="AT5" s="9">
        <f t="shared" si="7"/>
        <v>98146.830000000016</v>
      </c>
      <c r="AU5" s="24">
        <v>21846</v>
      </c>
      <c r="AV5" s="24">
        <f>128369-104250</f>
        <v>24119</v>
      </c>
      <c r="AW5" s="24">
        <v>60293.09</v>
      </c>
      <c r="AX5" s="9">
        <f t="shared" si="8"/>
        <v>106258.09</v>
      </c>
      <c r="AY5" s="24">
        <v>6868.49</v>
      </c>
      <c r="AZ5" s="24">
        <f>303718.74-120000-96836-2574.9</f>
        <v>84307.839999999997</v>
      </c>
      <c r="BA5" s="27">
        <v>34332.990000000005</v>
      </c>
      <c r="BB5" s="9">
        <f t="shared" si="9"/>
        <v>125509.32</v>
      </c>
      <c r="BC5" s="24">
        <v>106430</v>
      </c>
      <c r="BD5" s="24">
        <v>52759.63</v>
      </c>
      <c r="BE5" s="24">
        <v>42087.97</v>
      </c>
      <c r="BF5" s="9">
        <f t="shared" si="10"/>
        <v>201277.6</v>
      </c>
      <c r="BG5" s="26">
        <f>BF5-BF19</f>
        <v>141277.6</v>
      </c>
      <c r="BH5" s="24">
        <f>190941+566068</f>
        <v>757009</v>
      </c>
      <c r="BI5" s="24">
        <v>22836.33</v>
      </c>
      <c r="BJ5" s="24">
        <f>16327+7000</f>
        <v>23327</v>
      </c>
      <c r="BK5" s="9">
        <f t="shared" si="11"/>
        <v>803172.33</v>
      </c>
      <c r="BL5" s="26">
        <f>BK5-BK20</f>
        <v>371421.32999999996</v>
      </c>
      <c r="BM5" s="24">
        <f>38771.7</f>
        <v>38771.699999999997</v>
      </c>
      <c r="BN5" s="24">
        <v>56537.24</v>
      </c>
      <c r="BO5" s="24">
        <v>40145.5</v>
      </c>
      <c r="BP5" s="9">
        <f t="shared" si="12"/>
        <v>135454.44</v>
      </c>
      <c r="BQ5" s="26">
        <f>BP5-BP20</f>
        <v>95712.44</v>
      </c>
      <c r="BR5" t="s">
        <v>1123</v>
      </c>
      <c r="BS5" s="24">
        <v>346028.01</v>
      </c>
      <c r="BT5" s="24">
        <v>46299</v>
      </c>
      <c r="BU5" s="24">
        <v>87139.94</v>
      </c>
      <c r="BV5" s="9">
        <f t="shared" si="13"/>
        <v>479466.95</v>
      </c>
      <c r="BW5" s="26">
        <f>BV5-BV25-BV26</f>
        <v>393466.95</v>
      </c>
      <c r="BX5" t="s">
        <v>1123</v>
      </c>
      <c r="BY5" s="24">
        <f>74932.61+398+696</f>
        <v>76026.61</v>
      </c>
      <c r="BZ5" s="24">
        <v>33417</v>
      </c>
      <c r="CA5" s="24">
        <v>75756.639999999999</v>
      </c>
      <c r="CB5" s="24"/>
      <c r="CC5" s="9">
        <f t="shared" si="14"/>
        <v>185200.25</v>
      </c>
      <c r="CD5" s="26">
        <f>CC5</f>
        <v>185200.25</v>
      </c>
      <c r="CE5" t="s">
        <v>1123</v>
      </c>
      <c r="CF5" s="24">
        <v>16241.8</v>
      </c>
      <c r="CG5" s="24">
        <v>0</v>
      </c>
      <c r="CH5" s="24">
        <v>20432.400000000001</v>
      </c>
      <c r="CI5" s="24">
        <v>124638.29</v>
      </c>
      <c r="CJ5" s="9">
        <f t="shared" si="15"/>
        <v>161312.49</v>
      </c>
      <c r="CK5" s="26">
        <f>CJ5-CJ26-CJ27-CJ28</f>
        <v>116376.48999999999</v>
      </c>
      <c r="CL5" t="s">
        <v>1123</v>
      </c>
      <c r="CM5" s="24">
        <v>42222.559999999998</v>
      </c>
      <c r="CN5" s="24">
        <v>111034</v>
      </c>
      <c r="CO5" s="24">
        <v>5544.41</v>
      </c>
      <c r="CP5" s="24">
        <v>163711.06</v>
      </c>
      <c r="CQ5" s="9">
        <f t="shared" si="16"/>
        <v>322512.03000000003</v>
      </c>
      <c r="CR5" s="26">
        <f>CQ5-CQ25-CQ26-CQ27-CQ28-CQ29</f>
        <v>20986.030000000028</v>
      </c>
      <c r="CS5" t="s">
        <v>1123</v>
      </c>
      <c r="CT5" s="24">
        <v>49166.71</v>
      </c>
      <c r="CU5" s="24">
        <v>170315</v>
      </c>
      <c r="CV5" s="24">
        <v>13273</v>
      </c>
      <c r="CW5" s="24">
        <v>392106</v>
      </c>
      <c r="CX5" s="9">
        <f t="shared" si="17"/>
        <v>624860.71</v>
      </c>
      <c r="CY5" s="26">
        <f>CX5-CX42</f>
        <v>315749.70999999996</v>
      </c>
      <c r="CZ5" t="s">
        <v>1123</v>
      </c>
      <c r="DA5" s="24">
        <v>92583.42</v>
      </c>
      <c r="DB5" s="24">
        <v>25846</v>
      </c>
      <c r="DC5" s="24">
        <v>199</v>
      </c>
      <c r="DD5" s="24">
        <v>32064.1</v>
      </c>
      <c r="DE5" s="9">
        <f t="shared" si="18"/>
        <v>150692.51999999999</v>
      </c>
      <c r="DF5" s="26">
        <f>DE5-DE42</f>
        <v>-319791.48</v>
      </c>
      <c r="DG5" t="s">
        <v>1123</v>
      </c>
    </row>
    <row r="6" spans="1:111">
      <c r="A6" t="s">
        <v>1050</v>
      </c>
      <c r="B6" s="7">
        <v>40575</v>
      </c>
      <c r="C6" s="1">
        <v>24065.4</v>
      </c>
      <c r="D6" t="str">
        <f t="shared" si="0"/>
        <v>0575</v>
      </c>
      <c r="F6">
        <v>6</v>
      </c>
      <c r="G6" s="1">
        <v>49265.55</v>
      </c>
      <c r="H6" s="1">
        <v>74580.12</v>
      </c>
      <c r="I6" s="1">
        <v>71290.66</v>
      </c>
      <c r="J6" s="1">
        <v>78353.02</v>
      </c>
      <c r="K6" s="9">
        <f t="shared" ref="K6:K12" si="21">I6+J6</f>
        <v>149643.68</v>
      </c>
      <c r="L6" s="1">
        <v>11426</v>
      </c>
      <c r="M6" s="1">
        <v>71017.3</v>
      </c>
      <c r="N6" s="9">
        <f t="shared" si="1"/>
        <v>82443.3</v>
      </c>
      <c r="O6" s="1">
        <v>52439</v>
      </c>
      <c r="P6" s="1">
        <v>25538.41</v>
      </c>
      <c r="Q6" s="9">
        <f t="shared" si="2"/>
        <v>77977.41</v>
      </c>
      <c r="R6" s="1">
        <v>62980</v>
      </c>
      <c r="T6" s="9">
        <f t="shared" si="3"/>
        <v>62980</v>
      </c>
      <c r="U6" s="10">
        <v>10000</v>
      </c>
      <c r="V6" s="1">
        <v>29677.48</v>
      </c>
      <c r="W6" s="9">
        <f t="shared" si="19"/>
        <v>39677.479999999996</v>
      </c>
      <c r="Y6" s="1"/>
      <c r="Z6" s="9">
        <f t="shared" si="20"/>
        <v>0</v>
      </c>
      <c r="AA6" s="21"/>
      <c r="AB6" s="21">
        <v>5</v>
      </c>
      <c r="AC6" s="23">
        <f>228281-150000</f>
        <v>78281</v>
      </c>
      <c r="AD6" s="23">
        <v>15223.54</v>
      </c>
      <c r="AE6" s="9">
        <f t="shared" ref="AE6:AE13" si="22">AC6+AD6</f>
        <v>93504.540000000008</v>
      </c>
      <c r="AF6" s="23">
        <v>44489.69</v>
      </c>
      <c r="AG6" s="23">
        <v>48032.86</v>
      </c>
      <c r="AH6" s="9">
        <f t="shared" si="4"/>
        <v>92522.55</v>
      </c>
      <c r="AI6" s="24">
        <v>66232</v>
      </c>
      <c r="AJ6" s="24">
        <v>12431.03</v>
      </c>
      <c r="AK6" s="24">
        <v>400</v>
      </c>
      <c r="AL6" s="9">
        <f t="shared" si="5"/>
        <v>79063.03</v>
      </c>
      <c r="AM6" s="24">
        <v>26456</v>
      </c>
      <c r="AN6" s="24">
        <v>52733.86</v>
      </c>
      <c r="AO6" s="24">
        <v>14699.18</v>
      </c>
      <c r="AP6" s="9">
        <f t="shared" si="6"/>
        <v>93889.040000000008</v>
      </c>
      <c r="AQ6" s="24">
        <v>16917</v>
      </c>
      <c r="AR6" s="24">
        <v>2250</v>
      </c>
      <c r="AS6" s="24">
        <v>39845</v>
      </c>
      <c r="AT6" s="9">
        <f t="shared" si="7"/>
        <v>59012</v>
      </c>
      <c r="AU6" s="24">
        <v>25832</v>
      </c>
      <c r="AV6" s="24">
        <f>238974.74-56180-68467</f>
        <v>114327.73999999999</v>
      </c>
      <c r="AW6" s="24">
        <v>23767.309999999998</v>
      </c>
      <c r="AX6" s="9">
        <f t="shared" si="8"/>
        <v>163927.04999999999</v>
      </c>
      <c r="AY6" s="24">
        <v>30030</v>
      </c>
      <c r="AZ6" s="24">
        <v>64194.49</v>
      </c>
      <c r="BA6" s="27">
        <v>35037.089999999997</v>
      </c>
      <c r="BB6" s="9">
        <f t="shared" si="9"/>
        <v>129261.57999999999</v>
      </c>
      <c r="BC6" s="24">
        <v>41315.199999999997</v>
      </c>
      <c r="BD6" s="24">
        <v>59847</v>
      </c>
      <c r="BE6" s="24">
        <v>10827</v>
      </c>
      <c r="BF6" s="9">
        <f t="shared" si="10"/>
        <v>111989.2</v>
      </c>
      <c r="BG6" s="26">
        <f>BF6</f>
        <v>111989.2</v>
      </c>
      <c r="BH6" s="24">
        <f>9594+193857</f>
        <v>203451</v>
      </c>
      <c r="BI6" s="24">
        <v>92156.98</v>
      </c>
      <c r="BJ6" s="24">
        <v>4805.5</v>
      </c>
      <c r="BK6" s="9">
        <f t="shared" si="11"/>
        <v>300413.48</v>
      </c>
      <c r="BL6" s="26">
        <f>BK6</f>
        <v>300413.48</v>
      </c>
      <c r="BM6" s="24">
        <v>1810</v>
      </c>
      <c r="BN6" s="24">
        <v>110977.75</v>
      </c>
      <c r="BO6" s="24">
        <v>8669</v>
      </c>
      <c r="BP6" s="9">
        <f t="shared" si="12"/>
        <v>121456.75</v>
      </c>
      <c r="BQ6" s="26">
        <f>BP6</f>
        <v>121456.75</v>
      </c>
      <c r="BR6" t="s">
        <v>1124</v>
      </c>
      <c r="BS6" s="24">
        <v>43600.84</v>
      </c>
      <c r="BT6" s="24">
        <v>33469</v>
      </c>
      <c r="BU6" s="24">
        <v>134608.35</v>
      </c>
      <c r="BV6" s="9">
        <f t="shared" si="13"/>
        <v>211678.19</v>
      </c>
      <c r="BW6" s="26">
        <f>BV6</f>
        <v>211678.19</v>
      </c>
      <c r="BX6" t="s">
        <v>1124</v>
      </c>
      <c r="BY6" s="24">
        <f>44779.44+2501</f>
        <v>47280.44</v>
      </c>
      <c r="BZ6" s="24">
        <v>1408</v>
      </c>
      <c r="CA6" s="24">
        <f>1240+4350</f>
        <v>5590</v>
      </c>
      <c r="CB6" s="24">
        <v>35102.32</v>
      </c>
      <c r="CC6" s="9">
        <f t="shared" si="14"/>
        <v>89380.760000000009</v>
      </c>
      <c r="CD6" s="26">
        <f>CC6</f>
        <v>89380.760000000009</v>
      </c>
      <c r="CE6" t="s">
        <v>1124</v>
      </c>
      <c r="CF6" s="24">
        <v>11580</v>
      </c>
      <c r="CG6" s="24">
        <v>54487</v>
      </c>
      <c r="CH6" s="24">
        <v>4467</v>
      </c>
      <c r="CI6" s="24">
        <v>124837.7</v>
      </c>
      <c r="CJ6" s="9">
        <f t="shared" si="15"/>
        <v>195371.7</v>
      </c>
      <c r="CK6" s="26">
        <f>CJ6-CJ30</f>
        <v>113887.70000000001</v>
      </c>
      <c r="CL6" t="s">
        <v>1124</v>
      </c>
      <c r="CM6" s="24">
        <v>170254.35</v>
      </c>
      <c r="CN6" s="24">
        <v>0</v>
      </c>
      <c r="CO6" s="24">
        <v>0</v>
      </c>
      <c r="CP6" s="24">
        <v>260785.13</v>
      </c>
      <c r="CQ6" s="9">
        <f t="shared" si="16"/>
        <v>431039.48</v>
      </c>
      <c r="CR6" s="26">
        <f>CQ6-CQ30</f>
        <v>199902.47999999998</v>
      </c>
      <c r="CS6" t="s">
        <v>1124</v>
      </c>
      <c r="CT6" s="24">
        <v>159624.60999999999</v>
      </c>
      <c r="CU6" s="24">
        <v>347120</v>
      </c>
      <c r="CV6" s="24">
        <v>14596</v>
      </c>
      <c r="CW6" s="24">
        <v>49314.19</v>
      </c>
      <c r="CX6" s="9">
        <f t="shared" si="17"/>
        <v>570654.80000000005</v>
      </c>
      <c r="CY6" s="26">
        <f>CX6-CX30</f>
        <v>325654.80000000005</v>
      </c>
      <c r="CZ6" t="s">
        <v>1124</v>
      </c>
      <c r="DA6" s="24">
        <v>146533</v>
      </c>
      <c r="DB6" s="24">
        <v>127589</v>
      </c>
      <c r="DC6" s="24">
        <v>304</v>
      </c>
      <c r="DD6" s="24">
        <v>139337.38</v>
      </c>
      <c r="DE6" s="9">
        <f t="shared" si="18"/>
        <v>413763.38</v>
      </c>
      <c r="DF6" s="26">
        <f>DE6-DE30</f>
        <v>328763.38</v>
      </c>
      <c r="DG6" t="s">
        <v>1124</v>
      </c>
    </row>
    <row r="7" spans="1:111">
      <c r="A7" t="s">
        <v>1050</v>
      </c>
      <c r="B7" s="7">
        <v>40603</v>
      </c>
      <c r="C7" s="1">
        <v>19786</v>
      </c>
      <c r="D7" t="str">
        <f t="shared" si="0"/>
        <v>0603</v>
      </c>
      <c r="F7">
        <v>7</v>
      </c>
      <c r="G7" s="1">
        <v>28000</v>
      </c>
      <c r="H7" s="1">
        <v>188841.63</v>
      </c>
      <c r="I7" s="1">
        <v>66641</v>
      </c>
      <c r="J7" s="1">
        <v>26702.25</v>
      </c>
      <c r="K7" s="9">
        <f t="shared" si="21"/>
        <v>93343.25</v>
      </c>
      <c r="L7" s="1">
        <v>42484</v>
      </c>
      <c r="M7" s="1">
        <v>170562.87</v>
      </c>
      <c r="N7" s="9">
        <f t="shared" si="1"/>
        <v>213046.87</v>
      </c>
      <c r="O7" s="1">
        <v>59302.39</v>
      </c>
      <c r="P7" s="11">
        <f>131330.23-75000</f>
        <v>56330.23000000001</v>
      </c>
      <c r="Q7" s="9">
        <f t="shared" si="2"/>
        <v>115632.62000000001</v>
      </c>
      <c r="R7" s="1">
        <v>31357</v>
      </c>
      <c r="S7" s="1">
        <v>26096.75</v>
      </c>
      <c r="T7" s="9">
        <f t="shared" si="3"/>
        <v>57453.75</v>
      </c>
      <c r="U7" s="10">
        <v>32510</v>
      </c>
      <c r="V7" s="1">
        <v>42736.93</v>
      </c>
      <c r="W7" s="9">
        <f t="shared" si="19"/>
        <v>75246.929999999993</v>
      </c>
      <c r="Y7" s="1"/>
      <c r="Z7" s="9">
        <f t="shared" si="20"/>
        <v>0</v>
      </c>
      <c r="AA7" s="21"/>
      <c r="AB7" s="21">
        <v>6</v>
      </c>
      <c r="AC7" s="23">
        <v>49265.55</v>
      </c>
      <c r="AD7" s="23">
        <v>27052</v>
      </c>
      <c r="AE7" s="9">
        <f t="shared" si="22"/>
        <v>76317.55</v>
      </c>
      <c r="AF7" s="23">
        <v>74580.12</v>
      </c>
      <c r="AG7" s="23">
        <v>28930.5</v>
      </c>
      <c r="AH7" s="9">
        <f t="shared" si="4"/>
        <v>103510.62</v>
      </c>
      <c r="AI7" s="24">
        <v>71290.66</v>
      </c>
      <c r="AJ7" s="24">
        <v>78353.02</v>
      </c>
      <c r="AK7" s="24">
        <v>18976.900000000001</v>
      </c>
      <c r="AL7" s="9">
        <f t="shared" si="5"/>
        <v>168620.58</v>
      </c>
      <c r="AM7" s="24">
        <v>11426</v>
      </c>
      <c r="AN7" s="24">
        <v>71017.3</v>
      </c>
      <c r="AO7" s="24">
        <v>24563</v>
      </c>
      <c r="AP7" s="9">
        <f t="shared" si="6"/>
        <v>107006.3</v>
      </c>
      <c r="AQ7" s="24">
        <v>52439</v>
      </c>
      <c r="AR7" s="24">
        <v>25538.41</v>
      </c>
      <c r="AS7" s="24">
        <v>27969.29</v>
      </c>
      <c r="AT7" s="9">
        <f t="shared" si="7"/>
        <v>105946.70000000001</v>
      </c>
      <c r="AU7" s="24">
        <v>62980</v>
      </c>
      <c r="AV7" s="24">
        <v>88983</v>
      </c>
      <c r="AW7" s="24">
        <v>36781.07</v>
      </c>
      <c r="AX7" s="9">
        <f t="shared" si="8"/>
        <v>188744.07</v>
      </c>
      <c r="AY7" s="24">
        <v>10000</v>
      </c>
      <c r="AZ7" s="24">
        <v>29677.48</v>
      </c>
      <c r="BA7" s="27">
        <v>43118.65</v>
      </c>
      <c r="BB7" s="9">
        <f t="shared" si="9"/>
        <v>82796.13</v>
      </c>
      <c r="BC7" s="24">
        <v>17758</v>
      </c>
      <c r="BD7" s="24">
        <v>105594.54</v>
      </c>
      <c r="BE7" s="24">
        <v>51123.81</v>
      </c>
      <c r="BF7" s="9">
        <f t="shared" si="10"/>
        <v>174476.34999999998</v>
      </c>
      <c r="BG7" s="26">
        <f>BF7-BF20-BF21</f>
        <v>147292.34999999998</v>
      </c>
      <c r="BH7" s="24">
        <f>26192.2+26350</f>
        <v>52542.2</v>
      </c>
      <c r="BI7" s="24">
        <v>48014.73</v>
      </c>
      <c r="BJ7" s="24">
        <v>30816.12</v>
      </c>
      <c r="BK7" s="9">
        <f t="shared" si="11"/>
        <v>131373.04999999999</v>
      </c>
      <c r="BL7" s="26">
        <f>BK7</f>
        <v>131373.04999999999</v>
      </c>
      <c r="BM7" s="24">
        <f>2460.81+24925</f>
        <v>27385.81</v>
      </c>
      <c r="BN7" s="24">
        <v>46700</v>
      </c>
      <c r="BO7" s="24">
        <v>18675</v>
      </c>
      <c r="BP7" s="9">
        <f t="shared" si="12"/>
        <v>92760.81</v>
      </c>
      <c r="BQ7" s="26">
        <f>BP7</f>
        <v>92760.81</v>
      </c>
      <c r="BR7" t="s">
        <v>1125</v>
      </c>
      <c r="BS7" s="24">
        <v>37588</v>
      </c>
      <c r="BT7" s="24">
        <v>130733</v>
      </c>
      <c r="BU7" s="24">
        <v>35701.620000000003</v>
      </c>
      <c r="BV7" s="9">
        <f t="shared" si="13"/>
        <v>204022.62</v>
      </c>
      <c r="BW7" s="26">
        <f>BV7</f>
        <v>204022.62</v>
      </c>
      <c r="BX7" t="s">
        <v>1125</v>
      </c>
      <c r="BY7" s="24">
        <v>29395</v>
      </c>
      <c r="BZ7" s="24">
        <v>765</v>
      </c>
      <c r="CA7" s="24">
        <v>4301</v>
      </c>
      <c r="CB7" s="24">
        <v>26792.69</v>
      </c>
      <c r="CC7" s="9">
        <f t="shared" si="14"/>
        <v>61253.69</v>
      </c>
      <c r="CD7" s="26">
        <f>CC7</f>
        <v>61253.69</v>
      </c>
      <c r="CE7" t="s">
        <v>1125</v>
      </c>
      <c r="CF7" s="24">
        <v>15642.5</v>
      </c>
      <c r="CG7" s="24">
        <v>2200</v>
      </c>
      <c r="CH7" s="24">
        <v>5163</v>
      </c>
      <c r="CI7" s="24">
        <v>54894.8</v>
      </c>
      <c r="CJ7" s="9">
        <f t="shared" si="15"/>
        <v>77900.3</v>
      </c>
      <c r="CK7" s="26">
        <f>CJ7-CJ31</f>
        <v>74450.3</v>
      </c>
      <c r="CL7" t="s">
        <v>1125</v>
      </c>
      <c r="CM7" s="24">
        <v>153851.64000000001</v>
      </c>
      <c r="CN7" s="24">
        <v>17492</v>
      </c>
      <c r="CO7" s="24">
        <v>5001</v>
      </c>
      <c r="CP7" s="24">
        <v>229021.76</v>
      </c>
      <c r="CQ7" s="9">
        <f t="shared" si="16"/>
        <v>405366.4</v>
      </c>
      <c r="CR7" s="26">
        <f>CQ7-CQ32-CQ33-CQ34</f>
        <v>356566.4</v>
      </c>
      <c r="CS7" t="s">
        <v>1125</v>
      </c>
      <c r="CT7" s="24">
        <v>28667.72</v>
      </c>
      <c r="CU7" s="24">
        <v>26985</v>
      </c>
      <c r="CV7" s="24">
        <v>0</v>
      </c>
      <c r="CW7" s="24">
        <v>43862.17</v>
      </c>
      <c r="CX7" s="9">
        <f t="shared" si="17"/>
        <v>99514.89</v>
      </c>
      <c r="CY7" s="26">
        <f>CX7-CX32-CX33-CX34</f>
        <v>11241.89</v>
      </c>
      <c r="CZ7" t="s">
        <v>1125</v>
      </c>
      <c r="DA7" s="24">
        <v>271585</v>
      </c>
      <c r="DB7" s="24">
        <v>79782</v>
      </c>
      <c r="DC7" s="24">
        <v>199</v>
      </c>
      <c r="DD7" s="24">
        <v>68346.12</v>
      </c>
      <c r="DE7" s="9">
        <f t="shared" si="18"/>
        <v>419912.12</v>
      </c>
      <c r="DF7" s="26">
        <f>DE7</f>
        <v>419912.12</v>
      </c>
      <c r="DG7" t="s">
        <v>1125</v>
      </c>
    </row>
    <row r="8" spans="1:111">
      <c r="A8" t="s">
        <v>1050</v>
      </c>
      <c r="B8" s="7">
        <v>40634</v>
      </c>
      <c r="C8" s="1">
        <v>58444.77</v>
      </c>
      <c r="D8" t="str">
        <f t="shared" si="0"/>
        <v>0634</v>
      </c>
      <c r="F8">
        <v>8</v>
      </c>
      <c r="G8" s="1">
        <v>35000</v>
      </c>
      <c r="H8" s="1">
        <v>22245.989999999998</v>
      </c>
      <c r="I8" s="1">
        <v>54808</v>
      </c>
      <c r="J8" s="1">
        <v>427662.77999999997</v>
      </c>
      <c r="K8" s="9">
        <f t="shared" si="21"/>
        <v>482470.77999999997</v>
      </c>
      <c r="L8" s="1">
        <v>35599</v>
      </c>
      <c r="M8" s="1">
        <v>38610.300000000003</v>
      </c>
      <c r="N8" s="9">
        <f t="shared" si="1"/>
        <v>74209.3</v>
      </c>
      <c r="O8" s="1">
        <v>35768.300000000003</v>
      </c>
      <c r="P8" s="1">
        <v>5150</v>
      </c>
      <c r="Q8" s="9">
        <f t="shared" si="2"/>
        <v>40918.300000000003</v>
      </c>
      <c r="R8" s="1">
        <v>19629.46</v>
      </c>
      <c r="S8" s="1">
        <v>92607.97</v>
      </c>
      <c r="T8" s="9">
        <f t="shared" si="3"/>
        <v>112237.43</v>
      </c>
      <c r="U8" s="10">
        <v>31028</v>
      </c>
      <c r="V8" s="1">
        <v>45500</v>
      </c>
      <c r="W8" s="9">
        <f t="shared" si="19"/>
        <v>76528</v>
      </c>
      <c r="Y8" s="1"/>
      <c r="Z8" s="9">
        <f t="shared" si="20"/>
        <v>0</v>
      </c>
      <c r="AA8" s="21"/>
      <c r="AB8" s="21">
        <v>7</v>
      </c>
      <c r="AC8" s="23">
        <v>28000</v>
      </c>
      <c r="AD8" s="23">
        <v>29337</v>
      </c>
      <c r="AE8" s="9">
        <f t="shared" si="22"/>
        <v>57337</v>
      </c>
      <c r="AF8" s="23">
        <f>188841.63-150117</f>
        <v>38724.630000000005</v>
      </c>
      <c r="AG8" s="23">
        <v>26185.599999999999</v>
      </c>
      <c r="AH8" s="9">
        <f t="shared" si="4"/>
        <v>64910.23</v>
      </c>
      <c r="AI8" s="24">
        <v>66641</v>
      </c>
      <c r="AJ8" s="24">
        <v>26702.25</v>
      </c>
      <c r="AK8" s="24">
        <v>20050</v>
      </c>
      <c r="AL8" s="9">
        <f t="shared" si="5"/>
        <v>113393.25</v>
      </c>
      <c r="AM8" s="24">
        <v>42484</v>
      </c>
      <c r="AN8" s="24">
        <v>170562.87</v>
      </c>
      <c r="AO8" s="24">
        <v>3878.7</v>
      </c>
      <c r="AP8" s="9">
        <f t="shared" si="6"/>
        <v>216925.57</v>
      </c>
      <c r="AQ8" s="24">
        <v>59302.39</v>
      </c>
      <c r="AR8" s="24">
        <f>131330.23-114984</f>
        <v>16346.23000000001</v>
      </c>
      <c r="AS8" s="24">
        <v>31267.37</v>
      </c>
      <c r="AT8" s="9">
        <f t="shared" si="7"/>
        <v>106915.99</v>
      </c>
      <c r="AU8" s="24">
        <v>31357</v>
      </c>
      <c r="AV8" s="24">
        <v>26096.75</v>
      </c>
      <c r="AW8" s="24">
        <v>87574.26</v>
      </c>
      <c r="AX8" s="9">
        <f t="shared" si="8"/>
        <v>145028.01</v>
      </c>
      <c r="AY8" s="24">
        <v>32510</v>
      </c>
      <c r="AZ8" s="24">
        <f>42736.93-17097</f>
        <v>25639.93</v>
      </c>
      <c r="BA8" s="27">
        <v>25791.73</v>
      </c>
      <c r="BB8" s="9">
        <f t="shared" si="9"/>
        <v>83941.66</v>
      </c>
      <c r="BC8" s="24">
        <v>22737</v>
      </c>
      <c r="BD8" s="24">
        <v>50436.84</v>
      </c>
      <c r="BE8" s="24">
        <v>43793.65</v>
      </c>
      <c r="BF8" s="9">
        <f t="shared" si="10"/>
        <v>116967.48999999999</v>
      </c>
      <c r="BG8" s="26">
        <f>BF8</f>
        <v>116967.48999999999</v>
      </c>
      <c r="BH8" s="24">
        <f>18545.74+36484</f>
        <v>55029.740000000005</v>
      </c>
      <c r="BI8" s="24">
        <v>34938.050000000003</v>
      </c>
      <c r="BJ8" s="24">
        <v>31159.8</v>
      </c>
      <c r="BK8" s="9">
        <f t="shared" si="11"/>
        <v>121127.59000000001</v>
      </c>
      <c r="BL8" s="26">
        <f>BK8</f>
        <v>121127.59000000001</v>
      </c>
      <c r="BM8" s="24">
        <f>124413.81</f>
        <v>124413.81</v>
      </c>
      <c r="BN8" s="24">
        <v>71390</v>
      </c>
      <c r="BO8" s="24">
        <v>99356.3</v>
      </c>
      <c r="BP8" s="9">
        <f t="shared" si="12"/>
        <v>295160.11</v>
      </c>
      <c r="BQ8" s="26">
        <f>BP8-BP23-BP24-BP25-BP26</f>
        <v>130910.10999999999</v>
      </c>
      <c r="BR8" t="s">
        <v>1126</v>
      </c>
      <c r="BS8" s="24">
        <v>75507</v>
      </c>
      <c r="BT8" s="24">
        <v>1589</v>
      </c>
      <c r="BU8" s="24">
        <v>190790</v>
      </c>
      <c r="BV8" s="9">
        <f>BS8+BT8+BU8</f>
        <v>267886</v>
      </c>
      <c r="BW8" s="26">
        <f>BV8-BV29-BV30</f>
        <v>92886</v>
      </c>
      <c r="BX8" t="s">
        <v>1126</v>
      </c>
      <c r="BY8" s="24">
        <v>33332</v>
      </c>
      <c r="BZ8" s="24">
        <v>2798</v>
      </c>
      <c r="CA8" s="24">
        <v>2258</v>
      </c>
      <c r="CB8" s="24">
        <v>54417.760000000002</v>
      </c>
      <c r="CC8" s="9">
        <f t="shared" si="14"/>
        <v>92805.760000000009</v>
      </c>
      <c r="CD8" s="26">
        <f>CC8-CC30</f>
        <v>74805.760000000009</v>
      </c>
      <c r="CE8" t="s">
        <v>1126</v>
      </c>
      <c r="CF8" s="24">
        <v>15585.82</v>
      </c>
      <c r="CG8" s="24">
        <v>0</v>
      </c>
      <c r="CH8" s="24">
        <v>5163</v>
      </c>
      <c r="CI8" s="24">
        <v>30354.47</v>
      </c>
      <c r="CJ8" s="9">
        <f t="shared" si="15"/>
        <v>51103.29</v>
      </c>
      <c r="CK8" s="26">
        <f>CJ8</f>
        <v>51103.29</v>
      </c>
      <c r="CL8" t="s">
        <v>1126</v>
      </c>
      <c r="CM8" s="24">
        <v>250326.32</v>
      </c>
      <c r="CN8" s="24">
        <v>39266</v>
      </c>
      <c r="CO8" s="24">
        <v>5001</v>
      </c>
      <c r="CP8" s="24">
        <v>137481.24</v>
      </c>
      <c r="CQ8" s="9">
        <f t="shared" si="16"/>
        <v>432074.56</v>
      </c>
      <c r="CR8" s="26">
        <f>CQ8-CQ37</f>
        <v>258394.56</v>
      </c>
      <c r="CS8" t="s">
        <v>1126</v>
      </c>
      <c r="CT8" s="24">
        <v>155799</v>
      </c>
      <c r="CU8" s="24">
        <v>235293</v>
      </c>
      <c r="CV8" s="24">
        <v>199</v>
      </c>
      <c r="CW8" s="24">
        <v>222482.04</v>
      </c>
      <c r="CX8" s="9">
        <f t="shared" si="17"/>
        <v>613773.04</v>
      </c>
      <c r="CY8" s="26">
        <f>CX8-CX54-CX55</f>
        <v>323813.04000000004</v>
      </c>
      <c r="CZ8" t="s">
        <v>1126</v>
      </c>
      <c r="DA8" s="24"/>
      <c r="DB8" s="24"/>
      <c r="DC8" s="24"/>
      <c r="DD8" s="24"/>
      <c r="DE8" s="9">
        <f t="shared" si="18"/>
        <v>0</v>
      </c>
      <c r="DF8" s="26">
        <f>DE8-DE54-DE55</f>
        <v>0</v>
      </c>
      <c r="DG8" t="s">
        <v>1126</v>
      </c>
    </row>
    <row r="9" spans="1:111">
      <c r="A9" t="s">
        <v>1050</v>
      </c>
      <c r="B9" s="7">
        <v>40664</v>
      </c>
      <c r="C9" s="1">
        <v>66232</v>
      </c>
      <c r="D9" t="str">
        <f t="shared" si="0"/>
        <v>0664</v>
      </c>
      <c r="F9">
        <v>9</v>
      </c>
      <c r="G9" s="1">
        <v>46037.89</v>
      </c>
      <c r="H9" s="1">
        <v>27350.04</v>
      </c>
      <c r="I9" s="1">
        <v>95967</v>
      </c>
      <c r="J9" s="1">
        <v>44575</v>
      </c>
      <c r="K9" s="9">
        <f t="shared" si="21"/>
        <v>140542</v>
      </c>
      <c r="L9" s="1">
        <v>10263.06</v>
      </c>
      <c r="M9" s="1">
        <v>34955.85</v>
      </c>
      <c r="N9" s="9">
        <f t="shared" si="1"/>
        <v>45218.909999999996</v>
      </c>
      <c r="O9" s="1">
        <v>150059.78</v>
      </c>
      <c r="P9" s="1">
        <v>40103.03</v>
      </c>
      <c r="Q9" s="9">
        <f t="shared" si="2"/>
        <v>190162.81</v>
      </c>
      <c r="R9" s="11">
        <f>243581-97000</f>
        <v>146581</v>
      </c>
      <c r="S9" s="1">
        <v>28299.52</v>
      </c>
      <c r="T9" s="9">
        <f t="shared" si="3"/>
        <v>174880.52</v>
      </c>
      <c r="U9" s="10">
        <v>13023</v>
      </c>
      <c r="V9" s="1">
        <v>158572.29</v>
      </c>
      <c r="W9" s="9">
        <f t="shared" si="19"/>
        <v>171595.29</v>
      </c>
      <c r="Y9" s="1"/>
      <c r="Z9" s="9">
        <f t="shared" si="20"/>
        <v>0</v>
      </c>
      <c r="AA9" s="21"/>
      <c r="AB9" s="21">
        <v>8</v>
      </c>
      <c r="AC9" s="23">
        <v>35000</v>
      </c>
      <c r="AD9" s="23">
        <v>18628.61</v>
      </c>
      <c r="AE9" s="9">
        <f t="shared" si="22"/>
        <v>53628.61</v>
      </c>
      <c r="AF9" s="23">
        <v>22245.989999999998</v>
      </c>
      <c r="AG9" s="23">
        <v>22876.5</v>
      </c>
      <c r="AH9" s="9">
        <f t="shared" si="4"/>
        <v>45122.49</v>
      </c>
      <c r="AI9" s="24">
        <v>54808</v>
      </c>
      <c r="AJ9" s="24">
        <f>427662.78-350000</f>
        <v>77662.780000000028</v>
      </c>
      <c r="AK9" s="24">
        <v>22698.03</v>
      </c>
      <c r="AL9" s="9">
        <f t="shared" si="5"/>
        <v>155168.81000000003</v>
      </c>
      <c r="AM9" s="24">
        <v>35599</v>
      </c>
      <c r="AN9" s="24">
        <v>38610.300000000003</v>
      </c>
      <c r="AO9" s="24">
        <v>31825.109999999997</v>
      </c>
      <c r="AP9" s="9">
        <f t="shared" si="6"/>
        <v>106034.41</v>
      </c>
      <c r="AQ9" s="24">
        <v>35768.300000000003</v>
      </c>
      <c r="AR9" s="24">
        <v>5150</v>
      </c>
      <c r="AS9" s="24">
        <v>42814</v>
      </c>
      <c r="AT9" s="9">
        <f t="shared" si="7"/>
        <v>83732.3</v>
      </c>
      <c r="AU9" s="24">
        <v>19629.46</v>
      </c>
      <c r="AV9" s="24">
        <v>92607.97</v>
      </c>
      <c r="AW9" s="24">
        <v>21196</v>
      </c>
      <c r="AX9" s="9">
        <f t="shared" si="8"/>
        <v>133433.43</v>
      </c>
      <c r="AY9" s="24">
        <v>31028</v>
      </c>
      <c r="AZ9" s="24">
        <v>45500</v>
      </c>
      <c r="BA9" s="27">
        <v>25783.21</v>
      </c>
      <c r="BB9" s="9">
        <f t="shared" si="9"/>
        <v>102311.20999999999</v>
      </c>
      <c r="BC9" s="24">
        <v>23047</v>
      </c>
      <c r="BD9" s="24">
        <v>34151</v>
      </c>
      <c r="BE9" s="24">
        <v>36782</v>
      </c>
      <c r="BF9" s="9">
        <f t="shared" si="10"/>
        <v>93980</v>
      </c>
      <c r="BG9" s="26">
        <f>BF9</f>
        <v>93980</v>
      </c>
      <c r="BH9" s="24">
        <f>18509.69+18171</f>
        <v>36680.69</v>
      </c>
      <c r="BI9" s="24">
        <f>84689.98-BI8</f>
        <v>49751.929999999993</v>
      </c>
      <c r="BJ9" s="24">
        <v>18031.5</v>
      </c>
      <c r="BK9" s="9">
        <f t="shared" si="11"/>
        <v>104464.12</v>
      </c>
      <c r="BL9" s="26">
        <f>BK9</f>
        <v>104464.12</v>
      </c>
      <c r="BM9" s="24">
        <f>27262+57356.23</f>
        <v>84618.23000000001</v>
      </c>
      <c r="BN9" s="24">
        <v>47984</v>
      </c>
      <c r="BO9" s="24">
        <v>23237</v>
      </c>
      <c r="BP9" s="9">
        <f t="shared" si="12"/>
        <v>155839.23000000001</v>
      </c>
      <c r="BQ9" s="26">
        <f>BP9-BP28</f>
        <v>139839.23000000001</v>
      </c>
      <c r="BR9" t="s">
        <v>1127</v>
      </c>
      <c r="BS9" s="24">
        <v>51763.79</v>
      </c>
      <c r="BT9" s="24">
        <v>11277</v>
      </c>
      <c r="BU9" s="24">
        <v>95994.58</v>
      </c>
      <c r="BV9" s="9">
        <f t="shared" si="13"/>
        <v>159035.37</v>
      </c>
      <c r="BW9" s="26">
        <f>BV9-BV31</f>
        <v>134035.37</v>
      </c>
      <c r="BX9" t="s">
        <v>1127</v>
      </c>
      <c r="BY9" s="24">
        <v>20102.47</v>
      </c>
      <c r="BZ9" s="24">
        <v>8520</v>
      </c>
      <c r="CA9" s="24">
        <v>0</v>
      </c>
      <c r="CB9" s="24">
        <v>97137.39</v>
      </c>
      <c r="CC9" s="9">
        <f t="shared" si="14"/>
        <v>125759.86</v>
      </c>
      <c r="CD9" s="26">
        <f>CC9-CC31-CC32</f>
        <v>77759.86</v>
      </c>
      <c r="CE9" t="s">
        <v>1127</v>
      </c>
      <c r="CF9" s="24">
        <v>17819.32</v>
      </c>
      <c r="CG9" s="24">
        <v>0</v>
      </c>
      <c r="CH9" s="24">
        <v>12074.14</v>
      </c>
      <c r="CI9" s="24">
        <v>66125.119999999995</v>
      </c>
      <c r="CJ9" s="9">
        <f t="shared" si="15"/>
        <v>96018.579999999987</v>
      </c>
      <c r="CK9" s="26">
        <f>CJ9-CJ32-CJ33-CJ34</f>
        <v>72533.579999999987</v>
      </c>
      <c r="CL9" t="s">
        <v>1127</v>
      </c>
      <c r="CM9" s="24">
        <v>19543.32</v>
      </c>
      <c r="CN9" s="24">
        <v>9074</v>
      </c>
      <c r="CO9" s="24">
        <v>5085</v>
      </c>
      <c r="CP9" s="24">
        <v>48892.88</v>
      </c>
      <c r="CQ9" s="9">
        <f t="shared" si="16"/>
        <v>82595.199999999997</v>
      </c>
      <c r="CR9" s="26">
        <f>CQ9</f>
        <v>82595.199999999997</v>
      </c>
      <c r="CS9" t="s">
        <v>1127</v>
      </c>
      <c r="CT9" s="24">
        <v>32064.97</v>
      </c>
      <c r="CU9" s="24">
        <v>12527</v>
      </c>
      <c r="CV9" s="24">
        <f>2300+199</f>
        <v>2499</v>
      </c>
      <c r="CW9" s="24">
        <v>48495.11</v>
      </c>
      <c r="CX9" s="9">
        <f t="shared" si="17"/>
        <v>95586.08</v>
      </c>
      <c r="CY9" s="26">
        <f>CX9-CX58-CX59-CX60-CX61-CX62-CX63</f>
        <v>-28863.919999999998</v>
      </c>
      <c r="CZ9" t="s">
        <v>1127</v>
      </c>
      <c r="DA9" s="24"/>
      <c r="DB9" s="24"/>
      <c r="DC9" s="24"/>
      <c r="DD9" s="24"/>
      <c r="DE9" s="9">
        <f t="shared" si="18"/>
        <v>0</v>
      </c>
      <c r="DF9" s="26">
        <f>DE9-DE58-DE59-DE60-DE61-DE62-DE63</f>
        <v>0</v>
      </c>
      <c r="DG9" t="s">
        <v>1127</v>
      </c>
    </row>
    <row r="10" spans="1:111">
      <c r="A10" t="s">
        <v>1050</v>
      </c>
      <c r="B10" s="7">
        <v>40695</v>
      </c>
      <c r="C10" s="1">
        <v>71290.66</v>
      </c>
      <c r="D10" t="str">
        <f t="shared" si="0"/>
        <v>0695</v>
      </c>
      <c r="F10">
        <v>10</v>
      </c>
      <c r="G10" s="1">
        <v>45575.66</v>
      </c>
      <c r="H10" s="1">
        <v>83827.67</v>
      </c>
      <c r="I10" s="1">
        <v>18379.599999999999</v>
      </c>
      <c r="J10" s="1">
        <v>606666</v>
      </c>
      <c r="K10" s="9">
        <f t="shared" si="21"/>
        <v>625045.6</v>
      </c>
      <c r="L10" s="1">
        <v>7439</v>
      </c>
      <c r="M10" s="1">
        <v>29217.06</v>
      </c>
      <c r="N10" s="9">
        <f t="shared" si="1"/>
        <v>36656.06</v>
      </c>
      <c r="O10" s="1">
        <v>61970.2</v>
      </c>
      <c r="P10" s="1">
        <v>5228.32</v>
      </c>
      <c r="Q10" s="9">
        <f t="shared" si="2"/>
        <v>67198.51999999999</v>
      </c>
      <c r="R10" s="1">
        <v>29177</v>
      </c>
      <c r="T10" s="9">
        <f t="shared" si="3"/>
        <v>29177</v>
      </c>
      <c r="U10" s="10">
        <v>17794</v>
      </c>
      <c r="V10" s="1">
        <v>97464.77</v>
      </c>
      <c r="W10" s="9">
        <f t="shared" si="19"/>
        <v>115258.77</v>
      </c>
      <c r="Y10" s="1"/>
      <c r="Z10" s="9">
        <f t="shared" si="20"/>
        <v>0</v>
      </c>
      <c r="AA10" s="21"/>
      <c r="AB10" s="21">
        <v>9</v>
      </c>
      <c r="AC10" s="23">
        <v>46037.89</v>
      </c>
      <c r="AD10" s="23">
        <v>36300</v>
      </c>
      <c r="AE10" s="9">
        <f t="shared" si="22"/>
        <v>82337.89</v>
      </c>
      <c r="AF10" s="23">
        <v>27350.04</v>
      </c>
      <c r="AG10" s="23">
        <v>31437.85</v>
      </c>
      <c r="AH10" s="9">
        <f t="shared" si="4"/>
        <v>58787.89</v>
      </c>
      <c r="AI10" s="24">
        <v>95967</v>
      </c>
      <c r="AJ10" s="24">
        <v>44575</v>
      </c>
      <c r="AK10" s="24">
        <f>80498-20000</f>
        <v>60498</v>
      </c>
      <c r="AL10" s="9">
        <f t="shared" si="5"/>
        <v>201040</v>
      </c>
      <c r="AM10" s="24">
        <v>10263.06</v>
      </c>
      <c r="AN10" s="24">
        <v>34955.85</v>
      </c>
      <c r="AO10" s="24">
        <v>26013</v>
      </c>
      <c r="AP10" s="9">
        <f t="shared" si="6"/>
        <v>71231.91</v>
      </c>
      <c r="AQ10" s="24">
        <f>150059.78-132000</f>
        <v>18059.78</v>
      </c>
      <c r="AR10" s="24">
        <v>40103.03</v>
      </c>
      <c r="AS10" s="24">
        <v>34079.94</v>
      </c>
      <c r="AT10" s="9">
        <f t="shared" si="7"/>
        <v>92242.75</v>
      </c>
      <c r="AU10" s="24">
        <f>243581-97000-120549</f>
        <v>26032</v>
      </c>
      <c r="AV10" s="24">
        <v>28299.52</v>
      </c>
      <c r="AW10" s="24">
        <v>43196.770000000004</v>
      </c>
      <c r="AX10" s="9">
        <f t="shared" si="8"/>
        <v>97528.290000000008</v>
      </c>
      <c r="AY10" s="24">
        <v>13023</v>
      </c>
      <c r="AZ10" s="24">
        <f>158572.29-70758</f>
        <v>87814.290000000008</v>
      </c>
      <c r="BA10" s="27">
        <v>5674.26</v>
      </c>
      <c r="BB10" s="9">
        <f t="shared" si="9"/>
        <v>106511.55</v>
      </c>
      <c r="BC10" s="24">
        <v>47479</v>
      </c>
      <c r="BD10" s="24">
        <v>34332.82</v>
      </c>
      <c r="BE10" s="24">
        <v>30000</v>
      </c>
      <c r="BF10" s="9">
        <f t="shared" si="10"/>
        <v>111811.82</v>
      </c>
      <c r="BG10" s="26">
        <f>BF10-BF30-BF31</f>
        <v>85211.82</v>
      </c>
      <c r="BH10" s="24">
        <f>7740+18509.69</f>
        <v>26249.69</v>
      </c>
      <c r="BI10" s="24">
        <f>84730.12</f>
        <v>84730.12</v>
      </c>
      <c r="BJ10" s="24">
        <v>10399</v>
      </c>
      <c r="BK10" s="9">
        <f t="shared" si="11"/>
        <v>121378.81</v>
      </c>
      <c r="BL10" s="26">
        <f>BK10-BK30-BK31-48000</f>
        <v>73378.81</v>
      </c>
      <c r="BM10" s="24">
        <v>291628.46999999997</v>
      </c>
      <c r="BN10" s="24">
        <v>47984</v>
      </c>
      <c r="BO10" s="24">
        <v>11780</v>
      </c>
      <c r="BP10" s="9">
        <f t="shared" si="12"/>
        <v>351392.47</v>
      </c>
      <c r="BQ10" s="26">
        <f>BP10-BP29</f>
        <v>111392.46999999997</v>
      </c>
      <c r="BR10" t="s">
        <v>1128</v>
      </c>
      <c r="BS10" s="24">
        <v>29839.85</v>
      </c>
      <c r="BT10" s="24">
        <v>55884</v>
      </c>
      <c r="BU10" s="24">
        <v>26672</v>
      </c>
      <c r="BV10" s="9">
        <f t="shared" si="13"/>
        <v>112395.85</v>
      </c>
      <c r="BW10" s="9">
        <f>BV10-BV32</f>
        <v>92395.85</v>
      </c>
      <c r="BX10" t="s">
        <v>1128</v>
      </c>
      <c r="BY10" s="24">
        <v>79418.7</v>
      </c>
      <c r="BZ10" s="24">
        <v>7935</v>
      </c>
      <c r="CA10" s="24">
        <v>2555</v>
      </c>
      <c r="CB10" s="24">
        <v>24138.68</v>
      </c>
      <c r="CC10" s="9">
        <f t="shared" si="14"/>
        <v>114047.38</v>
      </c>
      <c r="CD10" s="9">
        <f>CC10-CC33</f>
        <v>58507.380000000005</v>
      </c>
      <c r="CE10" t="s">
        <v>1128</v>
      </c>
      <c r="CF10" s="24">
        <v>15927.5</v>
      </c>
      <c r="CG10" s="24">
        <v>2025</v>
      </c>
      <c r="CH10" s="24">
        <v>6195</v>
      </c>
      <c r="CI10" s="24">
        <v>63347.14</v>
      </c>
      <c r="CJ10" s="9">
        <f t="shared" si="15"/>
        <v>87494.64</v>
      </c>
      <c r="CK10" s="9">
        <f>CJ10</f>
        <v>87494.64</v>
      </c>
      <c r="CL10" t="s">
        <v>1128</v>
      </c>
      <c r="CM10" s="24">
        <v>29702.14</v>
      </c>
      <c r="CN10" s="24">
        <v>15419</v>
      </c>
      <c r="CO10" s="24">
        <v>5955</v>
      </c>
      <c r="CP10" s="24">
        <v>75716.67</v>
      </c>
      <c r="CQ10" s="9">
        <f t="shared" si="16"/>
        <v>126792.81</v>
      </c>
      <c r="CR10" s="9">
        <f>CQ10</f>
        <v>126792.81</v>
      </c>
      <c r="CS10" t="s">
        <v>1128</v>
      </c>
      <c r="CT10" s="24">
        <v>84102.44</v>
      </c>
      <c r="CU10" s="24">
        <v>430</v>
      </c>
      <c r="CV10" s="24">
        <v>199</v>
      </c>
      <c r="CW10" s="24">
        <v>96552</v>
      </c>
      <c r="CX10" s="9">
        <f t="shared" si="17"/>
        <v>181283.44</v>
      </c>
      <c r="CY10" s="9">
        <f>CX10-CX64</f>
        <v>171283.44</v>
      </c>
      <c r="CZ10" t="s">
        <v>1128</v>
      </c>
      <c r="DA10" s="24"/>
      <c r="DB10" s="24"/>
      <c r="DC10" s="24"/>
      <c r="DD10" s="24"/>
      <c r="DE10" s="9">
        <f t="shared" si="18"/>
        <v>0</v>
      </c>
      <c r="DF10" s="9">
        <f>DE10-DE64</f>
        <v>0</v>
      </c>
      <c r="DG10" t="s">
        <v>1128</v>
      </c>
    </row>
    <row r="11" spans="1:111">
      <c r="A11" t="s">
        <v>1050</v>
      </c>
      <c r="B11" s="7">
        <v>40725</v>
      </c>
      <c r="C11" s="1">
        <v>66641</v>
      </c>
      <c r="D11" t="str">
        <f t="shared" si="0"/>
        <v>0725</v>
      </c>
      <c r="F11">
        <v>11</v>
      </c>
      <c r="G11" s="1">
        <v>32091.05</v>
      </c>
      <c r="H11" s="1">
        <v>18900</v>
      </c>
      <c r="I11" s="1">
        <v>16066.939999999999</v>
      </c>
      <c r="J11" s="1">
        <v>132638.28</v>
      </c>
      <c r="K11" s="9">
        <f t="shared" si="21"/>
        <v>148705.22</v>
      </c>
      <c r="L11" s="1">
        <v>40013</v>
      </c>
      <c r="M11" s="1">
        <v>16061.75</v>
      </c>
      <c r="N11" s="9">
        <f t="shared" si="1"/>
        <v>56074.75</v>
      </c>
      <c r="O11" s="1">
        <v>42679</v>
      </c>
      <c r="P11" s="1">
        <v>46364</v>
      </c>
      <c r="Q11" s="9">
        <f t="shared" si="2"/>
        <v>89043</v>
      </c>
      <c r="R11" s="1">
        <v>38590.339999999997</v>
      </c>
      <c r="S11" s="1">
        <v>48420.22</v>
      </c>
      <c r="T11" s="9">
        <f t="shared" si="3"/>
        <v>87010.559999999998</v>
      </c>
      <c r="U11" s="10">
        <v>42295.25</v>
      </c>
      <c r="V11" s="1">
        <v>47628</v>
      </c>
      <c r="W11" s="9">
        <f t="shared" si="19"/>
        <v>89923.25</v>
      </c>
      <c r="X11" s="1"/>
      <c r="Y11" s="1"/>
      <c r="Z11" s="9">
        <f t="shared" si="20"/>
        <v>0</v>
      </c>
      <c r="AA11" s="21"/>
      <c r="AB11" s="21">
        <v>10</v>
      </c>
      <c r="AC11" s="23">
        <v>45575.66</v>
      </c>
      <c r="AD11" s="23">
        <v>28926.82</v>
      </c>
      <c r="AE11" s="9">
        <f t="shared" si="22"/>
        <v>74502.48000000001</v>
      </c>
      <c r="AF11" s="23">
        <v>83827.67</v>
      </c>
      <c r="AG11" s="23">
        <v>59372.89</v>
      </c>
      <c r="AH11" s="9">
        <f t="shared" si="4"/>
        <v>143200.56</v>
      </c>
      <c r="AI11" s="24">
        <v>18379.599999999999</v>
      </c>
      <c r="AJ11" s="24">
        <f>606666-550000</f>
        <v>56666</v>
      </c>
      <c r="AK11" s="24">
        <v>28718.41</v>
      </c>
      <c r="AL11" s="9">
        <f t="shared" si="5"/>
        <v>103764.01000000001</v>
      </c>
      <c r="AM11" s="24">
        <v>7439</v>
      </c>
      <c r="AN11" s="24">
        <v>29217.06</v>
      </c>
      <c r="AO11" s="24">
        <v>6375.37</v>
      </c>
      <c r="AP11" s="9">
        <f t="shared" si="6"/>
        <v>43031.43</v>
      </c>
      <c r="AQ11" s="24">
        <v>61970.2</v>
      </c>
      <c r="AR11" s="24">
        <v>5228.32</v>
      </c>
      <c r="AS11" s="24">
        <v>24249</v>
      </c>
      <c r="AT11" s="9">
        <f t="shared" si="7"/>
        <v>91447.51999999999</v>
      </c>
      <c r="AU11" s="24">
        <v>29177</v>
      </c>
      <c r="AV11" s="24">
        <v>0</v>
      </c>
      <c r="AW11" s="24">
        <v>48527</v>
      </c>
      <c r="AX11" s="9">
        <f t="shared" si="8"/>
        <v>77704</v>
      </c>
      <c r="AY11" s="24">
        <v>17794</v>
      </c>
      <c r="AZ11" s="24">
        <v>97464.77</v>
      </c>
      <c r="BA11" s="27">
        <v>37475</v>
      </c>
      <c r="BB11" s="9">
        <f t="shared" si="9"/>
        <v>152733.77000000002</v>
      </c>
      <c r="BC11" s="24">
        <v>73827</v>
      </c>
      <c r="BD11" s="24">
        <v>192202.34</v>
      </c>
      <c r="BE11" s="24">
        <v>59450</v>
      </c>
      <c r="BF11" s="9">
        <f t="shared" si="10"/>
        <v>325479.33999999997</v>
      </c>
      <c r="BG11" s="8">
        <v>150479</v>
      </c>
      <c r="BH11" s="24">
        <f>15326.48+33407-7740</f>
        <v>40993.479999999996</v>
      </c>
      <c r="BI11" s="24">
        <v>339928</v>
      </c>
      <c r="BJ11" s="24">
        <v>40978.07</v>
      </c>
      <c r="BK11" s="9">
        <f t="shared" si="11"/>
        <v>421899.55</v>
      </c>
      <c r="BL11" s="26">
        <f>BK11-BK31-BK32-200000</f>
        <v>221899.55</v>
      </c>
      <c r="BM11" s="24">
        <v>408704.86</v>
      </c>
      <c r="BN11" s="24">
        <v>28377</v>
      </c>
      <c r="BO11" s="24">
        <f>20229+BP31</f>
        <v>65229</v>
      </c>
      <c r="BP11" s="9">
        <f t="shared" si="12"/>
        <v>502310.86</v>
      </c>
      <c r="BQ11" s="26">
        <f>BP11-BP30</f>
        <v>318877.06</v>
      </c>
      <c r="BR11" t="s">
        <v>1129</v>
      </c>
      <c r="BS11" s="24">
        <v>41259.71</v>
      </c>
      <c r="BT11" s="24">
        <v>80674</v>
      </c>
      <c r="BU11" s="24">
        <v>67170.73</v>
      </c>
      <c r="BV11" s="9">
        <f t="shared" si="13"/>
        <v>189104.44</v>
      </c>
      <c r="BW11" s="26">
        <f>BV11</f>
        <v>189104.44</v>
      </c>
      <c r="BX11" t="s">
        <v>1129</v>
      </c>
      <c r="BY11" s="24">
        <v>44916.800000000003</v>
      </c>
      <c r="BZ11" s="24">
        <v>4816</v>
      </c>
      <c r="CA11" s="24">
        <v>2240</v>
      </c>
      <c r="CB11" s="24">
        <v>64587.94</v>
      </c>
      <c r="CC11" s="9">
        <f t="shared" si="14"/>
        <v>116560.74</v>
      </c>
      <c r="CD11" s="26">
        <f>CC11-CC34-CC35-CC36</f>
        <v>76670.740000000005</v>
      </c>
      <c r="CE11" t="s">
        <v>1129</v>
      </c>
      <c r="CF11" s="24">
        <v>17027.14</v>
      </c>
      <c r="CG11" s="24">
        <v>3115</v>
      </c>
      <c r="CH11" s="24">
        <v>1200</v>
      </c>
      <c r="CI11" s="24">
        <v>44037.87</v>
      </c>
      <c r="CJ11" s="9">
        <f t="shared" si="15"/>
        <v>65380.01</v>
      </c>
      <c r="CK11" s="26">
        <f>CJ11-CJ35</f>
        <v>47380.01</v>
      </c>
      <c r="CL11" t="s">
        <v>1129</v>
      </c>
      <c r="CM11" s="24">
        <v>62608</v>
      </c>
      <c r="CN11" s="24">
        <v>13283</v>
      </c>
      <c r="CO11" s="24">
        <v>5001</v>
      </c>
      <c r="CP11" s="24">
        <v>111953.65</v>
      </c>
      <c r="CQ11" s="9">
        <f t="shared" si="16"/>
        <v>192845.65</v>
      </c>
      <c r="CR11" s="26">
        <f>CQ11-CQ44-CQ41</f>
        <v>85645.65</v>
      </c>
      <c r="CS11" t="s">
        <v>1129</v>
      </c>
      <c r="CT11" s="24">
        <v>59163.6</v>
      </c>
      <c r="CU11" s="24">
        <v>40412</v>
      </c>
      <c r="CV11" s="24">
        <v>199</v>
      </c>
      <c r="CW11" s="24">
        <v>53674.82</v>
      </c>
      <c r="CX11" s="9">
        <f t="shared" si="17"/>
        <v>153449.42000000001</v>
      </c>
      <c r="CY11" s="26">
        <f>CX11-CX65-CX66-CX67</f>
        <v>12449.420000000013</v>
      </c>
      <c r="CZ11" t="s">
        <v>1129</v>
      </c>
      <c r="DA11" s="24"/>
      <c r="DB11" s="24"/>
      <c r="DC11" s="24"/>
      <c r="DD11" s="24"/>
      <c r="DE11" s="9">
        <f t="shared" si="18"/>
        <v>0</v>
      </c>
      <c r="DF11" s="26">
        <f>DE11-DE65-DE66-DE67</f>
        <v>0</v>
      </c>
      <c r="DG11" t="s">
        <v>1129</v>
      </c>
    </row>
    <row r="12" spans="1:111">
      <c r="A12" t="s">
        <v>1050</v>
      </c>
      <c r="B12" s="7">
        <v>40756</v>
      </c>
      <c r="C12" s="1">
        <v>54808</v>
      </c>
      <c r="D12" t="str">
        <f t="shared" si="0"/>
        <v>0756</v>
      </c>
      <c r="F12">
        <v>12</v>
      </c>
      <c r="G12" s="1">
        <v>50578.759999999995</v>
      </c>
      <c r="H12" s="1">
        <v>84898.11</v>
      </c>
      <c r="I12" s="1">
        <v>2397</v>
      </c>
      <c r="J12" s="1">
        <v>46170.880000000005</v>
      </c>
      <c r="K12" s="9">
        <f t="shared" si="21"/>
        <v>48567.880000000005</v>
      </c>
      <c r="L12" s="1">
        <v>60379.51</v>
      </c>
      <c r="M12" s="1">
        <v>20196.13</v>
      </c>
      <c r="N12" s="9">
        <f t="shared" si="1"/>
        <v>80575.64</v>
      </c>
      <c r="O12" s="1">
        <v>58109</v>
      </c>
      <c r="P12" s="1"/>
      <c r="Q12" s="9">
        <f t="shared" si="2"/>
        <v>58109</v>
      </c>
      <c r="R12" s="1">
        <v>52627</v>
      </c>
      <c r="S12" s="1">
        <v>25515.56</v>
      </c>
      <c r="T12" s="9">
        <f t="shared" si="3"/>
        <v>78142.559999999998</v>
      </c>
      <c r="U12" s="10">
        <v>21269</v>
      </c>
      <c r="V12" s="1">
        <v>135026.65</v>
      </c>
      <c r="W12" s="9">
        <f t="shared" si="19"/>
        <v>156295.65</v>
      </c>
      <c r="Y12" s="1"/>
      <c r="Z12" s="9">
        <f t="shared" si="20"/>
        <v>0</v>
      </c>
      <c r="AA12" s="21"/>
      <c r="AB12" s="21">
        <v>11</v>
      </c>
      <c r="AC12" s="23">
        <v>32091.05</v>
      </c>
      <c r="AD12" s="23">
        <v>18799</v>
      </c>
      <c r="AE12" s="9">
        <f t="shared" si="22"/>
        <v>50890.05</v>
      </c>
      <c r="AF12" s="23">
        <v>18900</v>
      </c>
      <c r="AG12" s="23">
        <v>27599.47</v>
      </c>
      <c r="AH12" s="9">
        <f t="shared" si="4"/>
        <v>46499.47</v>
      </c>
      <c r="AI12" s="24">
        <v>16066.939999999999</v>
      </c>
      <c r="AJ12" s="24">
        <f>132638.28-50000</f>
        <v>82638.28</v>
      </c>
      <c r="AK12" s="24">
        <v>38831.879999999997</v>
      </c>
      <c r="AL12" s="9">
        <f t="shared" si="5"/>
        <v>137537.1</v>
      </c>
      <c r="AM12" s="24">
        <f>52013-12000</f>
        <v>40013</v>
      </c>
      <c r="AN12" s="24">
        <v>16061.75</v>
      </c>
      <c r="AO12" s="24">
        <v>27994.05</v>
      </c>
      <c r="AP12" s="9">
        <f t="shared" si="6"/>
        <v>84068.800000000003</v>
      </c>
      <c r="AQ12" s="24">
        <v>42679</v>
      </c>
      <c r="AR12" s="24">
        <v>46364</v>
      </c>
      <c r="AS12" s="24">
        <v>21408</v>
      </c>
      <c r="AT12" s="9">
        <f t="shared" si="7"/>
        <v>110451</v>
      </c>
      <c r="AU12" s="24">
        <v>38590.339999999997</v>
      </c>
      <c r="AV12" s="24">
        <v>48420.22</v>
      </c>
      <c r="AW12" s="24">
        <v>23756.5</v>
      </c>
      <c r="AX12" s="9">
        <f t="shared" si="8"/>
        <v>110767.06</v>
      </c>
      <c r="AY12" s="24">
        <v>42295.25</v>
      </c>
      <c r="AZ12" s="24">
        <v>47628</v>
      </c>
      <c r="BA12" s="27">
        <v>19909.5</v>
      </c>
      <c r="BB12" s="9">
        <f t="shared" si="9"/>
        <v>109832.75</v>
      </c>
      <c r="BC12" s="24">
        <v>18540</v>
      </c>
      <c r="BD12" s="24">
        <v>60950</v>
      </c>
      <c r="BE12" s="24">
        <v>20760</v>
      </c>
      <c r="BF12" s="9">
        <f t="shared" si="10"/>
        <v>100250</v>
      </c>
      <c r="BG12" s="26">
        <f>BF12</f>
        <v>100250</v>
      </c>
      <c r="BH12" s="24">
        <f>13446.51+12299</f>
        <v>25745.510000000002</v>
      </c>
      <c r="BI12" s="24">
        <v>76868.929999999993</v>
      </c>
      <c r="BJ12" s="24">
        <v>7954</v>
      </c>
      <c r="BK12" s="9">
        <f t="shared" si="11"/>
        <v>110568.44</v>
      </c>
      <c r="BL12" s="26">
        <f>BK12</f>
        <v>110568.44</v>
      </c>
      <c r="BM12" s="24">
        <v>52354.1</v>
      </c>
      <c r="BN12" s="24">
        <v>53443</v>
      </c>
      <c r="BO12" s="24">
        <v>10121</v>
      </c>
      <c r="BP12" s="9">
        <f t="shared" si="12"/>
        <v>115918.1</v>
      </c>
      <c r="BQ12" s="26">
        <f>BP12</f>
        <v>115918.1</v>
      </c>
      <c r="BR12" t="s">
        <v>1130</v>
      </c>
      <c r="BS12" s="24">
        <v>72546.38</v>
      </c>
      <c r="BT12" s="24">
        <v>50398</v>
      </c>
      <c r="BU12" s="24">
        <v>12481</v>
      </c>
      <c r="BV12" s="9">
        <f t="shared" si="13"/>
        <v>135425.38</v>
      </c>
      <c r="BW12" s="26">
        <f>BV12</f>
        <v>135425.38</v>
      </c>
      <c r="BX12" t="s">
        <v>1130</v>
      </c>
      <c r="BY12" s="24">
        <v>23383.78</v>
      </c>
      <c r="BZ12" s="24">
        <v>3183</v>
      </c>
      <c r="CA12" s="24">
        <v>2450</v>
      </c>
      <c r="CB12" s="24">
        <v>41904.5</v>
      </c>
      <c r="CC12" s="9">
        <f t="shared" si="14"/>
        <v>70921.279999999999</v>
      </c>
      <c r="CD12" s="26">
        <f>CC12-CC37</f>
        <v>62315.28</v>
      </c>
      <c r="CE12" t="s">
        <v>1130</v>
      </c>
      <c r="CF12" s="24">
        <v>22052.720000000001</v>
      </c>
      <c r="CG12" s="24">
        <v>13913</v>
      </c>
      <c r="CH12" s="24">
        <v>5613.82</v>
      </c>
      <c r="CI12" s="24">
        <v>115925.33</v>
      </c>
      <c r="CJ12" s="9">
        <f t="shared" si="15"/>
        <v>157504.87</v>
      </c>
      <c r="CK12" s="26">
        <f>CJ12-CJ38</f>
        <v>107504.87</v>
      </c>
      <c r="CL12" t="s">
        <v>1130</v>
      </c>
      <c r="CM12" s="24">
        <v>76461.45</v>
      </c>
      <c r="CN12" s="24">
        <v>14841</v>
      </c>
      <c r="CO12" s="24">
        <v>5001</v>
      </c>
      <c r="CP12" s="24">
        <v>109440.81</v>
      </c>
      <c r="CQ12" s="9">
        <f t="shared" si="16"/>
        <v>205744.26</v>
      </c>
      <c r="CR12" s="26">
        <f>CQ12</f>
        <v>205744.26</v>
      </c>
      <c r="CS12" t="s">
        <v>1130</v>
      </c>
      <c r="CT12" s="24">
        <v>38263</v>
      </c>
      <c r="CU12" s="24">
        <v>4841</v>
      </c>
      <c r="CV12" s="24">
        <v>14713.38</v>
      </c>
      <c r="CW12" s="24">
        <f>438+63887.19</f>
        <v>64325.19</v>
      </c>
      <c r="CX12" s="9">
        <f t="shared" si="17"/>
        <v>122142.57</v>
      </c>
      <c r="CY12" s="26">
        <f>CX12-CX68-CX69-CX70-CX71-CX72</f>
        <v>54962.570000000007</v>
      </c>
      <c r="CZ12" t="s">
        <v>1130</v>
      </c>
      <c r="DA12" s="24"/>
      <c r="DB12" s="24"/>
      <c r="DC12" s="24"/>
      <c r="DD12" s="24"/>
      <c r="DE12" s="9">
        <f t="shared" si="18"/>
        <v>0</v>
      </c>
      <c r="DF12" s="26">
        <f>DE12</f>
        <v>0</v>
      </c>
      <c r="DG12" t="s">
        <v>1130</v>
      </c>
    </row>
    <row r="13" spans="1:111">
      <c r="A13" t="s">
        <v>1050</v>
      </c>
      <c r="B13" s="7">
        <v>40787</v>
      </c>
      <c r="C13" s="1">
        <v>95967</v>
      </c>
      <c r="D13" t="str">
        <f t="shared" si="0"/>
        <v>0787</v>
      </c>
      <c r="G13" s="10">
        <f>AVERAGE(G1:G12)</f>
        <v>61200.189999999995</v>
      </c>
      <c r="H13" s="10">
        <f>AVERAGE(H1:H12)</f>
        <v>66833.967500000013</v>
      </c>
      <c r="I13" s="10">
        <f>AVERAGE(I1:I12)</f>
        <v>44732.780833333323</v>
      </c>
      <c r="K13" s="10">
        <f>AVERAGE(K1:K12)</f>
        <v>220872.68</v>
      </c>
      <c r="N13" s="10">
        <f>AVERAGE(N1:N12)</f>
        <v>77802.669166666659</v>
      </c>
      <c r="Q13" s="10">
        <f>AVERAGE(Q1:Q12)</f>
        <v>82078.622499999998</v>
      </c>
      <c r="T13" s="10">
        <f>AVERAGE(T1:T12)</f>
        <v>103339.35416666667</v>
      </c>
      <c r="W13" s="10">
        <f>AVERAGE(W1:W12)</f>
        <v>98749.206666666665</v>
      </c>
      <c r="Z13" s="10">
        <f>AVERAGE(Z1:Z12)</f>
        <v>43321.019166666665</v>
      </c>
      <c r="AA13" s="21"/>
      <c r="AB13" s="21">
        <v>12</v>
      </c>
      <c r="AC13" s="23">
        <v>50578.759999999995</v>
      </c>
      <c r="AD13" s="23">
        <v>29147.46</v>
      </c>
      <c r="AE13" s="9">
        <f t="shared" si="22"/>
        <v>79726.22</v>
      </c>
      <c r="AF13" s="23">
        <f>84898.11-30000</f>
        <v>54898.11</v>
      </c>
      <c r="AG13" s="23">
        <v>101525.5</v>
      </c>
      <c r="AH13" s="9">
        <f t="shared" si="4"/>
        <v>156423.60999999999</v>
      </c>
      <c r="AI13" s="24">
        <v>2397</v>
      </c>
      <c r="AJ13" s="24">
        <v>46170.880000000005</v>
      </c>
      <c r="AK13" s="24">
        <v>48510.400000000001</v>
      </c>
      <c r="AL13" s="9">
        <f t="shared" si="5"/>
        <v>97078.28</v>
      </c>
      <c r="AM13" s="24">
        <v>60379.51</v>
      </c>
      <c r="AN13" s="24">
        <v>20196.13</v>
      </c>
      <c r="AO13" s="24">
        <v>53184.14</v>
      </c>
      <c r="AP13" s="9">
        <f t="shared" si="6"/>
        <v>133759.78</v>
      </c>
      <c r="AQ13" s="24">
        <v>58109</v>
      </c>
      <c r="AR13" s="24"/>
      <c r="AS13" s="24">
        <v>31040.739999999998</v>
      </c>
      <c r="AT13" s="9">
        <f t="shared" si="7"/>
        <v>89149.739999999991</v>
      </c>
      <c r="AU13" s="24">
        <v>52627</v>
      </c>
      <c r="AV13" s="24">
        <v>25515.56</v>
      </c>
      <c r="AW13" s="24">
        <v>39244.1</v>
      </c>
      <c r="AX13" s="9">
        <f t="shared" si="8"/>
        <v>117386.66</v>
      </c>
      <c r="AY13" s="24">
        <v>21269</v>
      </c>
      <c r="AZ13" s="24">
        <v>135026.65</v>
      </c>
      <c r="BA13" s="27">
        <v>49998.86</v>
      </c>
      <c r="BB13" s="9">
        <f t="shared" si="9"/>
        <v>206294.51</v>
      </c>
      <c r="BC13" s="24">
        <v>19300</v>
      </c>
      <c r="BD13" s="24">
        <v>62545.57</v>
      </c>
      <c r="BE13" s="24">
        <v>41079.839999999997</v>
      </c>
      <c r="BF13" s="9">
        <f t="shared" si="10"/>
        <v>122925.41</v>
      </c>
      <c r="BG13" s="26">
        <f>BF13-10000</f>
        <v>112925.41</v>
      </c>
      <c r="BH13" s="24">
        <f>23678.51+6583.25</f>
        <v>30261.759999999998</v>
      </c>
      <c r="BI13" s="24">
        <v>48431.27</v>
      </c>
      <c r="BJ13" s="24">
        <v>32952.300000000003</v>
      </c>
      <c r="BK13" s="9">
        <f t="shared" si="11"/>
        <v>111645.33</v>
      </c>
      <c r="BL13" s="26">
        <f>BK13</f>
        <v>111645.33</v>
      </c>
      <c r="BM13" s="24">
        <v>65711.199999999997</v>
      </c>
      <c r="BN13" s="24">
        <v>43354</v>
      </c>
      <c r="BO13" s="24">
        <v>37540.82</v>
      </c>
      <c r="BP13" s="9">
        <f t="shared" si="12"/>
        <v>146606.01999999999</v>
      </c>
      <c r="BQ13" s="26">
        <f>BP13</f>
        <v>146606.01999999999</v>
      </c>
      <c r="BR13" t="s">
        <v>1131</v>
      </c>
      <c r="BS13" s="24">
        <v>195278.39</v>
      </c>
      <c r="BT13" s="24">
        <v>45562</v>
      </c>
      <c r="BU13" s="24">
        <v>6587.94</v>
      </c>
      <c r="BV13" s="9">
        <f t="shared" si="13"/>
        <v>247428.33000000002</v>
      </c>
      <c r="BW13" s="26">
        <f>BV13</f>
        <v>247428.33000000002</v>
      </c>
      <c r="BX13" t="s">
        <v>1131</v>
      </c>
      <c r="BY13" s="24">
        <v>24261</v>
      </c>
      <c r="BZ13" s="24">
        <v>1649</v>
      </c>
      <c r="CA13" s="24">
        <v>5982</v>
      </c>
      <c r="CB13" s="24">
        <v>84535</v>
      </c>
      <c r="CC13" s="9">
        <f t="shared" si="14"/>
        <v>116427</v>
      </c>
      <c r="CD13" s="26">
        <f>CC13</f>
        <v>116427</v>
      </c>
      <c r="CE13" t="s">
        <v>1131</v>
      </c>
      <c r="CF13" s="24">
        <v>90257.12</v>
      </c>
      <c r="CG13" s="24">
        <v>40261</v>
      </c>
      <c r="CH13" s="24">
        <v>11007</v>
      </c>
      <c r="CI13" s="24">
        <v>155681.70000000001</v>
      </c>
      <c r="CJ13" s="9">
        <f t="shared" si="15"/>
        <v>297206.82</v>
      </c>
      <c r="CK13" s="26">
        <f>CJ13-CJ39-CJ40-CJ41-CJ42</f>
        <v>108137.82</v>
      </c>
      <c r="CL13" t="s">
        <v>1131</v>
      </c>
      <c r="CM13" s="24">
        <v>64836.93</v>
      </c>
      <c r="CN13" s="24">
        <v>13863</v>
      </c>
      <c r="CO13" s="24">
        <v>6001</v>
      </c>
      <c r="CP13" s="24">
        <v>134421.60999999999</v>
      </c>
      <c r="CQ13" s="9">
        <f>CM13+CN13+CO13+CP13+CQ45+CQ46+CQ47+CQ48</f>
        <v>289122.53999999998</v>
      </c>
      <c r="CR13" s="26">
        <f>CQ13</f>
        <v>289122.53999999998</v>
      </c>
      <c r="CS13" t="s">
        <v>1131</v>
      </c>
      <c r="CT13" s="24">
        <v>58387</v>
      </c>
      <c r="CU13" s="24">
        <v>380</v>
      </c>
      <c r="CV13" s="24">
        <v>199</v>
      </c>
      <c r="CW13" s="24">
        <v>77884.17</v>
      </c>
      <c r="CX13" s="9">
        <f t="shared" si="17"/>
        <v>136850.16999999998</v>
      </c>
      <c r="CY13" s="26">
        <f>CX13</f>
        <v>136850.16999999998</v>
      </c>
      <c r="CZ13" t="s">
        <v>1131</v>
      </c>
      <c r="DA13" s="24"/>
      <c r="DB13" s="24"/>
      <c r="DC13" s="24"/>
      <c r="DD13" s="24"/>
      <c r="DE13" s="9">
        <f t="shared" si="18"/>
        <v>0</v>
      </c>
      <c r="DF13" s="26">
        <f>DE13</f>
        <v>0</v>
      </c>
      <c r="DG13" t="s">
        <v>1131</v>
      </c>
    </row>
    <row r="14" spans="1:111">
      <c r="A14" t="s">
        <v>1050</v>
      </c>
      <c r="B14" s="7">
        <v>40817</v>
      </c>
      <c r="C14" s="1">
        <v>18379.599999999999</v>
      </c>
      <c r="D14" t="str">
        <f t="shared" si="0"/>
        <v>0817</v>
      </c>
      <c r="AA14" s="21"/>
      <c r="AB14" s="21" t="s">
        <v>1132</v>
      </c>
      <c r="AC14" s="23"/>
      <c r="AD14" s="23"/>
      <c r="AE14" s="26">
        <f>AVERAGE(AE5:AE13)</f>
        <v>68657.683333333334</v>
      </c>
      <c r="AF14" s="23"/>
      <c r="AG14" s="23"/>
      <c r="AH14" s="26">
        <f>AVERAGE(AH2:AH13)</f>
        <v>91035.765833333324</v>
      </c>
      <c r="AI14" s="23"/>
      <c r="AJ14" s="21"/>
      <c r="AK14" s="21"/>
      <c r="AL14" s="26">
        <f>AVERAGE(AL2:AL13)</f>
        <v>107295.92083333334</v>
      </c>
      <c r="AM14" s="21"/>
      <c r="AN14" s="21"/>
      <c r="AO14" s="21"/>
      <c r="AP14" s="26">
        <f>AVERAGE(AP2:AP13)</f>
        <v>95807.465000000011</v>
      </c>
      <c r="AQ14" s="21"/>
      <c r="AR14" s="21"/>
      <c r="AS14" s="21"/>
      <c r="AT14" s="26">
        <f>AVERAGE(AT2:AT13)</f>
        <v>90969.08</v>
      </c>
      <c r="AU14" s="21"/>
      <c r="AV14" s="21"/>
      <c r="AW14" s="21"/>
      <c r="AX14" s="26">
        <f>AVERAGE(AX2:AX13)</f>
        <v>115088.19583333335</v>
      </c>
      <c r="AY14" s="24"/>
      <c r="AZ14" s="21"/>
      <c r="BA14" s="21"/>
      <c r="BB14" s="26">
        <f>AVERAGE(BB2:BB13)</f>
        <v>114417.30833333333</v>
      </c>
      <c r="BC14" s="21"/>
      <c r="BD14" s="21"/>
      <c r="BE14" s="21"/>
      <c r="BF14" s="26">
        <f>AVERAGE(BF2:BF13)</f>
        <v>167011.01666666666</v>
      </c>
      <c r="BG14" s="26">
        <f>AVERAGE(BG2:BG13)</f>
        <v>120502.57166666666</v>
      </c>
      <c r="BH14" s="21"/>
      <c r="BI14" s="21"/>
      <c r="BJ14" s="21"/>
      <c r="BK14" s="26">
        <f>AVERAGE(BK2:BK13)</f>
        <v>217213.66083333336</v>
      </c>
      <c r="BL14" s="26">
        <f>AVERAGE(BL2:BL13)</f>
        <v>155225.99416666667</v>
      </c>
      <c r="BM14" s="21"/>
      <c r="BN14" s="21"/>
      <c r="BO14" s="21"/>
      <c r="BP14" s="26">
        <f>AVERAGE(BP2:BP13)</f>
        <v>225395.61500000002</v>
      </c>
      <c r="BQ14" s="26">
        <f>AVERAGE(BQ2:BQ13)</f>
        <v>162483.57</v>
      </c>
      <c r="BR14" s="29" t="s">
        <v>1133</v>
      </c>
      <c r="BS14" s="21"/>
      <c r="BT14" s="21"/>
      <c r="BU14" s="21"/>
      <c r="BV14" s="26">
        <f>AVERAGE(BV2:BV13)</f>
        <v>237031.62416666668</v>
      </c>
      <c r="BW14" s="26">
        <f>AVERAGE(BW2:BW13)</f>
        <v>173278.29083333336</v>
      </c>
      <c r="BX14" s="29" t="s">
        <v>1133</v>
      </c>
      <c r="BY14" s="21"/>
      <c r="BZ14" s="21"/>
      <c r="CA14" s="21"/>
      <c r="CB14" s="21"/>
      <c r="CC14" s="26">
        <f>AVERAGE(CC2:CC13)</f>
        <v>154733.15833333333</v>
      </c>
      <c r="CD14" s="26">
        <f>AVERAGE(CD2:CD13)</f>
        <v>94100.474166666667</v>
      </c>
      <c r="CE14" s="29" t="s">
        <v>1133</v>
      </c>
      <c r="CF14" s="21"/>
      <c r="CG14" s="21"/>
      <c r="CH14" s="21"/>
      <c r="CI14" s="21"/>
      <c r="CJ14" s="26">
        <f>AVERAGE(CJ2:CJ13)</f>
        <v>124079.93333333333</v>
      </c>
      <c r="CK14" s="26">
        <f>AVERAGE(CK2:CK13)</f>
        <v>82809.099999999991</v>
      </c>
      <c r="CL14" s="29" t="s">
        <v>1133</v>
      </c>
      <c r="CM14" s="21"/>
      <c r="CN14" s="21"/>
      <c r="CO14" s="21"/>
      <c r="CP14" s="21"/>
      <c r="CQ14" s="26">
        <f>AVERAGE(CQ2:CQ13)</f>
        <v>245824.70499999999</v>
      </c>
      <c r="CR14" s="26">
        <f>AVERAGE(CR2:CR13)</f>
        <v>166462.78833333333</v>
      </c>
      <c r="CS14" s="29" t="s">
        <v>1133</v>
      </c>
      <c r="CT14" s="21"/>
      <c r="CU14" s="21"/>
      <c r="CV14" s="21"/>
      <c r="CW14" s="21"/>
      <c r="CX14" s="26">
        <f>AVERAGE(CX2:CX13)</f>
        <v>283572.03916666663</v>
      </c>
      <c r="CY14" s="26">
        <f>AVERAGE(CY2:CY13)</f>
        <v>137777.86583333332</v>
      </c>
      <c r="CZ14" s="29" t="s">
        <v>1133</v>
      </c>
      <c r="DA14" s="21"/>
      <c r="DB14" s="21"/>
      <c r="DC14" s="21"/>
      <c r="DD14" s="21"/>
      <c r="DE14" s="26">
        <f>AVERAGE(DE2:DE13)</f>
        <v>132662.76916666667</v>
      </c>
      <c r="DF14" s="26">
        <f>AVERAGE(DF2:DF13)</f>
        <v>-3516.3141666666684</v>
      </c>
      <c r="DG14" s="29" t="s">
        <v>1133</v>
      </c>
    </row>
    <row r="15" spans="1:111">
      <c r="A15" t="s">
        <v>1050</v>
      </c>
      <c r="B15" s="7">
        <v>40848</v>
      </c>
      <c r="C15" s="1">
        <v>16066.939999999999</v>
      </c>
      <c r="D15" t="str">
        <f t="shared" si="0"/>
        <v>0848</v>
      </c>
      <c r="AA15" s="21"/>
      <c r="AB15" s="21" t="s">
        <v>1134</v>
      </c>
      <c r="AC15" s="21"/>
      <c r="AD15" s="21"/>
      <c r="AE15" s="24">
        <v>5000</v>
      </c>
      <c r="AF15" s="21"/>
      <c r="AG15" s="21"/>
      <c r="AH15" s="24">
        <v>5000</v>
      </c>
      <c r="AI15" s="21"/>
      <c r="AJ15" s="21"/>
      <c r="AK15" s="21"/>
      <c r="AL15" s="24">
        <v>5000</v>
      </c>
      <c r="AM15" s="21"/>
      <c r="AN15" s="21"/>
      <c r="AO15" s="21"/>
      <c r="AP15" s="24">
        <v>5000</v>
      </c>
      <c r="AQ15" s="21"/>
      <c r="AR15" s="21"/>
      <c r="AS15" s="25"/>
      <c r="AT15" s="24">
        <v>5000</v>
      </c>
      <c r="AU15" s="21"/>
      <c r="AV15" s="21"/>
      <c r="AW15" s="25"/>
      <c r="AX15" s="24">
        <v>5000</v>
      </c>
      <c r="AY15" s="21"/>
      <c r="AZ15" s="21"/>
      <c r="BA15" s="25"/>
      <c r="BB15" s="24">
        <v>5000</v>
      </c>
      <c r="BC15" s="21"/>
      <c r="BD15" s="21"/>
      <c r="BE15" s="21"/>
      <c r="BF15" s="24">
        <v>5000</v>
      </c>
      <c r="BG15" s="24">
        <v>5000</v>
      </c>
      <c r="BH15" s="21"/>
      <c r="BI15" s="21"/>
      <c r="BJ15" s="21"/>
      <c r="BK15" s="24">
        <v>8000</v>
      </c>
      <c r="BL15" s="24">
        <v>8000</v>
      </c>
      <c r="BM15" s="21"/>
      <c r="BN15" s="21"/>
      <c r="BO15" s="21"/>
      <c r="BP15" s="24">
        <v>8000</v>
      </c>
      <c r="BQ15" s="24">
        <v>8000</v>
      </c>
      <c r="BS15" s="21"/>
      <c r="BT15" s="21"/>
      <c r="BU15" s="21"/>
      <c r="BV15" s="24">
        <v>10000</v>
      </c>
      <c r="BW15" s="24">
        <v>10000</v>
      </c>
      <c r="BY15" s="21"/>
      <c r="BZ15" s="21"/>
      <c r="CA15" s="21"/>
      <c r="CB15" s="21"/>
      <c r="CC15" s="24">
        <v>10000</v>
      </c>
      <c r="CD15" s="24">
        <v>10000</v>
      </c>
      <c r="CF15" s="21"/>
      <c r="CG15" s="21"/>
      <c r="CH15" s="21"/>
      <c r="CI15" s="21"/>
      <c r="CJ15" s="24">
        <v>10000</v>
      </c>
      <c r="CK15" s="24">
        <v>10000</v>
      </c>
      <c r="CM15" s="21"/>
      <c r="CN15" s="21"/>
      <c r="CO15" s="21"/>
      <c r="CP15" s="21"/>
      <c r="CQ15" s="24"/>
      <c r="CR15" s="24"/>
      <c r="CT15" s="21"/>
      <c r="CU15" s="21"/>
      <c r="CV15" s="21"/>
      <c r="CW15" s="21"/>
      <c r="CX15" s="24"/>
      <c r="CY15" s="24"/>
      <c r="DA15" s="21"/>
      <c r="DB15" s="21"/>
      <c r="DC15" s="21"/>
      <c r="DD15" s="21"/>
      <c r="DE15" s="24"/>
      <c r="DF15" s="24"/>
    </row>
    <row r="16" spans="1:111">
      <c r="A16" t="s">
        <v>1050</v>
      </c>
      <c r="B16" s="7">
        <v>40878</v>
      </c>
      <c r="C16" s="1">
        <v>2397</v>
      </c>
      <c r="D16" t="str">
        <f t="shared" ref="D16:D48" si="23">RIGHT(B16,4)</f>
        <v>0878</v>
      </c>
      <c r="AA16" s="21"/>
      <c r="AB16" s="21" t="s">
        <v>952</v>
      </c>
      <c r="AC16" s="21"/>
      <c r="AD16" s="21"/>
      <c r="AE16" s="28">
        <f>AE14+AE15</f>
        <v>73657.683333333334</v>
      </c>
      <c r="AF16" s="21"/>
      <c r="AG16" s="21"/>
      <c r="AH16" s="28">
        <f>AH14+AH15</f>
        <v>96035.765833333324</v>
      </c>
      <c r="AI16" s="21"/>
      <c r="AJ16" s="21"/>
      <c r="AK16" s="21"/>
      <c r="AL16" s="28">
        <f>AL14+AL15</f>
        <v>112295.92083333334</v>
      </c>
      <c r="AM16" s="21"/>
      <c r="AN16" s="21"/>
      <c r="AO16" s="21"/>
      <c r="AP16" s="28">
        <f>AP14+AP15</f>
        <v>100807.46500000001</v>
      </c>
      <c r="AQ16" s="21"/>
      <c r="AR16" s="21"/>
      <c r="AS16" s="21"/>
      <c r="AT16" s="28">
        <f>AT14+AT15</f>
        <v>95969.08</v>
      </c>
      <c r="AU16" s="21"/>
      <c r="AV16" s="21"/>
      <c r="AW16" s="21"/>
      <c r="AX16" s="28">
        <f>AX14+AX15</f>
        <v>120088.19583333335</v>
      </c>
      <c r="AY16" s="21"/>
      <c r="AZ16" s="21"/>
      <c r="BA16" s="21"/>
      <c r="BB16" s="28">
        <f>BB14+BB15</f>
        <v>119417.30833333333</v>
      </c>
      <c r="BC16" s="21"/>
      <c r="BD16" s="21"/>
      <c r="BE16" s="21"/>
      <c r="BF16" s="28">
        <f>BF14+BF15</f>
        <v>172011.01666666666</v>
      </c>
      <c r="BG16" s="28">
        <f>BG14+BG15</f>
        <v>125502.57166666666</v>
      </c>
      <c r="BH16" s="21"/>
      <c r="BI16" s="21"/>
      <c r="BJ16" s="21"/>
      <c r="BK16" s="28">
        <f>BK14+BK15</f>
        <v>225213.66083333336</v>
      </c>
      <c r="BL16" s="28">
        <f>BL14+BL15</f>
        <v>163225.99416666667</v>
      </c>
      <c r="BM16" s="21"/>
      <c r="BN16" s="21"/>
      <c r="BO16" s="21"/>
      <c r="BP16" s="28">
        <f>BP14+BP15</f>
        <v>233395.61500000002</v>
      </c>
      <c r="BQ16" s="28">
        <f>BQ14+BQ15</f>
        <v>170483.57</v>
      </c>
      <c r="BS16" s="21"/>
      <c r="BT16" s="21"/>
      <c r="BU16" s="21"/>
      <c r="BV16" s="28">
        <f>BV14+BV15</f>
        <v>247031.62416666668</v>
      </c>
      <c r="BW16" s="28">
        <f>BW14+BW15</f>
        <v>183278.29083333336</v>
      </c>
      <c r="BY16" s="21"/>
      <c r="BZ16" s="21"/>
      <c r="CA16" s="21"/>
      <c r="CB16" s="21"/>
      <c r="CC16" s="28">
        <f>CC14+CC15</f>
        <v>164733.15833333333</v>
      </c>
      <c r="CD16" s="28">
        <f>CD14+CD15</f>
        <v>104100.47416666667</v>
      </c>
      <c r="CF16" s="21"/>
      <c r="CG16" s="21"/>
      <c r="CH16" s="21"/>
      <c r="CI16" s="21"/>
      <c r="CJ16" s="28">
        <f>CJ14+CJ15</f>
        <v>134079.93333333335</v>
      </c>
      <c r="CK16" s="28">
        <f>CK14+CK15</f>
        <v>92809.099999999991</v>
      </c>
      <c r="CM16" s="21"/>
      <c r="CN16" s="21"/>
      <c r="CO16" s="21"/>
      <c r="CP16" s="21"/>
      <c r="CQ16" s="28">
        <f>CQ14+CQ15</f>
        <v>245824.70499999999</v>
      </c>
      <c r="CR16" s="28">
        <f>CR14+CR15</f>
        <v>166462.78833333333</v>
      </c>
      <c r="CT16" s="21"/>
      <c r="CU16" s="21"/>
      <c r="CV16" s="21"/>
      <c r="CW16" s="21"/>
      <c r="CX16" s="28">
        <f>CX14+CX15</f>
        <v>283572.03916666663</v>
      </c>
      <c r="CY16" s="28">
        <f>CY14+CY15</f>
        <v>137777.86583333332</v>
      </c>
      <c r="DA16" s="21"/>
      <c r="DB16" s="21"/>
      <c r="DC16" s="21"/>
      <c r="DD16" s="21"/>
      <c r="DE16" s="28">
        <f>DE14+DE15</f>
        <v>132662.76916666667</v>
      </c>
      <c r="DF16" s="28">
        <f>DF14+DF15</f>
        <v>-3516.3141666666684</v>
      </c>
    </row>
    <row r="17" spans="1:110">
      <c r="B17" s="7"/>
      <c r="C17" s="1"/>
      <c r="AA17" s="21"/>
      <c r="AB17" s="21" t="s">
        <v>1135</v>
      </c>
      <c r="AC17" s="23">
        <f>SUM(AC2:AC13)</f>
        <v>400801.71</v>
      </c>
      <c r="AD17" s="23">
        <f>SUM(AD2:AD13)</f>
        <v>217117.44</v>
      </c>
      <c r="AE17" s="28">
        <f>SUM(AE2:AE13)+12*AE15</f>
        <v>677919.15</v>
      </c>
      <c r="AF17" s="23">
        <f>SUM(AF2:AF13)</f>
        <v>621890.61</v>
      </c>
      <c r="AG17" s="23">
        <f>SUM(AG2:AG13)</f>
        <v>470538.57999999996</v>
      </c>
      <c r="AH17" s="28">
        <f>SUM(AH2:AH13)+12*AH15</f>
        <v>1152429.19</v>
      </c>
      <c r="AI17" s="23">
        <f>SUM(AI2:AI13)</f>
        <v>536793.36999999988</v>
      </c>
      <c r="AJ17" s="23">
        <f>SUM(AJ2:AJ13)</f>
        <v>425199.24</v>
      </c>
      <c r="AK17" s="23">
        <f>SUM(AK2:AK13)</f>
        <v>325558.44</v>
      </c>
      <c r="AL17" s="28">
        <f>SUM(AL2:AL13)+12*AL15</f>
        <v>1347551.05</v>
      </c>
      <c r="AM17" s="23">
        <f>SUM(AM2:AM13)</f>
        <v>284363.15999999997</v>
      </c>
      <c r="AN17" s="23">
        <f>SUM(AN2:AN13)</f>
        <v>649268.87</v>
      </c>
      <c r="AO17" s="23">
        <f>SUM(AO2:AO13)</f>
        <v>216057.55</v>
      </c>
      <c r="AP17" s="28">
        <f>SUM(AP2:AP13)+12*AP15</f>
        <v>1209689.58</v>
      </c>
      <c r="AQ17" s="23">
        <f>SUM(AQ2:AQ13)</f>
        <v>454100.22000000003</v>
      </c>
      <c r="AR17" s="23">
        <f>SUM(AR2:AR13)</f>
        <v>259859.25000000003</v>
      </c>
      <c r="AS17" s="23">
        <f>SUM(AS2:AS13)</f>
        <v>377669.49</v>
      </c>
      <c r="AT17" s="28">
        <f>SUM(AT2:AT13)+12*AT15</f>
        <v>1151628.96</v>
      </c>
      <c r="AU17" s="23">
        <f>SUM(AU2:AU13)</f>
        <v>395141.30999999994</v>
      </c>
      <c r="AV17" s="23">
        <f>SUM(AV2:AV13)</f>
        <v>528670.94000000006</v>
      </c>
      <c r="AW17" s="23">
        <f>SUM(AW2:AW13)</f>
        <v>457246.1</v>
      </c>
      <c r="AX17" s="28">
        <f>SUM(AX2:AX13)+12*AX15</f>
        <v>1441058.35</v>
      </c>
      <c r="AY17" s="23">
        <f>SUM(AY2:AY13)</f>
        <v>273005.74</v>
      </c>
      <c r="AZ17" s="23">
        <f>SUM(AZ2:AZ13)</f>
        <v>704718.84000000008</v>
      </c>
      <c r="BA17" s="23">
        <f>SUM(BA2:BA13)</f>
        <v>395283.12</v>
      </c>
      <c r="BB17" s="28">
        <f>SUM(BB2:BB13)+12*BB15</f>
        <v>1433007.7</v>
      </c>
      <c r="BC17" s="23">
        <f>SUM(BC2:BC13)</f>
        <v>435630.2</v>
      </c>
      <c r="BD17" s="23">
        <f>SUM(BD2:BD13)</f>
        <v>1054715.3399999999</v>
      </c>
      <c r="BE17" s="23">
        <f>SUM(BE2:BE13)</f>
        <v>513786.66000000003</v>
      </c>
      <c r="BF17" s="28">
        <f>SUM(BF2:BF13)+12*BF15</f>
        <v>2064132.2</v>
      </c>
      <c r="BG17" s="28">
        <f>SUM(BG2:BG13)+12*BG15</f>
        <v>1506030.8599999999</v>
      </c>
      <c r="BH17" s="23">
        <f>SUM(BH2:BH13)</f>
        <v>1273828.0699999998</v>
      </c>
      <c r="BI17" s="23">
        <f>SUM(BI2:BI13)</f>
        <v>1080491.73</v>
      </c>
      <c r="BJ17" s="23">
        <f>SUM(BJ2:BJ13)</f>
        <v>252244.13</v>
      </c>
      <c r="BK17" s="28">
        <f>SUM(BK2:BK13)+12*BK15</f>
        <v>2702563.93</v>
      </c>
      <c r="BL17" s="28">
        <f>SUM(BL2:BL13)+12*BL15</f>
        <v>1958711.93</v>
      </c>
      <c r="BM17" s="23">
        <f>SUM(BM2:BM13)</f>
        <v>1279492.5599999998</v>
      </c>
      <c r="BN17" s="23">
        <f>SUM(BN2:BN13)</f>
        <v>978592.45</v>
      </c>
      <c r="BO17" s="23">
        <f>SUM(BO2:BO13)</f>
        <v>446662.37</v>
      </c>
      <c r="BP17" s="28">
        <f>SUM(BP2:BP13)+12*BP15</f>
        <v>2800747.3800000004</v>
      </c>
      <c r="BQ17" s="28">
        <f>SUM(BQ2:BQ13)+12*BQ15</f>
        <v>2045802.84</v>
      </c>
      <c r="BS17" s="23">
        <f>SUM(BS2:BS13)</f>
        <v>1284306.6099999999</v>
      </c>
      <c r="BT17" s="23">
        <f>SUM(BT2:BT13)</f>
        <v>823904</v>
      </c>
      <c r="BU17" s="23">
        <f>SUM(BU2:BU13)</f>
        <v>736168.87999999989</v>
      </c>
      <c r="BV17" s="28">
        <f>SUM(BV2:BV13)+12*BV15</f>
        <v>2964379.49</v>
      </c>
      <c r="BW17" s="28">
        <f>SUM(BW2:BW13)+12*BW15</f>
        <v>2199339.4900000002</v>
      </c>
      <c r="BY17" s="23">
        <f>SUM(BY2:BY13)</f>
        <v>1076954.26</v>
      </c>
      <c r="BZ17" s="23">
        <f>SUM(BZ2:BZ13)</f>
        <v>137194</v>
      </c>
      <c r="CA17" s="23">
        <f>SUM(CA2:CA13)</f>
        <v>203163.36</v>
      </c>
      <c r="CB17" s="23">
        <f>SUM(CB2:CB13)</f>
        <v>439486.27999999997</v>
      </c>
      <c r="CC17" s="28">
        <f>SUM(CC2:CC13)+12*CC15</f>
        <v>1976797.9</v>
      </c>
      <c r="CD17" s="28">
        <f>SUM(CD2:CD13)+12*CD15</f>
        <v>1249205.69</v>
      </c>
      <c r="CF17" s="23">
        <f>SUM(CF2:CF13)</f>
        <v>280576.92000000004</v>
      </c>
      <c r="CG17" s="23">
        <f>SUM(CG2:CG13)</f>
        <v>133633</v>
      </c>
      <c r="CH17" s="23">
        <f>SUM(CH2:CH13)</f>
        <v>91488.360000000015</v>
      </c>
      <c r="CI17" s="23">
        <f>SUM(CI2:CI13)</f>
        <v>983260.91999999993</v>
      </c>
      <c r="CJ17" s="28">
        <f>SUM(CJ2:CJ13)+12*CJ15</f>
        <v>1608959.2</v>
      </c>
      <c r="CK17" s="28">
        <f>SUM(CK2:CK13)+12*CK15</f>
        <v>1113709.2</v>
      </c>
      <c r="CM17" s="23">
        <f>SUM(CM2:CM13)</f>
        <v>917489.26</v>
      </c>
      <c r="CN17" s="23">
        <f>SUM(CN2:CN13)</f>
        <v>332976</v>
      </c>
      <c r="CO17" s="23">
        <f>SUM(CO2:CO13)</f>
        <v>54936.41</v>
      </c>
      <c r="CP17" s="23">
        <f>SUM(CP2:CP13)</f>
        <v>1574494.7899999996</v>
      </c>
      <c r="CQ17" s="28">
        <f>SUM(CQ2:CQ13)+12*CQ15</f>
        <v>2949896.46</v>
      </c>
      <c r="CR17" s="28">
        <f>SUM(CR2:CR13)+12*CR15</f>
        <v>1997553.46</v>
      </c>
      <c r="CT17" s="23">
        <f>SUM(CT2:CT13)</f>
        <v>1180216.1499999999</v>
      </c>
      <c r="CU17" s="23">
        <f>SUM(CU2:CU13)</f>
        <v>926247</v>
      </c>
      <c r="CV17" s="23">
        <f>SUM(CV2:CV13)</f>
        <v>68043.38</v>
      </c>
      <c r="CW17" s="23">
        <f>SUM(CW2:CW13)</f>
        <v>1228357.94</v>
      </c>
      <c r="CX17" s="28">
        <f>SUM(CX2:CX13)+12*CX15</f>
        <v>3402864.4699999997</v>
      </c>
      <c r="CY17" s="28">
        <f>SUM(CY2:CY13)+12*CY15</f>
        <v>1653334.39</v>
      </c>
      <c r="DA17" s="23">
        <f>SUM(DA2:DA13)</f>
        <v>703934.41999999993</v>
      </c>
      <c r="DB17" s="23">
        <f>SUM(DB2:DB13)</f>
        <v>389922</v>
      </c>
      <c r="DC17" s="23">
        <f>SUM(DC2:DC13)</f>
        <v>4710</v>
      </c>
      <c r="DD17" s="23">
        <f>SUM(DD2:DD13)</f>
        <v>493386.81</v>
      </c>
      <c r="DE17" s="28">
        <f>SUM(DE2:DE13)+12*DE15</f>
        <v>1591953.23</v>
      </c>
      <c r="DF17" s="28">
        <f>SUM(DF2:DF13)+12*DF15</f>
        <v>-42195.770000000019</v>
      </c>
    </row>
    <row r="18" spans="1:110" ht="37.5" customHeight="1">
      <c r="A18" t="s">
        <v>1050</v>
      </c>
      <c r="B18" s="7">
        <v>40909</v>
      </c>
      <c r="C18" s="1">
        <v>6639.42</v>
      </c>
      <c r="D18" t="str">
        <f t="shared" si="23"/>
        <v>0909</v>
      </c>
      <c r="AA18" s="21"/>
      <c r="AB18" s="21"/>
      <c r="AC18" s="21" t="s">
        <v>1136</v>
      </c>
      <c r="AD18" s="21"/>
      <c r="AE18" s="24">
        <v>150000</v>
      </c>
      <c r="AF18" s="21" t="s">
        <v>1137</v>
      </c>
      <c r="AG18" s="21"/>
      <c r="AH18" s="24">
        <v>150000</v>
      </c>
      <c r="AI18" s="21"/>
      <c r="AJ18" s="21" t="s">
        <v>1138</v>
      </c>
      <c r="AK18" s="21"/>
      <c r="AL18" s="24">
        <v>950000</v>
      </c>
      <c r="AM18" s="21" t="s">
        <v>1139</v>
      </c>
      <c r="AN18" s="21"/>
      <c r="AO18" s="24">
        <v>12000</v>
      </c>
      <c r="AP18" s="21"/>
      <c r="AQ18" s="21" t="s">
        <v>1140</v>
      </c>
      <c r="AR18" s="21"/>
      <c r="AS18" s="21"/>
      <c r="AT18" s="21"/>
      <c r="AU18" s="21" t="s">
        <v>1141</v>
      </c>
      <c r="AV18" s="21"/>
      <c r="AW18" s="24">
        <v>97000</v>
      </c>
      <c r="AX18" s="21"/>
      <c r="AY18" s="21" t="s">
        <v>1142</v>
      </c>
      <c r="AZ18" s="21"/>
      <c r="BA18" s="24">
        <f>23007+7000</f>
        <v>30007</v>
      </c>
      <c r="BB18" s="21"/>
      <c r="BC18" s="21" t="s">
        <v>1143</v>
      </c>
      <c r="BD18" s="21"/>
      <c r="BE18" s="21"/>
      <c r="BF18" s="24">
        <v>24601.5</v>
      </c>
      <c r="BG18" s="21"/>
      <c r="BH18" s="21" t="s">
        <v>1144</v>
      </c>
      <c r="BI18" s="21"/>
      <c r="BJ18" s="21"/>
      <c r="BK18" s="24">
        <v>340000</v>
      </c>
      <c r="BL18" s="38"/>
      <c r="BM18" t="s">
        <v>1145</v>
      </c>
      <c r="BP18">
        <f>47146+43706+9386+9289</f>
        <v>109527</v>
      </c>
    </row>
    <row r="19" spans="1:110">
      <c r="A19" t="s">
        <v>1050</v>
      </c>
      <c r="B19" s="7">
        <v>40940</v>
      </c>
      <c r="C19" s="1">
        <v>5949.73</v>
      </c>
      <c r="D19" t="str">
        <f t="shared" si="23"/>
        <v>0940</v>
      </c>
      <c r="AA19" s="21"/>
      <c r="AB19" s="21"/>
      <c r="AC19" s="21"/>
      <c r="AD19" s="21"/>
      <c r="AE19" s="21"/>
      <c r="AF19" s="21" t="s">
        <v>1146</v>
      </c>
      <c r="AG19" s="21"/>
      <c r="AH19" s="24">
        <v>30000</v>
      </c>
      <c r="AI19" s="21"/>
      <c r="AJ19" s="21" t="s">
        <v>1138</v>
      </c>
      <c r="AK19" s="21"/>
      <c r="AL19" s="24">
        <v>20000</v>
      </c>
      <c r="AM19" s="21"/>
      <c r="AN19" s="21"/>
      <c r="AO19" s="21"/>
      <c r="AP19" s="21"/>
      <c r="AQ19" s="21" t="s">
        <v>1147</v>
      </c>
      <c r="AR19" s="21"/>
      <c r="AS19" s="24">
        <v>46990</v>
      </c>
      <c r="AT19" s="24"/>
      <c r="AU19" s="21" t="s">
        <v>1148</v>
      </c>
      <c r="AV19" s="21"/>
      <c r="AW19" s="24">
        <v>120549</v>
      </c>
      <c r="AX19" s="21"/>
      <c r="AY19" s="21" t="s">
        <v>1149</v>
      </c>
      <c r="AZ19" s="21"/>
      <c r="BA19" s="24">
        <v>13552</v>
      </c>
      <c r="BB19" s="21"/>
      <c r="BC19" s="21" t="s">
        <v>1150</v>
      </c>
      <c r="BD19" s="21"/>
      <c r="BE19" s="21"/>
      <c r="BF19" s="24">
        <v>60000</v>
      </c>
      <c r="BG19" s="21"/>
      <c r="BH19" s="21" t="s">
        <v>1151</v>
      </c>
      <c r="BI19" s="21"/>
      <c r="BJ19" s="21"/>
      <c r="BK19" s="24">
        <v>154699</v>
      </c>
      <c r="BL19" s="21"/>
      <c r="BM19" t="s">
        <v>1152</v>
      </c>
      <c r="BP19">
        <v>1991.74</v>
      </c>
      <c r="BS19" t="s">
        <v>1153</v>
      </c>
      <c r="BV19">
        <v>300000</v>
      </c>
      <c r="BW19" s="53"/>
      <c r="BX19" s="54"/>
      <c r="BY19" s="5" t="s">
        <v>1154</v>
      </c>
      <c r="CC19">
        <v>304512</v>
      </c>
      <c r="CF19" t="s">
        <v>1155</v>
      </c>
      <c r="CG19" t="s">
        <v>1156</v>
      </c>
      <c r="CJ19">
        <v>11636</v>
      </c>
      <c r="CM19" s="5">
        <v>44593</v>
      </c>
      <c r="CN19" t="s">
        <v>1157</v>
      </c>
      <c r="CQ19">
        <v>90000</v>
      </c>
      <c r="CT19" t="s">
        <v>1158</v>
      </c>
    </row>
    <row r="20" spans="1:110">
      <c r="A20" t="s">
        <v>1050</v>
      </c>
      <c r="B20" s="7">
        <v>40969</v>
      </c>
      <c r="C20" s="1">
        <v>13595.44</v>
      </c>
      <c r="D20" t="str">
        <f t="shared" si="23"/>
        <v>0969</v>
      </c>
      <c r="AQ20" s="21" t="s">
        <v>1159</v>
      </c>
      <c r="AR20" s="21"/>
      <c r="AS20" s="24">
        <v>20990</v>
      </c>
      <c r="AT20" s="24"/>
      <c r="AU20" s="21" t="s">
        <v>1160</v>
      </c>
      <c r="AV20" s="21"/>
      <c r="AW20" s="24">
        <v>48000</v>
      </c>
      <c r="AY20" s="21" t="s">
        <v>1161</v>
      </c>
      <c r="AZ20" s="21"/>
      <c r="BA20" s="24">
        <v>18552</v>
      </c>
      <c r="BC20" s="21" t="s">
        <v>1162</v>
      </c>
      <c r="BD20" s="21"/>
      <c r="BE20" s="21"/>
      <c r="BF20" s="24">
        <f>15564</f>
        <v>15564</v>
      </c>
      <c r="BG20" s="21"/>
      <c r="BH20" s="21" t="s">
        <v>1163</v>
      </c>
      <c r="BI20" s="21"/>
      <c r="BJ20" s="21"/>
      <c r="BK20" s="24">
        <v>431751</v>
      </c>
      <c r="BL20" s="21"/>
      <c r="BM20" t="s">
        <v>1164</v>
      </c>
      <c r="BP20" s="51">
        <v>39742</v>
      </c>
      <c r="BS20" t="s">
        <v>1165</v>
      </c>
      <c r="BV20">
        <v>101050</v>
      </c>
      <c r="BW20" s="54"/>
      <c r="BX20" s="54"/>
      <c r="BY20" t="s">
        <v>1166</v>
      </c>
      <c r="CC20">
        <v>40000</v>
      </c>
      <c r="CD20" t="s">
        <v>1167</v>
      </c>
      <c r="CF20" t="s">
        <v>1168</v>
      </c>
      <c r="CJ20">
        <v>40191</v>
      </c>
      <c r="CM20" s="5">
        <v>44621</v>
      </c>
      <c r="CN20" t="s">
        <v>1169</v>
      </c>
      <c r="CQ20">
        <f>109000+18000</f>
        <v>127000</v>
      </c>
      <c r="CT20" s="5">
        <v>44927</v>
      </c>
      <c r="CU20" t="s">
        <v>1170</v>
      </c>
      <c r="CX20">
        <v>15000</v>
      </c>
      <c r="DA20" s="5">
        <v>45292</v>
      </c>
      <c r="DB20" t="s">
        <v>13287</v>
      </c>
      <c r="DE20">
        <v>12265</v>
      </c>
    </row>
    <row r="21" spans="1:110">
      <c r="A21" t="s">
        <v>1050</v>
      </c>
      <c r="B21" s="7">
        <v>41000</v>
      </c>
      <c r="C21" s="1">
        <v>24119</v>
      </c>
      <c r="D21" t="str">
        <f t="shared" si="23"/>
        <v>1000</v>
      </c>
      <c r="AQ21" s="21" t="s">
        <v>1171</v>
      </c>
      <c r="AR21" s="21"/>
      <c r="AS21" s="24">
        <v>47004</v>
      </c>
      <c r="AT21" s="24"/>
      <c r="AU21" s="21" t="s">
        <v>1172</v>
      </c>
      <c r="AV21" s="21"/>
      <c r="AW21" s="24">
        <v>107797</v>
      </c>
      <c r="AY21" s="21" t="s">
        <v>1173</v>
      </c>
      <c r="AZ21" s="21"/>
      <c r="BA21" s="24">
        <v>50159</v>
      </c>
      <c r="BC21" s="21" t="s">
        <v>1162</v>
      </c>
      <c r="BD21" s="21"/>
      <c r="BE21" s="21"/>
      <c r="BF21" s="24">
        <v>11620</v>
      </c>
      <c r="BG21" s="21"/>
      <c r="BH21" s="21" t="s">
        <v>1174</v>
      </c>
      <c r="BI21" s="21"/>
      <c r="BJ21" s="21"/>
      <c r="BK21" s="24">
        <v>30320</v>
      </c>
      <c r="BL21" s="21"/>
      <c r="BM21" t="s">
        <v>1175</v>
      </c>
      <c r="BP21">
        <v>14000</v>
      </c>
      <c r="BS21" t="s">
        <v>1176</v>
      </c>
      <c r="BV21">
        <v>32000</v>
      </c>
      <c r="BW21" s="53"/>
      <c r="BX21" s="54"/>
      <c r="BY21" t="s">
        <v>1177</v>
      </c>
      <c r="CC21">
        <v>20000</v>
      </c>
      <c r="CF21" t="s">
        <v>1178</v>
      </c>
      <c r="CJ21">
        <v>9999</v>
      </c>
      <c r="CM21" s="5">
        <v>44621</v>
      </c>
      <c r="CN21" t="s">
        <v>1179</v>
      </c>
      <c r="CQ21">
        <v>20000</v>
      </c>
      <c r="CT21" s="5">
        <v>44927</v>
      </c>
      <c r="CU21" t="s">
        <v>1180</v>
      </c>
      <c r="CX21">
        <v>4960</v>
      </c>
      <c r="DA21" s="5">
        <v>45292</v>
      </c>
      <c r="DB21" t="s">
        <v>13481</v>
      </c>
      <c r="DE21">
        <v>2800</v>
      </c>
    </row>
    <row r="22" spans="1:110">
      <c r="A22" t="s">
        <v>1050</v>
      </c>
      <c r="B22" s="7">
        <v>41030</v>
      </c>
      <c r="C22" s="1">
        <v>26456</v>
      </c>
      <c r="D22" t="str">
        <f t="shared" si="23"/>
        <v>1030</v>
      </c>
      <c r="AU22" s="21" t="s">
        <v>1181</v>
      </c>
      <c r="AV22" s="21"/>
      <c r="AW22" s="24">
        <v>56180</v>
      </c>
      <c r="AY22" s="21" t="s">
        <v>1182</v>
      </c>
      <c r="AZ22" s="21"/>
      <c r="BA22" s="24">
        <f>96835.91+2574.9</f>
        <v>99410.81</v>
      </c>
      <c r="BC22" s="21" t="s">
        <v>1183</v>
      </c>
      <c r="BD22" s="21"/>
      <c r="BE22" s="21"/>
      <c r="BF22" s="24">
        <v>259317</v>
      </c>
      <c r="BG22" s="21"/>
      <c r="BH22" s="21" t="s">
        <v>1184</v>
      </c>
      <c r="BI22" s="21"/>
      <c r="BJ22" s="21"/>
      <c r="BK22" s="24"/>
      <c r="BL22" s="21"/>
      <c r="BM22" s="5" t="s">
        <v>1185</v>
      </c>
      <c r="BP22">
        <v>40000</v>
      </c>
      <c r="BS22" t="s">
        <v>1186</v>
      </c>
      <c r="BV22">
        <v>25990</v>
      </c>
      <c r="BY22" t="s">
        <v>1187</v>
      </c>
      <c r="CC22">
        <v>6999</v>
      </c>
      <c r="CF22" t="s">
        <v>1188</v>
      </c>
      <c r="CJ22">
        <v>18000</v>
      </c>
      <c r="CM22" s="5">
        <v>44621</v>
      </c>
      <c r="CN22" t="s">
        <v>1189</v>
      </c>
      <c r="CQ22">
        <v>14000</v>
      </c>
      <c r="CT22" s="5">
        <v>44927</v>
      </c>
      <c r="CU22" t="s">
        <v>1190</v>
      </c>
      <c r="CX22" s="1">
        <v>28320.080000000002</v>
      </c>
      <c r="DA22" s="5">
        <v>45292</v>
      </c>
      <c r="DB22" t="s">
        <v>13482</v>
      </c>
      <c r="DE22">
        <v>3600</v>
      </c>
    </row>
    <row r="23" spans="1:110">
      <c r="A23" t="s">
        <v>1050</v>
      </c>
      <c r="B23" s="7">
        <v>41061</v>
      </c>
      <c r="C23" s="1">
        <v>11426</v>
      </c>
      <c r="D23" t="str">
        <f t="shared" si="23"/>
        <v>1061</v>
      </c>
      <c r="AU23" s="21" t="s">
        <v>1191</v>
      </c>
      <c r="AV23" s="21"/>
      <c r="AW23" s="24">
        <f>31412+37055</f>
        <v>68467</v>
      </c>
      <c r="AY23" s="21" t="s">
        <v>1192</v>
      </c>
      <c r="AZ23" s="21"/>
      <c r="BA23" s="24">
        <v>17097</v>
      </c>
      <c r="BC23" s="21" t="s">
        <v>1193</v>
      </c>
      <c r="BD23" s="21"/>
      <c r="BE23" s="21"/>
      <c r="BF23" s="24">
        <v>8807</v>
      </c>
      <c r="BG23" s="21"/>
      <c r="BH23" s="21"/>
      <c r="BI23" s="21"/>
      <c r="BJ23" s="21"/>
      <c r="BK23" s="24"/>
      <c r="BL23" s="21"/>
      <c r="BM23" t="s">
        <v>1194</v>
      </c>
      <c r="BP23">
        <v>48000</v>
      </c>
      <c r="BQ23" t="s">
        <v>1195</v>
      </c>
      <c r="BS23" t="s">
        <v>1196</v>
      </c>
      <c r="BV23">
        <v>31000</v>
      </c>
      <c r="BY23" t="s">
        <v>1197</v>
      </c>
      <c r="CC23">
        <v>90000</v>
      </c>
      <c r="CF23" t="s">
        <v>1198</v>
      </c>
      <c r="CJ23">
        <v>23000</v>
      </c>
      <c r="CM23" s="5">
        <v>44621</v>
      </c>
      <c r="CN23" t="s">
        <v>1199</v>
      </c>
      <c r="CQ23">
        <v>17000</v>
      </c>
      <c r="CT23" s="5">
        <v>44927</v>
      </c>
      <c r="CU23" t="s">
        <v>1200</v>
      </c>
      <c r="CX23">
        <v>10000</v>
      </c>
      <c r="DA23" s="326">
        <v>45292</v>
      </c>
      <c r="DB23" s="327" t="s">
        <v>13628</v>
      </c>
      <c r="DC23" s="327"/>
      <c r="DD23" s="327"/>
      <c r="DE23" s="327">
        <f>500000+500000</f>
        <v>1000000</v>
      </c>
    </row>
    <row r="24" spans="1:110">
      <c r="A24" t="s">
        <v>1050</v>
      </c>
      <c r="B24" s="7">
        <v>41091</v>
      </c>
      <c r="C24" s="1">
        <v>42484</v>
      </c>
      <c r="D24" t="str">
        <f t="shared" si="23"/>
        <v>1091</v>
      </c>
      <c r="AU24" s="21" t="s">
        <v>1201</v>
      </c>
      <c r="AV24" s="21"/>
      <c r="AW24" s="24">
        <v>8928</v>
      </c>
      <c r="AY24" s="21" t="s">
        <v>1202</v>
      </c>
      <c r="AZ24" s="21"/>
      <c r="BA24" s="24">
        <v>70758</v>
      </c>
      <c r="BC24" s="21"/>
      <c r="BD24" s="21"/>
      <c r="BE24" s="21"/>
      <c r="BF24" s="24"/>
      <c r="BG24" s="21"/>
      <c r="BH24" s="21"/>
      <c r="BI24" s="21"/>
      <c r="BJ24" s="21"/>
      <c r="BK24" s="24"/>
      <c r="BL24" s="21"/>
      <c r="BM24" t="s">
        <v>1203</v>
      </c>
      <c r="BP24">
        <v>37270</v>
      </c>
      <c r="BS24" t="s">
        <v>1204</v>
      </c>
      <c r="BV24">
        <v>12852</v>
      </c>
      <c r="BY24" t="s">
        <v>1205</v>
      </c>
      <c r="CC24">
        <v>190086</v>
      </c>
      <c r="CF24" t="s">
        <v>1206</v>
      </c>
      <c r="CJ24">
        <f>14187+18409</f>
        <v>32596</v>
      </c>
      <c r="CK24" t="s">
        <v>1207</v>
      </c>
      <c r="CM24" s="5">
        <v>44652</v>
      </c>
      <c r="CN24" t="s">
        <v>1208</v>
      </c>
      <c r="CQ24">
        <v>6906</v>
      </c>
      <c r="CT24" s="5">
        <v>44958</v>
      </c>
      <c r="CU24" t="s">
        <v>1209</v>
      </c>
      <c r="CX24">
        <v>16000</v>
      </c>
      <c r="DA24" s="67">
        <v>45323</v>
      </c>
      <c r="DB24" t="s">
        <v>1209</v>
      </c>
      <c r="DE24">
        <v>10000</v>
      </c>
    </row>
    <row r="25" spans="1:110">
      <c r="A25" t="s">
        <v>1050</v>
      </c>
      <c r="B25" s="7">
        <v>41122</v>
      </c>
      <c r="C25" s="1">
        <v>35599</v>
      </c>
      <c r="D25" t="str">
        <f t="shared" si="23"/>
        <v>1122</v>
      </c>
      <c r="BC25" s="21" t="s">
        <v>1210</v>
      </c>
      <c r="BH25" s="21"/>
      <c r="BM25" t="s">
        <v>1211</v>
      </c>
      <c r="BP25">
        <v>11200</v>
      </c>
      <c r="BS25" t="s">
        <v>1212</v>
      </c>
      <c r="BV25">
        <v>43000</v>
      </c>
      <c r="BY25" t="s">
        <v>1213</v>
      </c>
      <c r="CC25">
        <f>17532.83+13511.38</f>
        <v>31044.21</v>
      </c>
      <c r="CF25" t="s">
        <v>1214</v>
      </c>
      <c r="CJ25">
        <v>11763</v>
      </c>
      <c r="CK25" t="s">
        <v>1207</v>
      </c>
      <c r="CM25" s="5">
        <v>44652</v>
      </c>
      <c r="CN25" t="s">
        <v>1215</v>
      </c>
      <c r="CQ25">
        <v>18502</v>
      </c>
      <c r="CR25">
        <f>CQ25+CQ26</f>
        <v>33922</v>
      </c>
      <c r="CS25" s="70">
        <f>CR25/CJ24</f>
        <v>1.0406798380169346</v>
      </c>
      <c r="CT25" s="5">
        <v>44958</v>
      </c>
      <c r="CU25" t="s">
        <v>1216</v>
      </c>
      <c r="CX25">
        <v>241276</v>
      </c>
      <c r="DA25" s="67">
        <v>45323</v>
      </c>
      <c r="DB25" t="s">
        <v>13635</v>
      </c>
      <c r="DE25">
        <v>15000</v>
      </c>
    </row>
    <row r="26" spans="1:110">
      <c r="A26" t="s">
        <v>1050</v>
      </c>
      <c r="B26" s="7">
        <v>41153</v>
      </c>
      <c r="C26" s="1">
        <v>10263.06</v>
      </c>
      <c r="D26" t="str">
        <f t="shared" si="23"/>
        <v>1153</v>
      </c>
      <c r="BC26" s="21" t="s">
        <v>1217</v>
      </c>
      <c r="BH26" s="21"/>
      <c r="BM26" t="s">
        <v>1218</v>
      </c>
      <c r="BP26">
        <v>67780</v>
      </c>
      <c r="BS26" t="s">
        <v>1212</v>
      </c>
      <c r="BV26">
        <v>43000</v>
      </c>
      <c r="BY26" t="s">
        <v>1219</v>
      </c>
      <c r="CC26">
        <v>5580</v>
      </c>
      <c r="CF26" t="s">
        <v>1220</v>
      </c>
      <c r="CJ26">
        <v>15687</v>
      </c>
      <c r="CM26" s="5">
        <v>44652</v>
      </c>
      <c r="CN26" t="s">
        <v>1215</v>
      </c>
      <c r="CQ26">
        <v>15420</v>
      </c>
      <c r="CS26" t="s">
        <v>1221</v>
      </c>
      <c r="CT26" s="5">
        <v>44958</v>
      </c>
      <c r="CU26" t="s">
        <v>1222</v>
      </c>
      <c r="CX26">
        <v>148000</v>
      </c>
      <c r="DA26" s="67">
        <v>45323</v>
      </c>
      <c r="DB26" t="s">
        <v>13664</v>
      </c>
      <c r="DE26">
        <v>25000</v>
      </c>
    </row>
    <row r="27" spans="1:110">
      <c r="A27" t="s">
        <v>1050</v>
      </c>
      <c r="B27" s="7">
        <v>41183</v>
      </c>
      <c r="C27" s="1">
        <v>7439</v>
      </c>
      <c r="D27" t="str">
        <f t="shared" si="23"/>
        <v>1183</v>
      </c>
      <c r="BC27" t="s">
        <v>1223</v>
      </c>
      <c r="BF27">
        <v>7000</v>
      </c>
      <c r="BM27" s="5" t="s">
        <v>1224</v>
      </c>
      <c r="BP27">
        <v>18000</v>
      </c>
      <c r="BS27" t="s">
        <v>1225</v>
      </c>
      <c r="BV27">
        <v>210000</v>
      </c>
      <c r="BY27" t="s">
        <v>1226</v>
      </c>
      <c r="CC27">
        <v>3000</v>
      </c>
      <c r="CF27" t="s">
        <v>1227</v>
      </c>
      <c r="CJ27">
        <v>4249</v>
      </c>
      <c r="CM27" s="5">
        <v>44652</v>
      </c>
      <c r="CN27" t="s">
        <v>1228</v>
      </c>
      <c r="CQ27">
        <v>87604</v>
      </c>
      <c r="CR27" t="s">
        <v>1229</v>
      </c>
      <c r="CT27" s="246">
        <v>44958</v>
      </c>
      <c r="CU27" s="244" t="s">
        <v>1230</v>
      </c>
      <c r="CV27" s="244"/>
      <c r="CW27" s="244"/>
      <c r="CX27" s="244">
        <v>11000</v>
      </c>
      <c r="CY27" t="s">
        <v>1231</v>
      </c>
      <c r="DA27" s="67">
        <v>45323</v>
      </c>
      <c r="DB27" t="s">
        <v>13742</v>
      </c>
      <c r="DE27">
        <v>10000</v>
      </c>
    </row>
    <row r="28" spans="1:110">
      <c r="A28" t="s">
        <v>1050</v>
      </c>
      <c r="B28" s="7">
        <v>41214</v>
      </c>
      <c r="C28" s="1">
        <v>40013</v>
      </c>
      <c r="D28" t="str">
        <f t="shared" si="23"/>
        <v>1214</v>
      </c>
      <c r="BC28" t="s">
        <v>1232</v>
      </c>
      <c r="BF28">
        <v>9999</v>
      </c>
      <c r="BM28" t="s">
        <v>1233</v>
      </c>
      <c r="BP28">
        <v>16000</v>
      </c>
      <c r="BS28" t="s">
        <v>1234</v>
      </c>
      <c r="BV28">
        <v>8010</v>
      </c>
      <c r="BY28" t="s">
        <v>1235</v>
      </c>
      <c r="CC28">
        <v>5983</v>
      </c>
      <c r="CF28" t="s">
        <v>1236</v>
      </c>
      <c r="CJ28">
        <v>25000</v>
      </c>
      <c r="CM28" s="5">
        <v>44652</v>
      </c>
      <c r="CN28" t="s">
        <v>1237</v>
      </c>
      <c r="CQ28">
        <v>55000</v>
      </c>
      <c r="CR28" t="s">
        <v>1041</v>
      </c>
      <c r="CT28" s="5">
        <v>44986</v>
      </c>
      <c r="CU28" t="s">
        <v>1216</v>
      </c>
      <c r="CX28">
        <v>269750</v>
      </c>
      <c r="DA28" s="67">
        <v>45352</v>
      </c>
      <c r="DB28" t="s">
        <v>13743</v>
      </c>
      <c r="DE28">
        <v>4199</v>
      </c>
    </row>
    <row r="29" spans="1:110">
      <c r="A29" t="s">
        <v>1050</v>
      </c>
      <c r="B29" s="7">
        <v>41244</v>
      </c>
      <c r="C29" s="1">
        <v>60379.51</v>
      </c>
      <c r="D29" t="str">
        <f t="shared" si="23"/>
        <v>1244</v>
      </c>
      <c r="BC29" t="s">
        <v>1238</v>
      </c>
      <c r="BF29">
        <v>11000</v>
      </c>
      <c r="BM29" t="s">
        <v>1239</v>
      </c>
      <c r="BP29">
        <v>240000</v>
      </c>
      <c r="BS29" t="s">
        <v>1240</v>
      </c>
      <c r="BV29">
        <v>75000</v>
      </c>
      <c r="BY29" t="s">
        <v>1241</v>
      </c>
      <c r="CC29">
        <v>12484</v>
      </c>
      <c r="CF29" t="s">
        <v>1242</v>
      </c>
      <c r="CJ29">
        <v>30000</v>
      </c>
      <c r="CM29" s="5">
        <v>44652</v>
      </c>
      <c r="CN29" t="s">
        <v>1243</v>
      </c>
      <c r="CQ29">
        <v>125000</v>
      </c>
      <c r="CR29" t="s">
        <v>1244</v>
      </c>
      <c r="CT29" s="5">
        <v>44986</v>
      </c>
      <c r="CU29" t="s">
        <v>1245</v>
      </c>
      <c r="CX29">
        <v>40000</v>
      </c>
      <c r="DA29" s="67">
        <v>45352</v>
      </c>
      <c r="DB29" t="s">
        <v>1215</v>
      </c>
      <c r="DE29">
        <v>68000</v>
      </c>
      <c r="DF29" t="s">
        <v>13744</v>
      </c>
    </row>
    <row r="30" spans="1:110">
      <c r="A30" t="s">
        <v>1050</v>
      </c>
      <c r="B30" s="7">
        <v>41275</v>
      </c>
      <c r="C30" s="1">
        <v>10762</v>
      </c>
      <c r="D30" t="str">
        <f t="shared" si="23"/>
        <v>1275</v>
      </c>
      <c r="BC30" t="s">
        <v>1246</v>
      </c>
      <c r="BF30">
        <v>5000</v>
      </c>
      <c r="BM30" t="s">
        <v>1247</v>
      </c>
      <c r="BP30">
        <v>183433.8</v>
      </c>
      <c r="BS30" t="s">
        <v>1248</v>
      </c>
      <c r="BV30">
        <v>100000</v>
      </c>
      <c r="BY30" t="s">
        <v>1249</v>
      </c>
      <c r="CC30">
        <v>18000</v>
      </c>
      <c r="CF30" t="s">
        <v>1250</v>
      </c>
      <c r="CJ30">
        <v>81484</v>
      </c>
      <c r="CM30" s="5">
        <v>44682</v>
      </c>
      <c r="CN30" t="s">
        <v>1251</v>
      </c>
      <c r="CQ30">
        <f>3621+227516</f>
        <v>231137</v>
      </c>
      <c r="CT30" s="5">
        <v>44986</v>
      </c>
      <c r="CU30" t="s">
        <v>1252</v>
      </c>
      <c r="CX30">
        <f>165000+80000</f>
        <v>245000</v>
      </c>
      <c r="CY30" t="s">
        <v>1253</v>
      </c>
      <c r="DA30" s="67">
        <v>45352</v>
      </c>
      <c r="DB30" t="s">
        <v>1215</v>
      </c>
      <c r="DE30">
        <v>85000</v>
      </c>
      <c r="DF30" t="s">
        <v>13744</v>
      </c>
    </row>
    <row r="31" spans="1:110">
      <c r="A31" t="s">
        <v>1050</v>
      </c>
      <c r="B31" s="7">
        <v>41306</v>
      </c>
      <c r="C31" s="1">
        <v>8198</v>
      </c>
      <c r="D31" t="str">
        <f t="shared" si="23"/>
        <v>1306</v>
      </c>
      <c r="BC31" t="s">
        <v>1254</v>
      </c>
      <c r="BF31">
        <v>21600</v>
      </c>
      <c r="BM31" t="s">
        <v>1247</v>
      </c>
      <c r="BP31">
        <f>600*75</f>
        <v>45000</v>
      </c>
      <c r="BQ31" t="s">
        <v>1255</v>
      </c>
      <c r="BS31" t="s">
        <v>1256</v>
      </c>
      <c r="BV31">
        <v>25000</v>
      </c>
      <c r="BY31" t="s">
        <v>1257</v>
      </c>
      <c r="CC31">
        <v>30000</v>
      </c>
      <c r="CF31" t="s">
        <v>1258</v>
      </c>
      <c r="CJ31">
        <v>3450</v>
      </c>
      <c r="CM31" s="5">
        <v>44682</v>
      </c>
      <c r="CN31" t="s">
        <v>1259</v>
      </c>
      <c r="CQ31" s="244">
        <v>8000</v>
      </c>
      <c r="CR31" s="244" t="s">
        <v>1260</v>
      </c>
      <c r="CT31" s="5">
        <v>44986</v>
      </c>
      <c r="CU31" t="s">
        <v>1216</v>
      </c>
      <c r="CX31">
        <v>11000</v>
      </c>
      <c r="CY31" t="s">
        <v>1261</v>
      </c>
      <c r="DA31" s="67">
        <v>45352</v>
      </c>
      <c r="DB31" t="s">
        <v>13664</v>
      </c>
      <c r="DE31">
        <v>100</v>
      </c>
    </row>
    <row r="32" spans="1:110">
      <c r="A32" t="s">
        <v>1050</v>
      </c>
      <c r="B32" s="7">
        <v>41334</v>
      </c>
      <c r="C32" s="1">
        <v>49849.36</v>
      </c>
      <c r="D32" t="str">
        <f t="shared" si="23"/>
        <v>1334</v>
      </c>
      <c r="BC32" t="s">
        <v>1262</v>
      </c>
      <c r="BF32" s="24">
        <v>161600</v>
      </c>
      <c r="BK32" s="24"/>
      <c r="BS32" t="s">
        <v>1263</v>
      </c>
      <c r="BV32">
        <v>20000</v>
      </c>
      <c r="BY32" t="s">
        <v>1264</v>
      </c>
      <c r="CC32">
        <v>18000</v>
      </c>
      <c r="CF32" t="s">
        <v>1265</v>
      </c>
      <c r="CJ32">
        <v>15190</v>
      </c>
      <c r="CM32" s="5">
        <v>44713</v>
      </c>
      <c r="CN32" t="s">
        <v>1266</v>
      </c>
      <c r="CQ32">
        <v>6800</v>
      </c>
      <c r="CR32" s="29" t="s">
        <v>1267</v>
      </c>
      <c r="CT32" s="5">
        <v>44986</v>
      </c>
      <c r="CU32" t="s">
        <v>1268</v>
      </c>
      <c r="CX32">
        <v>15000</v>
      </c>
      <c r="DA32" s="67">
        <v>45352</v>
      </c>
      <c r="DB32" t="s">
        <v>13745</v>
      </c>
      <c r="DE32">
        <v>10000</v>
      </c>
    </row>
    <row r="33" spans="1:110">
      <c r="A33" t="s">
        <v>1050</v>
      </c>
      <c r="B33" s="7">
        <v>41365</v>
      </c>
      <c r="C33" s="1">
        <v>139046.19</v>
      </c>
      <c r="D33" t="str">
        <f t="shared" si="23"/>
        <v>1365</v>
      </c>
      <c r="BC33" t="s">
        <v>1269</v>
      </c>
      <c r="BS33" t="s">
        <v>1270</v>
      </c>
      <c r="BV33">
        <v>30690</v>
      </c>
      <c r="BY33" t="s">
        <v>1271</v>
      </c>
      <c r="CC33">
        <v>55540</v>
      </c>
      <c r="CF33" t="s">
        <v>1272</v>
      </c>
      <c r="CJ33">
        <v>3295</v>
      </c>
      <c r="CM33" s="5">
        <v>44713</v>
      </c>
      <c r="CN33" t="s">
        <v>1273</v>
      </c>
      <c r="CQ33">
        <v>12000</v>
      </c>
      <c r="CR33" t="s">
        <v>1274</v>
      </c>
      <c r="CT33" s="5">
        <v>44986</v>
      </c>
      <c r="CU33" t="s">
        <v>1275</v>
      </c>
      <c r="CX33">
        <v>38273</v>
      </c>
      <c r="DA33" s="67">
        <v>45352</v>
      </c>
      <c r="DB33" t="s">
        <v>13664</v>
      </c>
      <c r="DE33">
        <v>2152235</v>
      </c>
    </row>
    <row r="34" spans="1:110">
      <c r="A34" t="s">
        <v>1050</v>
      </c>
      <c r="B34" s="7">
        <v>41395</v>
      </c>
      <c r="C34" s="1">
        <v>16917</v>
      </c>
      <c r="D34" t="str">
        <f t="shared" si="23"/>
        <v>1395</v>
      </c>
      <c r="BC34" t="s">
        <v>1276</v>
      </c>
      <c r="BF34">
        <v>35000</v>
      </c>
      <c r="BS34" t="s">
        <v>1277</v>
      </c>
      <c r="BV34">
        <v>27990</v>
      </c>
      <c r="BY34" t="s">
        <v>1278</v>
      </c>
      <c r="CC34">
        <v>25000</v>
      </c>
      <c r="CF34" t="s">
        <v>1279</v>
      </c>
      <c r="CJ34">
        <v>5000</v>
      </c>
      <c r="CM34" s="5">
        <v>44713</v>
      </c>
      <c r="CN34" t="s">
        <v>1280</v>
      </c>
      <c r="CQ34">
        <v>30000</v>
      </c>
      <c r="CR34" s="29">
        <v>671385</v>
      </c>
      <c r="CS34" s="29" t="s">
        <v>1281</v>
      </c>
      <c r="CT34" s="5">
        <v>45017</v>
      </c>
      <c r="CU34" t="s">
        <v>1216</v>
      </c>
      <c r="CX34" s="29">
        <v>35000</v>
      </c>
      <c r="DA34" s="67">
        <v>45352</v>
      </c>
      <c r="DB34" t="s">
        <v>13746</v>
      </c>
      <c r="DE34">
        <v>20000</v>
      </c>
    </row>
    <row r="35" spans="1:110">
      <c r="A35" t="s">
        <v>1050</v>
      </c>
      <c r="B35" s="7">
        <v>41426</v>
      </c>
      <c r="C35" s="1">
        <v>52439</v>
      </c>
      <c r="D35" t="str">
        <f t="shared" si="23"/>
        <v>1426</v>
      </c>
      <c r="BC35" t="s">
        <v>1282</v>
      </c>
      <c r="BF35">
        <v>20000</v>
      </c>
      <c r="BS35" t="s">
        <v>1283</v>
      </c>
      <c r="BV35">
        <v>28000</v>
      </c>
      <c r="BY35" t="s">
        <v>1284</v>
      </c>
      <c r="CC35">
        <v>7890</v>
      </c>
      <c r="CF35" t="s">
        <v>1285</v>
      </c>
      <c r="CJ35">
        <v>18000</v>
      </c>
      <c r="CM35" s="5">
        <v>44743</v>
      </c>
      <c r="CN35" t="s">
        <v>1286</v>
      </c>
      <c r="CQ35">
        <v>8000</v>
      </c>
      <c r="CR35" s="29">
        <v>50000</v>
      </c>
      <c r="CS35" s="29" t="s">
        <v>1287</v>
      </c>
      <c r="CT35" s="5">
        <v>45017</v>
      </c>
      <c r="CU35" t="s">
        <v>1208</v>
      </c>
      <c r="CX35">
        <v>6906</v>
      </c>
      <c r="DA35" s="67">
        <v>45383</v>
      </c>
      <c r="DB35" t="s">
        <v>1324</v>
      </c>
      <c r="DE35">
        <v>7500</v>
      </c>
    </row>
    <row r="36" spans="1:110">
      <c r="A36" t="s">
        <v>1050</v>
      </c>
      <c r="B36" s="7">
        <v>41456</v>
      </c>
      <c r="C36" s="1">
        <v>59302.39</v>
      </c>
      <c r="D36" t="str">
        <f t="shared" si="23"/>
        <v>1456</v>
      </c>
      <c r="BC36" t="s">
        <v>1288</v>
      </c>
      <c r="BF36">
        <v>40000</v>
      </c>
      <c r="BS36" t="s">
        <v>1289</v>
      </c>
      <c r="BV36">
        <v>49000</v>
      </c>
      <c r="BY36" t="s">
        <v>1290</v>
      </c>
      <c r="CC36">
        <v>7000</v>
      </c>
      <c r="CF36" t="s">
        <v>1291</v>
      </c>
      <c r="CJ36">
        <v>8500</v>
      </c>
      <c r="CM36" s="5">
        <v>44743</v>
      </c>
      <c r="CN36" t="s">
        <v>1292</v>
      </c>
      <c r="CQ36">
        <v>25000</v>
      </c>
      <c r="CR36" s="29" t="s">
        <v>1293</v>
      </c>
      <c r="CT36" s="5">
        <v>45017</v>
      </c>
      <c r="CU36" t="s">
        <v>1294</v>
      </c>
      <c r="CX36">
        <v>6300</v>
      </c>
      <c r="CY36" s="244" t="s">
        <v>1295</v>
      </c>
      <c r="DA36" s="67">
        <v>45383</v>
      </c>
      <c r="DB36" t="s">
        <v>14047</v>
      </c>
      <c r="DE36">
        <f>136500+136500+24000+76000</f>
        <v>373000</v>
      </c>
      <c r="DF36" t="s">
        <v>14048</v>
      </c>
    </row>
    <row r="37" spans="1:110">
      <c r="A37" t="s">
        <v>1050</v>
      </c>
      <c r="B37" s="7">
        <v>41487</v>
      </c>
      <c r="C37" s="1">
        <v>35768.300000000003</v>
      </c>
      <c r="D37" t="str">
        <f t="shared" si="23"/>
        <v>1487</v>
      </c>
      <c r="BC37" t="s">
        <v>1296</v>
      </c>
      <c r="BS37" t="s">
        <v>1297</v>
      </c>
      <c r="BV37">
        <v>195000</v>
      </c>
      <c r="BY37" t="s">
        <v>1298</v>
      </c>
      <c r="CC37">
        <v>8606</v>
      </c>
      <c r="CF37" t="s">
        <v>1299</v>
      </c>
      <c r="CJ37">
        <v>6200</v>
      </c>
      <c r="CM37" s="5">
        <v>44743</v>
      </c>
      <c r="CN37" t="s">
        <v>1300</v>
      </c>
      <c r="CQ37">
        <v>173680</v>
      </c>
      <c r="CR37" t="s">
        <v>1301</v>
      </c>
      <c r="CT37" s="5">
        <v>45017</v>
      </c>
      <c r="CU37" t="s">
        <v>1215</v>
      </c>
      <c r="CX37">
        <v>19173</v>
      </c>
      <c r="CY37" t="s">
        <v>1302</v>
      </c>
      <c r="DA37" s="67">
        <v>45413</v>
      </c>
      <c r="DB37" t="s">
        <v>14054</v>
      </c>
      <c r="DE37">
        <v>31000</v>
      </c>
    </row>
    <row r="38" spans="1:110">
      <c r="A38" t="s">
        <v>1050</v>
      </c>
      <c r="B38" s="7">
        <v>41518</v>
      </c>
      <c r="C38" s="1">
        <v>150059.78</v>
      </c>
      <c r="D38" t="str">
        <f t="shared" si="23"/>
        <v>1518</v>
      </c>
      <c r="BC38" t="s">
        <v>1303</v>
      </c>
      <c r="BS38" t="s">
        <v>1304</v>
      </c>
      <c r="BV38">
        <v>21000</v>
      </c>
      <c r="CF38" t="s">
        <v>1305</v>
      </c>
      <c r="CJ38">
        <v>50000</v>
      </c>
      <c r="CM38" s="5">
        <v>44805</v>
      </c>
      <c r="CN38" t="s">
        <v>1306</v>
      </c>
      <c r="CQ38">
        <v>8586</v>
      </c>
      <c r="CT38" s="5">
        <v>45017</v>
      </c>
      <c r="CU38" t="s">
        <v>1215</v>
      </c>
      <c r="CX38">
        <v>24589</v>
      </c>
      <c r="CY38" t="s">
        <v>1307</v>
      </c>
      <c r="DA38" s="67">
        <v>45413</v>
      </c>
      <c r="DB38" t="s">
        <v>14252</v>
      </c>
      <c r="DE38">
        <v>80000</v>
      </c>
    </row>
    <row r="39" spans="1:110">
      <c r="A39" t="s">
        <v>1050</v>
      </c>
      <c r="B39" s="7">
        <v>41548</v>
      </c>
      <c r="C39" s="1">
        <v>61970.2</v>
      </c>
      <c r="D39" t="str">
        <f t="shared" si="23"/>
        <v>1548</v>
      </c>
      <c r="CF39" t="s">
        <v>1308</v>
      </c>
      <c r="CJ39">
        <v>75269</v>
      </c>
      <c r="CM39" s="5">
        <v>44805</v>
      </c>
      <c r="CN39" t="s">
        <v>1309</v>
      </c>
      <c r="CQ39">
        <v>13000</v>
      </c>
      <c r="CT39" s="5">
        <v>45017</v>
      </c>
      <c r="CU39" t="s">
        <v>1310</v>
      </c>
      <c r="CX39">
        <v>40000</v>
      </c>
      <c r="DA39" s="67">
        <v>45444</v>
      </c>
      <c r="DB39" t="s">
        <v>14254</v>
      </c>
      <c r="DE39">
        <v>39000</v>
      </c>
    </row>
    <row r="40" spans="1:110">
      <c r="A40" t="s">
        <v>1050</v>
      </c>
      <c r="B40" s="7">
        <v>41579</v>
      </c>
      <c r="C40" s="1">
        <v>42679</v>
      </c>
      <c r="D40" t="str">
        <f t="shared" si="23"/>
        <v>1579</v>
      </c>
      <c r="CF40" t="s">
        <v>1311</v>
      </c>
      <c r="CJ40">
        <v>7500</v>
      </c>
      <c r="CM40" s="5">
        <v>44835</v>
      </c>
      <c r="CN40" t="s">
        <v>1312</v>
      </c>
      <c r="CQ40">
        <f>30000</f>
        <v>30000</v>
      </c>
      <c r="CT40" s="5">
        <v>45017</v>
      </c>
      <c r="CU40" t="s">
        <v>1313</v>
      </c>
      <c r="CX40">
        <f>1700+5000+3050</f>
        <v>9750</v>
      </c>
      <c r="DA40" s="67">
        <v>45444</v>
      </c>
      <c r="DB40" t="s">
        <v>14255</v>
      </c>
      <c r="DE40">
        <v>32091</v>
      </c>
    </row>
    <row r="41" spans="1:110">
      <c r="A41" t="s">
        <v>1050</v>
      </c>
      <c r="B41" s="7">
        <v>41609</v>
      </c>
      <c r="C41" s="1">
        <v>58109</v>
      </c>
      <c r="D41" t="str">
        <f t="shared" si="23"/>
        <v>1609</v>
      </c>
      <c r="CF41" t="s">
        <v>1314</v>
      </c>
      <c r="CJ41">
        <v>24000</v>
      </c>
      <c r="CM41" s="5">
        <v>44835</v>
      </c>
      <c r="CN41" t="s">
        <v>1315</v>
      </c>
      <c r="CQ41">
        <v>50000</v>
      </c>
      <c r="CT41" s="5">
        <v>45017</v>
      </c>
      <c r="CU41" t="s">
        <v>1316</v>
      </c>
      <c r="CX41">
        <v>800</v>
      </c>
      <c r="DA41" s="67">
        <v>45444</v>
      </c>
      <c r="DB41" t="s">
        <v>1325</v>
      </c>
      <c r="DE41">
        <v>7000</v>
      </c>
    </row>
    <row r="42" spans="1:110">
      <c r="A42" t="s">
        <v>1050</v>
      </c>
      <c r="B42" s="7">
        <v>41640</v>
      </c>
      <c r="C42" s="1">
        <v>31644.010000000002</v>
      </c>
      <c r="D42" t="str">
        <f t="shared" si="23"/>
        <v>1640</v>
      </c>
      <c r="CF42" t="s">
        <v>1317</v>
      </c>
      <c r="CJ42">
        <v>82300</v>
      </c>
      <c r="CM42" s="5">
        <v>44866</v>
      </c>
      <c r="CT42" s="5">
        <v>45017</v>
      </c>
      <c r="CU42" t="s">
        <v>1318</v>
      </c>
      <c r="CX42">
        <v>309111</v>
      </c>
      <c r="DA42" s="67">
        <v>45474</v>
      </c>
      <c r="DB42" t="s">
        <v>14425</v>
      </c>
      <c r="DE42">
        <v>470484</v>
      </c>
      <c r="DF42" t="s">
        <v>14426</v>
      </c>
    </row>
    <row r="43" spans="1:110">
      <c r="A43" t="s">
        <v>1050</v>
      </c>
      <c r="B43" s="7">
        <v>41671</v>
      </c>
      <c r="C43" s="1">
        <v>22524</v>
      </c>
      <c r="D43" t="str">
        <f t="shared" si="23"/>
        <v>1671</v>
      </c>
      <c r="CM43" s="5">
        <v>44835</v>
      </c>
      <c r="CN43" t="s">
        <v>1319</v>
      </c>
      <c r="CQ43">
        <v>6500</v>
      </c>
      <c r="CT43" s="5">
        <v>45017</v>
      </c>
      <c r="CU43" t="s">
        <v>1320</v>
      </c>
      <c r="CX43">
        <f>3000+1500+200</f>
        <v>4700</v>
      </c>
    </row>
    <row r="44" spans="1:110">
      <c r="A44" t="s">
        <v>1050</v>
      </c>
      <c r="B44" s="7">
        <v>41699</v>
      </c>
      <c r="C44" s="1">
        <v>32902.5</v>
      </c>
      <c r="D44" t="str">
        <f t="shared" si="23"/>
        <v>1699</v>
      </c>
      <c r="CM44" s="5">
        <v>44835</v>
      </c>
      <c r="CN44" t="s">
        <v>1321</v>
      </c>
      <c r="CQ44">
        <v>57200</v>
      </c>
      <c r="CT44" s="5">
        <v>45017</v>
      </c>
      <c r="CU44" t="s">
        <v>1322</v>
      </c>
      <c r="CX44">
        <f>3800+3400+8100</f>
        <v>15300</v>
      </c>
    </row>
    <row r="45" spans="1:110">
      <c r="A45" t="s">
        <v>1050</v>
      </c>
      <c r="B45" s="7">
        <v>41730</v>
      </c>
      <c r="C45" s="1">
        <v>21846</v>
      </c>
      <c r="D45" t="str">
        <f t="shared" si="23"/>
        <v>1730</v>
      </c>
      <c r="CM45" s="5">
        <v>44896</v>
      </c>
      <c r="CN45" t="s">
        <v>1323</v>
      </c>
      <c r="CQ45">
        <v>30000</v>
      </c>
      <c r="CT45" s="5">
        <v>45017</v>
      </c>
      <c r="CU45" t="s">
        <v>1324</v>
      </c>
      <c r="CX45">
        <v>8561</v>
      </c>
    </row>
    <row r="46" spans="1:110">
      <c r="A46" t="s">
        <v>1050</v>
      </c>
      <c r="B46" s="7">
        <v>41760</v>
      </c>
      <c r="C46" s="1">
        <v>25832</v>
      </c>
      <c r="D46" t="str">
        <f t="shared" si="23"/>
        <v>1760</v>
      </c>
      <c r="CM46" s="5">
        <v>44896</v>
      </c>
      <c r="CN46" t="s">
        <v>1325</v>
      </c>
      <c r="CQ46">
        <v>8000</v>
      </c>
      <c r="CT46" s="5">
        <v>45017</v>
      </c>
      <c r="CU46" t="s">
        <v>1326</v>
      </c>
      <c r="CX46">
        <v>6300</v>
      </c>
    </row>
    <row r="47" spans="1:110">
      <c r="A47" t="s">
        <v>1050</v>
      </c>
      <c r="B47" s="7">
        <v>41791</v>
      </c>
      <c r="C47" s="1">
        <v>62980</v>
      </c>
      <c r="D47" t="str">
        <f t="shared" si="23"/>
        <v>1791</v>
      </c>
      <c r="CM47" s="5">
        <v>44896</v>
      </c>
      <c r="CN47" t="s">
        <v>1327</v>
      </c>
      <c r="CQ47">
        <v>25000</v>
      </c>
      <c r="CT47" s="5">
        <v>45047</v>
      </c>
      <c r="CU47" t="s">
        <v>1328</v>
      </c>
      <c r="CX47">
        <v>33430</v>
      </c>
    </row>
    <row r="48" spans="1:110">
      <c r="A48" t="s">
        <v>1050</v>
      </c>
      <c r="B48" s="7">
        <v>41821</v>
      </c>
      <c r="C48" s="1">
        <v>31357</v>
      </c>
      <c r="D48" t="str">
        <f t="shared" si="23"/>
        <v>1821</v>
      </c>
      <c r="CM48" s="5">
        <v>44896</v>
      </c>
      <c r="CN48" t="s">
        <v>1329</v>
      </c>
      <c r="CQ48">
        <v>7000</v>
      </c>
      <c r="CT48" s="5">
        <v>45047</v>
      </c>
      <c r="CU48" t="s">
        <v>1330</v>
      </c>
      <c r="CX48">
        <v>8000</v>
      </c>
    </row>
    <row r="49" spans="1:103">
      <c r="A49" t="s">
        <v>1050</v>
      </c>
      <c r="B49" s="7">
        <v>41852</v>
      </c>
      <c r="C49" s="1">
        <v>19629.46</v>
      </c>
      <c r="D49" t="str">
        <f t="shared" ref="D49:D56" si="24">RIGHT(B49,4)</f>
        <v>1852</v>
      </c>
      <c r="CT49" s="5">
        <v>45047</v>
      </c>
      <c r="CU49" t="s">
        <v>1331</v>
      </c>
      <c r="CX49">
        <v>68000</v>
      </c>
      <c r="CY49" t="s">
        <v>1332</v>
      </c>
    </row>
    <row r="50" spans="1:103">
      <c r="A50" t="s">
        <v>1050</v>
      </c>
      <c r="B50" s="7">
        <v>41883</v>
      </c>
      <c r="C50" s="1">
        <v>243581</v>
      </c>
      <c r="D50" t="str">
        <f t="shared" si="24"/>
        <v>1883</v>
      </c>
      <c r="CT50" s="5">
        <v>45047</v>
      </c>
      <c r="CU50" t="s">
        <v>1333</v>
      </c>
      <c r="CX50">
        <v>4200</v>
      </c>
    </row>
    <row r="51" spans="1:103">
      <c r="A51" t="s">
        <v>1050</v>
      </c>
      <c r="B51" s="7">
        <v>41913</v>
      </c>
      <c r="C51" s="1">
        <v>29177</v>
      </c>
      <c r="D51" t="str">
        <f t="shared" si="24"/>
        <v>1913</v>
      </c>
      <c r="CT51" s="5">
        <v>45078</v>
      </c>
      <c r="CU51" t="s">
        <v>1334</v>
      </c>
      <c r="CX51">
        <v>140000</v>
      </c>
    </row>
    <row r="52" spans="1:103">
      <c r="A52" t="s">
        <v>1050</v>
      </c>
      <c r="B52" s="7">
        <v>41944</v>
      </c>
      <c r="C52" s="1">
        <v>38590.339999999997</v>
      </c>
      <c r="D52" t="str">
        <f t="shared" si="24"/>
        <v>1944</v>
      </c>
      <c r="CT52" s="5">
        <v>45078</v>
      </c>
      <c r="CU52" t="s">
        <v>1335</v>
      </c>
      <c r="CX52">
        <f>22500+3500</f>
        <v>26000</v>
      </c>
    </row>
    <row r="53" spans="1:103">
      <c r="A53" t="s">
        <v>1050</v>
      </c>
      <c r="B53" s="7">
        <v>41974</v>
      </c>
      <c r="C53" s="1">
        <v>52627</v>
      </c>
      <c r="D53" t="str">
        <f t="shared" si="24"/>
        <v>1974</v>
      </c>
      <c r="CT53" s="282">
        <v>45078</v>
      </c>
      <c r="CU53" s="166" t="s">
        <v>12513</v>
      </c>
      <c r="CV53" s="166"/>
      <c r="CW53" s="166"/>
      <c r="CX53" s="166">
        <v>-117000</v>
      </c>
      <c r="CY53" s="244" t="s">
        <v>12679</v>
      </c>
    </row>
    <row r="54" spans="1:103">
      <c r="A54" t="s">
        <v>1050</v>
      </c>
      <c r="B54" s="7">
        <v>42005</v>
      </c>
      <c r="C54" s="1">
        <v>22148</v>
      </c>
      <c r="D54" t="str">
        <f t="shared" si="24"/>
        <v>2005</v>
      </c>
      <c r="CT54" s="67">
        <v>45108</v>
      </c>
      <c r="CU54" t="s">
        <v>12357</v>
      </c>
      <c r="CX54">
        <v>162060</v>
      </c>
    </row>
    <row r="55" spans="1:103">
      <c r="A55" t="s">
        <v>1050</v>
      </c>
      <c r="B55" s="7">
        <v>42036</v>
      </c>
      <c r="C55" s="1">
        <v>19540</v>
      </c>
      <c r="D55" t="str">
        <f t="shared" si="24"/>
        <v>2036</v>
      </c>
      <c r="CT55" s="67">
        <v>45108</v>
      </c>
      <c r="CU55" t="s">
        <v>1300</v>
      </c>
      <c r="CX55">
        <v>127900</v>
      </c>
    </row>
    <row r="56" spans="1:103">
      <c r="A56" t="s">
        <v>1050</v>
      </c>
      <c r="B56" s="7">
        <v>42064</v>
      </c>
      <c r="C56" s="1">
        <v>26500</v>
      </c>
      <c r="D56" t="str">
        <f t="shared" si="24"/>
        <v>2064</v>
      </c>
      <c r="CT56" s="67">
        <v>45108</v>
      </c>
      <c r="CU56" t="s">
        <v>12358</v>
      </c>
      <c r="CX56">
        <v>156000</v>
      </c>
      <c r="CY56" s="8" t="s">
        <v>12359</v>
      </c>
    </row>
    <row r="57" spans="1:103">
      <c r="A57" t="s">
        <v>1336</v>
      </c>
      <c r="B57" s="7">
        <v>40664</v>
      </c>
      <c r="C57" s="1">
        <v>12431.03</v>
      </c>
      <c r="CT57" s="67">
        <v>45108</v>
      </c>
      <c r="CU57" t="s">
        <v>12508</v>
      </c>
      <c r="CX57">
        <v>7372</v>
      </c>
    </row>
    <row r="58" spans="1:103">
      <c r="A58" t="s">
        <v>1336</v>
      </c>
      <c r="B58" s="7">
        <v>40695</v>
      </c>
      <c r="C58" s="1">
        <v>78353.02</v>
      </c>
      <c r="CT58" s="67">
        <v>45139</v>
      </c>
      <c r="CU58" t="s">
        <v>12510</v>
      </c>
      <c r="CX58">
        <f>3500+250</f>
        <v>3750</v>
      </c>
    </row>
    <row r="59" spans="1:103">
      <c r="A59" t="s">
        <v>1336</v>
      </c>
      <c r="B59" s="7">
        <v>40725</v>
      </c>
      <c r="C59" s="1">
        <v>26702.25</v>
      </c>
      <c r="CT59" s="67">
        <v>45139</v>
      </c>
      <c r="CU59" t="s">
        <v>12511</v>
      </c>
      <c r="CX59">
        <v>20000</v>
      </c>
    </row>
    <row r="60" spans="1:103">
      <c r="A60" t="s">
        <v>1336</v>
      </c>
      <c r="B60" s="7">
        <v>40756</v>
      </c>
      <c r="C60" s="1">
        <v>427662.77999999997</v>
      </c>
      <c r="CT60" s="67">
        <v>45139</v>
      </c>
      <c r="CU60" t="s">
        <v>12512</v>
      </c>
      <c r="CX60">
        <v>17000</v>
      </c>
    </row>
    <row r="61" spans="1:103">
      <c r="A61" t="s">
        <v>1336</v>
      </c>
      <c r="B61" s="7">
        <v>40787</v>
      </c>
      <c r="C61" s="1">
        <v>44575</v>
      </c>
      <c r="CT61" s="67">
        <v>45139</v>
      </c>
      <c r="CU61" t="s">
        <v>12514</v>
      </c>
      <c r="CX61">
        <v>42000</v>
      </c>
    </row>
    <row r="62" spans="1:103">
      <c r="A62" t="s">
        <v>1336</v>
      </c>
      <c r="B62" s="7">
        <v>40817</v>
      </c>
      <c r="C62" s="1">
        <v>606666</v>
      </c>
      <c r="CT62" s="67">
        <v>45139</v>
      </c>
      <c r="CU62" t="s">
        <v>12515</v>
      </c>
      <c r="CX62">
        <v>30000</v>
      </c>
    </row>
    <row r="63" spans="1:103">
      <c r="A63" t="s">
        <v>1336</v>
      </c>
      <c r="B63" s="7">
        <v>40848</v>
      </c>
      <c r="C63" s="1">
        <v>132638.28</v>
      </c>
      <c r="CT63" s="67">
        <v>45139</v>
      </c>
      <c r="CU63" t="s">
        <v>12516</v>
      </c>
      <c r="CX63">
        <v>11700</v>
      </c>
    </row>
    <row r="64" spans="1:103">
      <c r="A64" t="s">
        <v>1336</v>
      </c>
      <c r="B64" s="7">
        <v>40878</v>
      </c>
      <c r="C64" s="1">
        <v>46170.880000000005</v>
      </c>
      <c r="CT64" s="67">
        <v>45170</v>
      </c>
      <c r="CU64" t="s">
        <v>12822</v>
      </c>
      <c r="CX64">
        <v>10000</v>
      </c>
    </row>
    <row r="65" spans="1:102">
      <c r="A65" t="s">
        <v>1336</v>
      </c>
      <c r="B65" s="7">
        <v>40909</v>
      </c>
      <c r="C65" s="1">
        <v>25118.87</v>
      </c>
      <c r="CT65" s="67">
        <v>45200</v>
      </c>
      <c r="CU65" t="s">
        <v>12823</v>
      </c>
      <c r="CX65">
        <v>105000</v>
      </c>
    </row>
    <row r="66" spans="1:102">
      <c r="A66" t="s">
        <v>1336</v>
      </c>
      <c r="B66" s="7">
        <v>40940</v>
      </c>
      <c r="C66" s="1">
        <v>51206.25</v>
      </c>
      <c r="CT66" s="67">
        <v>45200</v>
      </c>
      <c r="CU66" t="s">
        <v>12825</v>
      </c>
      <c r="CX66">
        <f>17000+9000</f>
        <v>26000</v>
      </c>
    </row>
    <row r="67" spans="1:102">
      <c r="A67" t="s">
        <v>1336</v>
      </c>
      <c r="B67" s="7">
        <v>40969</v>
      </c>
      <c r="C67" s="1">
        <v>105402.01</v>
      </c>
      <c r="CT67" s="67">
        <v>45200</v>
      </c>
      <c r="CU67" t="s">
        <v>12826</v>
      </c>
      <c r="CX67">
        <v>10000</v>
      </c>
    </row>
    <row r="68" spans="1:102">
      <c r="A68" t="s">
        <v>1336</v>
      </c>
      <c r="B68" s="7">
        <v>41000</v>
      </c>
      <c r="C68" s="1">
        <v>34186.620000000003</v>
      </c>
      <c r="CT68" s="67">
        <v>45231</v>
      </c>
      <c r="CU68" t="s">
        <v>12827</v>
      </c>
      <c r="CX68">
        <v>10000</v>
      </c>
    </row>
    <row r="69" spans="1:102">
      <c r="A69" t="s">
        <v>1336</v>
      </c>
      <c r="B69" s="7">
        <v>41030</v>
      </c>
      <c r="C69" s="1">
        <v>52733.86</v>
      </c>
      <c r="CT69" s="67">
        <v>45231</v>
      </c>
      <c r="CU69" t="s">
        <v>12975</v>
      </c>
      <c r="CX69">
        <f>2000+1200</f>
        <v>3200</v>
      </c>
    </row>
    <row r="70" spans="1:102">
      <c r="A70" t="s">
        <v>1336</v>
      </c>
      <c r="B70" s="7">
        <v>41061</v>
      </c>
      <c r="C70" s="1">
        <v>71017.3</v>
      </c>
      <c r="CT70" s="67">
        <v>45231</v>
      </c>
      <c r="CU70" t="s">
        <v>12982</v>
      </c>
      <c r="CX70">
        <v>15000</v>
      </c>
    </row>
    <row r="71" spans="1:102">
      <c r="A71" t="s">
        <v>1336</v>
      </c>
      <c r="B71" s="7">
        <v>41091</v>
      </c>
      <c r="C71" s="1">
        <v>170562.87</v>
      </c>
      <c r="CT71" s="67">
        <v>45231</v>
      </c>
      <c r="CU71" t="s">
        <v>12983</v>
      </c>
      <c r="CX71">
        <f>12000+15888</f>
        <v>27888</v>
      </c>
    </row>
    <row r="72" spans="1:102">
      <c r="A72" t="s">
        <v>1336</v>
      </c>
      <c r="B72" s="7">
        <v>41122</v>
      </c>
      <c r="C72" s="1">
        <v>38610.300000000003</v>
      </c>
      <c r="CT72" s="67">
        <v>45231</v>
      </c>
      <c r="CU72" t="s">
        <v>12984</v>
      </c>
      <c r="CX72">
        <f>1000+10092</f>
        <v>11092</v>
      </c>
    </row>
    <row r="73" spans="1:102">
      <c r="A73" t="s">
        <v>1336</v>
      </c>
      <c r="B73" s="7">
        <v>41153</v>
      </c>
      <c r="C73" s="1">
        <v>34955.85</v>
      </c>
      <c r="CT73" s="67">
        <v>45261</v>
      </c>
      <c r="CU73" t="s">
        <v>12985</v>
      </c>
      <c r="CX73">
        <f>3500+1000+3000</f>
        <v>7500</v>
      </c>
    </row>
    <row r="74" spans="1:102">
      <c r="A74" t="s">
        <v>1336</v>
      </c>
      <c r="B74" s="7">
        <v>41183</v>
      </c>
      <c r="C74" s="1">
        <v>29217.06</v>
      </c>
      <c r="CT74" s="67">
        <v>45261</v>
      </c>
      <c r="CU74" t="s">
        <v>12986</v>
      </c>
      <c r="CX74">
        <v>8000</v>
      </c>
    </row>
    <row r="75" spans="1:102">
      <c r="A75" t="s">
        <v>1336</v>
      </c>
      <c r="B75" s="7">
        <v>41214</v>
      </c>
      <c r="C75" s="1">
        <v>16061.75</v>
      </c>
      <c r="CT75" s="67">
        <v>45261</v>
      </c>
      <c r="CU75" t="s">
        <v>13128</v>
      </c>
      <c r="CX75">
        <v>4300</v>
      </c>
    </row>
    <row r="76" spans="1:102">
      <c r="A76" t="s">
        <v>1336</v>
      </c>
      <c r="B76" s="7">
        <v>41244</v>
      </c>
      <c r="C76" s="1">
        <v>20196.13</v>
      </c>
      <c r="CT76" s="67">
        <v>45261</v>
      </c>
      <c r="CU76" t="s">
        <v>13129</v>
      </c>
      <c r="CX76">
        <f>2500+1500+800+668+6500+27000</f>
        <v>38968</v>
      </c>
    </row>
    <row r="77" spans="1:102">
      <c r="A77" t="s">
        <v>1336</v>
      </c>
      <c r="B77" s="7">
        <v>41275</v>
      </c>
      <c r="C77" s="1">
        <v>65354.39</v>
      </c>
      <c r="CT77" s="67">
        <v>45261</v>
      </c>
      <c r="CU77" t="s">
        <v>13130</v>
      </c>
      <c r="CX77">
        <v>35000</v>
      </c>
    </row>
    <row r="78" spans="1:102">
      <c r="A78" t="s">
        <v>1336</v>
      </c>
      <c r="B78" s="7">
        <v>41334</v>
      </c>
      <c r="C78" s="1">
        <v>22312.38</v>
      </c>
    </row>
    <row r="79" spans="1:102">
      <c r="A79" t="s">
        <v>1336</v>
      </c>
      <c r="B79" s="7">
        <v>41365</v>
      </c>
      <c r="C79" s="1">
        <v>31212.49</v>
      </c>
      <c r="CR79" t="s">
        <v>12517</v>
      </c>
    </row>
    <row r="80" spans="1:102">
      <c r="A80" t="s">
        <v>1336</v>
      </c>
      <c r="B80" s="7">
        <v>41395</v>
      </c>
      <c r="C80" s="1">
        <v>2250</v>
      </c>
      <c r="CR80" t="s">
        <v>12518</v>
      </c>
      <c r="CT80" t="s">
        <v>12519</v>
      </c>
      <c r="CU80" t="s">
        <v>12523</v>
      </c>
    </row>
    <row r="81" spans="1:100">
      <c r="A81" t="s">
        <v>1336</v>
      </c>
      <c r="B81" s="7">
        <v>41426</v>
      </c>
      <c r="C81" s="1">
        <v>25538.41</v>
      </c>
      <c r="CR81" t="s">
        <v>12520</v>
      </c>
      <c r="CT81" s="1">
        <v>5056034</v>
      </c>
    </row>
    <row r="82" spans="1:100">
      <c r="A82" t="s">
        <v>1336</v>
      </c>
      <c r="B82" s="7">
        <v>41456</v>
      </c>
      <c r="C82" s="1">
        <v>131330.23000000001</v>
      </c>
      <c r="CR82" t="s">
        <v>12521</v>
      </c>
      <c r="CT82" s="51">
        <v>25000</v>
      </c>
      <c r="CU82" t="s">
        <v>12524</v>
      </c>
      <c r="CV82" s="105">
        <v>39538</v>
      </c>
    </row>
    <row r="83" spans="1:100">
      <c r="A83" t="s">
        <v>1336</v>
      </c>
      <c r="B83" s="7">
        <v>41487</v>
      </c>
      <c r="C83" s="1">
        <v>5150</v>
      </c>
      <c r="CR83" t="s">
        <v>12522</v>
      </c>
      <c r="CT83" s="51">
        <v>213000</v>
      </c>
    </row>
    <row r="84" spans="1:100">
      <c r="A84" t="s">
        <v>1336</v>
      </c>
      <c r="B84" s="7">
        <v>41518</v>
      </c>
      <c r="C84" s="1">
        <v>40103.03</v>
      </c>
    </row>
    <row r="85" spans="1:100">
      <c r="A85" t="s">
        <v>1336</v>
      </c>
      <c r="B85" s="7">
        <v>41548</v>
      </c>
      <c r="C85" s="1">
        <v>5228.32</v>
      </c>
    </row>
    <row r="86" spans="1:100">
      <c r="A86" t="s">
        <v>1336</v>
      </c>
      <c r="B86" s="7">
        <v>41579</v>
      </c>
      <c r="C86" s="1">
        <v>46364</v>
      </c>
    </row>
    <row r="87" spans="1:100">
      <c r="A87" t="s">
        <v>1336</v>
      </c>
      <c r="B87" s="7">
        <v>41640</v>
      </c>
      <c r="C87" s="1">
        <v>105193.67</v>
      </c>
    </row>
    <row r="88" spans="1:100">
      <c r="A88" t="s">
        <v>1336</v>
      </c>
      <c r="B88" s="7">
        <v>41671</v>
      </c>
      <c r="C88" s="1">
        <v>107000</v>
      </c>
    </row>
    <row r="89" spans="1:100">
      <c r="A89" t="s">
        <v>1336</v>
      </c>
      <c r="B89" s="7">
        <v>41699</v>
      </c>
      <c r="C89" s="1">
        <v>23904.51</v>
      </c>
    </row>
    <row r="90" spans="1:100">
      <c r="A90" t="s">
        <v>1336</v>
      </c>
      <c r="B90" s="7">
        <v>41730</v>
      </c>
      <c r="C90" s="1">
        <v>128369</v>
      </c>
    </row>
    <row r="91" spans="1:100">
      <c r="A91" t="s">
        <v>1336</v>
      </c>
      <c r="B91" s="7">
        <v>41760</v>
      </c>
      <c r="C91" s="1">
        <v>238974.74000000002</v>
      </c>
    </row>
    <row r="92" spans="1:100">
      <c r="A92" t="s">
        <v>1336</v>
      </c>
      <c r="B92" s="7">
        <v>41821</v>
      </c>
      <c r="C92" s="1">
        <v>26096.75</v>
      </c>
    </row>
    <row r="93" spans="1:100">
      <c r="A93" t="s">
        <v>1336</v>
      </c>
      <c r="B93" s="7">
        <v>41852</v>
      </c>
      <c r="C93" s="1">
        <v>92607.97</v>
      </c>
    </row>
    <row r="94" spans="1:100">
      <c r="A94" t="s">
        <v>1336</v>
      </c>
      <c r="B94" s="7">
        <v>41883</v>
      </c>
      <c r="C94" s="1">
        <v>28299.52</v>
      </c>
    </row>
    <row r="95" spans="1:100">
      <c r="A95" t="s">
        <v>1336</v>
      </c>
      <c r="B95" s="7">
        <v>41944</v>
      </c>
      <c r="C95" s="1">
        <v>48420.22</v>
      </c>
    </row>
    <row r="96" spans="1:100">
      <c r="A96" t="s">
        <v>1336</v>
      </c>
      <c r="B96" s="7">
        <v>41974</v>
      </c>
      <c r="C96" s="1">
        <v>25515.56</v>
      </c>
    </row>
    <row r="97" spans="1:3">
      <c r="A97" t="s">
        <v>1336</v>
      </c>
      <c r="B97" s="7">
        <v>42005</v>
      </c>
      <c r="C97" s="1">
        <v>68566.040000000008</v>
      </c>
    </row>
    <row r="98" spans="1:3">
      <c r="A98" t="s">
        <v>1336</v>
      </c>
      <c r="B98" s="7">
        <v>42036</v>
      </c>
      <c r="C98" s="1">
        <v>18899.349999999999</v>
      </c>
    </row>
    <row r="99" spans="1:3">
      <c r="A99" t="s">
        <v>1336</v>
      </c>
      <c r="B99" s="7">
        <v>42095</v>
      </c>
      <c r="C99" s="1">
        <v>303718.74</v>
      </c>
    </row>
    <row r="100" spans="1:3">
      <c r="A100" t="s">
        <v>1336</v>
      </c>
      <c r="B100" s="7">
        <v>42125</v>
      </c>
      <c r="C100" s="1">
        <v>64194.49</v>
      </c>
    </row>
    <row r="101" spans="1:3">
      <c r="A101" t="s">
        <v>1336</v>
      </c>
      <c r="B101" s="7">
        <v>42156</v>
      </c>
      <c r="C101" s="1">
        <v>29677.48</v>
      </c>
    </row>
    <row r="102" spans="1:3">
      <c r="A102" t="s">
        <v>1336</v>
      </c>
      <c r="B102" s="7">
        <v>42186</v>
      </c>
      <c r="C102" s="1">
        <v>42736.93</v>
      </c>
    </row>
    <row r="103" spans="1:3">
      <c r="A103" t="s">
        <v>1336</v>
      </c>
      <c r="B103" s="7">
        <v>42217</v>
      </c>
      <c r="C103" s="1">
        <v>45500</v>
      </c>
    </row>
    <row r="104" spans="1:3">
      <c r="A104" t="s">
        <v>1336</v>
      </c>
      <c r="B104" s="7">
        <v>42248</v>
      </c>
      <c r="C104" s="1">
        <v>158572.29</v>
      </c>
    </row>
    <row r="105" spans="1:3">
      <c r="A105" t="s">
        <v>1336</v>
      </c>
      <c r="B105" s="7">
        <v>42278</v>
      </c>
      <c r="C105" s="1">
        <v>97464.77</v>
      </c>
    </row>
    <row r="106" spans="1:3">
      <c r="A106" t="s">
        <v>1336</v>
      </c>
      <c r="B106" s="7">
        <v>42309</v>
      </c>
      <c r="C106" s="1">
        <v>47628</v>
      </c>
    </row>
    <row r="107" spans="1:3">
      <c r="A107" t="s">
        <v>1336</v>
      </c>
      <c r="B107" s="7">
        <v>42339</v>
      </c>
      <c r="C107" s="1">
        <v>135026.65</v>
      </c>
    </row>
    <row r="108" spans="1:3">
      <c r="A108" t="s">
        <v>1336</v>
      </c>
      <c r="B108" s="7">
        <v>42370</v>
      </c>
      <c r="C108" s="1">
        <v>61732.95</v>
      </c>
    </row>
    <row r="109" spans="1:3">
      <c r="A109" t="s">
        <v>1336</v>
      </c>
      <c r="B109" s="7">
        <v>42401</v>
      </c>
      <c r="C109" s="1">
        <v>115279.05</v>
      </c>
    </row>
    <row r="110" spans="1:3">
      <c r="A110" t="s">
        <v>1336</v>
      </c>
      <c r="B110" s="7">
        <v>42430</v>
      </c>
      <c r="C110" s="1">
        <v>224883.6</v>
      </c>
    </row>
    <row r="111" spans="1:3">
      <c r="A111" t="s">
        <v>1336</v>
      </c>
      <c r="B111" s="7">
        <v>42461</v>
      </c>
      <c r="C111" s="1">
        <v>52759.63</v>
      </c>
    </row>
  </sheetData>
  <pageMargins left="0.7" right="0.7" top="0.75" bottom="0.75" header="0.3" footer="0.3"/>
  <pageSetup paperSize="9" orientation="portrait" r:id="rId1"/>
  <legacyDrawing r:id="rId2"/>
  <extLst>
    <ext xmlns:x14="http://schemas.microsoft.com/office/spreadsheetml/2009/9/main" uri="{05C60535-1F16-4fd2-B633-F4F36F0B64E0}">
      <x14:sparklineGroups xmlns:xm="http://schemas.microsoft.com/office/excel/2006/main">
        <x14:sparklineGroup displayEmptyCellsAs="gap" high="1" low="1" minAxisType="group" maxAxisType="group" xr2:uid="{7A22104B-8913-464F-A2E8-BABA8D2B8F06}">
          <x14:colorSeries rgb="FF376092"/>
          <x14:colorNegative rgb="FFD00000"/>
          <x14:colorAxis rgb="FF000000"/>
          <x14:colorMarkers rgb="FFD00000"/>
          <x14:colorFirst rgb="FFD00000"/>
          <x14:colorLast rgb="FFD00000"/>
          <x14:colorHigh rgb="FFD00000"/>
          <x14:colorLow rgb="FFD00000"/>
          <x14:sparklines>
            <x14:sparkline>
              <xm:f>'All Exp ICICI and HDFC V&amp;V'!CQ2:CQ14</xm:f>
              <xm:sqref>CQ18</xm:sqref>
            </x14:sparkline>
          </x14:sparklines>
        </x14:sparklineGroup>
        <x14:sparklineGroup displayEmptyCellsAs="gap" high="1" low="1" minAxisType="group" maxAxisType="group" xr2:uid="{E2B41B02-1140-4E4A-8590-2175425AB375}">
          <x14:colorSeries rgb="FF376092"/>
          <x14:colorNegative rgb="FFD00000"/>
          <x14:colorAxis rgb="FF000000"/>
          <x14:colorMarkers rgb="FFD00000"/>
          <x14:colorFirst rgb="FFD00000"/>
          <x14:colorLast rgb="FFD00000"/>
          <x14:colorHigh rgb="FFD00000"/>
          <x14:colorLow rgb="FFD00000"/>
          <x14:sparklines>
            <x14:sparkline>
              <xm:f>'All Exp ICICI and HDFC V&amp;V'!CJ2:CJ14</xm:f>
              <xm:sqref>CJ18</xm:sqref>
            </x14:sparkline>
          </x14:sparklines>
        </x14:sparklineGroup>
        <x14:sparklineGroup displayEmptyCellsAs="gap" high="1" low="1" minAxisType="group" maxAxisType="group" xr2:uid="{2E813D8F-A419-46B1-B5BE-25011963DA3C}">
          <x14:colorSeries rgb="FF376092"/>
          <x14:colorNegative rgb="FFD00000"/>
          <x14:colorAxis rgb="FF000000"/>
          <x14:colorMarkers rgb="FFD00000"/>
          <x14:colorFirst rgb="FFD00000"/>
          <x14:colorLast rgb="FFD00000"/>
          <x14:colorHigh rgb="FFD00000"/>
          <x14:colorLow rgb="FFD00000"/>
          <x14:sparklines>
            <x14:sparkline>
              <xm:f>'All Exp ICICI and HDFC V&amp;V'!CC2:CC14</xm:f>
              <xm:sqref>CC18</xm:sqref>
            </x14:sparkline>
          </x14:sparklines>
        </x14:sparklineGroup>
        <x14:sparklineGroup displayEmptyCellsAs="gap" high="1" low="1" minAxisType="group" maxAxisType="group" xr2:uid="{6AD6B566-E69A-403B-A9BF-266F9CD00205}">
          <x14:colorSeries rgb="FF376092"/>
          <x14:colorNegative rgb="FFD00000"/>
          <x14:colorAxis rgb="FF000000"/>
          <x14:colorMarkers rgb="FFD00000"/>
          <x14:colorFirst rgb="FFD00000"/>
          <x14:colorLast rgb="FFD00000"/>
          <x14:colorHigh rgb="FFD00000"/>
          <x14:colorLow rgb="FFD00000"/>
          <x14:sparklines>
            <x14:sparkline>
              <xm:f>'All Exp ICICI and HDFC V&amp;V'!CX2:CX14</xm:f>
              <xm:sqref>CX18</xm:sqref>
            </x14:sparkline>
          </x14:sparklines>
        </x14:sparklineGroup>
        <x14:sparklineGroup displayEmptyCellsAs="gap" high="1" low="1" minAxisType="group" maxAxisType="group" xr2:uid="{0725809E-2352-4A72-A289-2713E7A89419}">
          <x14:colorSeries rgb="FF376092"/>
          <x14:colorNegative rgb="FFD00000"/>
          <x14:colorAxis rgb="FF000000"/>
          <x14:colorMarkers rgb="FFD00000"/>
          <x14:colorFirst rgb="FFD00000"/>
          <x14:colorLast rgb="FFD00000"/>
          <x14:colorHigh rgb="FFD00000"/>
          <x14:colorLow rgb="FFD00000"/>
          <x14:sparklines>
            <x14:sparkline>
              <xm:f>'All Exp ICICI and HDFC V&amp;V'!DE2:DE14</xm:f>
              <xm:sqref>DE18</xm:sqref>
            </x14:sparkline>
          </x14:sparklines>
        </x14:sparklineGroup>
      </x14:sparklineGroups>
    </ext>
  </extLst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sheetPr>
    <tabColor rgb="FFFF0000"/>
  </sheetPr>
  <dimension ref="B1:U25"/>
  <sheetViews>
    <sheetView workbookViewId="0">
      <selection activeCell="C4" sqref="C4"/>
    </sheetView>
  </sheetViews>
  <sheetFormatPr defaultRowHeight="15"/>
  <cols>
    <col min="1" max="1" width="4" customWidth="1"/>
    <col min="2" max="2" width="30.7109375" customWidth="1"/>
    <col min="3" max="3" width="12.7109375" customWidth="1"/>
    <col min="4" max="4" width="12.7109375" bestFit="1" customWidth="1"/>
    <col min="5" max="5" width="13.42578125" customWidth="1"/>
    <col min="6" max="6" width="12.7109375" bestFit="1" customWidth="1"/>
    <col min="7" max="7" width="11.140625" bestFit="1" customWidth="1"/>
    <col min="8" max="14" width="12.140625" bestFit="1" customWidth="1"/>
    <col min="15" max="15" width="11.140625" bestFit="1" customWidth="1"/>
    <col min="16" max="16" width="10.5703125" bestFit="1" customWidth="1"/>
    <col min="17" max="17" width="11.42578125" customWidth="1"/>
    <col min="18" max="18" width="11.28515625" bestFit="1" customWidth="1"/>
    <col min="19" max="19" width="9" bestFit="1" customWidth="1"/>
  </cols>
  <sheetData>
    <row r="1" spans="2:21" ht="17.25" customHeight="1">
      <c r="B1" t="s">
        <v>1337</v>
      </c>
      <c r="E1" s="10">
        <f t="shared" ref="E1:R1" si="0">E4-D4</f>
        <v>195121.8600000001</v>
      </c>
      <c r="F1" s="10">
        <f t="shared" si="0"/>
        <v>-137861.46999999997</v>
      </c>
      <c r="G1" s="10">
        <f t="shared" si="0"/>
        <v>-58060.620000000112</v>
      </c>
      <c r="H1" s="10">
        <f t="shared" si="0"/>
        <v>289429.39000000013</v>
      </c>
      <c r="I1" s="10">
        <f t="shared" si="0"/>
        <v>-8050.6500000001397</v>
      </c>
      <c r="J1" s="10">
        <f t="shared" si="0"/>
        <v>631124.5</v>
      </c>
      <c r="K1" s="10">
        <f t="shared" si="0"/>
        <v>638431.73000000021</v>
      </c>
      <c r="L1" s="10">
        <f t="shared" si="0"/>
        <v>98183.450000000186</v>
      </c>
      <c r="M1" s="10">
        <f t="shared" si="0"/>
        <v>163632.10999999987</v>
      </c>
      <c r="N1" s="10">
        <f t="shared" si="0"/>
        <v>-987581.59000000032</v>
      </c>
      <c r="O1" s="10">
        <f t="shared" si="0"/>
        <v>-367838.69999999995</v>
      </c>
      <c r="P1" s="10">
        <f t="shared" si="0"/>
        <v>1340937.26</v>
      </c>
      <c r="Q1" s="10">
        <f t="shared" si="0"/>
        <v>452968.00999999978</v>
      </c>
      <c r="R1" s="10">
        <f t="shared" si="0"/>
        <v>-1810911.2399999998</v>
      </c>
      <c r="S1" s="60"/>
      <c r="T1" s="60"/>
      <c r="U1" s="60"/>
    </row>
    <row r="2" spans="2:21" ht="17.25" customHeight="1">
      <c r="B2" t="s">
        <v>1338</v>
      </c>
      <c r="E2" s="202">
        <f>E4/D4-100%</f>
        <v>0.16931353500339585</v>
      </c>
      <c r="F2" s="202">
        <f t="shared" ref="F2:R2" si="1">F4/E4-100%</f>
        <v>-0.10230519281625727</v>
      </c>
      <c r="G2" s="202">
        <f t="shared" si="1"/>
        <v>-4.7996296702828567E-2</v>
      </c>
      <c r="H2" s="202">
        <f t="shared" si="1"/>
        <v>0.25132173647317813</v>
      </c>
      <c r="I2" s="202">
        <f t="shared" si="1"/>
        <v>-5.5866231926001708E-3</v>
      </c>
      <c r="J2" s="202">
        <f t="shared" si="1"/>
        <v>0.44041947576415685</v>
      </c>
      <c r="K2" s="202">
        <f t="shared" si="1"/>
        <v>0.30929788799380198</v>
      </c>
      <c r="L2" s="202">
        <f t="shared" si="1"/>
        <v>3.6329741883293742E-2</v>
      </c>
      <c r="M2" s="202">
        <f t="shared" si="1"/>
        <v>5.8424444549511678E-2</v>
      </c>
      <c r="N2" s="202">
        <f t="shared" si="1"/>
        <v>-0.33314951521270986</v>
      </c>
      <c r="O2" s="202">
        <f t="shared" si="1"/>
        <v>-0.18607805077089568</v>
      </c>
      <c r="P2" s="202">
        <f t="shared" si="1"/>
        <v>0.83341905748759815</v>
      </c>
      <c r="Q2" s="202">
        <f t="shared" si="1"/>
        <v>0.15355386744658817</v>
      </c>
      <c r="R2" s="202">
        <f t="shared" si="1"/>
        <v>-0.53217260221944718</v>
      </c>
      <c r="S2" s="60"/>
      <c r="T2" s="60"/>
      <c r="U2" s="60"/>
    </row>
    <row r="3" spans="2:21">
      <c r="B3" s="58" t="s">
        <v>1022</v>
      </c>
      <c r="C3" s="66" t="s">
        <v>1135</v>
      </c>
      <c r="D3" s="66">
        <v>2010</v>
      </c>
      <c r="E3" s="66">
        <v>2011</v>
      </c>
      <c r="F3" s="66">
        <v>2012</v>
      </c>
      <c r="G3" s="66">
        <v>2013</v>
      </c>
      <c r="H3" s="66">
        <v>2014</v>
      </c>
      <c r="I3" s="66">
        <v>2015</v>
      </c>
      <c r="J3" s="66">
        <v>2016</v>
      </c>
      <c r="K3" s="66">
        <v>2017</v>
      </c>
      <c r="L3" s="66">
        <v>2018</v>
      </c>
      <c r="M3" s="66">
        <v>2019</v>
      </c>
      <c r="N3" s="66">
        <v>2020</v>
      </c>
      <c r="O3" s="66">
        <v>2021</v>
      </c>
      <c r="P3" s="66">
        <v>2022</v>
      </c>
      <c r="Q3" s="66">
        <v>2023</v>
      </c>
      <c r="R3" s="66">
        <v>2024</v>
      </c>
      <c r="S3" s="66">
        <v>2025</v>
      </c>
      <c r="T3" s="66">
        <v>2026</v>
      </c>
      <c r="U3" s="66">
        <v>2027</v>
      </c>
    </row>
    <row r="4" spans="2:21">
      <c r="B4" s="59" t="s">
        <v>1339</v>
      </c>
      <c r="C4" s="242">
        <f>SUM(D4:AJ4)</f>
        <v>29797659.09</v>
      </c>
      <c r="D4" s="60">
        <f>'All Exp ICICI and HDFC V&amp;V'!AH17</f>
        <v>1152429.19</v>
      </c>
      <c r="E4" s="60">
        <f>'All Exp ICICI and HDFC V&amp;V'!AL17</f>
        <v>1347551.05</v>
      </c>
      <c r="F4" s="60">
        <f>'All Exp ICICI and HDFC V&amp;V'!AP17</f>
        <v>1209689.58</v>
      </c>
      <c r="G4" s="60">
        <f>'All Exp ICICI and HDFC V&amp;V'!AT17</f>
        <v>1151628.96</v>
      </c>
      <c r="H4" s="60">
        <f>'All Exp ICICI and HDFC V&amp;V'!AX17</f>
        <v>1441058.35</v>
      </c>
      <c r="I4" s="60">
        <f>'All Exp ICICI and HDFC V&amp;V'!BB17</f>
        <v>1433007.7</v>
      </c>
      <c r="J4" s="60">
        <f>'All Exp ICICI and HDFC V&amp;V'!BF17</f>
        <v>2064132.2</v>
      </c>
      <c r="K4" s="60">
        <f>'All Exp ICICI and HDFC V&amp;V'!BK17</f>
        <v>2702563.93</v>
      </c>
      <c r="L4" s="60">
        <f>'All Exp ICICI and HDFC V&amp;V'!BP17</f>
        <v>2800747.3800000004</v>
      </c>
      <c r="M4" s="60">
        <f>'All Exp ICICI and HDFC V&amp;V'!BV17</f>
        <v>2964379.49</v>
      </c>
      <c r="N4" s="60">
        <f>'All Exp ICICI and HDFC V&amp;V'!CC17</f>
        <v>1976797.9</v>
      </c>
      <c r="O4" s="60">
        <f>'All Exp ICICI and HDFC V&amp;V'!CJ17</f>
        <v>1608959.2</v>
      </c>
      <c r="P4" s="60">
        <f>'All Exp ICICI and HDFC V&amp;V'!CQ17</f>
        <v>2949896.46</v>
      </c>
      <c r="Q4" s="60">
        <f>'All Exp ICICI and HDFC V&amp;V'!CX17</f>
        <v>3402864.4699999997</v>
      </c>
      <c r="R4" s="60">
        <f>'All Exp ICICI and HDFC V&amp;V'!DE17</f>
        <v>1591953.23</v>
      </c>
      <c r="S4" s="60"/>
      <c r="T4" s="60"/>
      <c r="U4" s="60"/>
    </row>
    <row r="5" spans="2:21" ht="30">
      <c r="B5" s="59" t="s">
        <v>1340</v>
      </c>
      <c r="C5" s="60"/>
      <c r="D5" s="60">
        <f>D4/12</f>
        <v>96035.765833333324</v>
      </c>
      <c r="E5" s="60">
        <f t="shared" ref="E5:S5" si="2">E4/12</f>
        <v>112295.92083333334</v>
      </c>
      <c r="F5" s="60">
        <f t="shared" si="2"/>
        <v>100807.46500000001</v>
      </c>
      <c r="G5" s="60">
        <f t="shared" si="2"/>
        <v>95969.08</v>
      </c>
      <c r="H5" s="60">
        <f t="shared" si="2"/>
        <v>120088.19583333335</v>
      </c>
      <c r="I5" s="60">
        <f t="shared" si="2"/>
        <v>119417.30833333333</v>
      </c>
      <c r="J5" s="60">
        <f t="shared" si="2"/>
        <v>172011.01666666666</v>
      </c>
      <c r="K5" s="60">
        <f t="shared" si="2"/>
        <v>225213.66083333336</v>
      </c>
      <c r="L5" s="60">
        <f t="shared" si="2"/>
        <v>233395.61500000002</v>
      </c>
      <c r="M5" s="60">
        <f t="shared" si="2"/>
        <v>247031.62416666668</v>
      </c>
      <c r="N5" s="60">
        <f t="shared" si="2"/>
        <v>164733.15833333333</v>
      </c>
      <c r="O5" s="60">
        <f t="shared" si="2"/>
        <v>134079.93333333332</v>
      </c>
      <c r="P5" s="60">
        <f t="shared" si="2"/>
        <v>245824.70499999999</v>
      </c>
      <c r="Q5" s="60">
        <f t="shared" si="2"/>
        <v>283572.03916666663</v>
      </c>
      <c r="R5" s="60">
        <f t="shared" si="2"/>
        <v>132662.76916666667</v>
      </c>
      <c r="S5" s="60">
        <f t="shared" si="2"/>
        <v>0</v>
      </c>
      <c r="T5" s="60"/>
      <c r="U5" s="60"/>
    </row>
    <row r="6" spans="2:21">
      <c r="B6" s="59" t="s">
        <v>1341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 s="60">
        <f>'All Exp ICICI and HDFC V&amp;V'!BG17</f>
        <v>1506030.8599999999</v>
      </c>
      <c r="K6" s="60">
        <f>'All Exp ICICI and HDFC V&amp;V'!BL17</f>
        <v>1958711.93</v>
      </c>
      <c r="L6" s="60">
        <f>'All Exp ICICI and HDFC V&amp;V'!BQ17</f>
        <v>2045802.84</v>
      </c>
      <c r="M6" s="60">
        <f>'All Exp ICICI and HDFC V&amp;V'!BW17</f>
        <v>2199339.4900000002</v>
      </c>
      <c r="N6" s="60">
        <f>'All Exp ICICI and HDFC V&amp;V'!CD17</f>
        <v>1249205.69</v>
      </c>
      <c r="O6" s="60">
        <f>'All Exp ICICI and HDFC V&amp;V'!CK17</f>
        <v>1113709.2</v>
      </c>
      <c r="P6" s="60">
        <f>'All Exp ICICI and HDFC V&amp;V'!CR17</f>
        <v>1997553.46</v>
      </c>
      <c r="Q6" s="60">
        <f>'All Exp ICICI and HDFC V&amp;V'!CY17</f>
        <v>1653334.39</v>
      </c>
      <c r="R6" s="60">
        <f>'All Exp ICICI and HDFC V&amp;V'!DF17</f>
        <v>-42195.770000000019</v>
      </c>
      <c r="S6" s="60"/>
      <c r="T6" s="60"/>
      <c r="U6" s="60"/>
    </row>
    <row r="7" spans="2:21" ht="30">
      <c r="B7" s="59" t="s">
        <v>1342</v>
      </c>
      <c r="C7" s="60"/>
      <c r="D7" s="60">
        <f>D6/12</f>
        <v>0</v>
      </c>
      <c r="E7" s="60">
        <f t="shared" ref="E7:S7" si="3">E6/12</f>
        <v>0</v>
      </c>
      <c r="F7" s="60">
        <f t="shared" si="3"/>
        <v>0</v>
      </c>
      <c r="G7" s="60">
        <f t="shared" si="3"/>
        <v>0</v>
      </c>
      <c r="H7" s="60">
        <f t="shared" si="3"/>
        <v>0</v>
      </c>
      <c r="I7" s="60">
        <f t="shared" si="3"/>
        <v>0</v>
      </c>
      <c r="J7" s="60">
        <f t="shared" si="3"/>
        <v>125502.57166666666</v>
      </c>
      <c r="K7" s="60">
        <f t="shared" si="3"/>
        <v>163225.99416666667</v>
      </c>
      <c r="L7" s="60">
        <f t="shared" si="3"/>
        <v>170483.57</v>
      </c>
      <c r="M7" s="60">
        <f t="shared" si="3"/>
        <v>183278.29083333336</v>
      </c>
      <c r="N7" s="60">
        <f t="shared" si="3"/>
        <v>104100.47416666667</v>
      </c>
      <c r="O7" s="60">
        <f t="shared" si="3"/>
        <v>92809.099999999991</v>
      </c>
      <c r="P7" s="60">
        <f t="shared" si="3"/>
        <v>166462.78833333333</v>
      </c>
      <c r="Q7" s="60">
        <f t="shared" si="3"/>
        <v>137777.86583333332</v>
      </c>
      <c r="R7" s="60">
        <f t="shared" si="3"/>
        <v>-3516.3141666666684</v>
      </c>
      <c r="S7" s="60">
        <f t="shared" si="3"/>
        <v>0</v>
      </c>
      <c r="T7" s="60"/>
      <c r="U7" s="60"/>
    </row>
    <row r="8" spans="2:21">
      <c r="B8" s="61" t="s">
        <v>1343</v>
      </c>
      <c r="C8" s="241">
        <f>SUM(D8:AJ8)</f>
        <v>16116167.000000002</v>
      </c>
      <c r="D8" s="62">
        <f t="shared" ref="D8:R8" si="4">D4-D6</f>
        <v>1152429.19</v>
      </c>
      <c r="E8" s="62">
        <f t="shared" si="4"/>
        <v>1347551.05</v>
      </c>
      <c r="F8" s="62">
        <f t="shared" si="4"/>
        <v>1209689.58</v>
      </c>
      <c r="G8" s="62">
        <f t="shared" si="4"/>
        <v>1151628.96</v>
      </c>
      <c r="H8" s="62">
        <f t="shared" si="4"/>
        <v>1441058.35</v>
      </c>
      <c r="I8" s="62">
        <f t="shared" si="4"/>
        <v>1433007.7</v>
      </c>
      <c r="J8" s="62">
        <f t="shared" si="4"/>
        <v>558101.34000000008</v>
      </c>
      <c r="K8" s="62">
        <f t="shared" si="4"/>
        <v>743852.00000000023</v>
      </c>
      <c r="L8" s="62">
        <f t="shared" si="4"/>
        <v>754944.54000000027</v>
      </c>
      <c r="M8" s="62">
        <f t="shared" si="4"/>
        <v>765040</v>
      </c>
      <c r="N8" s="62">
        <f t="shared" si="4"/>
        <v>727592.21</v>
      </c>
      <c r="O8" s="62">
        <f t="shared" si="4"/>
        <v>495250</v>
      </c>
      <c r="P8" s="62">
        <f t="shared" si="4"/>
        <v>952343</v>
      </c>
      <c r="Q8" s="62">
        <f t="shared" si="4"/>
        <v>1749530.0799999998</v>
      </c>
      <c r="R8" s="62">
        <f t="shared" si="4"/>
        <v>1634149</v>
      </c>
      <c r="S8" s="63"/>
      <c r="T8" s="63"/>
      <c r="U8" s="63"/>
    </row>
    <row r="9" spans="2:21">
      <c r="B9" t="s">
        <v>1344</v>
      </c>
      <c r="J9" s="10">
        <f>J4-J11</f>
        <v>1804815.2</v>
      </c>
      <c r="L9" s="10">
        <f>L4-L11-L12</f>
        <v>2586170.3800000004</v>
      </c>
      <c r="M9" s="10">
        <f>M4-M11-M12-M19-M22</f>
        <v>2384379.4900000002</v>
      </c>
    </row>
    <row r="10" spans="2:21">
      <c r="B10" s="64" t="s">
        <v>1345</v>
      </c>
      <c r="C10" s="65"/>
      <c r="D10" s="65">
        <f>SUM(D11:D53)</f>
        <v>0</v>
      </c>
      <c r="E10" s="65">
        <f t="shared" ref="E10:U10" si="5">SUM(E11:E53)</f>
        <v>0</v>
      </c>
      <c r="F10" s="65">
        <f t="shared" si="5"/>
        <v>0</v>
      </c>
      <c r="G10" s="65">
        <f t="shared" si="5"/>
        <v>0</v>
      </c>
      <c r="H10" s="65">
        <f t="shared" si="5"/>
        <v>1054193</v>
      </c>
      <c r="I10" s="65">
        <f t="shared" si="5"/>
        <v>75000</v>
      </c>
      <c r="J10" s="65">
        <f t="shared" si="5"/>
        <v>599317</v>
      </c>
      <c r="K10" s="65">
        <f t="shared" si="5"/>
        <v>771751</v>
      </c>
      <c r="L10" s="65">
        <f t="shared" si="5"/>
        <v>748577</v>
      </c>
      <c r="M10" s="65">
        <f t="shared" si="5"/>
        <v>1008050</v>
      </c>
      <c r="N10" s="65">
        <f t="shared" si="5"/>
        <v>590051</v>
      </c>
      <c r="O10" s="65">
        <f t="shared" si="5"/>
        <v>271760</v>
      </c>
      <c r="P10" s="65">
        <f t="shared" si="5"/>
        <v>790084</v>
      </c>
      <c r="Q10" s="65">
        <f t="shared" si="5"/>
        <v>1723966</v>
      </c>
      <c r="R10" s="65">
        <f t="shared" si="5"/>
        <v>4172109</v>
      </c>
      <c r="S10" s="65">
        <f t="shared" si="5"/>
        <v>0</v>
      </c>
      <c r="T10" s="65">
        <f t="shared" si="5"/>
        <v>0</v>
      </c>
      <c r="U10" s="65">
        <f t="shared" si="5"/>
        <v>0</v>
      </c>
    </row>
    <row r="11" spans="2:21">
      <c r="B11" t="s">
        <v>1346</v>
      </c>
      <c r="C11" s="60"/>
      <c r="D11" s="60"/>
      <c r="E11" s="60"/>
      <c r="F11" s="60"/>
      <c r="G11" s="60"/>
      <c r="H11" s="60">
        <v>107797</v>
      </c>
      <c r="I11" s="60"/>
      <c r="J11" s="60">
        <v>259317</v>
      </c>
      <c r="K11" s="60"/>
      <c r="L11" s="60">
        <v>109527</v>
      </c>
      <c r="M11" s="60">
        <v>300000</v>
      </c>
      <c r="N11" s="60">
        <f>'All Exp ICICI and HDFC V&amp;V'!CC21+'All Exp ICICI and HDFC V&amp;V'!CC31</f>
        <v>50000</v>
      </c>
      <c r="O11" s="60">
        <v>75269</v>
      </c>
      <c r="P11" s="60"/>
      <c r="Q11" s="60">
        <v>59000</v>
      </c>
      <c r="R11" s="60"/>
      <c r="S11" s="60"/>
      <c r="T11" s="60"/>
      <c r="U11" s="60"/>
    </row>
    <row r="12" spans="2:21">
      <c r="B12" t="s">
        <v>1347</v>
      </c>
      <c r="C12" s="60"/>
      <c r="D12" s="60"/>
      <c r="E12" s="60"/>
      <c r="F12" s="60"/>
      <c r="G12" s="60"/>
      <c r="H12" s="60"/>
      <c r="I12" s="60"/>
      <c r="J12" s="60"/>
      <c r="K12" s="60"/>
      <c r="L12" s="60">
        <f>'All Exp ICICI and HDFC V&amp;V'!BP24+'All Exp ICICI and HDFC V&amp;V'!BP26</f>
        <v>105050</v>
      </c>
      <c r="M12" s="60">
        <v>75000</v>
      </c>
      <c r="N12" s="60">
        <f>'All Exp ICICI and HDFC V&amp;V'!CC33</f>
        <v>55540</v>
      </c>
      <c r="O12" s="60"/>
      <c r="P12" s="60">
        <f>'All Exp ICICI and HDFC V&amp;V'!CQ37</f>
        <v>173680</v>
      </c>
      <c r="Q12" s="60">
        <f>'All Exp ICICI and HDFC V&amp;V'!CX54+'All Exp ICICI and HDFC V&amp;V'!CX55</f>
        <v>289960</v>
      </c>
      <c r="R12" s="60"/>
    </row>
    <row r="13" spans="2:21">
      <c r="B13" t="s">
        <v>1348</v>
      </c>
      <c r="C13" s="60"/>
      <c r="D13" s="60"/>
      <c r="E13" s="60"/>
      <c r="F13" s="60"/>
      <c r="G13" s="60"/>
      <c r="H13" s="60"/>
      <c r="I13" s="60"/>
      <c r="J13" s="60">
        <v>88000</v>
      </c>
      <c r="K13" s="60"/>
      <c r="L13" s="60"/>
      <c r="M13" s="60"/>
      <c r="N13" s="60"/>
      <c r="O13" s="60"/>
      <c r="P13" s="60"/>
      <c r="Q13" s="60"/>
      <c r="R13" s="60"/>
    </row>
    <row r="14" spans="2:21">
      <c r="B14" t="s">
        <v>1322</v>
      </c>
      <c r="C14" s="60"/>
      <c r="D14" s="60"/>
      <c r="E14" s="60"/>
      <c r="F14" s="60"/>
      <c r="G14" s="60"/>
      <c r="H14" s="60"/>
      <c r="I14" s="60"/>
      <c r="J14" s="60">
        <v>161000</v>
      </c>
      <c r="K14" s="60"/>
      <c r="L14" s="60"/>
      <c r="M14" s="60"/>
      <c r="N14" s="60"/>
      <c r="O14" s="60"/>
      <c r="P14" s="60"/>
      <c r="Q14" s="269">
        <f>'All Exp ICICI and HDFC V&amp;V'!CX44</f>
        <v>15300</v>
      </c>
      <c r="R14" s="60"/>
    </row>
    <row r="15" spans="2:21">
      <c r="B15" t="s">
        <v>1163</v>
      </c>
      <c r="C15" s="60"/>
      <c r="D15" s="60"/>
      <c r="E15" s="60"/>
      <c r="F15" s="60"/>
      <c r="G15" s="60"/>
      <c r="H15" s="60">
        <v>728847</v>
      </c>
      <c r="I15" s="60"/>
      <c r="J15" s="60"/>
      <c r="K15" s="60">
        <v>431751</v>
      </c>
      <c r="L15" s="60"/>
      <c r="M15" s="60"/>
      <c r="N15" s="60"/>
      <c r="O15" s="60"/>
      <c r="P15" s="60"/>
      <c r="Q15" s="60"/>
      <c r="R15" s="60">
        <f>'All Exp ICICI and HDFC V&amp;V'!DE26+'All Exp ICICI and HDFC V&amp;V'!DE31+'All Exp ICICI and HDFC V&amp;V'!DE33+'All Exp ICICI and HDFC V&amp;V'!DE34</f>
        <v>2197335</v>
      </c>
    </row>
    <row r="16" spans="2:21">
      <c r="B16" t="s">
        <v>1349</v>
      </c>
      <c r="C16" s="60"/>
      <c r="D16" s="60"/>
      <c r="E16" s="60"/>
      <c r="F16" s="60"/>
      <c r="G16" s="60"/>
      <c r="H16" s="60">
        <v>120549</v>
      </c>
      <c r="I16" s="60">
        <v>75000</v>
      </c>
      <c r="J16" s="60">
        <v>65000</v>
      </c>
      <c r="K16" s="60">
        <v>340000</v>
      </c>
      <c r="L16" s="60">
        <v>470000</v>
      </c>
      <c r="M16" s="60">
        <f>32000+195000</f>
        <v>227000</v>
      </c>
      <c r="N16" s="60">
        <f>'All Exp ICICI and HDFC V&amp;V'!CC23+'All Exp ICICI and HDFC V&amp;V'!CC36+'All Exp ICICI and HDFC V&amp;V'!CC19</f>
        <v>401512</v>
      </c>
      <c r="O16" s="60">
        <f>50000+82300</f>
        <v>132300</v>
      </c>
      <c r="P16" s="60">
        <f>'All Exp ICICI and HDFC V&amp;V'!CQ28+'All Exp ICICI and HDFC V&amp;V'!CQ29+'All Exp ICICI and HDFC V&amp;V'!CQ32+'All Exp ICICI and HDFC V&amp;V'!CQ33+'All Exp ICICI and HDFC V&amp;V'!CQ34+'All Exp ICICI and HDFC V&amp;V'!CQ35</f>
        <v>236800</v>
      </c>
      <c r="Q16" s="60">
        <f>'All Exp ICICI and HDFC V&amp;V'!CX30+'All Exp ICICI and HDFC V&amp;V'!CX47+'All Exp ICICI and HDFC V&amp;V'!CX59</f>
        <v>298430</v>
      </c>
      <c r="R16" s="60">
        <f>'All Exp ICICI and HDFC V&amp;V'!DE36+'All Exp ICICI and HDFC V&amp;V'!DE40+'All Exp ICICI and HDFC V&amp;V'!DE42</f>
        <v>875575</v>
      </c>
    </row>
    <row r="17" spans="2:18">
      <c r="B17" t="s">
        <v>1350</v>
      </c>
      <c r="C17" s="60"/>
      <c r="D17" s="60"/>
      <c r="E17" s="60"/>
      <c r="F17" s="60"/>
      <c r="G17" s="60"/>
      <c r="H17" s="60"/>
      <c r="I17" s="60"/>
      <c r="J17" s="60"/>
      <c r="K17" s="60"/>
      <c r="L17" s="60">
        <v>64000</v>
      </c>
      <c r="M17" s="60"/>
      <c r="N17" s="60"/>
      <c r="O17" s="60"/>
      <c r="P17" s="60"/>
      <c r="Q17" s="60"/>
      <c r="R17" s="60"/>
    </row>
    <row r="18" spans="2:18">
      <c r="B18" t="s">
        <v>1351</v>
      </c>
      <c r="C18" s="60"/>
      <c r="D18" s="60"/>
      <c r="E18" s="60"/>
      <c r="F18" s="60"/>
      <c r="G18" s="60"/>
      <c r="H18" s="60"/>
      <c r="I18" s="60"/>
      <c r="J18" s="60"/>
      <c r="K18" s="60"/>
      <c r="L18" s="60"/>
      <c r="M18" s="60">
        <f>'All Exp ICICI and HDFC V&amp;V'!BV20</f>
        <v>101050</v>
      </c>
      <c r="N18" s="60"/>
      <c r="O18" s="60"/>
      <c r="P18" s="60"/>
      <c r="Q18" s="60"/>
      <c r="R18" s="60"/>
    </row>
    <row r="19" spans="2:18">
      <c r="B19" t="s">
        <v>1352</v>
      </c>
      <c r="C19" s="60"/>
      <c r="D19" s="60"/>
      <c r="E19" s="60"/>
      <c r="F19" s="60"/>
      <c r="G19" s="60"/>
      <c r="H19" s="60"/>
      <c r="I19" s="60"/>
      <c r="K19" s="60"/>
      <c r="L19" s="60"/>
      <c r="M19" s="60">
        <f>'All Exp ICICI and HDFC V&amp;V'!BV30</f>
        <v>100000</v>
      </c>
      <c r="N19" s="60"/>
      <c r="O19" s="60"/>
      <c r="P19" s="60"/>
      <c r="Q19" s="60"/>
      <c r="R19" s="60"/>
    </row>
    <row r="20" spans="2:18">
      <c r="B20" t="s">
        <v>14253</v>
      </c>
      <c r="C20" s="60"/>
      <c r="D20" s="60"/>
      <c r="E20" s="60"/>
      <c r="F20" s="60"/>
      <c r="G20" s="60"/>
      <c r="H20" s="60"/>
      <c r="I20" s="60"/>
      <c r="J20" s="60">
        <v>26000</v>
      </c>
      <c r="K20" s="60"/>
      <c r="L20" s="60"/>
      <c r="M20" s="60">
        <v>100000</v>
      </c>
      <c r="N20" s="60">
        <f>'All Exp ICICI and HDFC V&amp;V'!CC20+'All Exp ICICI and HDFC V&amp;V'!CC22+'All Exp ICICI and HDFC V&amp;V'!CC30+'All Exp ICICI and HDFC V&amp;V'!CC32</f>
        <v>82999</v>
      </c>
      <c r="O20" s="60">
        <f>40191+24000</f>
        <v>64191</v>
      </c>
      <c r="P20" s="60">
        <f>'All Exp ICICI and HDFC V&amp;V'!CQ20+'All Exp ICICI and HDFC V&amp;V'!CQ27+'All Exp ICICI and HDFC V&amp;V'!CQ41+'All Exp ICICI and HDFC V&amp;V'!CQ47</f>
        <v>289604</v>
      </c>
      <c r="Q20" s="60">
        <f>'All Exp ICICI and HDFC V&amp;V'!CX51+'All Exp ICICI and HDFC V&amp;V'!CX52+'All Exp ICICI and HDFC V&amp;V'!CX60</f>
        <v>183000</v>
      </c>
      <c r="R20" s="60">
        <f>'All Exp ICICI and HDFC V&amp;V'!DE25+'All Exp ICICI and HDFC V&amp;V'!DE28+'All Exp ICICI and HDFC V&amp;V'!DE38</f>
        <v>99199</v>
      </c>
    </row>
    <row r="21" spans="2:18">
      <c r="B21" t="s">
        <v>1353</v>
      </c>
      <c r="C21" s="60"/>
      <c r="D21" s="60"/>
      <c r="E21" s="60"/>
      <c r="F21" s="60"/>
      <c r="G21" s="60"/>
      <c r="H21" s="60">
        <v>97000</v>
      </c>
      <c r="I21" s="60"/>
      <c r="J21" s="60"/>
      <c r="K21" s="60"/>
      <c r="L21" s="60"/>
      <c r="M21" s="60"/>
      <c r="N21" s="60"/>
      <c r="O21" s="60"/>
      <c r="P21" s="60"/>
      <c r="Q21" s="60">
        <v>68000</v>
      </c>
      <c r="R21" s="60"/>
    </row>
    <row r="22" spans="2:18">
      <c r="B22" t="s">
        <v>13132</v>
      </c>
      <c r="C22" s="60"/>
      <c r="D22" s="60"/>
      <c r="E22" s="60"/>
      <c r="F22" s="60"/>
      <c r="G22" s="60"/>
      <c r="H22" s="60"/>
      <c r="I22" s="60"/>
      <c r="J22" s="60"/>
      <c r="K22" s="60"/>
      <c r="L22" s="60"/>
      <c r="M22" s="60">
        <v>105000</v>
      </c>
      <c r="N22" s="60"/>
      <c r="O22" s="60"/>
      <c r="P22" s="60"/>
      <c r="Q22" s="60">
        <f>'All Exp ICICI and HDFC V&amp;V'!CX26</f>
        <v>148000</v>
      </c>
      <c r="R22" s="60"/>
    </row>
    <row r="23" spans="2:18">
      <c r="B23" t="s">
        <v>13131</v>
      </c>
      <c r="P23" s="60">
        <f>'All Exp ICICI and HDFC V&amp;V'!CQ19</f>
        <v>90000</v>
      </c>
      <c r="Q23" s="60">
        <f>'All Exp ICICI and HDFC V&amp;V'!CX77</f>
        <v>35000</v>
      </c>
    </row>
    <row r="24" spans="2:18">
      <c r="B24" t="s">
        <v>13133</v>
      </c>
      <c r="E24" s="202"/>
      <c r="F24" s="202"/>
      <c r="G24" s="202"/>
      <c r="H24" s="202"/>
      <c r="I24" s="202"/>
      <c r="J24" s="202"/>
      <c r="K24" s="202"/>
      <c r="L24" s="202"/>
      <c r="M24" s="202"/>
      <c r="N24" s="202"/>
      <c r="O24" s="202"/>
      <c r="P24" s="60">
        <f>'All Exp ICICI and HDFC V&amp;V'!CQ42</f>
        <v>0</v>
      </c>
      <c r="Q24" s="60">
        <f>'All Exp ICICI and HDFC V&amp;V'!CX25+'All Exp ICICI and HDFC V&amp;V'!CX28+'All Exp ICICI and HDFC V&amp;V'!CX29+'All Exp ICICI and HDFC V&amp;V'!CX31+'All Exp ICICI and HDFC V&amp;V'!CX32+'All Exp ICICI and HDFC V&amp;V'!CX34+'All Exp ICICI and HDFC V&amp;V'!CX40+'All Exp ICICI and HDFC V&amp;V'!CX41+'All Exp ICICI and HDFC V&amp;V'!CX43</f>
        <v>627276</v>
      </c>
    </row>
    <row r="25" spans="2:18">
      <c r="B25" t="s">
        <v>13629</v>
      </c>
      <c r="R25" s="60">
        <v>1000000</v>
      </c>
    </row>
  </sheetData>
  <pageMargins left="0.7" right="0.7" top="0.75" bottom="0.75" header="0.3" footer="0.3"/>
  <pageSetup paperSize="9" orientation="portrait" horizontalDpi="4294967293" verticalDpi="4294967293" r:id="rId1"/>
  <legacyDrawing r:id="rId2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B87CF82-F0DF-4B45-B486-A3AFFEDBB02C}">
  <sheetPr>
    <tabColor rgb="FF92D050"/>
  </sheetPr>
  <dimension ref="A1:L64"/>
  <sheetViews>
    <sheetView workbookViewId="0">
      <selection activeCell="H21" sqref="H21"/>
    </sheetView>
  </sheetViews>
  <sheetFormatPr defaultRowHeight="15"/>
  <cols>
    <col min="1" max="1" width="22.7109375" style="169" bestFit="1" customWidth="1"/>
    <col min="2" max="2" width="23.140625" style="169" bestFit="1" customWidth="1"/>
    <col min="3" max="3" width="17.7109375" style="169" bestFit="1" customWidth="1"/>
    <col min="4" max="4" width="30.42578125" style="169" bestFit="1" customWidth="1"/>
    <col min="5" max="5" width="25.140625" style="169" bestFit="1" customWidth="1"/>
    <col min="6" max="6" width="5" style="169" bestFit="1" customWidth="1"/>
    <col min="7" max="7" width="3" style="169" bestFit="1" customWidth="1"/>
    <col min="8" max="8" width="22.7109375" style="169" bestFit="1" customWidth="1"/>
    <col min="9" max="9" width="23.140625" style="169" bestFit="1" customWidth="1"/>
    <col min="10" max="10" width="17.7109375" style="169" bestFit="1" customWidth="1"/>
    <col min="11" max="11" width="49.140625" bestFit="1" customWidth="1"/>
    <col min="12" max="12" width="25.140625" bestFit="1" customWidth="1"/>
    <col min="13" max="28" width="3" bestFit="1" customWidth="1"/>
    <col min="29" max="29" width="5" bestFit="1" customWidth="1"/>
    <col min="30" max="36" width="3" bestFit="1" customWidth="1"/>
    <col min="37" max="37" width="6" bestFit="1" customWidth="1"/>
    <col min="38" max="41" width="3" bestFit="1" customWidth="1"/>
    <col min="42" max="42" width="4" bestFit="1" customWidth="1"/>
    <col min="43" max="43" width="6" bestFit="1" customWidth="1"/>
    <col min="44" max="45" width="7" bestFit="1" customWidth="1"/>
    <col min="46" max="47" width="4" bestFit="1" customWidth="1"/>
    <col min="48" max="48" width="6" bestFit="1" customWidth="1"/>
    <col min="49" max="54" width="4" bestFit="1" customWidth="1"/>
    <col min="55" max="55" width="6" bestFit="1" customWidth="1"/>
    <col min="56" max="64" width="4" bestFit="1" customWidth="1"/>
    <col min="65" max="65" width="7" bestFit="1" customWidth="1"/>
    <col min="66" max="67" width="4" bestFit="1" customWidth="1"/>
    <col min="68" max="68" width="6" bestFit="1" customWidth="1"/>
    <col min="69" max="84" width="4" bestFit="1" customWidth="1"/>
    <col min="85" max="85" width="6" bestFit="1" customWidth="1"/>
    <col min="86" max="94" width="4" bestFit="1" customWidth="1"/>
    <col min="95" max="95" width="7" bestFit="1" customWidth="1"/>
    <col min="96" max="103" width="4" bestFit="1" customWidth="1"/>
    <col min="104" max="104" width="7" bestFit="1" customWidth="1"/>
    <col min="105" max="107" width="4" bestFit="1" customWidth="1"/>
    <col min="108" max="108" width="6" bestFit="1" customWidth="1"/>
    <col min="109" max="109" width="4" bestFit="1" customWidth="1"/>
    <col min="110" max="112" width="7" bestFit="1" customWidth="1"/>
    <col min="113" max="113" width="4" bestFit="1" customWidth="1"/>
    <col min="114" max="114" width="7" bestFit="1" customWidth="1"/>
    <col min="115" max="132" width="4" bestFit="1" customWidth="1"/>
    <col min="133" max="133" width="6" bestFit="1" customWidth="1"/>
    <col min="134" max="136" width="4" bestFit="1" customWidth="1"/>
    <col min="137" max="137" width="7" bestFit="1" customWidth="1"/>
    <col min="138" max="146" width="4" bestFit="1" customWidth="1"/>
    <col min="147" max="147" width="7" bestFit="1" customWidth="1"/>
    <col min="148" max="152" width="4" bestFit="1" customWidth="1"/>
    <col min="153" max="153" width="7" bestFit="1" customWidth="1"/>
    <col min="154" max="161" width="4" bestFit="1" customWidth="1"/>
    <col min="162" max="162" width="6" bestFit="1" customWidth="1"/>
    <col min="163" max="163" width="7" bestFit="1" customWidth="1"/>
    <col min="164" max="167" width="4" bestFit="1" customWidth="1"/>
    <col min="168" max="169" width="7" bestFit="1" customWidth="1"/>
    <col min="170" max="170" width="4" bestFit="1" customWidth="1"/>
    <col min="171" max="172" width="7" bestFit="1" customWidth="1"/>
    <col min="173" max="173" width="4" bestFit="1" customWidth="1"/>
    <col min="174" max="174" width="7" bestFit="1" customWidth="1"/>
    <col min="175" max="175" width="4" bestFit="1" customWidth="1"/>
    <col min="176" max="176" width="7" bestFit="1" customWidth="1"/>
    <col min="177" max="178" width="4" bestFit="1" customWidth="1"/>
    <col min="179" max="179" width="7" bestFit="1" customWidth="1"/>
    <col min="180" max="180" width="4" bestFit="1" customWidth="1"/>
    <col min="181" max="181" width="6" bestFit="1" customWidth="1"/>
    <col min="182" max="182" width="4" bestFit="1" customWidth="1"/>
    <col min="183" max="183" width="6" bestFit="1" customWidth="1"/>
    <col min="184" max="186" width="4" bestFit="1" customWidth="1"/>
    <col min="187" max="187" width="7" bestFit="1" customWidth="1"/>
    <col min="188" max="188" width="4" bestFit="1" customWidth="1"/>
    <col min="189" max="189" width="6" bestFit="1" customWidth="1"/>
    <col min="190" max="191" width="4" bestFit="1" customWidth="1"/>
    <col min="192" max="192" width="6" bestFit="1" customWidth="1"/>
    <col min="193" max="196" width="4" bestFit="1" customWidth="1"/>
    <col min="197" max="197" width="7" bestFit="1" customWidth="1"/>
    <col min="198" max="200" width="4" bestFit="1" customWidth="1"/>
    <col min="201" max="201" width="6" bestFit="1" customWidth="1"/>
    <col min="202" max="212" width="4" bestFit="1" customWidth="1"/>
    <col min="213" max="214" width="7" bestFit="1" customWidth="1"/>
    <col min="215" max="215" width="6" bestFit="1" customWidth="1"/>
    <col min="216" max="219" width="4" bestFit="1" customWidth="1"/>
    <col min="220" max="220" width="7" bestFit="1" customWidth="1"/>
    <col min="221" max="223" width="4" bestFit="1" customWidth="1"/>
    <col min="224" max="224" width="7" bestFit="1" customWidth="1"/>
    <col min="225" max="235" width="4" bestFit="1" customWidth="1"/>
    <col min="236" max="236" width="6" bestFit="1" customWidth="1"/>
    <col min="237" max="237" width="4" bestFit="1" customWidth="1"/>
    <col min="238" max="238" width="7" bestFit="1" customWidth="1"/>
    <col min="239" max="239" width="4" bestFit="1" customWidth="1"/>
    <col min="240" max="240" width="7" bestFit="1" customWidth="1"/>
    <col min="241" max="242" width="4" bestFit="1" customWidth="1"/>
    <col min="243" max="246" width="7" bestFit="1" customWidth="1"/>
    <col min="247" max="250" width="4" bestFit="1" customWidth="1"/>
    <col min="251" max="251" width="6" bestFit="1" customWidth="1"/>
    <col min="252" max="252" width="7" bestFit="1" customWidth="1"/>
    <col min="253" max="254" width="4" bestFit="1" customWidth="1"/>
    <col min="255" max="255" width="6" bestFit="1" customWidth="1"/>
    <col min="256" max="256" width="4" bestFit="1" customWidth="1"/>
    <col min="257" max="257" width="7" bestFit="1" customWidth="1"/>
    <col min="258" max="259" width="4" bestFit="1" customWidth="1"/>
    <col min="260" max="260" width="7" bestFit="1" customWidth="1"/>
    <col min="261" max="261" width="4" bestFit="1" customWidth="1"/>
    <col min="262" max="262" width="7" bestFit="1" customWidth="1"/>
    <col min="263" max="264" width="4" bestFit="1" customWidth="1"/>
    <col min="265" max="265" width="6" bestFit="1" customWidth="1"/>
    <col min="266" max="266" width="4" bestFit="1" customWidth="1"/>
    <col min="267" max="267" width="7" bestFit="1" customWidth="1"/>
    <col min="268" max="269" width="4" bestFit="1" customWidth="1"/>
    <col min="270" max="272" width="7" bestFit="1" customWidth="1"/>
    <col min="273" max="278" width="4" bestFit="1" customWidth="1"/>
    <col min="279" max="279" width="7" bestFit="1" customWidth="1"/>
    <col min="280" max="280" width="6" bestFit="1" customWidth="1"/>
    <col min="281" max="282" width="4" bestFit="1" customWidth="1"/>
    <col min="283" max="283" width="6" bestFit="1" customWidth="1"/>
    <col min="284" max="284" width="4" bestFit="1" customWidth="1"/>
    <col min="285" max="285" width="7" bestFit="1" customWidth="1"/>
    <col min="286" max="290" width="4" bestFit="1" customWidth="1"/>
    <col min="291" max="291" width="7" bestFit="1" customWidth="1"/>
    <col min="292" max="296" width="4" bestFit="1" customWidth="1"/>
    <col min="297" max="297" width="6" bestFit="1" customWidth="1"/>
    <col min="298" max="300" width="4" bestFit="1" customWidth="1"/>
    <col min="301" max="301" width="7" bestFit="1" customWidth="1"/>
    <col min="302" max="304" width="4" bestFit="1" customWidth="1"/>
    <col min="305" max="305" width="7" bestFit="1" customWidth="1"/>
    <col min="306" max="308" width="4" bestFit="1" customWidth="1"/>
    <col min="309" max="311" width="7" bestFit="1" customWidth="1"/>
    <col min="312" max="312" width="4" bestFit="1" customWidth="1"/>
    <col min="313" max="313" width="6" bestFit="1" customWidth="1"/>
    <col min="314" max="315" width="4" bestFit="1" customWidth="1"/>
    <col min="316" max="316" width="7" bestFit="1" customWidth="1"/>
    <col min="317" max="323" width="4" bestFit="1" customWidth="1"/>
    <col min="324" max="324" width="6" bestFit="1" customWidth="1"/>
    <col min="325" max="325" width="4" bestFit="1" customWidth="1"/>
    <col min="326" max="326" width="6" bestFit="1" customWidth="1"/>
    <col min="327" max="340" width="4" bestFit="1" customWidth="1"/>
    <col min="341" max="341" width="6" bestFit="1" customWidth="1"/>
    <col min="342" max="344" width="4" bestFit="1" customWidth="1"/>
    <col min="345" max="345" width="7" bestFit="1" customWidth="1"/>
    <col min="346" max="347" width="4" bestFit="1" customWidth="1"/>
    <col min="348" max="348" width="7" bestFit="1" customWidth="1"/>
    <col min="349" max="351" width="4" bestFit="1" customWidth="1"/>
    <col min="352" max="353" width="7" bestFit="1" customWidth="1"/>
    <col min="354" max="354" width="4" bestFit="1" customWidth="1"/>
    <col min="355" max="355" width="6" bestFit="1" customWidth="1"/>
    <col min="356" max="359" width="7" bestFit="1" customWidth="1"/>
    <col min="360" max="362" width="4" bestFit="1" customWidth="1"/>
    <col min="363" max="363" width="6" bestFit="1" customWidth="1"/>
    <col min="364" max="364" width="7" bestFit="1" customWidth="1"/>
    <col min="365" max="366" width="4" bestFit="1" customWidth="1"/>
    <col min="367" max="367" width="6" bestFit="1" customWidth="1"/>
    <col min="368" max="368" width="7" bestFit="1" customWidth="1"/>
    <col min="369" max="369" width="4" bestFit="1" customWidth="1"/>
    <col min="370" max="370" width="6" bestFit="1" customWidth="1"/>
    <col min="371" max="372" width="4" bestFit="1" customWidth="1"/>
    <col min="373" max="373" width="6" bestFit="1" customWidth="1"/>
    <col min="374" max="379" width="4" bestFit="1" customWidth="1"/>
    <col min="380" max="380" width="6" bestFit="1" customWidth="1"/>
    <col min="381" max="383" width="4" bestFit="1" customWidth="1"/>
    <col min="384" max="385" width="7" bestFit="1" customWidth="1"/>
    <col min="386" max="386" width="6" bestFit="1" customWidth="1"/>
    <col min="387" max="391" width="4" bestFit="1" customWidth="1"/>
    <col min="392" max="392" width="6" bestFit="1" customWidth="1"/>
    <col min="393" max="393" width="4" bestFit="1" customWidth="1"/>
    <col min="394" max="394" width="7" bestFit="1" customWidth="1"/>
    <col min="395" max="395" width="4" bestFit="1" customWidth="1"/>
    <col min="396" max="396" width="7" bestFit="1" customWidth="1"/>
    <col min="397" max="401" width="4" bestFit="1" customWidth="1"/>
    <col min="402" max="402" width="7" bestFit="1" customWidth="1"/>
    <col min="403" max="406" width="4" bestFit="1" customWidth="1"/>
    <col min="407" max="407" width="6" bestFit="1" customWidth="1"/>
    <col min="408" max="413" width="4" bestFit="1" customWidth="1"/>
    <col min="414" max="414" width="6" bestFit="1" customWidth="1"/>
    <col min="415" max="415" width="4" bestFit="1" customWidth="1"/>
    <col min="416" max="416" width="7" bestFit="1" customWidth="1"/>
    <col min="417" max="417" width="4" bestFit="1" customWidth="1"/>
    <col min="418" max="418" width="7" bestFit="1" customWidth="1"/>
    <col min="419" max="419" width="6" bestFit="1" customWidth="1"/>
    <col min="420" max="420" width="7" bestFit="1" customWidth="1"/>
    <col min="421" max="422" width="4" bestFit="1" customWidth="1"/>
    <col min="423" max="424" width="7" bestFit="1" customWidth="1"/>
    <col min="425" max="425" width="4" bestFit="1" customWidth="1"/>
    <col min="426" max="426" width="6" bestFit="1" customWidth="1"/>
    <col min="427" max="430" width="4" bestFit="1" customWidth="1"/>
    <col min="431" max="431" width="7" bestFit="1" customWidth="1"/>
    <col min="432" max="434" width="4" bestFit="1" customWidth="1"/>
    <col min="435" max="435" width="7" bestFit="1" customWidth="1"/>
    <col min="436" max="443" width="4" bestFit="1" customWidth="1"/>
    <col min="444" max="444" width="7" bestFit="1" customWidth="1"/>
    <col min="445" max="446" width="4" bestFit="1" customWidth="1"/>
    <col min="447" max="447" width="7" bestFit="1" customWidth="1"/>
    <col min="448" max="448" width="4" bestFit="1" customWidth="1"/>
    <col min="449" max="450" width="7" bestFit="1" customWidth="1"/>
    <col min="451" max="451" width="4" bestFit="1" customWidth="1"/>
    <col min="452" max="453" width="7" bestFit="1" customWidth="1"/>
    <col min="454" max="454" width="4" bestFit="1" customWidth="1"/>
    <col min="455" max="456" width="7" bestFit="1" customWidth="1"/>
    <col min="457" max="457" width="6" bestFit="1" customWidth="1"/>
    <col min="458" max="468" width="4" bestFit="1" customWidth="1"/>
    <col min="469" max="469" width="7" bestFit="1" customWidth="1"/>
    <col min="470" max="473" width="4" bestFit="1" customWidth="1"/>
    <col min="474" max="477" width="7" bestFit="1" customWidth="1"/>
    <col min="478" max="480" width="4" bestFit="1" customWidth="1"/>
    <col min="481" max="481" width="5" bestFit="1" customWidth="1"/>
    <col min="482" max="482" width="8" bestFit="1" customWidth="1"/>
    <col min="483" max="483" width="5" bestFit="1" customWidth="1"/>
    <col min="484" max="485" width="8" bestFit="1" customWidth="1"/>
    <col min="486" max="489" width="5" bestFit="1" customWidth="1"/>
    <col min="490" max="491" width="8" bestFit="1" customWidth="1"/>
    <col min="492" max="499" width="5" bestFit="1" customWidth="1"/>
    <col min="500" max="501" width="7" bestFit="1" customWidth="1"/>
    <col min="502" max="504" width="5" bestFit="1" customWidth="1"/>
    <col min="505" max="505" width="7" bestFit="1" customWidth="1"/>
    <col min="506" max="512" width="5" bestFit="1" customWidth="1"/>
    <col min="513" max="513" width="8" bestFit="1" customWidth="1"/>
    <col min="514" max="516" width="5" bestFit="1" customWidth="1"/>
    <col min="517" max="518" width="8" bestFit="1" customWidth="1"/>
    <col min="519" max="521" width="5" bestFit="1" customWidth="1"/>
    <col min="522" max="523" width="8" bestFit="1" customWidth="1"/>
    <col min="524" max="526" width="5" bestFit="1" customWidth="1"/>
    <col min="527" max="527" width="8" bestFit="1" customWidth="1"/>
    <col min="528" max="528" width="5" bestFit="1" customWidth="1"/>
    <col min="529" max="529" width="8" bestFit="1" customWidth="1"/>
    <col min="530" max="530" width="5" bestFit="1" customWidth="1"/>
    <col min="531" max="531" width="7" bestFit="1" customWidth="1"/>
    <col min="532" max="532" width="5" bestFit="1" customWidth="1"/>
    <col min="533" max="533" width="7" bestFit="1" customWidth="1"/>
    <col min="534" max="534" width="8" bestFit="1" customWidth="1"/>
    <col min="535" max="535" width="7" bestFit="1" customWidth="1"/>
    <col min="536" max="536" width="8" bestFit="1" customWidth="1"/>
    <col min="537" max="537" width="5" bestFit="1" customWidth="1"/>
    <col min="538" max="538" width="8" bestFit="1" customWidth="1"/>
    <col min="539" max="539" width="5" bestFit="1" customWidth="1"/>
    <col min="540" max="540" width="8" bestFit="1" customWidth="1"/>
    <col min="541" max="542" width="5" bestFit="1" customWidth="1"/>
    <col min="543" max="543" width="7" bestFit="1" customWidth="1"/>
    <col min="544" max="545" width="5" bestFit="1" customWidth="1"/>
    <col min="546" max="546" width="8" bestFit="1" customWidth="1"/>
    <col min="547" max="550" width="5" bestFit="1" customWidth="1"/>
    <col min="551" max="551" width="7" bestFit="1" customWidth="1"/>
    <col min="552" max="555" width="5" bestFit="1" customWidth="1"/>
    <col min="556" max="556" width="8" bestFit="1" customWidth="1"/>
    <col min="557" max="559" width="5" bestFit="1" customWidth="1"/>
    <col min="560" max="560" width="8" bestFit="1" customWidth="1"/>
    <col min="561" max="562" width="5" bestFit="1" customWidth="1"/>
    <col min="563" max="564" width="8" bestFit="1" customWidth="1"/>
    <col min="565" max="565" width="7" bestFit="1" customWidth="1"/>
    <col min="566" max="570" width="5" bestFit="1" customWidth="1"/>
    <col min="571" max="575" width="8" bestFit="1" customWidth="1"/>
    <col min="576" max="576" width="5" bestFit="1" customWidth="1"/>
    <col min="577" max="577" width="7" bestFit="1" customWidth="1"/>
    <col min="578" max="579" width="5" bestFit="1" customWidth="1"/>
    <col min="580" max="580" width="8" bestFit="1" customWidth="1"/>
    <col min="581" max="581" width="7" bestFit="1" customWidth="1"/>
    <col min="582" max="583" width="5" bestFit="1" customWidth="1"/>
    <col min="584" max="584" width="7" bestFit="1" customWidth="1"/>
    <col min="585" max="585" width="5" bestFit="1" customWidth="1"/>
    <col min="586" max="587" width="8" bestFit="1" customWidth="1"/>
    <col min="588" max="588" width="7" bestFit="1" customWidth="1"/>
    <col min="589" max="590" width="8" bestFit="1" customWidth="1"/>
    <col min="591" max="592" width="5" bestFit="1" customWidth="1"/>
    <col min="593" max="593" width="8" bestFit="1" customWidth="1"/>
    <col min="594" max="594" width="5" bestFit="1" customWidth="1"/>
    <col min="595" max="597" width="8" bestFit="1" customWidth="1"/>
    <col min="598" max="599" width="5" bestFit="1" customWidth="1"/>
    <col min="600" max="600" width="8" bestFit="1" customWidth="1"/>
    <col min="601" max="602" width="5" bestFit="1" customWidth="1"/>
    <col min="603" max="603" width="8" bestFit="1" customWidth="1"/>
    <col min="604" max="604" width="7" bestFit="1" customWidth="1"/>
    <col min="605" max="607" width="5" bestFit="1" customWidth="1"/>
    <col min="608" max="608" width="8" bestFit="1" customWidth="1"/>
    <col min="609" max="610" width="5" bestFit="1" customWidth="1"/>
    <col min="611" max="612" width="8" bestFit="1" customWidth="1"/>
    <col min="613" max="614" width="5" bestFit="1" customWidth="1"/>
    <col min="615" max="615" width="8" bestFit="1" customWidth="1"/>
    <col min="616" max="617" width="5" bestFit="1" customWidth="1"/>
    <col min="618" max="618" width="8" bestFit="1" customWidth="1"/>
    <col min="619" max="619" width="5" bestFit="1" customWidth="1"/>
    <col min="620" max="620" width="8" bestFit="1" customWidth="1"/>
    <col min="621" max="623" width="5" bestFit="1" customWidth="1"/>
    <col min="624" max="624" width="8" bestFit="1" customWidth="1"/>
    <col min="625" max="627" width="5" bestFit="1" customWidth="1"/>
    <col min="628" max="628" width="7" bestFit="1" customWidth="1"/>
    <col min="629" max="629" width="8" bestFit="1" customWidth="1"/>
    <col min="630" max="630" width="7" bestFit="1" customWidth="1"/>
    <col min="631" max="635" width="5" bestFit="1" customWidth="1"/>
    <col min="636" max="636" width="7" bestFit="1" customWidth="1"/>
    <col min="637" max="638" width="5" bestFit="1" customWidth="1"/>
    <col min="639" max="639" width="8" bestFit="1" customWidth="1"/>
    <col min="640" max="640" width="5" bestFit="1" customWidth="1"/>
    <col min="641" max="641" width="8" bestFit="1" customWidth="1"/>
    <col min="642" max="644" width="5" bestFit="1" customWidth="1"/>
    <col min="645" max="645" width="8" bestFit="1" customWidth="1"/>
    <col min="646" max="654" width="5" bestFit="1" customWidth="1"/>
    <col min="655" max="655" width="7" bestFit="1" customWidth="1"/>
    <col min="656" max="660" width="8" bestFit="1" customWidth="1"/>
    <col min="661" max="661" width="7" bestFit="1" customWidth="1"/>
    <col min="662" max="662" width="5" bestFit="1" customWidth="1"/>
    <col min="663" max="663" width="7" bestFit="1" customWidth="1"/>
    <col min="664" max="664" width="5" bestFit="1" customWidth="1"/>
    <col min="665" max="666" width="8" bestFit="1" customWidth="1"/>
    <col min="667" max="667" width="7" bestFit="1" customWidth="1"/>
    <col min="668" max="668" width="5" bestFit="1" customWidth="1"/>
    <col min="669" max="669" width="8" bestFit="1" customWidth="1"/>
    <col min="670" max="670" width="5" bestFit="1" customWidth="1"/>
    <col min="671" max="672" width="8" bestFit="1" customWidth="1"/>
    <col min="673" max="673" width="7" bestFit="1" customWidth="1"/>
    <col min="674" max="674" width="5" bestFit="1" customWidth="1"/>
    <col min="675" max="676" width="8" bestFit="1" customWidth="1"/>
    <col min="677" max="677" width="5" bestFit="1" customWidth="1"/>
    <col min="678" max="678" width="8" bestFit="1" customWidth="1"/>
    <col min="679" max="679" width="5" bestFit="1" customWidth="1"/>
    <col min="680" max="682" width="8" bestFit="1" customWidth="1"/>
    <col min="683" max="690" width="5" bestFit="1" customWidth="1"/>
    <col min="691" max="692" width="8" bestFit="1" customWidth="1"/>
    <col min="693" max="693" width="5" bestFit="1" customWidth="1"/>
    <col min="694" max="694" width="8" bestFit="1" customWidth="1"/>
    <col min="695" max="697" width="5" bestFit="1" customWidth="1"/>
    <col min="698" max="698" width="8" bestFit="1" customWidth="1"/>
    <col min="699" max="700" width="5" bestFit="1" customWidth="1"/>
    <col min="701" max="701" width="8" bestFit="1" customWidth="1"/>
    <col min="702" max="702" width="5" bestFit="1" customWidth="1"/>
    <col min="703" max="705" width="8" bestFit="1" customWidth="1"/>
    <col min="706" max="707" width="5" bestFit="1" customWidth="1"/>
    <col min="708" max="708" width="7" bestFit="1" customWidth="1"/>
    <col min="709" max="709" width="8" bestFit="1" customWidth="1"/>
    <col min="710" max="710" width="5" bestFit="1" customWidth="1"/>
    <col min="711" max="711" width="8" bestFit="1" customWidth="1"/>
    <col min="712" max="713" width="5" bestFit="1" customWidth="1"/>
    <col min="714" max="715" width="8" bestFit="1" customWidth="1"/>
    <col min="716" max="716" width="7" bestFit="1" customWidth="1"/>
    <col min="717" max="717" width="5" bestFit="1" customWidth="1"/>
    <col min="718" max="718" width="8" bestFit="1" customWidth="1"/>
    <col min="719" max="719" width="5" bestFit="1" customWidth="1"/>
    <col min="720" max="720" width="7" bestFit="1" customWidth="1"/>
    <col min="721" max="721" width="5" bestFit="1" customWidth="1"/>
    <col min="722" max="723" width="8" bestFit="1" customWidth="1"/>
    <col min="724" max="726" width="5" bestFit="1" customWidth="1"/>
    <col min="727" max="728" width="8" bestFit="1" customWidth="1"/>
    <col min="729" max="730" width="5" bestFit="1" customWidth="1"/>
    <col min="731" max="731" width="8" bestFit="1" customWidth="1"/>
    <col min="732" max="732" width="5" bestFit="1" customWidth="1"/>
    <col min="733" max="734" width="8" bestFit="1" customWidth="1"/>
    <col min="735" max="735" width="5" bestFit="1" customWidth="1"/>
    <col min="736" max="736" width="8" bestFit="1" customWidth="1"/>
    <col min="737" max="746" width="5" bestFit="1" customWidth="1"/>
    <col min="747" max="747" width="7" bestFit="1" customWidth="1"/>
    <col min="748" max="751" width="5" bestFit="1" customWidth="1"/>
    <col min="752" max="752" width="8" bestFit="1" customWidth="1"/>
    <col min="753" max="754" width="5" bestFit="1" customWidth="1"/>
    <col min="755" max="755" width="8" bestFit="1" customWidth="1"/>
    <col min="756" max="762" width="5" bestFit="1" customWidth="1"/>
    <col min="763" max="763" width="7" bestFit="1" customWidth="1"/>
    <col min="764" max="766" width="5" bestFit="1" customWidth="1"/>
    <col min="767" max="768" width="7" bestFit="1" customWidth="1"/>
    <col min="769" max="773" width="5" bestFit="1" customWidth="1"/>
    <col min="774" max="774" width="8" bestFit="1" customWidth="1"/>
    <col min="775" max="775" width="5" bestFit="1" customWidth="1"/>
    <col min="776" max="776" width="8" bestFit="1" customWidth="1"/>
    <col min="777" max="777" width="5" bestFit="1" customWidth="1"/>
    <col min="778" max="778" width="8" bestFit="1" customWidth="1"/>
    <col min="779" max="781" width="5" bestFit="1" customWidth="1"/>
    <col min="782" max="782" width="7" bestFit="1" customWidth="1"/>
    <col min="783" max="783" width="8" bestFit="1" customWidth="1"/>
    <col min="784" max="787" width="5" bestFit="1" customWidth="1"/>
    <col min="788" max="788" width="8" bestFit="1" customWidth="1"/>
    <col min="789" max="805" width="5" bestFit="1" customWidth="1"/>
    <col min="806" max="807" width="8" bestFit="1" customWidth="1"/>
    <col min="808" max="809" width="7" bestFit="1" customWidth="1"/>
    <col min="810" max="811" width="8" bestFit="1" customWidth="1"/>
    <col min="812" max="812" width="5" bestFit="1" customWidth="1"/>
    <col min="813" max="813" width="8" bestFit="1" customWidth="1"/>
    <col min="814" max="814" width="7" bestFit="1" customWidth="1"/>
    <col min="815" max="816" width="5" bestFit="1" customWidth="1"/>
    <col min="817" max="817" width="8" bestFit="1" customWidth="1"/>
    <col min="818" max="818" width="5" bestFit="1" customWidth="1"/>
    <col min="819" max="820" width="8" bestFit="1" customWidth="1"/>
    <col min="821" max="821" width="7" bestFit="1" customWidth="1"/>
    <col min="822" max="822" width="5" bestFit="1" customWidth="1"/>
    <col min="823" max="823" width="7" bestFit="1" customWidth="1"/>
    <col min="824" max="827" width="5" bestFit="1" customWidth="1"/>
    <col min="828" max="828" width="8" bestFit="1" customWidth="1"/>
    <col min="829" max="830" width="5" bestFit="1" customWidth="1"/>
    <col min="831" max="831" width="8" bestFit="1" customWidth="1"/>
    <col min="832" max="832" width="5" bestFit="1" customWidth="1"/>
    <col min="833" max="833" width="8" bestFit="1" customWidth="1"/>
    <col min="834" max="839" width="5" bestFit="1" customWidth="1"/>
    <col min="840" max="840" width="8" bestFit="1" customWidth="1"/>
    <col min="841" max="843" width="5" bestFit="1" customWidth="1"/>
    <col min="844" max="844" width="8" bestFit="1" customWidth="1"/>
    <col min="845" max="850" width="5" bestFit="1" customWidth="1"/>
    <col min="851" max="851" width="8" bestFit="1" customWidth="1"/>
    <col min="852" max="852" width="5" bestFit="1" customWidth="1"/>
    <col min="853" max="854" width="8" bestFit="1" customWidth="1"/>
    <col min="855" max="857" width="5" bestFit="1" customWidth="1"/>
    <col min="858" max="858" width="7" bestFit="1" customWidth="1"/>
    <col min="859" max="859" width="5" bestFit="1" customWidth="1"/>
    <col min="860" max="860" width="8" bestFit="1" customWidth="1"/>
    <col min="861" max="861" width="5" bestFit="1" customWidth="1"/>
    <col min="862" max="862" width="8" bestFit="1" customWidth="1"/>
    <col min="863" max="863" width="7" bestFit="1" customWidth="1"/>
    <col min="864" max="871" width="5" bestFit="1" customWidth="1"/>
    <col min="872" max="872" width="8" bestFit="1" customWidth="1"/>
    <col min="873" max="876" width="5" bestFit="1" customWidth="1"/>
    <col min="877" max="877" width="7" bestFit="1" customWidth="1"/>
    <col min="878" max="879" width="5" bestFit="1" customWidth="1"/>
    <col min="880" max="881" width="8" bestFit="1" customWidth="1"/>
    <col min="882" max="882" width="5" bestFit="1" customWidth="1"/>
    <col min="883" max="884" width="8" bestFit="1" customWidth="1"/>
    <col min="885" max="885" width="5" bestFit="1" customWidth="1"/>
    <col min="886" max="887" width="8" bestFit="1" customWidth="1"/>
    <col min="888" max="891" width="5" bestFit="1" customWidth="1"/>
    <col min="892" max="892" width="7" bestFit="1" customWidth="1"/>
    <col min="893" max="899" width="5" bestFit="1" customWidth="1"/>
    <col min="900" max="900" width="8" bestFit="1" customWidth="1"/>
    <col min="901" max="909" width="5" bestFit="1" customWidth="1"/>
    <col min="910" max="910" width="7" bestFit="1" customWidth="1"/>
    <col min="911" max="911" width="5" bestFit="1" customWidth="1"/>
    <col min="912" max="913" width="8" bestFit="1" customWidth="1"/>
    <col min="914" max="915" width="7" bestFit="1" customWidth="1"/>
    <col min="916" max="916" width="5" bestFit="1" customWidth="1"/>
    <col min="917" max="917" width="8" bestFit="1" customWidth="1"/>
    <col min="918" max="919" width="5" bestFit="1" customWidth="1"/>
    <col min="920" max="920" width="8" bestFit="1" customWidth="1"/>
    <col min="921" max="929" width="5" bestFit="1" customWidth="1"/>
    <col min="930" max="932" width="8" bestFit="1" customWidth="1"/>
    <col min="933" max="934" width="5" bestFit="1" customWidth="1"/>
    <col min="935" max="935" width="7" bestFit="1" customWidth="1"/>
    <col min="936" max="938" width="6" bestFit="1" customWidth="1"/>
    <col min="939" max="939" width="9" bestFit="1" customWidth="1"/>
    <col min="940" max="941" width="6" bestFit="1" customWidth="1"/>
    <col min="942" max="943" width="9" bestFit="1" customWidth="1"/>
    <col min="944" max="953" width="6" bestFit="1" customWidth="1"/>
    <col min="954" max="954" width="9" bestFit="1" customWidth="1"/>
    <col min="955" max="958" width="6" bestFit="1" customWidth="1"/>
    <col min="959" max="960" width="9" bestFit="1" customWidth="1"/>
    <col min="961" max="962" width="6" bestFit="1" customWidth="1"/>
    <col min="963" max="963" width="9" bestFit="1" customWidth="1"/>
    <col min="964" max="965" width="6" bestFit="1" customWidth="1"/>
    <col min="966" max="967" width="9" bestFit="1" customWidth="1"/>
    <col min="968" max="968" width="8" bestFit="1" customWidth="1"/>
    <col min="969" max="969" width="6" bestFit="1" customWidth="1"/>
    <col min="970" max="970" width="9" bestFit="1" customWidth="1"/>
    <col min="971" max="973" width="6" bestFit="1" customWidth="1"/>
    <col min="974" max="975" width="9" bestFit="1" customWidth="1"/>
    <col min="976" max="976" width="6" bestFit="1" customWidth="1"/>
    <col min="977" max="977" width="9" bestFit="1" customWidth="1"/>
    <col min="978" max="978" width="6" bestFit="1" customWidth="1"/>
    <col min="979" max="979" width="9" bestFit="1" customWidth="1"/>
    <col min="980" max="987" width="6" bestFit="1" customWidth="1"/>
    <col min="988" max="988" width="9" bestFit="1" customWidth="1"/>
    <col min="989" max="992" width="6" bestFit="1" customWidth="1"/>
    <col min="993" max="993" width="9" bestFit="1" customWidth="1"/>
    <col min="994" max="1000" width="6" bestFit="1" customWidth="1"/>
    <col min="1001" max="1001" width="9" bestFit="1" customWidth="1"/>
    <col min="1002" max="1002" width="8" bestFit="1" customWidth="1"/>
    <col min="1003" max="1004" width="9" bestFit="1" customWidth="1"/>
    <col min="1005" max="1005" width="6" bestFit="1" customWidth="1"/>
    <col min="1006" max="1007" width="9" bestFit="1" customWidth="1"/>
    <col min="1008" max="1008" width="6" bestFit="1" customWidth="1"/>
    <col min="1009" max="1009" width="9" bestFit="1" customWidth="1"/>
    <col min="1010" max="1010" width="8" bestFit="1" customWidth="1"/>
    <col min="1011" max="1018" width="6" bestFit="1" customWidth="1"/>
    <col min="1019" max="1019" width="8" bestFit="1" customWidth="1"/>
    <col min="1020" max="1021" width="6" bestFit="1" customWidth="1"/>
    <col min="1022" max="1022" width="9" bestFit="1" customWidth="1"/>
    <col min="1023" max="1024" width="6" bestFit="1" customWidth="1"/>
    <col min="1025" max="1025" width="8" bestFit="1" customWidth="1"/>
    <col min="1026" max="1026" width="9" bestFit="1" customWidth="1"/>
    <col min="1027" max="1028" width="6" bestFit="1" customWidth="1"/>
    <col min="1029" max="1029" width="9" bestFit="1" customWidth="1"/>
    <col min="1030" max="1030" width="6" bestFit="1" customWidth="1"/>
    <col min="1031" max="1031" width="9" bestFit="1" customWidth="1"/>
    <col min="1032" max="1032" width="6" bestFit="1" customWidth="1"/>
    <col min="1033" max="1033" width="8" bestFit="1" customWidth="1"/>
    <col min="1034" max="1037" width="6" bestFit="1" customWidth="1"/>
    <col min="1038" max="1041" width="9" bestFit="1" customWidth="1"/>
    <col min="1042" max="1042" width="6" bestFit="1" customWidth="1"/>
    <col min="1043" max="1043" width="8" bestFit="1" customWidth="1"/>
    <col min="1044" max="1049" width="6" bestFit="1" customWidth="1"/>
    <col min="1050" max="1050" width="9" bestFit="1" customWidth="1"/>
    <col min="1051" max="1057" width="6" bestFit="1" customWidth="1"/>
    <col min="1058" max="1058" width="9" bestFit="1" customWidth="1"/>
    <col min="1059" max="1059" width="8" bestFit="1" customWidth="1"/>
    <col min="1060" max="1060" width="9" bestFit="1" customWidth="1"/>
    <col min="1061" max="1064" width="6" bestFit="1" customWidth="1"/>
    <col min="1065" max="1065" width="8" bestFit="1" customWidth="1"/>
    <col min="1066" max="1068" width="6" bestFit="1" customWidth="1"/>
    <col min="1069" max="1069" width="8" bestFit="1" customWidth="1"/>
    <col min="1070" max="1074" width="6" bestFit="1" customWidth="1"/>
    <col min="1075" max="1075" width="9" bestFit="1" customWidth="1"/>
    <col min="1076" max="1076" width="6" bestFit="1" customWidth="1"/>
    <col min="1077" max="1077" width="8" bestFit="1" customWidth="1"/>
    <col min="1078" max="1078" width="9" bestFit="1" customWidth="1"/>
    <col min="1079" max="1081" width="6" bestFit="1" customWidth="1"/>
    <col min="1082" max="1083" width="9" bestFit="1" customWidth="1"/>
    <col min="1084" max="1092" width="6" bestFit="1" customWidth="1"/>
    <col min="1093" max="1093" width="9" bestFit="1" customWidth="1"/>
    <col min="1094" max="1094" width="6" bestFit="1" customWidth="1"/>
    <col min="1095" max="1095" width="9" bestFit="1" customWidth="1"/>
    <col min="1096" max="1099" width="6" bestFit="1" customWidth="1"/>
    <col min="1100" max="1100" width="7" bestFit="1" customWidth="1"/>
    <col min="1101" max="1101" width="10" bestFit="1" customWidth="1"/>
    <col min="1102" max="1102" width="7" bestFit="1" customWidth="1"/>
    <col min="1103" max="1103" width="9" bestFit="1" customWidth="1"/>
    <col min="1104" max="1104" width="10" bestFit="1" customWidth="1"/>
    <col min="1105" max="1106" width="7" bestFit="1" customWidth="1"/>
    <col min="1107" max="1108" width="10" bestFit="1" customWidth="1"/>
    <col min="1109" max="1120" width="7" bestFit="1" customWidth="1"/>
    <col min="1121" max="1121" width="9" bestFit="1" customWidth="1"/>
    <col min="1122" max="1124" width="7" bestFit="1" customWidth="1"/>
    <col min="1125" max="1125" width="10" bestFit="1" customWidth="1"/>
    <col min="1126" max="1126" width="9" bestFit="1" customWidth="1"/>
    <col min="1127" max="1128" width="10" bestFit="1" customWidth="1"/>
    <col min="1129" max="1129" width="7" bestFit="1" customWidth="1"/>
    <col min="1130" max="1132" width="10" bestFit="1" customWidth="1"/>
    <col min="1133" max="1133" width="7" bestFit="1" customWidth="1"/>
    <col min="1134" max="1134" width="9" bestFit="1" customWidth="1"/>
    <col min="1135" max="1139" width="7" bestFit="1" customWidth="1"/>
    <col min="1140" max="1141" width="10" bestFit="1" customWidth="1"/>
    <col min="1142" max="1144" width="8" bestFit="1" customWidth="1"/>
    <col min="1145" max="1145" width="11.28515625" bestFit="1" customWidth="1"/>
  </cols>
  <sheetData>
    <row r="1" spans="1:12">
      <c r="A1" s="169" t="s">
        <v>926</v>
      </c>
      <c r="H1" s="169" t="s">
        <v>925</v>
      </c>
    </row>
    <row r="3" spans="1:12">
      <c r="A3" s="271" t="s">
        <v>1354</v>
      </c>
      <c r="B3" s="10" t="s">
        <v>1355</v>
      </c>
      <c r="C3" s="10" t="s">
        <v>1356</v>
      </c>
      <c r="H3" s="271" t="s">
        <v>1354</v>
      </c>
      <c r="I3" s="10" t="s">
        <v>1355</v>
      </c>
      <c r="J3" s="10" t="s">
        <v>1356</v>
      </c>
    </row>
    <row r="4" spans="1:12">
      <c r="A4" s="272" t="s">
        <v>1357</v>
      </c>
      <c r="B4" s="10">
        <v>8162586.7800000068</v>
      </c>
      <c r="C4" s="10">
        <v>4427706.6199999992</v>
      </c>
      <c r="H4" s="272" t="s">
        <v>1357</v>
      </c>
      <c r="I4" s="10">
        <v>13409220.120000001</v>
      </c>
      <c r="J4" s="10">
        <v>8499103.5</v>
      </c>
    </row>
    <row r="5" spans="1:12">
      <c r="A5" s="272" t="s">
        <v>1358</v>
      </c>
      <c r="B5" s="10">
        <v>2106000</v>
      </c>
      <c r="C5" s="10">
        <v>465000</v>
      </c>
      <c r="H5" s="272" t="s">
        <v>1359</v>
      </c>
      <c r="I5" s="10">
        <v>25000</v>
      </c>
      <c r="J5" s="10">
        <v>0</v>
      </c>
    </row>
    <row r="6" spans="1:12">
      <c r="A6" s="272" t="s">
        <v>1360</v>
      </c>
      <c r="B6" s="10">
        <v>0</v>
      </c>
      <c r="C6" s="10">
        <v>31780</v>
      </c>
      <c r="H6" s="272" t="s">
        <v>1360</v>
      </c>
      <c r="I6" s="10">
        <v>150000</v>
      </c>
      <c r="J6" s="10">
        <v>174399.44</v>
      </c>
    </row>
    <row r="7" spans="1:12">
      <c r="A7" s="272" t="s">
        <v>1361</v>
      </c>
      <c r="B7" s="10">
        <v>1463000</v>
      </c>
      <c r="C7" s="10">
        <v>0</v>
      </c>
      <c r="H7" s="272" t="s">
        <v>1361</v>
      </c>
      <c r="I7" s="10">
        <v>2896900</v>
      </c>
      <c r="J7" s="10">
        <v>0</v>
      </c>
    </row>
    <row r="8" spans="1:12">
      <c r="A8" s="272" t="s">
        <v>12632</v>
      </c>
      <c r="B8" s="10">
        <v>42000</v>
      </c>
      <c r="C8" s="10"/>
      <c r="H8" s="272" t="s">
        <v>1362</v>
      </c>
      <c r="I8" s="10">
        <v>10662005.049999999</v>
      </c>
      <c r="J8" s="10">
        <v>0</v>
      </c>
    </row>
    <row r="9" spans="1:12">
      <c r="A9" s="272" t="s">
        <v>1362</v>
      </c>
      <c r="B9" s="10">
        <v>4860766.7800000012</v>
      </c>
      <c r="C9" s="10">
        <v>0</v>
      </c>
      <c r="D9" t="s">
        <v>1364</v>
      </c>
      <c r="H9" s="272" t="s">
        <v>1363</v>
      </c>
      <c r="I9" s="10">
        <v>14386000</v>
      </c>
      <c r="J9" s="10">
        <v>4167500</v>
      </c>
      <c r="K9" t="s">
        <v>1365</v>
      </c>
    </row>
    <row r="10" spans="1:12">
      <c r="A10" s="272" t="s">
        <v>1363</v>
      </c>
      <c r="B10" s="10">
        <v>7980936.1799999997</v>
      </c>
      <c r="C10" s="10">
        <v>1776300</v>
      </c>
      <c r="H10" s="272" t="s">
        <v>1367</v>
      </c>
      <c r="I10" s="10">
        <v>345</v>
      </c>
      <c r="J10" s="10">
        <v>0</v>
      </c>
    </row>
    <row r="11" spans="1:12">
      <c r="A11" s="272" t="s">
        <v>1366</v>
      </c>
      <c r="B11" s="10">
        <v>6186785</v>
      </c>
      <c r="C11" s="10">
        <v>0</v>
      </c>
      <c r="H11" s="272" t="s">
        <v>1366</v>
      </c>
      <c r="I11" s="10">
        <v>4192133</v>
      </c>
      <c r="J11" s="10">
        <v>0</v>
      </c>
    </row>
    <row r="12" spans="1:12">
      <c r="A12" s="272" t="s">
        <v>1368</v>
      </c>
      <c r="B12" s="10">
        <v>0</v>
      </c>
      <c r="C12" s="10">
        <v>1028358</v>
      </c>
      <c r="H12" s="272" t="s">
        <v>1368</v>
      </c>
      <c r="I12" s="10">
        <v>0</v>
      </c>
      <c r="J12" s="10">
        <v>786109</v>
      </c>
    </row>
    <row r="13" spans="1:12">
      <c r="A13" s="272" t="s">
        <v>1369</v>
      </c>
      <c r="B13" s="10">
        <v>0</v>
      </c>
      <c r="C13" s="10">
        <v>849019</v>
      </c>
      <c r="H13" s="272" t="s">
        <v>1369</v>
      </c>
      <c r="I13" s="10">
        <v>0</v>
      </c>
      <c r="J13" s="10">
        <v>3751</v>
      </c>
      <c r="K13" t="s">
        <v>1371</v>
      </c>
      <c r="L13" t="s">
        <v>12678</v>
      </c>
    </row>
    <row r="14" spans="1:12">
      <c r="A14" s="272" t="s">
        <v>1370</v>
      </c>
      <c r="B14" s="10">
        <v>8603329.0700000003</v>
      </c>
      <c r="C14" s="10">
        <v>0</v>
      </c>
      <c r="D14" s="67" t="s">
        <v>1373</v>
      </c>
      <c r="E14" t="s">
        <v>1374</v>
      </c>
      <c r="H14" s="272" t="s">
        <v>1370</v>
      </c>
      <c r="I14" s="10">
        <v>11891991.779999999</v>
      </c>
      <c r="J14" s="10">
        <v>0</v>
      </c>
      <c r="K14" s="67" t="s">
        <v>1373</v>
      </c>
      <c r="L14" t="s">
        <v>1374</v>
      </c>
    </row>
    <row r="15" spans="1:12">
      <c r="A15" s="272" t="s">
        <v>1372</v>
      </c>
      <c r="B15" s="10">
        <v>10711225</v>
      </c>
      <c r="C15" s="10">
        <v>0</v>
      </c>
      <c r="D15" s="201" t="s">
        <v>1376</v>
      </c>
      <c r="E15" s="202">
        <f>(73+35)/86.7</f>
        <v>1.2456747404844291</v>
      </c>
      <c r="H15" s="272" t="s">
        <v>1372</v>
      </c>
      <c r="I15" s="10">
        <v>9969250</v>
      </c>
      <c r="J15" s="10">
        <v>0</v>
      </c>
      <c r="K15" s="201" t="s">
        <v>1377</v>
      </c>
      <c r="L15" s="202">
        <f>(75+5+15)/81</f>
        <v>1.1728395061728396</v>
      </c>
    </row>
    <row r="16" spans="1:12">
      <c r="A16" s="272" t="s">
        <v>1375</v>
      </c>
      <c r="B16" s="10">
        <v>0</v>
      </c>
      <c r="C16" s="10">
        <v>8797211.9899999909</v>
      </c>
      <c r="H16" s="272" t="s">
        <v>1375</v>
      </c>
      <c r="I16" s="10">
        <v>0</v>
      </c>
      <c r="J16" s="10">
        <v>8260273.8600000022</v>
      </c>
    </row>
    <row r="17" spans="1:10">
      <c r="A17" s="272" t="s">
        <v>1378</v>
      </c>
      <c r="B17" s="10">
        <v>1040000</v>
      </c>
      <c r="C17" s="10">
        <v>0</v>
      </c>
      <c r="H17" s="272" t="s">
        <v>1378</v>
      </c>
      <c r="I17" s="10">
        <v>900000</v>
      </c>
      <c r="J17" s="10">
        <v>0</v>
      </c>
    </row>
    <row r="18" spans="1:10">
      <c r="A18" s="272" t="s">
        <v>1379</v>
      </c>
      <c r="B18" s="10">
        <v>11663007</v>
      </c>
      <c r="C18" s="10">
        <v>8072097.959999999</v>
      </c>
      <c r="H18" s="272" t="s">
        <v>1379</v>
      </c>
      <c r="I18" s="10">
        <v>14700000</v>
      </c>
      <c r="J18" s="10">
        <v>9086568.5899999999</v>
      </c>
    </row>
    <row r="19" spans="1:10">
      <c r="A19" s="272" t="s">
        <v>1380</v>
      </c>
      <c r="B19" s="10">
        <v>0</v>
      </c>
      <c r="C19" s="10">
        <v>46526731.789999999</v>
      </c>
      <c r="H19" s="272" t="s">
        <v>13955</v>
      </c>
      <c r="I19" s="10">
        <v>50000</v>
      </c>
      <c r="J19" s="10">
        <v>391197</v>
      </c>
    </row>
    <row r="20" spans="1:10">
      <c r="A20" s="272" t="s">
        <v>1381</v>
      </c>
      <c r="B20" s="10">
        <v>6691679</v>
      </c>
      <c r="C20" s="10">
        <v>0</v>
      </c>
      <c r="H20" s="272" t="s">
        <v>1380</v>
      </c>
      <c r="I20" s="10">
        <v>0</v>
      </c>
      <c r="J20" s="10">
        <v>58284020.459999993</v>
      </c>
    </row>
    <row r="21" spans="1:10">
      <c r="A21" s="272" t="s">
        <v>1382</v>
      </c>
      <c r="B21" s="10">
        <v>174348</v>
      </c>
      <c r="C21" s="10">
        <v>174348</v>
      </c>
      <c r="H21" s="272" t="s">
        <v>1381</v>
      </c>
      <c r="I21" s="10">
        <v>6026988</v>
      </c>
      <c r="J21" s="10">
        <v>0</v>
      </c>
    </row>
    <row r="22" spans="1:10">
      <c r="A22" s="272" t="s">
        <v>1384</v>
      </c>
      <c r="B22" s="10">
        <v>25000</v>
      </c>
      <c r="C22" s="10">
        <v>4140000</v>
      </c>
      <c r="H22" s="272" t="s">
        <v>1383</v>
      </c>
      <c r="I22" s="10">
        <v>590772</v>
      </c>
      <c r="J22" s="10">
        <v>0</v>
      </c>
    </row>
    <row r="23" spans="1:10">
      <c r="A23" s="272" t="s">
        <v>1385</v>
      </c>
      <c r="B23" s="10">
        <v>69710662.809999958</v>
      </c>
      <c r="C23" s="10">
        <v>76288553.359999925</v>
      </c>
      <c r="H23" s="272" t="s">
        <v>1385</v>
      </c>
      <c r="I23" s="10">
        <v>89850604.949999943</v>
      </c>
      <c r="J23" s="10">
        <v>89652922.849999949</v>
      </c>
    </row>
    <row r="24" spans="1:10">
      <c r="A24"/>
      <c r="B24"/>
      <c r="C24"/>
      <c r="H24"/>
      <c r="I24"/>
      <c r="J24"/>
    </row>
    <row r="25" spans="1:10">
      <c r="A25"/>
      <c r="B25"/>
      <c r="C25"/>
      <c r="H25"/>
      <c r="I25"/>
      <c r="J25"/>
    </row>
    <row r="26" spans="1:10">
      <c r="A26"/>
      <c r="B26"/>
      <c r="C26"/>
      <c r="H26"/>
      <c r="I26"/>
      <c r="J26"/>
    </row>
    <row r="27" spans="1:10">
      <c r="A27"/>
      <c r="B27"/>
      <c r="C27"/>
      <c r="H27"/>
      <c r="I27"/>
      <c r="J27"/>
    </row>
    <row r="28" spans="1:10">
      <c r="A28"/>
      <c r="B28"/>
      <c r="C28"/>
      <c r="H28"/>
      <c r="I28"/>
      <c r="J28"/>
    </row>
    <row r="29" spans="1:10">
      <c r="A29"/>
      <c r="B29"/>
      <c r="C29"/>
      <c r="H29"/>
      <c r="I29"/>
      <c r="J29"/>
    </row>
    <row r="30" spans="1:10">
      <c r="A30"/>
      <c r="B30"/>
      <c r="C30"/>
      <c r="H30"/>
      <c r="I30"/>
      <c r="J30"/>
    </row>
    <row r="31" spans="1:10">
      <c r="A31"/>
      <c r="B31"/>
      <c r="C31"/>
      <c r="H31"/>
      <c r="I31"/>
      <c r="J31"/>
    </row>
    <row r="32" spans="1:10">
      <c r="A32"/>
      <c r="B32"/>
      <c r="C32"/>
      <c r="H32"/>
      <c r="I32"/>
      <c r="J32"/>
    </row>
    <row r="33" spans="1:10">
      <c r="A33"/>
      <c r="B33"/>
      <c r="C33"/>
      <c r="H33"/>
      <c r="I33"/>
      <c r="J33"/>
    </row>
    <row r="34" spans="1:10">
      <c r="A34"/>
      <c r="B34"/>
      <c r="C34"/>
      <c r="H34"/>
      <c r="I34"/>
      <c r="J34"/>
    </row>
    <row r="35" spans="1:10">
      <c r="A35"/>
      <c r="B35"/>
      <c r="C35"/>
      <c r="H35"/>
      <c r="I35"/>
      <c r="J35"/>
    </row>
    <row r="36" spans="1:10">
      <c r="A36"/>
      <c r="B36"/>
      <c r="C36"/>
      <c r="H36"/>
      <c r="I36"/>
      <c r="J36"/>
    </row>
    <row r="37" spans="1:10">
      <c r="A37"/>
      <c r="B37"/>
      <c r="C37"/>
      <c r="H37"/>
      <c r="I37"/>
      <c r="J37"/>
    </row>
    <row r="38" spans="1:10">
      <c r="A38"/>
      <c r="B38"/>
      <c r="C38"/>
      <c r="H38"/>
      <c r="I38"/>
      <c r="J38"/>
    </row>
    <row r="39" spans="1:10">
      <c r="A39"/>
      <c r="B39"/>
      <c r="C39"/>
      <c r="H39"/>
      <c r="I39"/>
      <c r="J39"/>
    </row>
    <row r="40" spans="1:10">
      <c r="A40"/>
      <c r="B40"/>
      <c r="C40"/>
      <c r="H40"/>
      <c r="I40"/>
      <c r="J40"/>
    </row>
    <row r="41" spans="1:10">
      <c r="A41"/>
      <c r="B41"/>
      <c r="C41"/>
      <c r="H41"/>
      <c r="I41"/>
      <c r="J41"/>
    </row>
    <row r="42" spans="1:10">
      <c r="A42"/>
      <c r="B42"/>
      <c r="C42"/>
      <c r="H42"/>
      <c r="I42"/>
      <c r="J42"/>
    </row>
    <row r="43" spans="1:10">
      <c r="A43"/>
      <c r="B43"/>
      <c r="C43"/>
      <c r="H43"/>
      <c r="I43"/>
      <c r="J43"/>
    </row>
    <row r="44" spans="1:10">
      <c r="A44"/>
      <c r="B44"/>
      <c r="C44"/>
      <c r="H44"/>
      <c r="I44"/>
      <c r="J44"/>
    </row>
    <row r="45" spans="1:10">
      <c r="A45"/>
      <c r="B45"/>
      <c r="C45"/>
      <c r="H45"/>
      <c r="I45"/>
      <c r="J45"/>
    </row>
    <row r="46" spans="1:10">
      <c r="A46"/>
      <c r="B46"/>
      <c r="C46"/>
      <c r="H46"/>
      <c r="I46"/>
      <c r="J46"/>
    </row>
    <row r="47" spans="1:10">
      <c r="A47"/>
      <c r="B47"/>
      <c r="C47"/>
      <c r="H47"/>
      <c r="I47"/>
      <c r="J47"/>
    </row>
    <row r="48" spans="1:10">
      <c r="A48"/>
      <c r="B48"/>
      <c r="C48"/>
      <c r="H48"/>
      <c r="I48"/>
      <c r="J48"/>
    </row>
    <row r="49" spans="1:10">
      <c r="A49"/>
      <c r="B49"/>
      <c r="C49"/>
      <c r="H49"/>
      <c r="I49"/>
      <c r="J49"/>
    </row>
    <row r="50" spans="1:10">
      <c r="A50"/>
      <c r="B50"/>
      <c r="C50"/>
      <c r="H50"/>
      <c r="I50"/>
      <c r="J50"/>
    </row>
    <row r="51" spans="1:10">
      <c r="A51"/>
      <c r="B51"/>
      <c r="C51"/>
      <c r="H51"/>
      <c r="I51"/>
      <c r="J51"/>
    </row>
    <row r="52" spans="1:10">
      <c r="A52"/>
      <c r="B52"/>
      <c r="C52"/>
      <c r="H52"/>
      <c r="I52"/>
      <c r="J52"/>
    </row>
    <row r="53" spans="1:10">
      <c r="A53"/>
      <c r="B53"/>
      <c r="C53"/>
      <c r="H53"/>
      <c r="I53"/>
      <c r="J53"/>
    </row>
    <row r="54" spans="1:10">
      <c r="A54"/>
      <c r="B54"/>
      <c r="C54"/>
      <c r="H54"/>
      <c r="I54"/>
      <c r="J54"/>
    </row>
    <row r="55" spans="1:10">
      <c r="A55"/>
      <c r="B55"/>
      <c r="C55"/>
      <c r="H55"/>
      <c r="I55"/>
      <c r="J55"/>
    </row>
    <row r="56" spans="1:10">
      <c r="A56"/>
      <c r="B56"/>
      <c r="C56"/>
      <c r="H56"/>
      <c r="I56"/>
      <c r="J56"/>
    </row>
    <row r="57" spans="1:10">
      <c r="A57"/>
      <c r="B57"/>
      <c r="C57"/>
      <c r="H57"/>
      <c r="I57"/>
      <c r="J57"/>
    </row>
    <row r="58" spans="1:10">
      <c r="A58"/>
      <c r="B58"/>
      <c r="C58"/>
      <c r="H58"/>
      <c r="I58"/>
      <c r="J58"/>
    </row>
    <row r="59" spans="1:10">
      <c r="A59"/>
      <c r="B59"/>
      <c r="C59"/>
      <c r="H59"/>
      <c r="I59"/>
      <c r="J59"/>
    </row>
    <row r="60" spans="1:10">
      <c r="A60"/>
      <c r="B60"/>
      <c r="C60"/>
      <c r="H60"/>
      <c r="I60"/>
      <c r="J60"/>
    </row>
    <row r="61" spans="1:10">
      <c r="A61"/>
      <c r="B61"/>
      <c r="C61"/>
      <c r="H61"/>
      <c r="I61"/>
      <c r="J61"/>
    </row>
    <row r="62" spans="1:10">
      <c r="H62"/>
      <c r="I62"/>
      <c r="J62"/>
    </row>
    <row r="63" spans="1:10">
      <c r="H63"/>
      <c r="I63"/>
      <c r="J63"/>
    </row>
    <row r="64" spans="1:10">
      <c r="H64"/>
      <c r="I64"/>
      <c r="J64"/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B6870D3-35B4-4B47-9795-4BB33C2EDA86}">
  <sheetPr filterMode="1">
    <tabColor rgb="FF92D050"/>
  </sheetPr>
  <dimension ref="A1:N4734"/>
  <sheetViews>
    <sheetView workbookViewId="0">
      <pane ySplit="1" topLeftCell="A4615" activePane="bottomLeft" state="frozen"/>
      <selection pane="bottomLeft" activeCell="G4645" sqref="G4645"/>
    </sheetView>
  </sheetViews>
  <sheetFormatPr defaultRowHeight="15"/>
  <cols>
    <col min="1" max="1" width="12.140625" style="2" bestFit="1" customWidth="1"/>
    <col min="2" max="2" width="18.28515625" bestFit="1" customWidth="1"/>
    <col min="3" max="3" width="106.5703125" bestFit="1" customWidth="1"/>
    <col min="4" max="4" width="14.5703125" style="1" bestFit="1" customWidth="1"/>
    <col min="5" max="5" width="11" style="1" bestFit="1" customWidth="1"/>
    <col min="6" max="6" width="12.5703125" bestFit="1" customWidth="1"/>
    <col min="7" max="7" width="19.42578125" style="8" bestFit="1" customWidth="1"/>
    <col min="11" max="11" width="10.7109375" bestFit="1" customWidth="1"/>
    <col min="12" max="13" width="12.140625" bestFit="1" customWidth="1"/>
  </cols>
  <sheetData>
    <row r="1" spans="1:14">
      <c r="A1" s="2" t="s">
        <v>1386</v>
      </c>
      <c r="B1" t="s">
        <v>1387</v>
      </c>
      <c r="C1" t="s">
        <v>1388</v>
      </c>
      <c r="D1" s="1" t="s">
        <v>1389</v>
      </c>
      <c r="E1" s="1" t="s">
        <v>1390</v>
      </c>
      <c r="F1" t="s">
        <v>1391</v>
      </c>
      <c r="G1" s="8" t="s">
        <v>1392</v>
      </c>
      <c r="L1" t="s">
        <v>1393</v>
      </c>
      <c r="N1" t="s">
        <v>1389</v>
      </c>
    </row>
    <row r="2" spans="1:14" hidden="1">
      <c r="A2" s="232">
        <v>37090</v>
      </c>
      <c r="C2" t="s">
        <v>1394</v>
      </c>
      <c r="D2" s="69"/>
      <c r="E2" s="69"/>
      <c r="F2" s="69"/>
      <c r="H2" t="s">
        <v>1050</v>
      </c>
    </row>
    <row r="3" spans="1:14" hidden="1">
      <c r="A3" s="232">
        <v>37093</v>
      </c>
      <c r="C3" t="s">
        <v>13289</v>
      </c>
      <c r="D3" s="69"/>
      <c r="E3" s="69">
        <v>9940</v>
      </c>
      <c r="F3" s="69"/>
      <c r="G3" s="8" t="s">
        <v>1380</v>
      </c>
      <c r="H3" t="s">
        <v>1050</v>
      </c>
    </row>
    <row r="4" spans="1:14" hidden="1">
      <c r="A4" s="232">
        <v>37127</v>
      </c>
      <c r="C4" t="s">
        <v>13290</v>
      </c>
      <c r="D4" s="69"/>
      <c r="E4" s="69">
        <v>10625</v>
      </c>
      <c r="F4" s="69"/>
      <c r="G4" s="8" t="s">
        <v>1380</v>
      </c>
      <c r="H4" t="s">
        <v>1050</v>
      </c>
    </row>
    <row r="5" spans="1:14" hidden="1">
      <c r="A5" s="232">
        <v>37127</v>
      </c>
      <c r="C5" t="s">
        <v>13291</v>
      </c>
      <c r="D5" s="69">
        <v>10000</v>
      </c>
      <c r="E5" s="69"/>
      <c r="F5" s="69"/>
      <c r="H5" t="s">
        <v>1050</v>
      </c>
    </row>
    <row r="6" spans="1:14" hidden="1">
      <c r="A6" s="232">
        <v>37142</v>
      </c>
      <c r="C6" t="s">
        <v>13292</v>
      </c>
      <c r="D6" s="69"/>
      <c r="E6" s="69">
        <v>33</v>
      </c>
      <c r="F6" s="69"/>
      <c r="G6" s="8" t="s">
        <v>1368</v>
      </c>
      <c r="H6" t="s">
        <v>1050</v>
      </c>
    </row>
    <row r="7" spans="1:14" hidden="1">
      <c r="A7" s="232">
        <v>37156</v>
      </c>
      <c r="C7" t="s">
        <v>13293</v>
      </c>
      <c r="D7" s="69">
        <v>3000</v>
      </c>
      <c r="E7" s="69"/>
      <c r="F7" s="69"/>
      <c r="G7" s="8" t="s">
        <v>1361</v>
      </c>
      <c r="H7" t="s">
        <v>1050</v>
      </c>
    </row>
    <row r="8" spans="1:14" hidden="1">
      <c r="A8" s="232">
        <v>37159</v>
      </c>
      <c r="C8" t="s">
        <v>13294</v>
      </c>
      <c r="D8" s="69"/>
      <c r="E8" s="69">
        <v>10455</v>
      </c>
      <c r="F8" s="69"/>
      <c r="G8" s="8" t="s">
        <v>1380</v>
      </c>
      <c r="H8" t="s">
        <v>1050</v>
      </c>
    </row>
    <row r="9" spans="1:14" hidden="1">
      <c r="A9" s="232">
        <v>37159</v>
      </c>
      <c r="C9" t="s">
        <v>13295</v>
      </c>
      <c r="D9" s="69">
        <v>5000</v>
      </c>
      <c r="E9" s="69"/>
      <c r="F9" s="69"/>
      <c r="H9" t="s">
        <v>1050</v>
      </c>
    </row>
    <row r="10" spans="1:14" hidden="1">
      <c r="A10" s="232">
        <v>37188</v>
      </c>
      <c r="C10" t="s">
        <v>13296</v>
      </c>
      <c r="D10" s="69"/>
      <c r="E10" s="69">
        <v>10455</v>
      </c>
      <c r="F10" s="69"/>
      <c r="G10" s="8" t="s">
        <v>1380</v>
      </c>
      <c r="H10" t="s">
        <v>1050</v>
      </c>
    </row>
    <row r="11" spans="1:14" hidden="1">
      <c r="A11" s="232">
        <v>37188</v>
      </c>
      <c r="C11" t="s">
        <v>13297</v>
      </c>
      <c r="D11" s="69">
        <v>10000</v>
      </c>
      <c r="E11" s="69"/>
      <c r="F11" s="69"/>
      <c r="H11" t="s">
        <v>1050</v>
      </c>
    </row>
    <row r="12" spans="1:14" hidden="1">
      <c r="A12" s="232">
        <v>37216</v>
      </c>
      <c r="C12" t="s">
        <v>13298</v>
      </c>
      <c r="D12" s="69"/>
      <c r="E12" s="69">
        <v>100</v>
      </c>
      <c r="F12" s="69"/>
      <c r="G12" s="8" t="s">
        <v>1380</v>
      </c>
      <c r="H12" t="s">
        <v>1050</v>
      </c>
    </row>
    <row r="13" spans="1:14" hidden="1">
      <c r="A13" s="232">
        <v>37218</v>
      </c>
      <c r="C13" t="s">
        <v>13299</v>
      </c>
      <c r="D13" s="69"/>
      <c r="E13" s="69">
        <v>10455</v>
      </c>
      <c r="F13" s="69"/>
      <c r="G13" s="8" t="s">
        <v>1380</v>
      </c>
      <c r="H13" t="s">
        <v>1050</v>
      </c>
    </row>
    <row r="14" spans="1:14" hidden="1">
      <c r="A14" s="232">
        <v>37218</v>
      </c>
      <c r="C14" t="s">
        <v>13300</v>
      </c>
      <c r="D14" s="69">
        <v>10000</v>
      </c>
      <c r="E14" s="69"/>
      <c r="F14" s="69"/>
      <c r="H14" t="s">
        <v>1050</v>
      </c>
    </row>
    <row r="15" spans="1:14" hidden="1">
      <c r="A15" s="232">
        <v>37226</v>
      </c>
      <c r="C15" t="s">
        <v>13301</v>
      </c>
      <c r="D15" s="69"/>
      <c r="E15" s="69">
        <v>114</v>
      </c>
      <c r="F15" s="69"/>
      <c r="G15" s="8" t="s">
        <v>1368</v>
      </c>
      <c r="H15" t="s">
        <v>1050</v>
      </c>
    </row>
    <row r="16" spans="1:14" hidden="1">
      <c r="A16" s="232">
        <v>37252</v>
      </c>
      <c r="C16" t="s">
        <v>13302</v>
      </c>
      <c r="D16" s="69"/>
      <c r="E16" s="69">
        <v>10375</v>
      </c>
      <c r="F16" s="69"/>
      <c r="G16" s="8" t="s">
        <v>1380</v>
      </c>
      <c r="H16" t="s">
        <v>1050</v>
      </c>
    </row>
    <row r="17" spans="1:8" hidden="1">
      <c r="A17" s="232">
        <v>37252</v>
      </c>
      <c r="C17" t="s">
        <v>13303</v>
      </c>
      <c r="D17" s="69">
        <v>10000</v>
      </c>
      <c r="E17" s="69"/>
      <c r="F17" s="69"/>
      <c r="H17" t="s">
        <v>1050</v>
      </c>
    </row>
    <row r="18" spans="1:8" hidden="1">
      <c r="A18" s="232">
        <v>37267</v>
      </c>
      <c r="B18">
        <v>563126</v>
      </c>
      <c r="C18" t="s">
        <v>13304</v>
      </c>
      <c r="D18" s="69">
        <v>8000</v>
      </c>
      <c r="E18" s="69"/>
      <c r="F18" s="69"/>
      <c r="H18" t="s">
        <v>1050</v>
      </c>
    </row>
    <row r="19" spans="1:8" hidden="1">
      <c r="A19" s="232">
        <v>37272</v>
      </c>
      <c r="B19">
        <v>563127</v>
      </c>
      <c r="C19" t="s">
        <v>13305</v>
      </c>
      <c r="D19" s="69">
        <v>5000</v>
      </c>
      <c r="E19" s="69"/>
      <c r="F19" s="69"/>
      <c r="H19" t="s">
        <v>1050</v>
      </c>
    </row>
    <row r="20" spans="1:8" hidden="1">
      <c r="A20" s="232">
        <v>37278</v>
      </c>
      <c r="B20">
        <v>563128</v>
      </c>
      <c r="C20" t="s">
        <v>13306</v>
      </c>
      <c r="D20" s="69">
        <v>5000</v>
      </c>
      <c r="E20" s="69"/>
      <c r="F20" s="69"/>
      <c r="H20" t="s">
        <v>1050</v>
      </c>
    </row>
    <row r="21" spans="1:8" hidden="1">
      <c r="A21" s="232">
        <v>37278</v>
      </c>
      <c r="C21" t="s">
        <v>13307</v>
      </c>
      <c r="D21" s="69"/>
      <c r="E21" s="69">
        <v>9032</v>
      </c>
      <c r="F21" s="69"/>
      <c r="H21" t="s">
        <v>1050</v>
      </c>
    </row>
    <row r="22" spans="1:8" hidden="1">
      <c r="A22" s="232">
        <v>37287</v>
      </c>
      <c r="B22">
        <v>563129</v>
      </c>
      <c r="C22" t="s">
        <v>13308</v>
      </c>
      <c r="D22" s="69">
        <v>6331</v>
      </c>
      <c r="E22" s="69"/>
      <c r="F22" s="69"/>
      <c r="G22" s="8" t="s">
        <v>1370</v>
      </c>
      <c r="H22" t="s">
        <v>1050</v>
      </c>
    </row>
    <row r="23" spans="1:8" hidden="1">
      <c r="A23" s="232">
        <v>37287</v>
      </c>
      <c r="C23" t="s">
        <v>13309</v>
      </c>
      <c r="D23" s="69"/>
      <c r="E23" s="69">
        <v>11680</v>
      </c>
      <c r="F23" s="69"/>
      <c r="G23" s="8" t="s">
        <v>1380</v>
      </c>
      <c r="H23" t="s">
        <v>1050</v>
      </c>
    </row>
    <row r="24" spans="1:8" hidden="1">
      <c r="A24" s="232">
        <v>37292</v>
      </c>
      <c r="C24" t="s">
        <v>13310</v>
      </c>
      <c r="D24" s="69"/>
      <c r="E24" s="69">
        <v>50</v>
      </c>
      <c r="F24" s="69"/>
      <c r="G24" s="8" t="s">
        <v>1380</v>
      </c>
      <c r="H24" t="s">
        <v>1050</v>
      </c>
    </row>
    <row r="25" spans="1:8" hidden="1">
      <c r="A25" s="232">
        <v>37313</v>
      </c>
      <c r="C25" t="s">
        <v>13311</v>
      </c>
      <c r="D25" s="69"/>
      <c r="E25" s="69">
        <v>11680</v>
      </c>
      <c r="F25" s="69"/>
      <c r="G25" s="8" t="s">
        <v>1380</v>
      </c>
      <c r="H25" t="s">
        <v>1050</v>
      </c>
    </row>
    <row r="26" spans="1:8" hidden="1">
      <c r="A26" s="232">
        <v>37313</v>
      </c>
      <c r="C26" t="s">
        <v>13312</v>
      </c>
      <c r="D26" s="69">
        <v>10000</v>
      </c>
      <c r="E26" s="69"/>
      <c r="F26" s="69"/>
      <c r="H26" t="s">
        <v>1050</v>
      </c>
    </row>
    <row r="27" spans="1:8" hidden="1">
      <c r="A27" s="232">
        <v>37319</v>
      </c>
      <c r="C27" t="s">
        <v>13313</v>
      </c>
      <c r="D27" s="69"/>
      <c r="E27" s="69">
        <v>89</v>
      </c>
      <c r="F27" s="69"/>
      <c r="G27" s="8" t="s">
        <v>1368</v>
      </c>
      <c r="H27" t="s">
        <v>1050</v>
      </c>
    </row>
    <row r="28" spans="1:8" hidden="1">
      <c r="A28" s="232">
        <v>37341</v>
      </c>
      <c r="C28" t="s">
        <v>13314</v>
      </c>
      <c r="D28" s="69"/>
      <c r="E28" s="69">
        <v>11585</v>
      </c>
      <c r="F28" s="69"/>
      <c r="G28" s="8" t="s">
        <v>1380</v>
      </c>
      <c r="H28" t="s">
        <v>1050</v>
      </c>
    </row>
    <row r="29" spans="1:8" hidden="1">
      <c r="A29" s="232">
        <v>37341</v>
      </c>
      <c r="C29" t="s">
        <v>13315</v>
      </c>
      <c r="D29" s="69">
        <v>10000</v>
      </c>
      <c r="E29" s="69"/>
      <c r="F29" s="69"/>
      <c r="H29" t="s">
        <v>1050</v>
      </c>
    </row>
    <row r="30" spans="1:8" hidden="1">
      <c r="A30" s="232">
        <v>37343</v>
      </c>
      <c r="C30" t="s">
        <v>13316</v>
      </c>
      <c r="D30" s="69"/>
      <c r="E30" s="69">
        <v>150</v>
      </c>
      <c r="F30" s="69"/>
      <c r="G30" s="8" t="s">
        <v>1380</v>
      </c>
      <c r="H30" t="s">
        <v>1050</v>
      </c>
    </row>
    <row r="31" spans="1:8" hidden="1">
      <c r="A31" s="232">
        <v>37347</v>
      </c>
      <c r="C31" t="s">
        <v>1394</v>
      </c>
      <c r="D31" s="69"/>
      <c r="E31" s="69"/>
      <c r="F31" s="69"/>
      <c r="H31" t="s">
        <v>1050</v>
      </c>
    </row>
    <row r="32" spans="1:8" hidden="1">
      <c r="A32" s="232">
        <v>37369</v>
      </c>
      <c r="C32" t="s">
        <v>13317</v>
      </c>
      <c r="D32" s="69"/>
      <c r="E32" s="69">
        <v>11685</v>
      </c>
      <c r="F32" s="69"/>
      <c r="G32" s="8" t="s">
        <v>1380</v>
      </c>
      <c r="H32" t="s">
        <v>1050</v>
      </c>
    </row>
    <row r="33" spans="1:8" hidden="1">
      <c r="A33" s="232">
        <v>37369</v>
      </c>
      <c r="C33" t="s">
        <v>13318</v>
      </c>
      <c r="D33" s="69">
        <v>15000</v>
      </c>
      <c r="E33" s="69"/>
      <c r="F33" s="69"/>
      <c r="H33" t="s">
        <v>1050</v>
      </c>
    </row>
    <row r="34" spans="1:8" hidden="1">
      <c r="A34" s="232">
        <v>37376</v>
      </c>
      <c r="C34" t="s">
        <v>13319</v>
      </c>
      <c r="D34" s="69"/>
      <c r="E34" s="69">
        <v>14730</v>
      </c>
      <c r="F34" s="69"/>
      <c r="G34" s="8" t="s">
        <v>1380</v>
      </c>
      <c r="H34" t="s">
        <v>1050</v>
      </c>
    </row>
    <row r="35" spans="1:8" hidden="1">
      <c r="A35" s="232">
        <v>37376</v>
      </c>
      <c r="C35" t="s">
        <v>13320</v>
      </c>
      <c r="D35" s="69"/>
      <c r="E35" s="69">
        <v>100</v>
      </c>
      <c r="F35" s="69"/>
      <c r="G35" s="8" t="s">
        <v>1380</v>
      </c>
      <c r="H35" t="s">
        <v>1050</v>
      </c>
    </row>
    <row r="36" spans="1:8" hidden="1">
      <c r="A36" s="232">
        <v>37376</v>
      </c>
      <c r="C36" t="s">
        <v>13321</v>
      </c>
      <c r="D36" s="69">
        <v>15000</v>
      </c>
      <c r="E36" s="69"/>
      <c r="F36" s="69"/>
      <c r="H36" t="s">
        <v>1050</v>
      </c>
    </row>
    <row r="37" spans="1:8" hidden="1">
      <c r="A37" s="232">
        <v>37380</v>
      </c>
      <c r="B37">
        <v>563130</v>
      </c>
      <c r="C37" t="s">
        <v>13322</v>
      </c>
      <c r="D37" s="69">
        <v>6331</v>
      </c>
      <c r="E37" s="69"/>
      <c r="F37" s="69"/>
      <c r="G37" s="8" t="s">
        <v>1370</v>
      </c>
      <c r="H37" t="s">
        <v>1050</v>
      </c>
    </row>
    <row r="38" spans="1:8" hidden="1">
      <c r="A38" s="232">
        <v>37400</v>
      </c>
      <c r="C38" t="s">
        <v>13323</v>
      </c>
      <c r="D38" s="69"/>
      <c r="E38" s="69">
        <v>11685</v>
      </c>
      <c r="F38" s="69"/>
      <c r="G38" s="8" t="s">
        <v>1380</v>
      </c>
      <c r="H38" t="s">
        <v>1050</v>
      </c>
    </row>
    <row r="39" spans="1:8" hidden="1">
      <c r="A39" s="232">
        <v>37400</v>
      </c>
      <c r="C39" t="s">
        <v>13324</v>
      </c>
      <c r="D39" s="69">
        <v>5000</v>
      </c>
      <c r="E39" s="69"/>
      <c r="F39" s="69"/>
      <c r="H39" t="s">
        <v>1050</v>
      </c>
    </row>
    <row r="40" spans="1:8" hidden="1">
      <c r="A40" s="232">
        <v>37434</v>
      </c>
      <c r="C40" t="s">
        <v>13325</v>
      </c>
      <c r="D40" s="69"/>
      <c r="E40" s="69">
        <v>11345</v>
      </c>
      <c r="F40" s="69"/>
      <c r="G40" s="8" t="s">
        <v>1380</v>
      </c>
      <c r="H40" t="s">
        <v>1050</v>
      </c>
    </row>
    <row r="41" spans="1:8" hidden="1">
      <c r="A41" s="232">
        <v>37434</v>
      </c>
      <c r="C41" t="s">
        <v>13326</v>
      </c>
      <c r="D41" s="69">
        <v>10000</v>
      </c>
      <c r="E41" s="69"/>
      <c r="F41" s="69"/>
      <c r="H41" t="s">
        <v>1050</v>
      </c>
    </row>
    <row r="42" spans="1:8" hidden="1">
      <c r="A42" s="232">
        <v>37442</v>
      </c>
      <c r="C42" t="s">
        <v>13327</v>
      </c>
      <c r="D42" s="69"/>
      <c r="E42" s="69">
        <v>120</v>
      </c>
      <c r="F42" s="69"/>
      <c r="G42" s="8" t="s">
        <v>1380</v>
      </c>
      <c r="H42" t="s">
        <v>1050</v>
      </c>
    </row>
    <row r="43" spans="1:8" hidden="1">
      <c r="A43" s="232">
        <v>37460</v>
      </c>
      <c r="C43" t="s">
        <v>13328</v>
      </c>
      <c r="D43" s="69"/>
      <c r="E43" s="69">
        <v>23325</v>
      </c>
      <c r="F43" s="69"/>
      <c r="G43" s="8" t="s">
        <v>1380</v>
      </c>
      <c r="H43" t="s">
        <v>1050</v>
      </c>
    </row>
    <row r="44" spans="1:8" hidden="1">
      <c r="A44" s="232">
        <v>37460</v>
      </c>
      <c r="C44" t="s">
        <v>13329</v>
      </c>
      <c r="D44" s="69">
        <v>25000</v>
      </c>
      <c r="E44" s="69"/>
      <c r="F44" s="69"/>
      <c r="H44" t="s">
        <v>1050</v>
      </c>
    </row>
    <row r="45" spans="1:8" hidden="1">
      <c r="A45" s="232">
        <v>37470</v>
      </c>
      <c r="C45" t="s">
        <v>13330</v>
      </c>
      <c r="D45" s="69">
        <v>10000</v>
      </c>
      <c r="E45" s="69"/>
      <c r="F45" s="69"/>
      <c r="G45" s="8" t="s">
        <v>1361</v>
      </c>
      <c r="H45" t="s">
        <v>1050</v>
      </c>
    </row>
    <row r="46" spans="1:8" hidden="1">
      <c r="A46" s="232">
        <v>37474</v>
      </c>
      <c r="B46">
        <v>563131</v>
      </c>
      <c r="C46" t="s">
        <v>13331</v>
      </c>
      <c r="D46" s="69">
        <v>6331</v>
      </c>
      <c r="E46" s="69"/>
      <c r="F46" s="69"/>
      <c r="G46" s="8" t="s">
        <v>1370</v>
      </c>
      <c r="H46" t="s">
        <v>1050</v>
      </c>
    </row>
    <row r="47" spans="1:8" hidden="1">
      <c r="A47" s="232">
        <v>37474</v>
      </c>
      <c r="C47" t="s">
        <v>13332</v>
      </c>
      <c r="D47" s="69"/>
      <c r="E47" s="69">
        <v>11000</v>
      </c>
      <c r="F47" s="69"/>
      <c r="H47" t="s">
        <v>1050</v>
      </c>
    </row>
    <row r="48" spans="1:8" hidden="1">
      <c r="A48" s="232">
        <v>37489</v>
      </c>
      <c r="C48" t="s">
        <v>13333</v>
      </c>
      <c r="D48" s="69"/>
      <c r="E48" s="69">
        <v>240</v>
      </c>
      <c r="F48" s="69"/>
      <c r="G48" s="8" t="s">
        <v>1380</v>
      </c>
      <c r="H48" t="s">
        <v>1050</v>
      </c>
    </row>
    <row r="49" spans="1:8" hidden="1">
      <c r="A49" s="232">
        <v>37491</v>
      </c>
      <c r="C49" t="s">
        <v>13334</v>
      </c>
      <c r="D49" s="69"/>
      <c r="E49" s="69">
        <v>13570</v>
      </c>
      <c r="F49" s="69"/>
      <c r="G49" s="8" t="s">
        <v>1380</v>
      </c>
      <c r="H49" t="s">
        <v>1050</v>
      </c>
    </row>
    <row r="50" spans="1:8" hidden="1">
      <c r="A50" s="232">
        <v>37491</v>
      </c>
      <c r="C50" t="s">
        <v>13335</v>
      </c>
      <c r="D50" s="69">
        <v>5000</v>
      </c>
      <c r="E50" s="69"/>
      <c r="F50" s="69"/>
      <c r="H50" t="s">
        <v>1050</v>
      </c>
    </row>
    <row r="51" spans="1:8" hidden="1">
      <c r="A51" s="232">
        <v>37499</v>
      </c>
      <c r="C51" t="s">
        <v>13336</v>
      </c>
      <c r="D51" s="69"/>
      <c r="E51" s="69">
        <v>189</v>
      </c>
      <c r="F51" s="69"/>
      <c r="G51" s="8" t="s">
        <v>1368</v>
      </c>
      <c r="H51" t="s">
        <v>1050</v>
      </c>
    </row>
    <row r="52" spans="1:8" hidden="1">
      <c r="A52" s="232">
        <v>37522</v>
      </c>
      <c r="C52" t="s">
        <v>13337</v>
      </c>
      <c r="D52" s="69"/>
      <c r="E52" s="69">
        <v>13085</v>
      </c>
      <c r="F52" s="69"/>
      <c r="G52" s="8" t="s">
        <v>1380</v>
      </c>
      <c r="H52" t="s">
        <v>1050</v>
      </c>
    </row>
    <row r="53" spans="1:8" hidden="1">
      <c r="A53" s="232">
        <v>37522</v>
      </c>
      <c r="C53" t="s">
        <v>13338</v>
      </c>
      <c r="D53" s="69">
        <v>15000</v>
      </c>
      <c r="E53" s="69"/>
      <c r="F53" s="69"/>
      <c r="H53" t="s">
        <v>1050</v>
      </c>
    </row>
    <row r="54" spans="1:8" hidden="1">
      <c r="A54" s="232">
        <v>37540</v>
      </c>
      <c r="C54" t="s">
        <v>13339</v>
      </c>
      <c r="D54" s="69"/>
      <c r="E54" s="69">
        <v>240</v>
      </c>
      <c r="F54" s="69"/>
      <c r="G54" s="8" t="s">
        <v>1380</v>
      </c>
      <c r="H54" t="s">
        <v>1050</v>
      </c>
    </row>
    <row r="55" spans="1:8" hidden="1">
      <c r="A55" s="232">
        <v>37546</v>
      </c>
      <c r="C55" t="s">
        <v>13340</v>
      </c>
      <c r="D55" s="69">
        <v>3000</v>
      </c>
      <c r="E55" s="69"/>
      <c r="F55" s="69"/>
      <c r="G55" s="8" t="s">
        <v>1361</v>
      </c>
      <c r="H55" t="s">
        <v>1050</v>
      </c>
    </row>
    <row r="56" spans="1:8" hidden="1">
      <c r="A56" s="232">
        <v>37552</v>
      </c>
      <c r="C56" t="s">
        <v>13341</v>
      </c>
      <c r="D56" s="69"/>
      <c r="E56" s="69">
        <v>13755</v>
      </c>
      <c r="F56" s="69"/>
      <c r="G56" s="8" t="s">
        <v>1380</v>
      </c>
      <c r="H56" t="s">
        <v>1050</v>
      </c>
    </row>
    <row r="57" spans="1:8" hidden="1">
      <c r="A57" s="232">
        <v>37552</v>
      </c>
      <c r="C57" t="s">
        <v>13342</v>
      </c>
      <c r="D57" s="69">
        <v>10000</v>
      </c>
      <c r="E57" s="69"/>
      <c r="F57" s="69"/>
      <c r="H57" t="s">
        <v>1050</v>
      </c>
    </row>
    <row r="58" spans="1:8" hidden="1">
      <c r="A58" s="232">
        <v>37566</v>
      </c>
      <c r="B58">
        <v>563132</v>
      </c>
      <c r="C58" t="s">
        <v>13343</v>
      </c>
      <c r="D58" s="69">
        <v>6331</v>
      </c>
      <c r="E58" s="69"/>
      <c r="F58" s="69"/>
      <c r="G58" s="8" t="s">
        <v>1370</v>
      </c>
      <c r="H58" t="s">
        <v>1050</v>
      </c>
    </row>
    <row r="59" spans="1:8" hidden="1">
      <c r="A59" s="232">
        <v>37582</v>
      </c>
      <c r="C59" t="s">
        <v>13344</v>
      </c>
      <c r="D59" s="69"/>
      <c r="E59" s="69">
        <v>12480</v>
      </c>
      <c r="F59" s="69"/>
      <c r="G59" s="8" t="s">
        <v>1380</v>
      </c>
      <c r="H59" t="s">
        <v>1050</v>
      </c>
    </row>
    <row r="60" spans="1:8" hidden="1">
      <c r="A60" s="232">
        <v>37582</v>
      </c>
      <c r="C60" t="s">
        <v>13345</v>
      </c>
      <c r="D60" s="69">
        <v>10000</v>
      </c>
      <c r="E60" s="69"/>
      <c r="F60" s="69"/>
      <c r="H60" t="s">
        <v>1050</v>
      </c>
    </row>
    <row r="61" spans="1:8" hidden="1">
      <c r="A61" s="232">
        <v>37588</v>
      </c>
      <c r="C61" t="s">
        <v>13346</v>
      </c>
      <c r="D61" s="69">
        <v>3000</v>
      </c>
      <c r="E61" s="69"/>
      <c r="F61" s="69"/>
      <c r="G61" s="8" t="s">
        <v>1361</v>
      </c>
      <c r="H61" t="s">
        <v>1050</v>
      </c>
    </row>
    <row r="62" spans="1:8" hidden="1">
      <c r="A62" s="232">
        <v>37588</v>
      </c>
      <c r="C62" t="s">
        <v>13347</v>
      </c>
      <c r="D62" s="69">
        <v>7000</v>
      </c>
      <c r="E62" s="69"/>
      <c r="F62" s="69"/>
      <c r="G62" s="8" t="s">
        <v>1361</v>
      </c>
      <c r="H62" t="s">
        <v>1050</v>
      </c>
    </row>
    <row r="63" spans="1:8" hidden="1">
      <c r="A63" s="232">
        <v>37599</v>
      </c>
      <c r="C63" t="s">
        <v>13348</v>
      </c>
      <c r="D63" s="69">
        <v>3000</v>
      </c>
      <c r="E63" s="69"/>
      <c r="F63" s="69"/>
      <c r="G63" s="8" t="s">
        <v>1361</v>
      </c>
      <c r="H63" t="s">
        <v>1050</v>
      </c>
    </row>
    <row r="64" spans="1:8" hidden="1">
      <c r="A64" s="232">
        <v>37599</v>
      </c>
      <c r="C64" t="s">
        <v>13349</v>
      </c>
      <c r="D64" s="69"/>
      <c r="E64" s="69">
        <v>8011</v>
      </c>
      <c r="F64" s="69"/>
      <c r="H64" t="s">
        <v>1050</v>
      </c>
    </row>
    <row r="65" spans="1:8" hidden="1">
      <c r="A65" s="232">
        <v>37616</v>
      </c>
      <c r="C65" t="s">
        <v>13350</v>
      </c>
      <c r="D65" s="69"/>
      <c r="E65" s="69">
        <v>11840</v>
      </c>
      <c r="F65" s="69"/>
      <c r="G65" s="8" t="s">
        <v>1380</v>
      </c>
      <c r="H65" t="s">
        <v>1050</v>
      </c>
    </row>
    <row r="66" spans="1:8" hidden="1">
      <c r="A66" s="232">
        <v>37616</v>
      </c>
      <c r="C66" t="s">
        <v>13351</v>
      </c>
      <c r="D66" s="69">
        <v>5000</v>
      </c>
      <c r="E66" s="69"/>
      <c r="F66" s="69"/>
      <c r="H66" t="s">
        <v>1050</v>
      </c>
    </row>
    <row r="67" spans="1:8" hidden="1">
      <c r="A67" s="232">
        <v>37645</v>
      </c>
      <c r="C67" t="s">
        <v>13352</v>
      </c>
      <c r="D67" s="69"/>
      <c r="E67" s="69">
        <v>11840</v>
      </c>
      <c r="F67" s="69"/>
      <c r="G67" s="8" t="s">
        <v>1380</v>
      </c>
      <c r="H67" t="s">
        <v>1050</v>
      </c>
    </row>
    <row r="68" spans="1:8" hidden="1">
      <c r="A68" s="232">
        <v>37645</v>
      </c>
      <c r="C68" t="s">
        <v>13353</v>
      </c>
      <c r="D68" s="69">
        <v>10000</v>
      </c>
      <c r="E68" s="69"/>
      <c r="F68" s="69"/>
      <c r="H68" t="s">
        <v>1050</v>
      </c>
    </row>
    <row r="69" spans="1:8" hidden="1">
      <c r="A69" s="232">
        <v>37649</v>
      </c>
      <c r="B69">
        <v>563134</v>
      </c>
      <c r="C69" t="s">
        <v>13354</v>
      </c>
      <c r="D69" s="69">
        <v>25000</v>
      </c>
      <c r="E69" s="69"/>
      <c r="F69" s="69"/>
      <c r="G69" s="8" t="s">
        <v>1360</v>
      </c>
      <c r="H69" t="s">
        <v>1050</v>
      </c>
    </row>
    <row r="70" spans="1:8" hidden="1">
      <c r="A70" s="232">
        <v>37649</v>
      </c>
      <c r="C70" t="s">
        <v>13355</v>
      </c>
      <c r="D70" s="69"/>
      <c r="E70" s="69">
        <v>10000</v>
      </c>
      <c r="F70" s="69"/>
      <c r="H70" t="s">
        <v>1050</v>
      </c>
    </row>
    <row r="71" spans="1:8" hidden="1">
      <c r="A71" s="232">
        <v>37649</v>
      </c>
      <c r="C71" t="s">
        <v>13356</v>
      </c>
      <c r="D71" s="69"/>
      <c r="E71" s="69">
        <v>1091</v>
      </c>
      <c r="F71" s="69"/>
      <c r="H71" t="s">
        <v>1050</v>
      </c>
    </row>
    <row r="72" spans="1:8" hidden="1">
      <c r="A72" s="232">
        <v>37649</v>
      </c>
      <c r="C72" t="s">
        <v>13357</v>
      </c>
      <c r="D72" s="69"/>
      <c r="E72" s="69">
        <v>5016</v>
      </c>
      <c r="F72" s="69"/>
      <c r="H72" t="s">
        <v>1050</v>
      </c>
    </row>
    <row r="73" spans="1:8" hidden="1">
      <c r="A73" s="232">
        <v>37649</v>
      </c>
      <c r="C73" t="s">
        <v>13358</v>
      </c>
      <c r="D73" s="69"/>
      <c r="E73" s="69">
        <v>1008</v>
      </c>
      <c r="F73" s="69"/>
      <c r="H73" t="s">
        <v>1050</v>
      </c>
    </row>
    <row r="74" spans="1:8" hidden="1">
      <c r="A74" s="232">
        <v>37655</v>
      </c>
      <c r="B74">
        <v>563135</v>
      </c>
      <c r="C74" t="s">
        <v>13359</v>
      </c>
      <c r="D74" s="69">
        <v>5623</v>
      </c>
      <c r="E74" s="69"/>
      <c r="F74" s="69"/>
      <c r="G74" s="8" t="s">
        <v>1370</v>
      </c>
      <c r="H74" t="s">
        <v>1050</v>
      </c>
    </row>
    <row r="75" spans="1:8" hidden="1">
      <c r="A75" s="232">
        <v>37656</v>
      </c>
      <c r="B75">
        <v>563133</v>
      </c>
      <c r="C75" t="s">
        <v>13360</v>
      </c>
      <c r="D75" s="69">
        <v>6331</v>
      </c>
      <c r="E75" s="69"/>
      <c r="F75" s="69"/>
      <c r="G75" s="8" t="s">
        <v>1370</v>
      </c>
      <c r="H75" t="s">
        <v>1050</v>
      </c>
    </row>
    <row r="76" spans="1:8" hidden="1">
      <c r="A76" s="232">
        <v>37656</v>
      </c>
      <c r="C76" t="s">
        <v>13361</v>
      </c>
      <c r="D76" s="69"/>
      <c r="E76" s="69">
        <v>1893</v>
      </c>
      <c r="F76" s="69"/>
      <c r="H76" t="s">
        <v>1050</v>
      </c>
    </row>
    <row r="77" spans="1:8" hidden="1">
      <c r="A77" s="232">
        <v>37656</v>
      </c>
      <c r="C77" t="s">
        <v>13362</v>
      </c>
      <c r="D77" s="69"/>
      <c r="E77" s="69">
        <v>10086</v>
      </c>
      <c r="F77" s="69"/>
      <c r="H77" t="s">
        <v>1050</v>
      </c>
    </row>
    <row r="78" spans="1:8" hidden="1">
      <c r="A78" s="232">
        <v>37659</v>
      </c>
      <c r="B78">
        <v>563136</v>
      </c>
      <c r="C78" t="s">
        <v>13363</v>
      </c>
      <c r="D78" s="69">
        <v>10000</v>
      </c>
      <c r="E78" s="69"/>
      <c r="F78" s="69"/>
      <c r="G78" s="8" t="s">
        <v>1360</v>
      </c>
      <c r="H78" t="s">
        <v>1050</v>
      </c>
    </row>
    <row r="79" spans="1:8" hidden="1">
      <c r="A79" s="232">
        <v>37659</v>
      </c>
      <c r="C79" t="s">
        <v>13364</v>
      </c>
      <c r="D79" s="69"/>
      <c r="E79" s="69">
        <v>10174</v>
      </c>
      <c r="F79" s="69"/>
      <c r="H79" t="s">
        <v>1050</v>
      </c>
    </row>
    <row r="80" spans="1:8" hidden="1">
      <c r="A80" s="232">
        <v>37678</v>
      </c>
      <c r="C80" t="s">
        <v>13365</v>
      </c>
      <c r="D80" s="69"/>
      <c r="E80" s="69">
        <v>11440</v>
      </c>
      <c r="F80" s="69"/>
      <c r="G80" s="8" t="s">
        <v>1380</v>
      </c>
      <c r="H80" t="s">
        <v>1050</v>
      </c>
    </row>
    <row r="81" spans="1:8" hidden="1">
      <c r="A81" s="232">
        <v>37678</v>
      </c>
      <c r="C81" t="s">
        <v>13366</v>
      </c>
      <c r="D81" s="69">
        <v>5000</v>
      </c>
      <c r="E81" s="69"/>
      <c r="F81" s="69"/>
      <c r="H81" t="s">
        <v>1050</v>
      </c>
    </row>
    <row r="82" spans="1:8" hidden="1">
      <c r="A82" s="232">
        <v>37681</v>
      </c>
      <c r="C82" t="s">
        <v>13367</v>
      </c>
      <c r="D82" s="69"/>
      <c r="E82" s="69">
        <v>477</v>
      </c>
      <c r="F82" s="69"/>
      <c r="G82" s="8" t="s">
        <v>1360</v>
      </c>
      <c r="H82" t="s">
        <v>1050</v>
      </c>
    </row>
    <row r="83" spans="1:8" hidden="1">
      <c r="A83" s="232">
        <v>37681</v>
      </c>
      <c r="C83" t="s">
        <v>13368</v>
      </c>
      <c r="D83" s="69"/>
      <c r="E83" s="69">
        <v>480</v>
      </c>
      <c r="F83" s="69"/>
      <c r="G83" s="8" t="s">
        <v>1360</v>
      </c>
      <c r="H83" t="s">
        <v>1050</v>
      </c>
    </row>
    <row r="84" spans="1:8" hidden="1">
      <c r="A84" s="232">
        <v>37683</v>
      </c>
      <c r="C84" t="s">
        <v>13369</v>
      </c>
      <c r="D84" s="69"/>
      <c r="E84" s="69">
        <v>133</v>
      </c>
      <c r="F84" s="69"/>
      <c r="G84" s="8" t="s">
        <v>1368</v>
      </c>
      <c r="H84" t="s">
        <v>1050</v>
      </c>
    </row>
    <row r="85" spans="1:8" hidden="1">
      <c r="A85" s="232">
        <v>37708</v>
      </c>
      <c r="C85" t="s">
        <v>13370</v>
      </c>
      <c r="D85" s="69"/>
      <c r="E85" s="69">
        <v>11535</v>
      </c>
      <c r="F85" s="69"/>
      <c r="G85" s="8" t="s">
        <v>1380</v>
      </c>
      <c r="H85" t="s">
        <v>1050</v>
      </c>
    </row>
    <row r="86" spans="1:8" hidden="1">
      <c r="A86" s="232">
        <v>37708</v>
      </c>
      <c r="C86" t="s">
        <v>13371</v>
      </c>
      <c r="D86" s="69">
        <v>15000</v>
      </c>
      <c r="E86" s="69"/>
      <c r="F86" s="69"/>
      <c r="H86" t="s">
        <v>1050</v>
      </c>
    </row>
    <row r="87" spans="1:8" hidden="1">
      <c r="A87" s="232">
        <v>37712</v>
      </c>
      <c r="C87" t="s">
        <v>1394</v>
      </c>
      <c r="D87" s="69"/>
      <c r="E87" s="69"/>
      <c r="F87" s="69"/>
      <c r="H87" t="s">
        <v>1050</v>
      </c>
    </row>
    <row r="88" spans="1:8" hidden="1">
      <c r="A88" s="232">
        <v>37721</v>
      </c>
      <c r="B88">
        <v>563137</v>
      </c>
      <c r="C88" t="s">
        <v>13372</v>
      </c>
      <c r="D88" s="69">
        <v>14832</v>
      </c>
      <c r="E88" s="69"/>
      <c r="F88" s="69"/>
      <c r="G88" s="8" t="s">
        <v>1366</v>
      </c>
      <c r="H88" t="s">
        <v>1050</v>
      </c>
    </row>
    <row r="89" spans="1:8" hidden="1">
      <c r="A89" s="232">
        <v>37721</v>
      </c>
      <c r="C89" t="s">
        <v>13373</v>
      </c>
      <c r="D89" s="69"/>
      <c r="E89" s="69">
        <v>9999</v>
      </c>
      <c r="F89" s="69"/>
      <c r="H89" t="s">
        <v>1050</v>
      </c>
    </row>
    <row r="90" spans="1:8" hidden="1">
      <c r="A90" s="232">
        <v>37736</v>
      </c>
      <c r="C90" t="s">
        <v>13374</v>
      </c>
      <c r="D90" s="69"/>
      <c r="E90" s="69">
        <v>51435</v>
      </c>
      <c r="F90" s="69"/>
      <c r="G90" s="8" t="s">
        <v>1380</v>
      </c>
      <c r="H90" t="s">
        <v>1050</v>
      </c>
    </row>
    <row r="91" spans="1:8" hidden="1">
      <c r="A91" s="232">
        <v>37736</v>
      </c>
      <c r="C91" t="s">
        <v>13375</v>
      </c>
      <c r="D91" s="69">
        <v>45000</v>
      </c>
      <c r="E91" s="69"/>
      <c r="F91" s="69"/>
      <c r="H91" t="s">
        <v>1050</v>
      </c>
    </row>
    <row r="92" spans="1:8" hidden="1">
      <c r="A92" s="232">
        <v>37744</v>
      </c>
      <c r="B92">
        <v>563138</v>
      </c>
      <c r="C92" t="s">
        <v>13376</v>
      </c>
      <c r="D92" s="69">
        <v>14832</v>
      </c>
      <c r="E92" s="69"/>
      <c r="F92" s="69"/>
      <c r="G92" s="8" t="s">
        <v>1366</v>
      </c>
      <c r="H92" t="s">
        <v>1050</v>
      </c>
    </row>
    <row r="93" spans="1:8" hidden="1">
      <c r="A93" s="232">
        <v>37744</v>
      </c>
      <c r="C93" t="s">
        <v>13377</v>
      </c>
      <c r="D93" s="69"/>
      <c r="E93" s="69">
        <v>9000</v>
      </c>
      <c r="F93" s="69"/>
      <c r="H93" t="s">
        <v>1050</v>
      </c>
    </row>
    <row r="94" spans="1:8" hidden="1">
      <c r="A94" s="232">
        <v>37749</v>
      </c>
      <c r="B94">
        <v>24126</v>
      </c>
      <c r="C94" t="s">
        <v>13378</v>
      </c>
      <c r="D94" s="69">
        <v>6331</v>
      </c>
      <c r="E94" s="69"/>
      <c r="F94" s="69"/>
      <c r="G94" s="8" t="s">
        <v>1370</v>
      </c>
      <c r="H94" t="s">
        <v>1050</v>
      </c>
    </row>
    <row r="95" spans="1:8" hidden="1">
      <c r="A95" s="232">
        <v>37749</v>
      </c>
      <c r="C95" t="s">
        <v>13379</v>
      </c>
      <c r="D95" s="69"/>
      <c r="E95" s="69">
        <v>6000</v>
      </c>
      <c r="F95" s="69"/>
      <c r="H95" t="s">
        <v>1050</v>
      </c>
    </row>
    <row r="96" spans="1:8" hidden="1">
      <c r="A96" s="232">
        <v>37768</v>
      </c>
      <c r="C96" t="s">
        <v>13380</v>
      </c>
      <c r="D96" s="69"/>
      <c r="E96" s="69">
        <v>13715</v>
      </c>
      <c r="F96" s="69"/>
      <c r="G96" s="8" t="s">
        <v>1380</v>
      </c>
      <c r="H96" t="s">
        <v>1050</v>
      </c>
    </row>
    <row r="97" spans="1:8" hidden="1">
      <c r="A97" s="232">
        <v>37768</v>
      </c>
      <c r="C97" t="s">
        <v>13381</v>
      </c>
      <c r="D97" s="69">
        <v>5000</v>
      </c>
      <c r="E97" s="69"/>
      <c r="F97" s="69"/>
      <c r="H97" t="s">
        <v>1050</v>
      </c>
    </row>
    <row r="98" spans="1:8" hidden="1">
      <c r="A98" s="232">
        <v>37781</v>
      </c>
      <c r="B98">
        <v>563139</v>
      </c>
      <c r="C98" t="s">
        <v>13382</v>
      </c>
      <c r="D98" s="69">
        <v>14832</v>
      </c>
      <c r="E98" s="69"/>
      <c r="F98" s="69"/>
      <c r="G98" s="8" t="s">
        <v>1366</v>
      </c>
      <c r="H98" t="s">
        <v>1050</v>
      </c>
    </row>
    <row r="99" spans="1:8" hidden="1">
      <c r="A99" s="232">
        <v>37781</v>
      </c>
      <c r="C99" t="s">
        <v>13383</v>
      </c>
      <c r="D99" s="69"/>
      <c r="E99" s="69">
        <v>5000</v>
      </c>
      <c r="F99" s="69"/>
      <c r="H99" t="s">
        <v>1050</v>
      </c>
    </row>
    <row r="100" spans="1:8" hidden="1">
      <c r="A100" s="232">
        <v>37781</v>
      </c>
      <c r="C100" t="s">
        <v>13384</v>
      </c>
      <c r="D100" s="69"/>
      <c r="E100" s="69">
        <v>1001</v>
      </c>
      <c r="F100" s="69"/>
      <c r="H100" t="s">
        <v>1050</v>
      </c>
    </row>
    <row r="101" spans="1:8" hidden="1">
      <c r="A101" s="232">
        <v>37799</v>
      </c>
      <c r="C101" t="s">
        <v>13385</v>
      </c>
      <c r="D101" s="69"/>
      <c r="E101" s="69">
        <v>13355</v>
      </c>
      <c r="F101" s="69"/>
      <c r="G101" s="8" t="s">
        <v>1380</v>
      </c>
      <c r="H101" t="s">
        <v>1050</v>
      </c>
    </row>
    <row r="102" spans="1:8" hidden="1">
      <c r="A102" s="232">
        <v>37799</v>
      </c>
      <c r="C102" t="s">
        <v>13386</v>
      </c>
      <c r="D102" s="69">
        <v>5000</v>
      </c>
      <c r="E102" s="69"/>
      <c r="F102" s="69"/>
      <c r="H102" t="s">
        <v>1050</v>
      </c>
    </row>
    <row r="103" spans="1:8" hidden="1">
      <c r="A103" s="232">
        <v>37803</v>
      </c>
      <c r="C103" t="s">
        <v>1394</v>
      </c>
      <c r="D103" s="69"/>
      <c r="E103" s="69"/>
      <c r="F103" s="69"/>
      <c r="H103" t="s">
        <v>1050</v>
      </c>
    </row>
    <row r="104" spans="1:8" hidden="1">
      <c r="A104" s="232">
        <v>37812</v>
      </c>
      <c r="B104">
        <v>563140</v>
      </c>
      <c r="C104" t="s">
        <v>13387</v>
      </c>
      <c r="D104" s="69">
        <v>14832</v>
      </c>
      <c r="E104" s="69"/>
      <c r="F104" s="69"/>
      <c r="G104" s="8" t="s">
        <v>1366</v>
      </c>
      <c r="H104" t="s">
        <v>1050</v>
      </c>
    </row>
    <row r="105" spans="1:8" hidden="1">
      <c r="A105" s="232">
        <v>37812</v>
      </c>
      <c r="C105" t="s">
        <v>13388</v>
      </c>
      <c r="D105" s="69"/>
      <c r="E105" s="69">
        <v>5000</v>
      </c>
      <c r="F105" s="69"/>
      <c r="H105" t="s">
        <v>1050</v>
      </c>
    </row>
    <row r="106" spans="1:8" hidden="1">
      <c r="A106" s="232">
        <v>37812</v>
      </c>
      <c r="C106" t="s">
        <v>13389</v>
      </c>
      <c r="D106" s="69"/>
      <c r="E106" s="69">
        <v>2000</v>
      </c>
      <c r="F106" s="69"/>
      <c r="H106" t="s">
        <v>1050</v>
      </c>
    </row>
    <row r="107" spans="1:8" hidden="1">
      <c r="A107" s="232">
        <v>37825</v>
      </c>
      <c r="C107" t="s">
        <v>13390</v>
      </c>
      <c r="D107" s="69"/>
      <c r="E107" s="69">
        <v>13355</v>
      </c>
      <c r="F107" s="69"/>
      <c r="G107" s="8" t="s">
        <v>1380</v>
      </c>
      <c r="H107" t="s">
        <v>1050</v>
      </c>
    </row>
    <row r="108" spans="1:8" hidden="1">
      <c r="A108" s="232">
        <v>37825</v>
      </c>
      <c r="C108" t="s">
        <v>13391</v>
      </c>
      <c r="D108" s="69">
        <v>5000</v>
      </c>
      <c r="E108" s="69"/>
      <c r="F108" s="69"/>
      <c r="H108" t="s">
        <v>1050</v>
      </c>
    </row>
    <row r="109" spans="1:8" hidden="1">
      <c r="A109" s="232">
        <v>37838</v>
      </c>
      <c r="B109">
        <v>563141</v>
      </c>
      <c r="C109" t="s">
        <v>13392</v>
      </c>
      <c r="D109" s="69">
        <v>14832</v>
      </c>
      <c r="E109" s="69"/>
      <c r="F109" s="69"/>
      <c r="G109" s="8" t="s">
        <v>1366</v>
      </c>
      <c r="H109" t="s">
        <v>1050</v>
      </c>
    </row>
    <row r="110" spans="1:8" hidden="1">
      <c r="A110" s="232">
        <v>37838</v>
      </c>
      <c r="C110" t="s">
        <v>13393</v>
      </c>
      <c r="D110" s="69"/>
      <c r="E110" s="69">
        <v>5000</v>
      </c>
      <c r="F110" s="69"/>
      <c r="H110" t="s">
        <v>1050</v>
      </c>
    </row>
    <row r="111" spans="1:8" hidden="1">
      <c r="A111" s="232">
        <v>37838</v>
      </c>
      <c r="C111" t="s">
        <v>13394</v>
      </c>
      <c r="D111" s="69"/>
      <c r="E111" s="69">
        <v>1000</v>
      </c>
      <c r="F111" s="69"/>
      <c r="H111" t="s">
        <v>1050</v>
      </c>
    </row>
    <row r="112" spans="1:8" hidden="1">
      <c r="A112" s="232">
        <v>37854</v>
      </c>
      <c r="B112">
        <v>24127</v>
      </c>
      <c r="C112" t="s">
        <v>13395</v>
      </c>
      <c r="D112" s="69">
        <v>6331</v>
      </c>
      <c r="E112" s="69"/>
      <c r="F112" s="69"/>
      <c r="G112" s="8" t="s">
        <v>1370</v>
      </c>
      <c r="H112" t="s">
        <v>1050</v>
      </c>
    </row>
    <row r="113" spans="1:8" hidden="1">
      <c r="A113" s="232">
        <v>37854</v>
      </c>
      <c r="C113" t="s">
        <v>13396</v>
      </c>
      <c r="D113" s="69"/>
      <c r="E113" s="69">
        <v>6014</v>
      </c>
      <c r="F113" s="69"/>
      <c r="H113" t="s">
        <v>1050</v>
      </c>
    </row>
    <row r="114" spans="1:8" hidden="1">
      <c r="A114" s="232">
        <v>37855</v>
      </c>
      <c r="C114" t="s">
        <v>13397</v>
      </c>
      <c r="D114" s="69"/>
      <c r="E114" s="69">
        <v>13360</v>
      </c>
      <c r="F114" s="69"/>
      <c r="G114" s="8" t="s">
        <v>1380</v>
      </c>
      <c r="H114" t="s">
        <v>1050</v>
      </c>
    </row>
    <row r="115" spans="1:8" hidden="1">
      <c r="A115" s="232">
        <v>37855</v>
      </c>
      <c r="C115" t="s">
        <v>13398</v>
      </c>
      <c r="D115" s="69">
        <v>5000</v>
      </c>
      <c r="E115" s="69"/>
      <c r="F115" s="69"/>
      <c r="H115" t="s">
        <v>1050</v>
      </c>
    </row>
    <row r="116" spans="1:8" hidden="1">
      <c r="A116" s="232">
        <v>37863</v>
      </c>
      <c r="C116" t="s">
        <v>13399</v>
      </c>
      <c r="D116" s="69"/>
      <c r="E116" s="69">
        <v>109</v>
      </c>
      <c r="F116" s="69"/>
      <c r="G116" s="8" t="s">
        <v>1368</v>
      </c>
      <c r="H116" t="s">
        <v>1050</v>
      </c>
    </row>
    <row r="117" spans="1:8" hidden="1">
      <c r="A117" s="232">
        <v>37868</v>
      </c>
      <c r="B117">
        <v>563142</v>
      </c>
      <c r="C117" t="s">
        <v>13400</v>
      </c>
      <c r="D117" s="69">
        <v>14832</v>
      </c>
      <c r="E117" s="69"/>
      <c r="F117" s="69"/>
      <c r="G117" s="8" t="s">
        <v>1366</v>
      </c>
      <c r="H117" t="s">
        <v>1050</v>
      </c>
    </row>
    <row r="118" spans="1:8" hidden="1">
      <c r="A118" s="232">
        <v>37868</v>
      </c>
      <c r="C118" t="s">
        <v>13401</v>
      </c>
      <c r="D118" s="69"/>
      <c r="E118" s="69">
        <v>7000</v>
      </c>
      <c r="F118" s="69"/>
      <c r="H118" t="s">
        <v>1050</v>
      </c>
    </row>
    <row r="119" spans="1:8" hidden="1">
      <c r="A119" s="232">
        <v>37888</v>
      </c>
      <c r="C119" t="s">
        <v>13402</v>
      </c>
      <c r="D119" s="69"/>
      <c r="E119" s="69">
        <v>13355</v>
      </c>
      <c r="F119" s="69"/>
      <c r="G119" s="8" t="s">
        <v>1380</v>
      </c>
      <c r="H119" t="s">
        <v>1050</v>
      </c>
    </row>
    <row r="120" spans="1:8" hidden="1">
      <c r="A120" s="232">
        <v>37891</v>
      </c>
      <c r="C120" t="s">
        <v>13403</v>
      </c>
      <c r="D120" s="69">
        <v>5000</v>
      </c>
      <c r="E120" s="69"/>
      <c r="F120" s="69"/>
      <c r="H120" t="s">
        <v>1050</v>
      </c>
    </row>
    <row r="121" spans="1:8" hidden="1">
      <c r="A121" s="232">
        <v>37895</v>
      </c>
      <c r="C121" t="s">
        <v>1394</v>
      </c>
      <c r="D121" s="69"/>
      <c r="E121" s="69"/>
      <c r="F121" s="69"/>
      <c r="H121" t="s">
        <v>1050</v>
      </c>
    </row>
    <row r="122" spans="1:8" hidden="1">
      <c r="A122" s="232">
        <v>37902</v>
      </c>
      <c r="B122">
        <v>563146</v>
      </c>
      <c r="C122" t="s">
        <v>13404</v>
      </c>
      <c r="D122" s="69">
        <v>14832</v>
      </c>
      <c r="E122" s="69"/>
      <c r="F122" s="69"/>
      <c r="G122" s="8" t="s">
        <v>1366</v>
      </c>
      <c r="H122" t="s">
        <v>1050</v>
      </c>
    </row>
    <row r="123" spans="1:8" hidden="1">
      <c r="A123" s="232">
        <v>37902</v>
      </c>
      <c r="C123" t="s">
        <v>13405</v>
      </c>
      <c r="D123" s="69"/>
      <c r="E123" s="69">
        <v>5000</v>
      </c>
      <c r="F123" s="69"/>
      <c r="H123" t="s">
        <v>1050</v>
      </c>
    </row>
    <row r="124" spans="1:8" hidden="1">
      <c r="A124" s="232">
        <v>37902</v>
      </c>
      <c r="C124" t="s">
        <v>13406</v>
      </c>
      <c r="D124" s="69"/>
      <c r="E124" s="69">
        <v>5779</v>
      </c>
      <c r="F124" s="69"/>
      <c r="H124" t="s">
        <v>1050</v>
      </c>
    </row>
    <row r="125" spans="1:8" hidden="1">
      <c r="A125" s="232">
        <v>37915</v>
      </c>
      <c r="C125" t="s">
        <v>13407</v>
      </c>
      <c r="D125" s="69"/>
      <c r="E125" s="69">
        <v>13360</v>
      </c>
      <c r="F125" s="69"/>
      <c r="G125" s="8" t="s">
        <v>1380</v>
      </c>
      <c r="H125" t="s">
        <v>1050</v>
      </c>
    </row>
    <row r="126" spans="1:8" hidden="1">
      <c r="A126" s="232">
        <v>37921</v>
      </c>
      <c r="C126" t="s">
        <v>13408</v>
      </c>
      <c r="D126" s="69">
        <v>10000</v>
      </c>
      <c r="E126" s="69"/>
      <c r="F126" s="69"/>
      <c r="H126" t="s">
        <v>1050</v>
      </c>
    </row>
    <row r="127" spans="1:8" hidden="1">
      <c r="A127" s="232">
        <v>37928</v>
      </c>
      <c r="B127">
        <v>24128</v>
      </c>
      <c r="C127" t="s">
        <v>13409</v>
      </c>
      <c r="D127" s="69">
        <v>6331</v>
      </c>
      <c r="E127" s="69"/>
      <c r="F127" s="69"/>
      <c r="G127" s="8" t="s">
        <v>1370</v>
      </c>
      <c r="H127" t="s">
        <v>1050</v>
      </c>
    </row>
    <row r="128" spans="1:8" hidden="1">
      <c r="A128" s="232">
        <v>37928</v>
      </c>
      <c r="C128" t="s">
        <v>13410</v>
      </c>
      <c r="D128" s="69"/>
      <c r="E128" s="69">
        <v>5000</v>
      </c>
      <c r="F128" s="69"/>
      <c r="H128" t="s">
        <v>1050</v>
      </c>
    </row>
    <row r="129" spans="1:8" hidden="1">
      <c r="A129" s="232">
        <v>37930</v>
      </c>
      <c r="B129">
        <v>563143</v>
      </c>
      <c r="C129" t="s">
        <v>13411</v>
      </c>
      <c r="D129" s="69">
        <v>14832</v>
      </c>
      <c r="E129" s="69"/>
      <c r="F129" s="69"/>
      <c r="G129" s="8" t="s">
        <v>1366</v>
      </c>
      <c r="H129" t="s">
        <v>1050</v>
      </c>
    </row>
    <row r="130" spans="1:8" hidden="1">
      <c r="A130" s="232">
        <v>37930</v>
      </c>
      <c r="C130" t="s">
        <v>13412</v>
      </c>
      <c r="D130" s="69"/>
      <c r="E130" s="69">
        <v>5000</v>
      </c>
      <c r="F130" s="69"/>
      <c r="H130" t="s">
        <v>1050</v>
      </c>
    </row>
    <row r="131" spans="1:8" hidden="1">
      <c r="A131" s="232">
        <v>37930</v>
      </c>
      <c r="C131" t="s">
        <v>13413</v>
      </c>
      <c r="D131" s="69"/>
      <c r="E131" s="69">
        <v>938</v>
      </c>
      <c r="F131" s="69"/>
      <c r="H131" t="s">
        <v>1050</v>
      </c>
    </row>
    <row r="132" spans="1:8" hidden="1">
      <c r="A132" s="232">
        <v>37930</v>
      </c>
      <c r="C132" t="s">
        <v>13414</v>
      </c>
      <c r="D132" s="69"/>
      <c r="E132" s="69">
        <v>10000</v>
      </c>
      <c r="F132" s="69"/>
      <c r="H132" t="s">
        <v>1050</v>
      </c>
    </row>
    <row r="133" spans="1:8" hidden="1">
      <c r="A133" s="232">
        <v>37950</v>
      </c>
      <c r="C133" t="s">
        <v>13415</v>
      </c>
      <c r="D133" s="69"/>
      <c r="E133" s="69">
        <v>13355</v>
      </c>
      <c r="F133" s="69"/>
      <c r="G133" s="8" t="s">
        <v>1380</v>
      </c>
      <c r="H133" t="s">
        <v>1050</v>
      </c>
    </row>
    <row r="134" spans="1:8" hidden="1">
      <c r="A134" s="232">
        <v>37952</v>
      </c>
      <c r="C134" t="s">
        <v>13416</v>
      </c>
      <c r="D134" s="69"/>
      <c r="E134" s="69">
        <v>227500</v>
      </c>
      <c r="F134" s="69"/>
      <c r="G134" s="8" t="s">
        <v>1380</v>
      </c>
      <c r="H134" t="s">
        <v>1050</v>
      </c>
    </row>
    <row r="135" spans="1:8" hidden="1">
      <c r="A135" s="232">
        <v>37954</v>
      </c>
      <c r="C135" t="s">
        <v>13417</v>
      </c>
      <c r="D135" s="69">
        <v>240000</v>
      </c>
      <c r="E135" s="69"/>
      <c r="F135" s="69"/>
      <c r="H135" t="s">
        <v>1050</v>
      </c>
    </row>
    <row r="136" spans="1:8" hidden="1">
      <c r="A136" s="232">
        <v>37959</v>
      </c>
      <c r="B136">
        <v>563144</v>
      </c>
      <c r="C136" t="s">
        <v>13418</v>
      </c>
      <c r="D136" s="69">
        <v>14832</v>
      </c>
      <c r="E136" s="69"/>
      <c r="F136" s="69"/>
      <c r="G136" s="8" t="s">
        <v>1366</v>
      </c>
      <c r="H136" t="s">
        <v>1050</v>
      </c>
    </row>
    <row r="137" spans="1:8" hidden="1">
      <c r="A137" s="232">
        <v>37959</v>
      </c>
      <c r="C137" t="s">
        <v>13419</v>
      </c>
      <c r="D137" s="69"/>
      <c r="E137" s="69">
        <v>15000</v>
      </c>
      <c r="F137" s="69"/>
      <c r="H137" t="s">
        <v>1050</v>
      </c>
    </row>
    <row r="138" spans="1:8" hidden="1">
      <c r="A138" s="232">
        <v>37959</v>
      </c>
      <c r="C138" t="s">
        <v>13420</v>
      </c>
      <c r="D138" s="69"/>
      <c r="E138" s="69">
        <v>271800</v>
      </c>
      <c r="F138" s="69"/>
      <c r="G138" s="8" t="s">
        <v>1380</v>
      </c>
      <c r="H138" t="s">
        <v>1050</v>
      </c>
    </row>
    <row r="139" spans="1:8" hidden="1">
      <c r="A139" s="232">
        <v>37961</v>
      </c>
      <c r="C139" t="s">
        <v>13421</v>
      </c>
      <c r="D139" s="69">
        <v>275000</v>
      </c>
      <c r="E139" s="69"/>
      <c r="F139" s="69"/>
      <c r="H139" t="s">
        <v>1050</v>
      </c>
    </row>
    <row r="140" spans="1:8" hidden="1">
      <c r="A140" s="232">
        <v>37979</v>
      </c>
      <c r="C140" t="s">
        <v>13422</v>
      </c>
      <c r="D140" s="69"/>
      <c r="E140" s="69">
        <v>13360</v>
      </c>
      <c r="F140" s="69"/>
      <c r="G140" s="8" t="s">
        <v>1380</v>
      </c>
      <c r="H140" t="s">
        <v>1050</v>
      </c>
    </row>
    <row r="141" spans="1:8" hidden="1">
      <c r="A141" s="232">
        <v>37982</v>
      </c>
      <c r="C141" t="s">
        <v>13423</v>
      </c>
      <c r="D141" s="69">
        <v>10000</v>
      </c>
      <c r="E141" s="69"/>
      <c r="F141" s="69"/>
      <c r="H141" t="s">
        <v>1050</v>
      </c>
    </row>
    <row r="142" spans="1:8" hidden="1">
      <c r="A142" s="232">
        <v>37985</v>
      </c>
      <c r="B142">
        <v>24129</v>
      </c>
      <c r="C142" t="s">
        <v>13424</v>
      </c>
      <c r="D142" s="69">
        <v>14000</v>
      </c>
      <c r="E142" s="69"/>
      <c r="F142" s="69"/>
      <c r="H142" t="s">
        <v>1050</v>
      </c>
    </row>
    <row r="143" spans="1:8" hidden="1">
      <c r="A143" s="232">
        <v>37985</v>
      </c>
      <c r="C143" t="s">
        <v>13425</v>
      </c>
      <c r="D143" s="69"/>
      <c r="E143" s="69">
        <v>10000</v>
      </c>
      <c r="F143" s="69"/>
      <c r="H143" t="s">
        <v>1050</v>
      </c>
    </row>
    <row r="144" spans="1:8" hidden="1">
      <c r="A144" s="232">
        <v>37987</v>
      </c>
      <c r="C144" t="s">
        <v>1394</v>
      </c>
      <c r="D144" s="69"/>
      <c r="E144" s="69"/>
      <c r="F144" s="69"/>
      <c r="H144" t="s">
        <v>1050</v>
      </c>
    </row>
    <row r="145" spans="1:8" hidden="1">
      <c r="A145" s="232">
        <v>37987</v>
      </c>
      <c r="B145">
        <v>563145</v>
      </c>
      <c r="C145" t="s">
        <v>13426</v>
      </c>
      <c r="D145" s="69">
        <v>14832</v>
      </c>
      <c r="E145" s="69"/>
      <c r="F145" s="69"/>
      <c r="G145" s="8" t="s">
        <v>1366</v>
      </c>
      <c r="H145" t="s">
        <v>1050</v>
      </c>
    </row>
    <row r="146" spans="1:8" hidden="1">
      <c r="A146" s="232">
        <v>37987</v>
      </c>
      <c r="C146" t="s">
        <v>13427</v>
      </c>
      <c r="D146" s="69"/>
      <c r="E146" s="69">
        <v>15032</v>
      </c>
      <c r="F146" s="69"/>
      <c r="H146" t="s">
        <v>1050</v>
      </c>
    </row>
    <row r="147" spans="1:8" hidden="1">
      <c r="A147" s="232">
        <v>37988</v>
      </c>
      <c r="B147">
        <v>24131</v>
      </c>
      <c r="C147" t="s">
        <v>13428</v>
      </c>
      <c r="D147" s="69">
        <v>29000</v>
      </c>
      <c r="E147" s="69"/>
      <c r="F147" s="69"/>
      <c r="H147" t="s">
        <v>1050</v>
      </c>
    </row>
    <row r="148" spans="1:8" hidden="1">
      <c r="A148" s="232">
        <v>37988</v>
      </c>
      <c r="C148" t="s">
        <v>13429</v>
      </c>
      <c r="D148" s="69"/>
      <c r="E148" s="69">
        <v>30067</v>
      </c>
      <c r="F148" s="69"/>
      <c r="H148" t="s">
        <v>1050</v>
      </c>
    </row>
    <row r="149" spans="1:8" hidden="1">
      <c r="A149" s="232">
        <v>37989</v>
      </c>
      <c r="C149" t="s">
        <v>13430</v>
      </c>
      <c r="D149" s="69">
        <v>12000</v>
      </c>
      <c r="E149" s="69"/>
      <c r="F149" s="69"/>
      <c r="G149" s="8" t="s">
        <v>1361</v>
      </c>
      <c r="H149" t="s">
        <v>1050</v>
      </c>
    </row>
    <row r="150" spans="1:8" hidden="1">
      <c r="A150" s="232">
        <v>37989</v>
      </c>
      <c r="C150" t="s">
        <v>13431</v>
      </c>
      <c r="D150" s="69"/>
      <c r="E150" s="69">
        <v>15035</v>
      </c>
      <c r="F150" s="69"/>
      <c r="H150" t="s">
        <v>1050</v>
      </c>
    </row>
    <row r="151" spans="1:8" hidden="1">
      <c r="A151" s="232">
        <v>37991</v>
      </c>
      <c r="B151">
        <v>24130</v>
      </c>
      <c r="C151" t="s">
        <v>13432</v>
      </c>
      <c r="D151" s="69">
        <v>6331</v>
      </c>
      <c r="E151" s="69"/>
      <c r="F151" s="69"/>
      <c r="G151" s="8" t="s">
        <v>1370</v>
      </c>
      <c r="H151" t="s">
        <v>1050</v>
      </c>
    </row>
    <row r="152" spans="1:8" hidden="1">
      <c r="A152" s="232">
        <v>37991</v>
      </c>
      <c r="C152" t="s">
        <v>13433</v>
      </c>
      <c r="D152" s="69"/>
      <c r="E152" s="69">
        <v>5012</v>
      </c>
      <c r="F152" s="69"/>
      <c r="H152" t="s">
        <v>1050</v>
      </c>
    </row>
    <row r="153" spans="1:8" hidden="1">
      <c r="A153" s="232">
        <v>37999</v>
      </c>
      <c r="C153" t="s">
        <v>13434</v>
      </c>
      <c r="D153" s="69">
        <v>7000</v>
      </c>
      <c r="E153" s="69"/>
      <c r="F153" s="69"/>
      <c r="G153" s="8" t="s">
        <v>1361</v>
      </c>
      <c r="H153" t="s">
        <v>1050</v>
      </c>
    </row>
    <row r="154" spans="1:8" hidden="1">
      <c r="A154" s="232">
        <v>37999</v>
      </c>
      <c r="C154" t="s">
        <v>13435</v>
      </c>
      <c r="D154" s="69"/>
      <c r="E154" s="69">
        <v>5016</v>
      </c>
      <c r="F154" s="69"/>
      <c r="H154" t="s">
        <v>1050</v>
      </c>
    </row>
    <row r="155" spans="1:8" hidden="1">
      <c r="A155" s="232">
        <v>38007</v>
      </c>
      <c r="B155">
        <v>24133</v>
      </c>
      <c r="C155" t="s">
        <v>13436</v>
      </c>
      <c r="D155" s="69">
        <v>14912</v>
      </c>
      <c r="E155" s="69"/>
      <c r="F155" s="69"/>
      <c r="H155" t="s">
        <v>1050</v>
      </c>
    </row>
    <row r="156" spans="1:8" hidden="1">
      <c r="A156" s="232">
        <v>38007</v>
      </c>
      <c r="C156" t="s">
        <v>13437</v>
      </c>
      <c r="D156" s="69"/>
      <c r="E156" s="69">
        <v>15057</v>
      </c>
      <c r="F156" s="69"/>
      <c r="H156" t="s">
        <v>1050</v>
      </c>
    </row>
    <row r="157" spans="1:8" hidden="1">
      <c r="A157" s="232">
        <v>38007</v>
      </c>
      <c r="C157" t="s">
        <v>13438</v>
      </c>
      <c r="D157" s="69">
        <v>10000</v>
      </c>
      <c r="E157" s="69"/>
      <c r="F157" s="69"/>
      <c r="G157" s="8" t="s">
        <v>1361</v>
      </c>
      <c r="H157" t="s">
        <v>1050</v>
      </c>
    </row>
    <row r="158" spans="1:8" hidden="1">
      <c r="A158" s="232">
        <v>38007</v>
      </c>
      <c r="C158" t="s">
        <v>13439</v>
      </c>
      <c r="D158" s="69"/>
      <c r="E158" s="69">
        <v>10038</v>
      </c>
      <c r="F158" s="69"/>
      <c r="H158" t="s">
        <v>1050</v>
      </c>
    </row>
    <row r="159" spans="1:8" hidden="1">
      <c r="A159" s="232">
        <v>38010</v>
      </c>
      <c r="B159">
        <v>24134</v>
      </c>
      <c r="C159" t="s">
        <v>13440</v>
      </c>
      <c r="D159" s="69">
        <v>30000</v>
      </c>
      <c r="E159" s="69"/>
      <c r="F159" s="69"/>
      <c r="G159" s="8" t="s">
        <v>1360</v>
      </c>
      <c r="H159" t="s">
        <v>1050</v>
      </c>
    </row>
    <row r="160" spans="1:8" hidden="1">
      <c r="A160" s="232">
        <v>38010</v>
      </c>
      <c r="C160" t="s">
        <v>13441</v>
      </c>
      <c r="D160" s="69"/>
      <c r="E160" s="69">
        <v>30121</v>
      </c>
      <c r="F160" s="69"/>
      <c r="H160" t="s">
        <v>1050</v>
      </c>
    </row>
    <row r="161" spans="1:8" hidden="1">
      <c r="A161" s="232">
        <v>38013</v>
      </c>
      <c r="C161" t="s">
        <v>13442</v>
      </c>
      <c r="D161" s="69"/>
      <c r="E161" s="69">
        <v>13355</v>
      </c>
      <c r="F161" s="69"/>
      <c r="G161" s="8" t="s">
        <v>1380</v>
      </c>
      <c r="H161" t="s">
        <v>1050</v>
      </c>
    </row>
    <row r="162" spans="1:8" hidden="1">
      <c r="A162" s="232">
        <v>38017</v>
      </c>
      <c r="C162" t="s">
        <v>13443</v>
      </c>
      <c r="D162" s="69">
        <v>15000</v>
      </c>
      <c r="E162" s="69"/>
      <c r="F162" s="69"/>
      <c r="H162" t="s">
        <v>1050</v>
      </c>
    </row>
    <row r="163" spans="1:8" hidden="1">
      <c r="A163" s="232">
        <v>38021</v>
      </c>
      <c r="B163">
        <v>24137</v>
      </c>
      <c r="C163" t="s">
        <v>13444</v>
      </c>
      <c r="D163" s="69">
        <v>10000</v>
      </c>
      <c r="E163" s="69"/>
      <c r="F163" s="69"/>
      <c r="G163" s="8" t="s">
        <v>1360</v>
      </c>
      <c r="H163" t="s">
        <v>1050</v>
      </c>
    </row>
    <row r="164" spans="1:8" hidden="1">
      <c r="A164" s="232">
        <v>38021</v>
      </c>
      <c r="B164">
        <v>24136</v>
      </c>
      <c r="C164" t="s">
        <v>13445</v>
      </c>
      <c r="D164" s="69">
        <v>3731</v>
      </c>
      <c r="E164" s="69"/>
      <c r="F164" s="69"/>
      <c r="G164" s="8" t="s">
        <v>1370</v>
      </c>
      <c r="H164" t="s">
        <v>1050</v>
      </c>
    </row>
    <row r="165" spans="1:8" hidden="1">
      <c r="A165" s="232">
        <v>38021</v>
      </c>
      <c r="B165">
        <v>24135</v>
      </c>
      <c r="C165" t="s">
        <v>13445</v>
      </c>
      <c r="D165" s="69">
        <v>1891</v>
      </c>
      <c r="E165" s="69"/>
      <c r="F165" s="69"/>
      <c r="G165" s="8" t="s">
        <v>1370</v>
      </c>
      <c r="H165" t="s">
        <v>1050</v>
      </c>
    </row>
    <row r="166" spans="1:8" hidden="1">
      <c r="A166" s="232">
        <v>38021</v>
      </c>
      <c r="B166">
        <v>24138</v>
      </c>
      <c r="C166" t="s">
        <v>13446</v>
      </c>
      <c r="D166" s="69">
        <v>14832</v>
      </c>
      <c r="E166" s="69"/>
      <c r="F166" s="69"/>
      <c r="G166" s="8" t="s">
        <v>1366</v>
      </c>
      <c r="H166" t="s">
        <v>1050</v>
      </c>
    </row>
    <row r="167" spans="1:8" hidden="1">
      <c r="A167" s="232">
        <v>38021</v>
      </c>
      <c r="C167" t="s">
        <v>13447</v>
      </c>
      <c r="D167" s="69"/>
      <c r="E167" s="69">
        <v>15000</v>
      </c>
      <c r="F167" s="69"/>
      <c r="H167" t="s">
        <v>1050</v>
      </c>
    </row>
    <row r="168" spans="1:8" hidden="1">
      <c r="A168" s="232">
        <v>38021</v>
      </c>
      <c r="C168" t="s">
        <v>13448</v>
      </c>
      <c r="D168" s="69"/>
      <c r="E168" s="69">
        <v>20000</v>
      </c>
      <c r="F168" s="69"/>
      <c r="H168" t="s">
        <v>1050</v>
      </c>
    </row>
    <row r="169" spans="1:8" hidden="1">
      <c r="A169" s="232">
        <v>38021</v>
      </c>
      <c r="C169" t="s">
        <v>13449</v>
      </c>
      <c r="D169" s="69"/>
      <c r="E169" s="69">
        <v>99</v>
      </c>
      <c r="F169" s="69"/>
      <c r="H169" t="s">
        <v>1050</v>
      </c>
    </row>
    <row r="170" spans="1:8" hidden="1">
      <c r="A170" s="232">
        <v>38026</v>
      </c>
      <c r="C170" t="s">
        <v>13450</v>
      </c>
      <c r="D170" s="69">
        <v>10000</v>
      </c>
      <c r="E170" s="69"/>
      <c r="F170" s="69"/>
      <c r="G170" s="8" t="s">
        <v>1361</v>
      </c>
      <c r="H170" t="s">
        <v>1050</v>
      </c>
    </row>
    <row r="171" spans="1:8" hidden="1">
      <c r="A171" s="232">
        <v>38026</v>
      </c>
      <c r="C171" t="s">
        <v>13451</v>
      </c>
      <c r="D171" s="69"/>
      <c r="E171" s="69">
        <v>10000</v>
      </c>
      <c r="F171" s="69"/>
      <c r="H171" t="s">
        <v>1050</v>
      </c>
    </row>
    <row r="172" spans="1:8" hidden="1">
      <c r="A172" s="232">
        <v>38029</v>
      </c>
      <c r="B172">
        <v>24139</v>
      </c>
      <c r="C172" t="s">
        <v>13452</v>
      </c>
      <c r="D172" s="69">
        <v>55000</v>
      </c>
      <c r="E172" s="69"/>
      <c r="F172" s="69"/>
      <c r="H172" t="s">
        <v>1050</v>
      </c>
    </row>
    <row r="173" spans="1:8" hidden="1">
      <c r="A173" s="232">
        <v>38029</v>
      </c>
      <c r="C173" t="s">
        <v>13453</v>
      </c>
      <c r="D173" s="69"/>
      <c r="E173" s="69">
        <v>55000</v>
      </c>
      <c r="F173" s="69"/>
      <c r="H173" t="s">
        <v>1050</v>
      </c>
    </row>
    <row r="174" spans="1:8" hidden="1">
      <c r="A174" s="232">
        <v>38034</v>
      </c>
      <c r="B174">
        <v>24140</v>
      </c>
      <c r="C174" t="s">
        <v>13454</v>
      </c>
      <c r="D174" s="69">
        <v>2150</v>
      </c>
      <c r="E174" s="69"/>
      <c r="F174" s="69"/>
      <c r="H174" t="s">
        <v>1050</v>
      </c>
    </row>
    <row r="175" spans="1:8" hidden="1">
      <c r="A175" s="232">
        <v>38036</v>
      </c>
      <c r="C175" t="s">
        <v>13455</v>
      </c>
      <c r="D175" s="69"/>
      <c r="E175" s="69">
        <v>62</v>
      </c>
      <c r="F175" s="69"/>
      <c r="H175" t="s">
        <v>1050</v>
      </c>
    </row>
    <row r="176" spans="1:8" hidden="1">
      <c r="A176" s="232">
        <v>38036</v>
      </c>
      <c r="C176" t="s">
        <v>13455</v>
      </c>
      <c r="D176" s="69"/>
      <c r="E176" s="69">
        <v>358</v>
      </c>
      <c r="F176" s="69"/>
      <c r="H176" t="s">
        <v>1050</v>
      </c>
    </row>
    <row r="177" spans="1:8" hidden="1">
      <c r="A177" s="232">
        <v>38041</v>
      </c>
      <c r="C177" t="s">
        <v>13456</v>
      </c>
      <c r="D177" s="69"/>
      <c r="E177" s="69">
        <v>14025</v>
      </c>
      <c r="F177" s="69"/>
      <c r="G177" s="8" t="s">
        <v>1380</v>
      </c>
      <c r="H177" t="s">
        <v>1050</v>
      </c>
    </row>
    <row r="178" spans="1:8" hidden="1">
      <c r="A178" s="232">
        <v>38045</v>
      </c>
      <c r="C178" t="s">
        <v>13457</v>
      </c>
      <c r="D178" s="69"/>
      <c r="E178" s="69">
        <v>450</v>
      </c>
      <c r="F178" s="69"/>
      <c r="G178" s="8" t="s">
        <v>1360</v>
      </c>
      <c r="H178" t="s">
        <v>1050</v>
      </c>
    </row>
    <row r="179" spans="1:8" hidden="1">
      <c r="A179" s="232">
        <v>38045</v>
      </c>
      <c r="C179" t="s">
        <v>13458</v>
      </c>
      <c r="D179" s="69"/>
      <c r="E179" s="69">
        <v>450</v>
      </c>
      <c r="F179" s="69"/>
      <c r="G179" s="8" t="s">
        <v>1360</v>
      </c>
      <c r="H179" t="s">
        <v>1050</v>
      </c>
    </row>
    <row r="180" spans="1:8" hidden="1">
      <c r="A180" s="232">
        <v>38045</v>
      </c>
      <c r="C180" t="s">
        <v>13459</v>
      </c>
      <c r="D180" s="69"/>
      <c r="E180" s="69">
        <v>1764</v>
      </c>
      <c r="F180" s="69"/>
      <c r="G180" s="8" t="s">
        <v>1360</v>
      </c>
      <c r="H180" t="s">
        <v>1050</v>
      </c>
    </row>
    <row r="181" spans="1:8" hidden="1">
      <c r="A181" s="232">
        <v>38045</v>
      </c>
      <c r="C181" t="s">
        <v>13460</v>
      </c>
      <c r="D181" s="69"/>
      <c r="E181" s="69">
        <v>181</v>
      </c>
      <c r="F181" s="69"/>
      <c r="H181" t="s">
        <v>1050</v>
      </c>
    </row>
    <row r="182" spans="1:8" hidden="1">
      <c r="A182" s="232">
        <v>38045</v>
      </c>
      <c r="C182" t="s">
        <v>13461</v>
      </c>
      <c r="D182" s="69">
        <v>15000</v>
      </c>
      <c r="E182" s="69"/>
      <c r="F182" s="69"/>
      <c r="H182" t="s">
        <v>1050</v>
      </c>
    </row>
    <row r="183" spans="1:8" hidden="1">
      <c r="A183" s="232">
        <v>38049</v>
      </c>
      <c r="B183">
        <v>24141</v>
      </c>
      <c r="C183" t="s">
        <v>13462</v>
      </c>
      <c r="D183" s="69">
        <v>2550</v>
      </c>
      <c r="E183" s="69"/>
      <c r="F183" s="69"/>
      <c r="H183" t="s">
        <v>1050</v>
      </c>
    </row>
    <row r="184" spans="1:8" hidden="1">
      <c r="A184" s="232">
        <v>38050</v>
      </c>
      <c r="B184">
        <v>24142</v>
      </c>
      <c r="C184" t="s">
        <v>13463</v>
      </c>
      <c r="D184" s="69">
        <v>14832</v>
      </c>
      <c r="E184" s="69"/>
      <c r="F184" s="69"/>
      <c r="G184" s="8" t="s">
        <v>1366</v>
      </c>
      <c r="H184" t="s">
        <v>1050</v>
      </c>
    </row>
    <row r="185" spans="1:8" hidden="1">
      <c r="A185" s="232">
        <v>38050</v>
      </c>
      <c r="C185" t="s">
        <v>13464</v>
      </c>
      <c r="D185" s="69"/>
      <c r="E185" s="69">
        <v>15000</v>
      </c>
      <c r="F185" s="69"/>
      <c r="H185" t="s">
        <v>1050</v>
      </c>
    </row>
    <row r="186" spans="1:8" hidden="1">
      <c r="A186" s="232">
        <v>38051</v>
      </c>
      <c r="C186" t="s">
        <v>13465</v>
      </c>
      <c r="D186" s="69"/>
      <c r="E186" s="69">
        <v>752</v>
      </c>
      <c r="F186" s="69"/>
      <c r="H186" t="s">
        <v>1050</v>
      </c>
    </row>
    <row r="187" spans="1:8" hidden="1">
      <c r="A187" s="232">
        <v>38058</v>
      </c>
      <c r="C187" t="s">
        <v>13466</v>
      </c>
      <c r="D187" s="69">
        <v>10000</v>
      </c>
      <c r="E187" s="69"/>
      <c r="F187" s="69"/>
      <c r="G187" s="8" t="s">
        <v>1361</v>
      </c>
      <c r="H187" t="s">
        <v>1050</v>
      </c>
    </row>
    <row r="188" spans="1:8" hidden="1">
      <c r="A188" s="232">
        <v>38058</v>
      </c>
      <c r="C188" t="s">
        <v>13467</v>
      </c>
      <c r="D188" s="69"/>
      <c r="E188" s="69">
        <v>5291</v>
      </c>
      <c r="F188" s="69"/>
      <c r="H188" t="s">
        <v>1050</v>
      </c>
    </row>
    <row r="189" spans="1:8" hidden="1">
      <c r="A189" s="232">
        <v>38058</v>
      </c>
      <c r="C189" t="s">
        <v>13468</v>
      </c>
      <c r="D189" s="69"/>
      <c r="E189" s="69">
        <v>5000</v>
      </c>
      <c r="F189" s="69"/>
      <c r="H189" t="s">
        <v>1050</v>
      </c>
    </row>
    <row r="190" spans="1:8" hidden="1">
      <c r="A190" s="232">
        <v>38058</v>
      </c>
      <c r="C190" t="s">
        <v>13469</v>
      </c>
      <c r="D190" s="69"/>
      <c r="E190" s="69">
        <v>6</v>
      </c>
      <c r="F190" s="69"/>
      <c r="H190" t="s">
        <v>1050</v>
      </c>
    </row>
    <row r="191" spans="1:8" hidden="1">
      <c r="A191" s="232">
        <v>38058</v>
      </c>
      <c r="C191" t="s">
        <v>13470</v>
      </c>
      <c r="D191" s="69"/>
      <c r="E191" s="69">
        <v>7</v>
      </c>
      <c r="F191" s="69"/>
      <c r="H191" t="s">
        <v>1050</v>
      </c>
    </row>
    <row r="192" spans="1:8" hidden="1">
      <c r="A192" s="232">
        <v>38069</v>
      </c>
      <c r="B192">
        <v>24143</v>
      </c>
      <c r="C192" t="s">
        <v>13471</v>
      </c>
      <c r="D192" s="69">
        <v>13250</v>
      </c>
      <c r="E192" s="69"/>
      <c r="F192" s="69"/>
      <c r="H192" t="s">
        <v>1050</v>
      </c>
    </row>
    <row r="193" spans="1:14" hidden="1">
      <c r="A193" s="232">
        <v>38069</v>
      </c>
      <c r="C193" t="s">
        <v>13472</v>
      </c>
      <c r="D193" s="69"/>
      <c r="E193" s="69">
        <v>6509</v>
      </c>
      <c r="F193" s="69"/>
      <c r="H193" t="s">
        <v>1050</v>
      </c>
    </row>
    <row r="194" spans="1:14" hidden="1">
      <c r="A194" s="232">
        <v>38069</v>
      </c>
      <c r="C194" t="s">
        <v>13473</v>
      </c>
      <c r="D194" s="69"/>
      <c r="E194" s="69">
        <v>5000</v>
      </c>
      <c r="F194" s="69"/>
      <c r="H194" t="s">
        <v>1050</v>
      </c>
    </row>
    <row r="195" spans="1:14" hidden="1">
      <c r="A195" s="232">
        <v>38069</v>
      </c>
      <c r="C195" t="s">
        <v>13474</v>
      </c>
      <c r="D195" s="69"/>
      <c r="E195" s="69">
        <v>14</v>
      </c>
      <c r="F195" s="69"/>
      <c r="H195" t="s">
        <v>1050</v>
      </c>
    </row>
    <row r="196" spans="1:14" hidden="1">
      <c r="A196" s="232">
        <v>38069</v>
      </c>
      <c r="C196" t="s">
        <v>13475</v>
      </c>
      <c r="D196" s="69"/>
      <c r="E196" s="69">
        <v>67</v>
      </c>
      <c r="F196" s="69"/>
      <c r="H196" t="s">
        <v>1050</v>
      </c>
    </row>
    <row r="197" spans="1:14" hidden="1">
      <c r="A197" s="232">
        <v>38071</v>
      </c>
      <c r="B197">
        <v>24144</v>
      </c>
      <c r="C197" t="s">
        <v>13476</v>
      </c>
      <c r="D197" s="69">
        <v>4000</v>
      </c>
      <c r="E197" s="69"/>
      <c r="F197" s="69"/>
      <c r="H197" t="s">
        <v>1050</v>
      </c>
    </row>
    <row r="198" spans="1:14" hidden="1">
      <c r="A198" s="232">
        <v>38071</v>
      </c>
      <c r="C198" t="s">
        <v>13477</v>
      </c>
      <c r="D198" s="69"/>
      <c r="E198" s="69">
        <v>5000</v>
      </c>
      <c r="F198" s="69"/>
      <c r="H198" t="s">
        <v>1050</v>
      </c>
    </row>
    <row r="199" spans="1:14" hidden="1">
      <c r="A199" s="232">
        <v>38071</v>
      </c>
      <c r="C199" t="s">
        <v>13478</v>
      </c>
      <c r="D199" s="69"/>
      <c r="E199" s="69">
        <v>68</v>
      </c>
      <c r="F199" s="69"/>
      <c r="H199" t="s">
        <v>1050</v>
      </c>
    </row>
    <row r="200" spans="1:14" hidden="1">
      <c r="A200" s="232">
        <v>38075</v>
      </c>
      <c r="C200" t="s">
        <v>13479</v>
      </c>
      <c r="D200" s="69"/>
      <c r="E200" s="69">
        <v>14120</v>
      </c>
      <c r="F200" s="69"/>
      <c r="G200" s="8" t="s">
        <v>1380</v>
      </c>
      <c r="H200" t="s">
        <v>1050</v>
      </c>
    </row>
    <row r="201" spans="1:14" hidden="1">
      <c r="A201" s="232">
        <v>38077</v>
      </c>
      <c r="C201" t="s">
        <v>13480</v>
      </c>
      <c r="D201" s="69">
        <v>5000</v>
      </c>
      <c r="E201" s="69"/>
      <c r="F201" s="69"/>
      <c r="H201" t="s">
        <v>1050</v>
      </c>
    </row>
    <row r="202" spans="1:14" hidden="1">
      <c r="A202" s="232">
        <v>39904</v>
      </c>
      <c r="C202" t="s">
        <v>1394</v>
      </c>
      <c r="D202" s="1">
        <v>0</v>
      </c>
      <c r="E202" s="1">
        <v>0</v>
      </c>
      <c r="F202">
        <v>587479.32999999996</v>
      </c>
      <c r="K202" s="2"/>
      <c r="L202" s="232">
        <v>39904</v>
      </c>
      <c r="N202">
        <f>D202*1</f>
        <v>0</v>
      </c>
    </row>
    <row r="203" spans="1:14" hidden="1">
      <c r="A203" s="232">
        <v>39905</v>
      </c>
      <c r="C203" t="s">
        <v>1395</v>
      </c>
      <c r="D203" s="1">
        <v>20000</v>
      </c>
      <c r="E203" s="1">
        <v>0</v>
      </c>
      <c r="F203">
        <v>567479.32999999996</v>
      </c>
      <c r="G203" s="8" t="s">
        <v>1361</v>
      </c>
      <c r="K203" s="2"/>
      <c r="L203" s="232">
        <v>39905</v>
      </c>
      <c r="N203">
        <f t="shared" ref="N203:N266" si="0">D203*1</f>
        <v>20000</v>
      </c>
    </row>
    <row r="204" spans="1:14" hidden="1">
      <c r="A204" s="232">
        <v>39914</v>
      </c>
      <c r="C204" t="s">
        <v>1396</v>
      </c>
      <c r="D204" s="1">
        <v>2000</v>
      </c>
      <c r="E204" s="1">
        <v>0</v>
      </c>
      <c r="F204">
        <v>565479.32999999996</v>
      </c>
      <c r="G204" s="8" t="s">
        <v>1372</v>
      </c>
      <c r="K204" s="2"/>
      <c r="L204" s="232">
        <v>39914</v>
      </c>
      <c r="N204">
        <f t="shared" si="0"/>
        <v>2000</v>
      </c>
    </row>
    <row r="205" spans="1:14" hidden="1">
      <c r="A205" s="232">
        <v>39916</v>
      </c>
      <c r="C205" t="s">
        <v>1397</v>
      </c>
      <c r="D205" s="1">
        <v>2299</v>
      </c>
      <c r="E205" s="1">
        <v>0</v>
      </c>
      <c r="F205">
        <v>563180.32999999996</v>
      </c>
      <c r="K205" s="2"/>
      <c r="L205" s="232">
        <v>39916</v>
      </c>
      <c r="N205">
        <f t="shared" si="0"/>
        <v>2299</v>
      </c>
    </row>
    <row r="206" spans="1:14" hidden="1">
      <c r="A206" s="232">
        <v>39916</v>
      </c>
      <c r="C206" t="s">
        <v>1398</v>
      </c>
      <c r="D206" s="1">
        <v>3016</v>
      </c>
      <c r="E206" s="1">
        <v>0</v>
      </c>
      <c r="F206">
        <v>560164.32999999996</v>
      </c>
      <c r="K206" s="2"/>
      <c r="L206" s="232">
        <v>39916</v>
      </c>
      <c r="N206">
        <f t="shared" si="0"/>
        <v>3016</v>
      </c>
    </row>
    <row r="207" spans="1:14" hidden="1">
      <c r="A207" s="232">
        <v>39916</v>
      </c>
      <c r="C207" t="s">
        <v>1399</v>
      </c>
      <c r="D207" s="1">
        <v>656.8</v>
      </c>
      <c r="E207" s="1">
        <v>0</v>
      </c>
      <c r="F207">
        <v>559507.53</v>
      </c>
      <c r="K207" s="2"/>
      <c r="L207" s="232">
        <v>39916</v>
      </c>
      <c r="N207">
        <f t="shared" si="0"/>
        <v>656.8</v>
      </c>
    </row>
    <row r="208" spans="1:14" hidden="1">
      <c r="A208" s="232">
        <v>39923</v>
      </c>
      <c r="C208" t="s">
        <v>1400</v>
      </c>
      <c r="D208" s="1">
        <v>3000</v>
      </c>
      <c r="E208" s="1">
        <v>0</v>
      </c>
      <c r="F208">
        <v>556507.53</v>
      </c>
      <c r="G208" s="8" t="s">
        <v>1361</v>
      </c>
      <c r="K208" s="2"/>
      <c r="L208" s="232">
        <v>39923</v>
      </c>
      <c r="N208">
        <f t="shared" si="0"/>
        <v>3000</v>
      </c>
    </row>
    <row r="209" spans="1:14" hidden="1">
      <c r="A209" s="232">
        <v>39926</v>
      </c>
      <c r="C209" t="s">
        <v>1401</v>
      </c>
      <c r="D209" s="1">
        <v>5000</v>
      </c>
      <c r="E209" s="1">
        <v>0</v>
      </c>
      <c r="F209">
        <v>551507.53</v>
      </c>
      <c r="G209" s="8" t="s">
        <v>1361</v>
      </c>
      <c r="K209" s="2"/>
      <c r="L209" s="232">
        <v>39926</v>
      </c>
      <c r="N209">
        <f t="shared" si="0"/>
        <v>5000</v>
      </c>
    </row>
    <row r="210" spans="1:14" hidden="1">
      <c r="A210" s="232">
        <v>39931</v>
      </c>
      <c r="C210" t="s">
        <v>1402</v>
      </c>
      <c r="D210" s="1">
        <v>2000</v>
      </c>
      <c r="E210" s="1">
        <v>0</v>
      </c>
      <c r="F210">
        <v>549507.53</v>
      </c>
      <c r="G210" s="8" t="s">
        <v>1372</v>
      </c>
      <c r="K210" s="2"/>
      <c r="L210" s="232">
        <v>39931</v>
      </c>
      <c r="N210">
        <f t="shared" si="0"/>
        <v>2000</v>
      </c>
    </row>
    <row r="211" spans="1:14" hidden="1">
      <c r="A211" s="232">
        <v>39931</v>
      </c>
      <c r="C211" t="s">
        <v>1403</v>
      </c>
      <c r="D211" s="1">
        <v>2000</v>
      </c>
      <c r="E211" s="1">
        <v>0</v>
      </c>
      <c r="F211">
        <v>547507.53</v>
      </c>
      <c r="G211" s="8" t="s">
        <v>1361</v>
      </c>
      <c r="K211" s="2"/>
      <c r="L211" s="232">
        <v>39931</v>
      </c>
      <c r="N211">
        <f t="shared" si="0"/>
        <v>2000</v>
      </c>
    </row>
    <row r="212" spans="1:14" hidden="1">
      <c r="A212" s="232">
        <v>39932</v>
      </c>
      <c r="C212" t="s">
        <v>1404</v>
      </c>
      <c r="D212" s="1">
        <v>0</v>
      </c>
      <c r="E212" s="1">
        <v>306524</v>
      </c>
      <c r="F212">
        <v>854031.53</v>
      </c>
      <c r="G212" s="8" t="s">
        <v>1380</v>
      </c>
      <c r="K212" s="2"/>
      <c r="L212" s="232">
        <v>39932</v>
      </c>
      <c r="N212">
        <f t="shared" si="0"/>
        <v>0</v>
      </c>
    </row>
    <row r="213" spans="1:14" hidden="1">
      <c r="A213" s="232">
        <v>39937</v>
      </c>
      <c r="C213" t="s">
        <v>1405</v>
      </c>
      <c r="D213" s="1">
        <v>3000</v>
      </c>
      <c r="E213" s="1">
        <v>0</v>
      </c>
      <c r="F213">
        <v>851031.53</v>
      </c>
      <c r="G213" s="8" t="s">
        <v>1361</v>
      </c>
      <c r="K213" s="2"/>
      <c r="L213" s="232">
        <v>39937</v>
      </c>
      <c r="N213">
        <f t="shared" si="0"/>
        <v>3000</v>
      </c>
    </row>
    <row r="214" spans="1:14" hidden="1">
      <c r="A214" s="232">
        <v>39937</v>
      </c>
      <c r="C214" t="s">
        <v>1406</v>
      </c>
      <c r="D214" s="1">
        <v>20000</v>
      </c>
      <c r="E214" s="1">
        <v>0</v>
      </c>
      <c r="F214">
        <v>831031.53</v>
      </c>
      <c r="G214" s="8" t="s">
        <v>1361</v>
      </c>
      <c r="K214" s="2"/>
      <c r="L214" s="232">
        <v>39937</v>
      </c>
      <c r="N214">
        <f t="shared" si="0"/>
        <v>20000</v>
      </c>
    </row>
    <row r="215" spans="1:14" hidden="1">
      <c r="A215" s="232">
        <v>39938</v>
      </c>
      <c r="C215" t="s">
        <v>1407</v>
      </c>
      <c r="D215" s="1">
        <v>40000</v>
      </c>
      <c r="E215" s="1">
        <v>0</v>
      </c>
      <c r="F215">
        <v>791031.53</v>
      </c>
      <c r="G215" s="8" t="s">
        <v>1379</v>
      </c>
      <c r="K215" s="2"/>
      <c r="L215" s="232">
        <v>39938</v>
      </c>
      <c r="N215">
        <f t="shared" si="0"/>
        <v>40000</v>
      </c>
    </row>
    <row r="216" spans="1:14" hidden="1">
      <c r="A216" s="232">
        <v>39939</v>
      </c>
      <c r="C216" t="s">
        <v>1408</v>
      </c>
      <c r="D216" s="1">
        <v>25000</v>
      </c>
      <c r="E216" s="1">
        <v>0</v>
      </c>
      <c r="F216">
        <v>766031.53</v>
      </c>
      <c r="G216" s="8" t="s">
        <v>1361</v>
      </c>
      <c r="K216" s="2"/>
      <c r="L216" s="232">
        <v>39939</v>
      </c>
      <c r="N216">
        <f t="shared" si="0"/>
        <v>25000</v>
      </c>
    </row>
    <row r="217" spans="1:14" hidden="1">
      <c r="A217" s="232">
        <v>39940</v>
      </c>
      <c r="C217" t="s">
        <v>1409</v>
      </c>
      <c r="D217" s="1">
        <v>150000</v>
      </c>
      <c r="E217" s="1">
        <v>0</v>
      </c>
      <c r="F217">
        <v>616031.53</v>
      </c>
      <c r="K217" s="2"/>
      <c r="L217" s="232">
        <v>39940</v>
      </c>
      <c r="N217">
        <f t="shared" si="0"/>
        <v>150000</v>
      </c>
    </row>
    <row r="218" spans="1:14" hidden="1">
      <c r="A218" s="232">
        <v>39940</v>
      </c>
      <c r="C218" t="s">
        <v>1410</v>
      </c>
      <c r="D218" s="1">
        <v>13695</v>
      </c>
      <c r="E218" s="1">
        <v>0</v>
      </c>
      <c r="F218">
        <v>602336.53</v>
      </c>
      <c r="K218" s="2"/>
      <c r="L218" s="232">
        <v>39940</v>
      </c>
      <c r="N218">
        <f t="shared" si="0"/>
        <v>13695</v>
      </c>
    </row>
    <row r="219" spans="1:14" hidden="1">
      <c r="A219" s="232">
        <v>39940</v>
      </c>
      <c r="C219" t="s">
        <v>1411</v>
      </c>
      <c r="D219" s="1">
        <v>5000</v>
      </c>
      <c r="E219" s="1">
        <v>0</v>
      </c>
      <c r="F219">
        <v>597336.53</v>
      </c>
      <c r="G219" s="8" t="s">
        <v>1361</v>
      </c>
      <c r="K219" s="2"/>
      <c r="L219" s="232">
        <v>39940</v>
      </c>
      <c r="N219">
        <f t="shared" si="0"/>
        <v>5000</v>
      </c>
    </row>
    <row r="220" spans="1:14" hidden="1">
      <c r="A220" s="232">
        <v>39942</v>
      </c>
      <c r="C220" t="s">
        <v>1412</v>
      </c>
      <c r="D220" s="1">
        <v>25898.14</v>
      </c>
      <c r="E220" s="1">
        <v>0</v>
      </c>
      <c r="F220">
        <v>571438.39</v>
      </c>
      <c r="G220" s="8" t="s">
        <v>1362</v>
      </c>
      <c r="K220" s="2"/>
      <c r="L220" s="232">
        <v>39942</v>
      </c>
      <c r="N220">
        <f t="shared" si="0"/>
        <v>25898.14</v>
      </c>
    </row>
    <row r="221" spans="1:14" hidden="1">
      <c r="A221" s="232">
        <v>39944</v>
      </c>
      <c r="C221" t="s">
        <v>1396</v>
      </c>
      <c r="D221" s="1">
        <v>2000</v>
      </c>
      <c r="E221" s="1">
        <v>0</v>
      </c>
      <c r="F221">
        <v>569438.39</v>
      </c>
      <c r="G221" s="8" t="s">
        <v>1372</v>
      </c>
      <c r="K221" s="2"/>
      <c r="L221" s="232">
        <v>39944</v>
      </c>
      <c r="N221">
        <f t="shared" si="0"/>
        <v>2000</v>
      </c>
    </row>
    <row r="222" spans="1:14" hidden="1">
      <c r="A222" s="232">
        <v>39945</v>
      </c>
      <c r="C222" t="s">
        <v>1413</v>
      </c>
      <c r="D222" s="1">
        <v>0</v>
      </c>
      <c r="E222" s="1">
        <v>5010</v>
      </c>
      <c r="F222">
        <v>574448.39</v>
      </c>
      <c r="G222" s="8" t="s">
        <v>1380</v>
      </c>
      <c r="K222" s="2"/>
      <c r="L222" s="232">
        <v>39945</v>
      </c>
      <c r="N222">
        <f t="shared" si="0"/>
        <v>0</v>
      </c>
    </row>
    <row r="223" spans="1:14" hidden="1">
      <c r="A223" s="232">
        <v>39947</v>
      </c>
      <c r="C223" t="s">
        <v>1412</v>
      </c>
      <c r="D223" s="1">
        <v>4000</v>
      </c>
      <c r="E223" s="1">
        <v>0</v>
      </c>
      <c r="F223">
        <v>570448.39</v>
      </c>
      <c r="G223" s="8" t="s">
        <v>1362</v>
      </c>
      <c r="K223" s="2"/>
      <c r="L223" s="232">
        <v>39947</v>
      </c>
      <c r="N223">
        <f t="shared" si="0"/>
        <v>4000</v>
      </c>
    </row>
    <row r="224" spans="1:14" hidden="1">
      <c r="A224" s="232">
        <v>39954</v>
      </c>
      <c r="C224" t="s">
        <v>1414</v>
      </c>
      <c r="D224" s="1">
        <v>0</v>
      </c>
      <c r="E224" s="1">
        <v>1051</v>
      </c>
      <c r="F224">
        <v>571499.39</v>
      </c>
      <c r="G224" s="8" t="s">
        <v>1380</v>
      </c>
      <c r="K224" s="2"/>
      <c r="L224" s="232">
        <v>39954</v>
      </c>
      <c r="N224">
        <f t="shared" si="0"/>
        <v>0</v>
      </c>
    </row>
    <row r="225" spans="1:14" hidden="1">
      <c r="A225" s="232">
        <v>39955</v>
      </c>
      <c r="C225" t="s">
        <v>1415</v>
      </c>
      <c r="D225" s="1">
        <v>11586</v>
      </c>
      <c r="E225" s="1">
        <v>0</v>
      </c>
      <c r="F225">
        <v>559913.39</v>
      </c>
      <c r="K225" s="2"/>
      <c r="L225" s="232">
        <v>39955</v>
      </c>
      <c r="N225">
        <f t="shared" si="0"/>
        <v>11586</v>
      </c>
    </row>
    <row r="226" spans="1:14" hidden="1">
      <c r="A226" s="232">
        <v>39961</v>
      </c>
      <c r="C226" t="s">
        <v>1416</v>
      </c>
      <c r="D226" s="1">
        <v>30367.69</v>
      </c>
      <c r="E226" s="1">
        <v>0</v>
      </c>
      <c r="F226">
        <v>529545.69999999995</v>
      </c>
      <c r="G226" s="8" t="s">
        <v>1362</v>
      </c>
      <c r="K226" s="2"/>
      <c r="L226" s="232">
        <v>39961</v>
      </c>
      <c r="N226">
        <f t="shared" si="0"/>
        <v>30367.69</v>
      </c>
    </row>
    <row r="227" spans="1:14" hidden="1">
      <c r="A227" s="232">
        <v>39961</v>
      </c>
      <c r="C227" t="s">
        <v>1402</v>
      </c>
      <c r="D227" s="1">
        <v>2000</v>
      </c>
      <c r="E227" s="1">
        <v>0</v>
      </c>
      <c r="F227">
        <v>527545.69999999995</v>
      </c>
      <c r="G227" s="8" t="s">
        <v>1372</v>
      </c>
      <c r="K227" s="2"/>
      <c r="L227" s="232">
        <v>39961</v>
      </c>
      <c r="N227">
        <f t="shared" si="0"/>
        <v>2000</v>
      </c>
    </row>
    <row r="228" spans="1:14" hidden="1">
      <c r="A228" s="232">
        <v>39961</v>
      </c>
      <c r="C228" t="s">
        <v>1404</v>
      </c>
      <c r="D228" s="1">
        <v>0</v>
      </c>
      <c r="E228" s="1">
        <v>78725</v>
      </c>
      <c r="F228">
        <v>606270.69999999995</v>
      </c>
      <c r="G228" s="8" t="s">
        <v>1380</v>
      </c>
      <c r="K228" s="2"/>
      <c r="L228" s="232">
        <v>39961</v>
      </c>
      <c r="N228">
        <f t="shared" si="0"/>
        <v>0</v>
      </c>
    </row>
    <row r="229" spans="1:14" hidden="1">
      <c r="A229" s="232">
        <v>39965</v>
      </c>
      <c r="C229" t="s">
        <v>1417</v>
      </c>
      <c r="D229" s="1">
        <v>20000</v>
      </c>
      <c r="E229" s="1">
        <v>0</v>
      </c>
      <c r="F229">
        <v>586270.69999999995</v>
      </c>
      <c r="G229" s="8" t="s">
        <v>1361</v>
      </c>
      <c r="K229" s="2"/>
      <c r="L229" s="232">
        <v>39965</v>
      </c>
      <c r="N229">
        <f t="shared" si="0"/>
        <v>20000</v>
      </c>
    </row>
    <row r="230" spans="1:14" hidden="1">
      <c r="A230" s="232">
        <v>39965</v>
      </c>
      <c r="C230" t="s">
        <v>1418</v>
      </c>
      <c r="D230" s="1">
        <v>3000</v>
      </c>
      <c r="E230" s="1">
        <v>0</v>
      </c>
      <c r="F230">
        <v>583270.69999999995</v>
      </c>
      <c r="G230" s="8" t="s">
        <v>1361</v>
      </c>
      <c r="K230" s="2"/>
      <c r="L230" s="232">
        <v>39965</v>
      </c>
      <c r="N230">
        <f t="shared" si="0"/>
        <v>3000</v>
      </c>
    </row>
    <row r="231" spans="1:14" hidden="1">
      <c r="A231" s="232">
        <v>39966</v>
      </c>
      <c r="C231" t="s">
        <v>1419</v>
      </c>
      <c r="D231" s="1">
        <v>0</v>
      </c>
      <c r="E231" s="1">
        <v>881</v>
      </c>
      <c r="F231">
        <v>584151.69999999995</v>
      </c>
      <c r="G231" s="8" t="s">
        <v>1380</v>
      </c>
      <c r="K231" s="2"/>
      <c r="L231" s="232">
        <v>39966</v>
      </c>
      <c r="N231">
        <f t="shared" si="0"/>
        <v>0</v>
      </c>
    </row>
    <row r="232" spans="1:14" hidden="1">
      <c r="A232" s="232">
        <v>39968</v>
      </c>
      <c r="C232" t="s">
        <v>1420</v>
      </c>
      <c r="D232" s="1">
        <v>40000</v>
      </c>
      <c r="E232" s="1">
        <v>0</v>
      </c>
      <c r="F232">
        <v>544151.69999999995</v>
      </c>
      <c r="G232" s="8" t="s">
        <v>1379</v>
      </c>
      <c r="K232" s="2"/>
      <c r="L232" s="232">
        <v>39968</v>
      </c>
      <c r="N232">
        <f t="shared" si="0"/>
        <v>40000</v>
      </c>
    </row>
    <row r="233" spans="1:14" hidden="1">
      <c r="A233" s="232">
        <v>39973</v>
      </c>
      <c r="C233" t="s">
        <v>1421</v>
      </c>
      <c r="D233" s="1">
        <v>150000</v>
      </c>
      <c r="E233" s="1">
        <v>0</v>
      </c>
      <c r="F233">
        <v>394151.7</v>
      </c>
      <c r="G233" s="8" t="s">
        <v>1363</v>
      </c>
      <c r="K233" s="2"/>
      <c r="L233" s="232">
        <v>39973</v>
      </c>
      <c r="N233">
        <f t="shared" si="0"/>
        <v>150000</v>
      </c>
    </row>
    <row r="234" spans="1:14" hidden="1">
      <c r="A234" s="232">
        <v>39974</v>
      </c>
      <c r="C234" t="s">
        <v>1422</v>
      </c>
      <c r="D234" s="1">
        <v>2000</v>
      </c>
      <c r="E234" s="1">
        <v>0</v>
      </c>
      <c r="F234">
        <v>392151.7</v>
      </c>
      <c r="G234" s="8" t="s">
        <v>1372</v>
      </c>
      <c r="K234" s="2"/>
      <c r="L234" s="232">
        <v>39974</v>
      </c>
      <c r="N234">
        <f t="shared" si="0"/>
        <v>2000</v>
      </c>
    </row>
    <row r="235" spans="1:14" hidden="1">
      <c r="A235" s="232">
        <v>39976</v>
      </c>
      <c r="C235" t="s">
        <v>1423</v>
      </c>
      <c r="D235" s="1">
        <v>5000</v>
      </c>
      <c r="E235" s="1">
        <v>0</v>
      </c>
      <c r="F235">
        <v>387151.7</v>
      </c>
      <c r="G235" s="8" t="s">
        <v>1361</v>
      </c>
      <c r="K235" s="2"/>
      <c r="L235" s="232">
        <v>39976</v>
      </c>
      <c r="N235">
        <f t="shared" si="0"/>
        <v>5000</v>
      </c>
    </row>
    <row r="236" spans="1:14" hidden="1">
      <c r="A236" s="232">
        <v>39981</v>
      </c>
      <c r="C236" t="s">
        <v>1424</v>
      </c>
      <c r="D236" s="1">
        <v>5000</v>
      </c>
      <c r="E236" s="1">
        <v>0</v>
      </c>
      <c r="F236">
        <v>382151.7</v>
      </c>
      <c r="G236" s="8" t="s">
        <v>1362</v>
      </c>
      <c r="K236" s="2"/>
      <c r="L236" s="232">
        <v>39981</v>
      </c>
      <c r="N236">
        <f t="shared" si="0"/>
        <v>5000</v>
      </c>
    </row>
    <row r="237" spans="1:14" hidden="1">
      <c r="A237" s="232">
        <v>39984</v>
      </c>
      <c r="C237" t="s">
        <v>1425</v>
      </c>
      <c r="D237" s="1">
        <v>11265.55</v>
      </c>
      <c r="E237" s="1">
        <v>0</v>
      </c>
      <c r="F237">
        <v>370886.15</v>
      </c>
      <c r="G237" s="8" t="s">
        <v>1362</v>
      </c>
      <c r="K237" s="2"/>
      <c r="L237" s="232">
        <v>39984</v>
      </c>
      <c r="N237">
        <f t="shared" si="0"/>
        <v>11265.55</v>
      </c>
    </row>
    <row r="238" spans="1:14" hidden="1">
      <c r="A238" s="232">
        <v>39986</v>
      </c>
      <c r="C238" t="s">
        <v>1426</v>
      </c>
      <c r="D238" s="1">
        <v>11421.89</v>
      </c>
      <c r="E238" s="1">
        <v>0</v>
      </c>
      <c r="F238">
        <v>359464.26</v>
      </c>
      <c r="G238" s="8" t="s">
        <v>1362</v>
      </c>
      <c r="K238" s="2"/>
      <c r="L238" s="232">
        <v>39986</v>
      </c>
      <c r="N238">
        <f t="shared" si="0"/>
        <v>11421.89</v>
      </c>
    </row>
    <row r="239" spans="1:14" hidden="1">
      <c r="A239" s="232">
        <v>39993</v>
      </c>
      <c r="C239" t="s">
        <v>1427</v>
      </c>
      <c r="D239" s="1">
        <v>2000</v>
      </c>
      <c r="E239" s="1">
        <v>0</v>
      </c>
      <c r="F239">
        <v>357464.26</v>
      </c>
      <c r="G239" s="8" t="s">
        <v>1372</v>
      </c>
      <c r="K239" s="2"/>
      <c r="L239" s="232">
        <v>39993</v>
      </c>
      <c r="N239">
        <f t="shared" si="0"/>
        <v>2000</v>
      </c>
    </row>
    <row r="240" spans="1:14" hidden="1">
      <c r="A240" s="232">
        <v>39993</v>
      </c>
      <c r="C240" t="s">
        <v>1404</v>
      </c>
      <c r="D240" s="1">
        <v>0</v>
      </c>
      <c r="E240" s="1">
        <v>78725</v>
      </c>
      <c r="F240">
        <v>436189.26</v>
      </c>
      <c r="G240" s="8" t="s">
        <v>1380</v>
      </c>
      <c r="K240" s="2"/>
      <c r="L240" s="232">
        <v>39993</v>
      </c>
      <c r="N240">
        <f t="shared" si="0"/>
        <v>0</v>
      </c>
    </row>
    <row r="241" spans="1:14" hidden="1">
      <c r="A241" s="232">
        <v>39994</v>
      </c>
      <c r="C241" t="s">
        <v>1428</v>
      </c>
      <c r="D241" s="1">
        <v>5000</v>
      </c>
      <c r="E241" s="1">
        <v>0</v>
      </c>
      <c r="F241">
        <v>431189.26</v>
      </c>
      <c r="G241" s="8" t="s">
        <v>1361</v>
      </c>
      <c r="K241" s="2"/>
      <c r="L241" s="232">
        <v>39994</v>
      </c>
      <c r="N241">
        <f t="shared" si="0"/>
        <v>5000</v>
      </c>
    </row>
    <row r="242" spans="1:14" hidden="1">
      <c r="A242" s="232">
        <v>39997</v>
      </c>
      <c r="C242" t="s">
        <v>1429</v>
      </c>
      <c r="D242" s="1">
        <v>20000</v>
      </c>
      <c r="E242" s="1">
        <v>0</v>
      </c>
      <c r="F242">
        <v>411189.26</v>
      </c>
      <c r="G242" s="8" t="s">
        <v>1361</v>
      </c>
      <c r="K242" s="2"/>
      <c r="L242" s="232">
        <v>39997</v>
      </c>
      <c r="N242">
        <f t="shared" si="0"/>
        <v>20000</v>
      </c>
    </row>
    <row r="243" spans="1:14" hidden="1">
      <c r="A243" s="232">
        <v>40000</v>
      </c>
      <c r="C243" t="s">
        <v>1430</v>
      </c>
      <c r="D243" s="1">
        <v>40000</v>
      </c>
      <c r="E243" s="1">
        <v>0</v>
      </c>
      <c r="F243">
        <v>371189.26</v>
      </c>
      <c r="G243" s="8" t="s">
        <v>1379</v>
      </c>
      <c r="K243" s="2"/>
      <c r="L243" s="232">
        <v>40000</v>
      </c>
      <c r="N243">
        <f t="shared" si="0"/>
        <v>40000</v>
      </c>
    </row>
    <row r="244" spans="1:14" hidden="1">
      <c r="A244" s="232">
        <v>40002</v>
      </c>
      <c r="C244" t="s">
        <v>1424</v>
      </c>
      <c r="D244" s="1">
        <v>3000</v>
      </c>
      <c r="E244" s="1">
        <v>0</v>
      </c>
      <c r="F244">
        <v>368189.26</v>
      </c>
      <c r="G244" s="8" t="s">
        <v>1362</v>
      </c>
      <c r="K244" s="2"/>
      <c r="L244" s="232">
        <v>40002</v>
      </c>
      <c r="N244">
        <f t="shared" si="0"/>
        <v>3000</v>
      </c>
    </row>
    <row r="245" spans="1:14" hidden="1">
      <c r="A245" s="232">
        <v>40004</v>
      </c>
      <c r="C245" t="s">
        <v>1431</v>
      </c>
      <c r="D245" s="1">
        <v>2000</v>
      </c>
      <c r="E245" s="1">
        <v>0</v>
      </c>
      <c r="F245">
        <v>366189.26</v>
      </c>
      <c r="G245" s="8" t="s">
        <v>1372</v>
      </c>
      <c r="K245" s="2"/>
      <c r="L245" s="232">
        <v>40004</v>
      </c>
      <c r="N245">
        <f t="shared" si="0"/>
        <v>2000</v>
      </c>
    </row>
    <row r="246" spans="1:14" hidden="1">
      <c r="A246" s="232">
        <v>40010</v>
      </c>
      <c r="C246" t="s">
        <v>1432</v>
      </c>
      <c r="D246" s="1">
        <v>3000</v>
      </c>
      <c r="E246" s="1">
        <v>0</v>
      </c>
      <c r="F246">
        <v>363189.26</v>
      </c>
      <c r="K246" s="2"/>
      <c r="L246" s="232">
        <v>40010</v>
      </c>
      <c r="N246">
        <f t="shared" si="0"/>
        <v>3000</v>
      </c>
    </row>
    <row r="247" spans="1:14" hidden="1">
      <c r="A247" s="232">
        <v>40011</v>
      </c>
      <c r="C247" t="s">
        <v>1433</v>
      </c>
      <c r="D247" s="1">
        <v>0</v>
      </c>
      <c r="E247" s="1">
        <v>881</v>
      </c>
      <c r="F247">
        <v>364070.26</v>
      </c>
      <c r="G247" s="8" t="s">
        <v>1380</v>
      </c>
      <c r="K247" s="2"/>
      <c r="L247" s="232">
        <v>40011</v>
      </c>
      <c r="N247">
        <f t="shared" si="0"/>
        <v>0</v>
      </c>
    </row>
    <row r="248" spans="1:14" hidden="1">
      <c r="A248" s="232">
        <v>40022</v>
      </c>
      <c r="C248" t="s">
        <v>1434</v>
      </c>
      <c r="D248" s="1">
        <v>2000</v>
      </c>
      <c r="E248" s="1">
        <v>0</v>
      </c>
      <c r="F248">
        <v>362070.26</v>
      </c>
      <c r="G248" s="8" t="s">
        <v>1372</v>
      </c>
      <c r="K248" s="2"/>
      <c r="L248" s="232">
        <v>40022</v>
      </c>
      <c r="N248">
        <f t="shared" si="0"/>
        <v>2000</v>
      </c>
    </row>
    <row r="249" spans="1:14" hidden="1">
      <c r="A249" s="232">
        <v>40022</v>
      </c>
      <c r="C249" t="s">
        <v>1435</v>
      </c>
      <c r="D249" s="1">
        <v>0</v>
      </c>
      <c r="E249" s="1">
        <v>881</v>
      </c>
      <c r="F249">
        <v>362951.26</v>
      </c>
      <c r="G249" s="8" t="s">
        <v>1380</v>
      </c>
      <c r="K249" s="2"/>
      <c r="L249" s="232">
        <v>40022</v>
      </c>
      <c r="N249">
        <f t="shared" si="0"/>
        <v>0</v>
      </c>
    </row>
    <row r="250" spans="1:14" hidden="1">
      <c r="A250" s="232">
        <v>40024</v>
      </c>
      <c r="C250" t="s">
        <v>1404</v>
      </c>
      <c r="D250" s="1">
        <v>0</v>
      </c>
      <c r="E250" s="1">
        <v>82840</v>
      </c>
      <c r="F250">
        <v>445791.26</v>
      </c>
      <c r="G250" s="8" t="s">
        <v>1380</v>
      </c>
      <c r="K250" s="2"/>
      <c r="L250" s="232">
        <v>40024</v>
      </c>
      <c r="N250">
        <f t="shared" si="0"/>
        <v>0</v>
      </c>
    </row>
    <row r="251" spans="1:14" hidden="1">
      <c r="A251" s="232">
        <v>40026</v>
      </c>
      <c r="C251" t="s">
        <v>1436</v>
      </c>
      <c r="D251" s="1">
        <v>5000</v>
      </c>
      <c r="E251" s="1">
        <v>0</v>
      </c>
      <c r="F251">
        <v>440791.26</v>
      </c>
      <c r="G251" s="8" t="s">
        <v>1361</v>
      </c>
      <c r="K251" s="2"/>
      <c r="L251" s="232">
        <v>40026</v>
      </c>
      <c r="N251">
        <f t="shared" si="0"/>
        <v>5000</v>
      </c>
    </row>
    <row r="252" spans="1:14" hidden="1">
      <c r="A252" s="232">
        <v>40029</v>
      </c>
      <c r="C252" t="s">
        <v>1430</v>
      </c>
      <c r="D252" s="1">
        <v>40000</v>
      </c>
      <c r="E252" s="1">
        <v>0</v>
      </c>
      <c r="F252">
        <v>400791.26</v>
      </c>
      <c r="G252" s="8" t="s">
        <v>1379</v>
      </c>
      <c r="K252" s="2"/>
      <c r="L252" s="232">
        <v>40029</v>
      </c>
      <c r="N252">
        <f t="shared" si="0"/>
        <v>40000</v>
      </c>
    </row>
    <row r="253" spans="1:14" hidden="1">
      <c r="A253" s="232">
        <v>40029</v>
      </c>
      <c r="C253" t="s">
        <v>1437</v>
      </c>
      <c r="D253" s="1">
        <v>20000</v>
      </c>
      <c r="E253" s="1">
        <v>0</v>
      </c>
      <c r="F253">
        <v>380791.26</v>
      </c>
      <c r="G253" s="8" t="s">
        <v>1361</v>
      </c>
      <c r="K253" s="2"/>
      <c r="L253" s="232">
        <v>40029</v>
      </c>
      <c r="N253">
        <f t="shared" si="0"/>
        <v>20000</v>
      </c>
    </row>
    <row r="254" spans="1:14" hidden="1">
      <c r="A254" s="232">
        <v>40035</v>
      </c>
      <c r="C254" t="s">
        <v>1438</v>
      </c>
      <c r="D254" s="1">
        <v>2000</v>
      </c>
      <c r="E254" s="1">
        <v>0</v>
      </c>
      <c r="F254">
        <v>378791.26</v>
      </c>
      <c r="G254" s="8" t="s">
        <v>1372</v>
      </c>
      <c r="K254" s="2"/>
      <c r="L254" s="232">
        <v>40035</v>
      </c>
      <c r="N254">
        <f t="shared" si="0"/>
        <v>2000</v>
      </c>
    </row>
    <row r="255" spans="1:14" hidden="1">
      <c r="A255" s="232">
        <v>40052</v>
      </c>
      <c r="C255" t="s">
        <v>1439</v>
      </c>
      <c r="D255" s="1">
        <v>10000</v>
      </c>
      <c r="E255" s="1">
        <v>0</v>
      </c>
      <c r="F255">
        <v>368791.26</v>
      </c>
      <c r="G255" s="8" t="s">
        <v>1361</v>
      </c>
      <c r="K255" s="2"/>
      <c r="L255" s="232">
        <v>40052</v>
      </c>
      <c r="N255">
        <f t="shared" si="0"/>
        <v>10000</v>
      </c>
    </row>
    <row r="256" spans="1:14" hidden="1">
      <c r="A256" s="232">
        <v>40053</v>
      </c>
      <c r="C256" t="s">
        <v>1440</v>
      </c>
      <c r="D256" s="1">
        <v>2000</v>
      </c>
      <c r="E256" s="1">
        <v>0</v>
      </c>
      <c r="F256">
        <v>366791.26</v>
      </c>
      <c r="G256" s="8" t="s">
        <v>1372</v>
      </c>
      <c r="K256" s="2"/>
      <c r="L256" s="232">
        <v>40053</v>
      </c>
      <c r="N256">
        <f t="shared" si="0"/>
        <v>2000</v>
      </c>
    </row>
    <row r="257" spans="1:14" hidden="1">
      <c r="A257" s="232">
        <v>40053</v>
      </c>
      <c r="C257" t="s">
        <v>1404</v>
      </c>
      <c r="D257" s="1">
        <v>0</v>
      </c>
      <c r="E257" s="1">
        <v>82840</v>
      </c>
      <c r="F257">
        <v>449631.26</v>
      </c>
      <c r="G257" s="8" t="s">
        <v>1380</v>
      </c>
      <c r="K257" s="2"/>
      <c r="L257" s="232">
        <v>40053</v>
      </c>
      <c r="N257">
        <f t="shared" si="0"/>
        <v>0</v>
      </c>
    </row>
    <row r="258" spans="1:14" hidden="1">
      <c r="A258" s="232">
        <v>40058</v>
      </c>
      <c r="C258" t="s">
        <v>1441</v>
      </c>
      <c r="D258" s="1">
        <v>0</v>
      </c>
      <c r="E258" s="1">
        <v>7817</v>
      </c>
      <c r="F258">
        <v>457448.26</v>
      </c>
      <c r="G258" s="8" t="s">
        <v>1368</v>
      </c>
      <c r="K258" s="2"/>
      <c r="L258" s="232">
        <v>40058</v>
      </c>
      <c r="N258">
        <f t="shared" si="0"/>
        <v>0</v>
      </c>
    </row>
    <row r="259" spans="1:14" hidden="1">
      <c r="A259" s="232">
        <v>40059</v>
      </c>
      <c r="C259" t="s">
        <v>1442</v>
      </c>
      <c r="D259" s="1">
        <v>20000</v>
      </c>
      <c r="E259" s="1">
        <v>0</v>
      </c>
      <c r="F259">
        <v>437448.26</v>
      </c>
      <c r="G259" s="8" t="s">
        <v>1361</v>
      </c>
      <c r="K259" s="2"/>
      <c r="L259" s="232">
        <v>40059</v>
      </c>
      <c r="N259">
        <f t="shared" si="0"/>
        <v>20000</v>
      </c>
    </row>
    <row r="260" spans="1:14" hidden="1">
      <c r="A260" s="232">
        <v>40063</v>
      </c>
      <c r="C260" t="s">
        <v>1443</v>
      </c>
      <c r="D260" s="1">
        <v>0</v>
      </c>
      <c r="E260" s="1">
        <v>695.53</v>
      </c>
      <c r="F260">
        <v>438143.79</v>
      </c>
      <c r="G260" s="8" t="s">
        <v>1375</v>
      </c>
      <c r="K260" s="2"/>
      <c r="L260" s="232">
        <v>40063</v>
      </c>
      <c r="N260">
        <f t="shared" si="0"/>
        <v>0</v>
      </c>
    </row>
    <row r="261" spans="1:14" hidden="1">
      <c r="A261" s="232">
        <v>40064</v>
      </c>
      <c r="C261" t="s">
        <v>1444</v>
      </c>
      <c r="D261" s="1">
        <v>40000</v>
      </c>
      <c r="E261" s="1">
        <v>0</v>
      </c>
      <c r="F261">
        <v>398143.79</v>
      </c>
      <c r="G261" s="8" t="s">
        <v>1379</v>
      </c>
      <c r="K261" s="2"/>
      <c r="L261" s="232">
        <v>40064</v>
      </c>
      <c r="N261">
        <f t="shared" si="0"/>
        <v>40000</v>
      </c>
    </row>
    <row r="262" spans="1:14" hidden="1">
      <c r="A262" s="232">
        <v>40064</v>
      </c>
      <c r="C262" t="s">
        <v>1424</v>
      </c>
      <c r="D262" s="1">
        <v>26037.89</v>
      </c>
      <c r="E262" s="1">
        <v>0</v>
      </c>
      <c r="F262">
        <v>372105.9</v>
      </c>
      <c r="G262" s="8" t="s">
        <v>1362</v>
      </c>
      <c r="K262" s="2"/>
      <c r="L262" s="232">
        <v>40064</v>
      </c>
      <c r="N262">
        <f t="shared" si="0"/>
        <v>26037.89</v>
      </c>
    </row>
    <row r="263" spans="1:14" hidden="1">
      <c r="A263" s="232">
        <v>40066</v>
      </c>
      <c r="C263" t="s">
        <v>1445</v>
      </c>
      <c r="D263" s="1">
        <v>2000</v>
      </c>
      <c r="E263" s="1">
        <v>0</v>
      </c>
      <c r="F263">
        <v>370105.9</v>
      </c>
      <c r="G263" s="8" t="s">
        <v>1372</v>
      </c>
      <c r="K263" s="2"/>
      <c r="L263" s="232">
        <v>40066</v>
      </c>
      <c r="N263">
        <f t="shared" si="0"/>
        <v>2000</v>
      </c>
    </row>
    <row r="264" spans="1:14" hidden="1">
      <c r="A264" s="232">
        <v>40081</v>
      </c>
      <c r="C264" t="s">
        <v>1404</v>
      </c>
      <c r="D264" s="1">
        <v>0</v>
      </c>
      <c r="E264" s="1">
        <v>86295</v>
      </c>
      <c r="F264">
        <v>456400.9</v>
      </c>
      <c r="G264" s="8" t="s">
        <v>1380</v>
      </c>
      <c r="K264" s="2"/>
      <c r="L264" s="232">
        <v>40081</v>
      </c>
      <c r="N264">
        <f t="shared" si="0"/>
        <v>0</v>
      </c>
    </row>
    <row r="265" spans="1:14" hidden="1">
      <c r="A265" s="232">
        <v>40085</v>
      </c>
      <c r="C265" t="s">
        <v>1446</v>
      </c>
      <c r="D265" s="1">
        <v>2000</v>
      </c>
      <c r="E265" s="1">
        <v>0</v>
      </c>
      <c r="F265">
        <v>454400.9</v>
      </c>
      <c r="G265" s="8" t="s">
        <v>1372</v>
      </c>
      <c r="K265" s="2"/>
      <c r="L265" s="232">
        <v>40085</v>
      </c>
      <c r="N265">
        <f t="shared" si="0"/>
        <v>2000</v>
      </c>
    </row>
    <row r="266" spans="1:14" hidden="1">
      <c r="A266" s="232">
        <v>40089</v>
      </c>
      <c r="C266" t="s">
        <v>1447</v>
      </c>
      <c r="D266" s="1">
        <v>5400</v>
      </c>
      <c r="E266" s="1">
        <v>0</v>
      </c>
      <c r="F266">
        <v>449000.9</v>
      </c>
      <c r="K266" s="2"/>
      <c r="L266" s="232">
        <v>40089</v>
      </c>
      <c r="N266">
        <f t="shared" si="0"/>
        <v>5400</v>
      </c>
    </row>
    <row r="267" spans="1:14" hidden="1">
      <c r="A267" s="232">
        <v>40089</v>
      </c>
      <c r="C267" t="s">
        <v>1424</v>
      </c>
      <c r="D267" s="1">
        <v>5175.66</v>
      </c>
      <c r="E267" s="1">
        <v>0</v>
      </c>
      <c r="F267">
        <v>443825.24</v>
      </c>
      <c r="G267" s="8" t="s">
        <v>1362</v>
      </c>
      <c r="K267" s="2"/>
      <c r="L267" s="232">
        <v>40089</v>
      </c>
      <c r="N267">
        <f t="shared" ref="N267:N330" si="1">D267*1</f>
        <v>5175.66</v>
      </c>
    </row>
    <row r="268" spans="1:14" hidden="1">
      <c r="A268" s="232">
        <v>40091</v>
      </c>
      <c r="C268" t="s">
        <v>1448</v>
      </c>
      <c r="D268" s="1">
        <v>20000</v>
      </c>
      <c r="E268" s="1">
        <v>0</v>
      </c>
      <c r="F268">
        <v>423825.24</v>
      </c>
      <c r="G268" s="8" t="s">
        <v>1361</v>
      </c>
      <c r="K268" s="2"/>
      <c r="L268" s="232">
        <v>40091</v>
      </c>
      <c r="N268">
        <f t="shared" si="1"/>
        <v>20000</v>
      </c>
    </row>
    <row r="269" spans="1:14" hidden="1">
      <c r="A269" s="232">
        <v>40091</v>
      </c>
      <c r="C269" t="s">
        <v>1449</v>
      </c>
      <c r="D269" s="1">
        <v>0</v>
      </c>
      <c r="E269" s="1">
        <v>1415.09</v>
      </c>
      <c r="F269">
        <v>425240.33</v>
      </c>
      <c r="G269" s="8" t="s">
        <v>1375</v>
      </c>
      <c r="K269" s="2"/>
      <c r="L269" s="232">
        <v>40091</v>
      </c>
      <c r="N269">
        <f t="shared" si="1"/>
        <v>0</v>
      </c>
    </row>
    <row r="270" spans="1:14" hidden="1">
      <c r="A270" s="232">
        <v>40093</v>
      </c>
      <c r="C270" t="s">
        <v>1414</v>
      </c>
      <c r="D270" s="1">
        <v>0</v>
      </c>
      <c r="E270" s="1">
        <v>1762</v>
      </c>
      <c r="F270">
        <v>427002.33</v>
      </c>
      <c r="G270" s="8" t="s">
        <v>1380</v>
      </c>
      <c r="K270" s="2"/>
      <c r="L270" s="232">
        <v>40093</v>
      </c>
      <c r="N270">
        <f t="shared" si="1"/>
        <v>0</v>
      </c>
    </row>
    <row r="271" spans="1:14" hidden="1">
      <c r="A271" s="232">
        <v>40096</v>
      </c>
      <c r="C271" t="s">
        <v>1450</v>
      </c>
      <c r="D271" s="1">
        <v>2000</v>
      </c>
      <c r="E271" s="1">
        <v>0</v>
      </c>
      <c r="F271">
        <v>425002.33</v>
      </c>
      <c r="G271" s="8" t="s">
        <v>1372</v>
      </c>
      <c r="K271" s="2"/>
      <c r="L271" s="232">
        <v>40096</v>
      </c>
      <c r="N271">
        <f t="shared" si="1"/>
        <v>2000</v>
      </c>
    </row>
    <row r="272" spans="1:14" hidden="1">
      <c r="A272" s="232">
        <v>40098</v>
      </c>
      <c r="C272" t="s">
        <v>1451</v>
      </c>
      <c r="D272" s="1">
        <v>10000</v>
      </c>
      <c r="E272" s="1">
        <v>0</v>
      </c>
      <c r="F272">
        <v>415002.33</v>
      </c>
      <c r="G272" s="8" t="s">
        <v>1361</v>
      </c>
      <c r="K272" s="2"/>
      <c r="L272" s="232">
        <v>40098</v>
      </c>
      <c r="N272">
        <f t="shared" si="1"/>
        <v>10000</v>
      </c>
    </row>
    <row r="273" spans="1:14" hidden="1">
      <c r="A273" s="232">
        <v>40114</v>
      </c>
      <c r="C273" t="s">
        <v>1452</v>
      </c>
      <c r="D273" s="1">
        <v>2000</v>
      </c>
      <c r="E273" s="1">
        <v>0</v>
      </c>
      <c r="F273">
        <v>413002.33</v>
      </c>
      <c r="G273" s="8" t="s">
        <v>1372</v>
      </c>
      <c r="K273" s="2"/>
      <c r="L273" s="232">
        <v>40114</v>
      </c>
      <c r="N273">
        <f t="shared" si="1"/>
        <v>2000</v>
      </c>
    </row>
    <row r="274" spans="1:14" hidden="1">
      <c r="A274" s="232">
        <v>40114</v>
      </c>
      <c r="C274" t="s">
        <v>1453</v>
      </c>
      <c r="D274" s="1">
        <v>0</v>
      </c>
      <c r="E274" s="1">
        <v>881</v>
      </c>
      <c r="F274">
        <v>413883.33</v>
      </c>
      <c r="G274" s="8" t="s">
        <v>1380</v>
      </c>
      <c r="K274" s="2"/>
      <c r="L274" s="232">
        <v>40114</v>
      </c>
      <c r="N274">
        <f t="shared" si="1"/>
        <v>0</v>
      </c>
    </row>
    <row r="275" spans="1:14" hidden="1">
      <c r="A275" s="232">
        <v>40115</v>
      </c>
      <c r="C275" t="s">
        <v>1404</v>
      </c>
      <c r="D275" s="1">
        <v>0</v>
      </c>
      <c r="E275" s="1">
        <v>82840</v>
      </c>
      <c r="F275">
        <v>496723.33</v>
      </c>
      <c r="G275" s="8" t="s">
        <v>1380</v>
      </c>
      <c r="K275" s="2"/>
      <c r="L275" s="232">
        <v>40115</v>
      </c>
      <c r="N275">
        <f t="shared" si="1"/>
        <v>0</v>
      </c>
    </row>
    <row r="276" spans="1:14" hidden="1">
      <c r="A276" s="232">
        <v>40116</v>
      </c>
      <c r="C276" t="s">
        <v>1454</v>
      </c>
      <c r="D276" s="1">
        <v>5000</v>
      </c>
      <c r="E276" s="1">
        <v>0</v>
      </c>
      <c r="F276">
        <v>491723.33</v>
      </c>
      <c r="G276" s="8" t="s">
        <v>1361</v>
      </c>
      <c r="K276" s="2"/>
      <c r="L276" s="232">
        <v>40116</v>
      </c>
      <c r="N276">
        <f t="shared" si="1"/>
        <v>5000</v>
      </c>
    </row>
    <row r="277" spans="1:14" hidden="1">
      <c r="A277" s="232">
        <v>40119</v>
      </c>
      <c r="C277" t="s">
        <v>1455</v>
      </c>
      <c r="D277" s="1">
        <v>400</v>
      </c>
      <c r="E277" s="1">
        <v>0</v>
      </c>
      <c r="F277">
        <v>491323.33</v>
      </c>
      <c r="G277" s="8" t="s">
        <v>1361</v>
      </c>
      <c r="K277" s="2"/>
      <c r="L277" s="232">
        <v>40119</v>
      </c>
      <c r="N277">
        <f t="shared" si="1"/>
        <v>400</v>
      </c>
    </row>
    <row r="278" spans="1:14" hidden="1">
      <c r="A278" s="232">
        <v>40121</v>
      </c>
      <c r="C278" t="s">
        <v>1424</v>
      </c>
      <c r="D278" s="1">
        <v>9691.0499999999993</v>
      </c>
      <c r="E278" s="1">
        <v>0</v>
      </c>
      <c r="F278">
        <v>481632.28</v>
      </c>
      <c r="G278" s="8" t="s">
        <v>1362</v>
      </c>
      <c r="K278" s="2"/>
      <c r="L278" s="232">
        <v>40121</v>
      </c>
      <c r="N278">
        <f t="shared" si="1"/>
        <v>9691.0499999999993</v>
      </c>
    </row>
    <row r="279" spans="1:14" hidden="1">
      <c r="A279" s="232">
        <v>40121</v>
      </c>
      <c r="C279" t="s">
        <v>1456</v>
      </c>
      <c r="D279" s="1">
        <v>20000</v>
      </c>
      <c r="E279" s="1">
        <v>0</v>
      </c>
      <c r="F279">
        <v>461632.28</v>
      </c>
      <c r="G279" s="8" t="s">
        <v>1361</v>
      </c>
      <c r="K279" s="2"/>
      <c r="L279" s="232">
        <v>40121</v>
      </c>
      <c r="N279">
        <f t="shared" si="1"/>
        <v>20000</v>
      </c>
    </row>
    <row r="280" spans="1:14" hidden="1">
      <c r="A280" s="232">
        <v>40127</v>
      </c>
      <c r="C280" t="s">
        <v>1457</v>
      </c>
      <c r="D280" s="1">
        <v>2000</v>
      </c>
      <c r="E280" s="1">
        <v>0</v>
      </c>
      <c r="F280">
        <v>459632.28</v>
      </c>
      <c r="G280" s="8" t="s">
        <v>1372</v>
      </c>
      <c r="K280" s="2"/>
      <c r="L280" s="232">
        <v>40127</v>
      </c>
      <c r="N280">
        <f t="shared" si="1"/>
        <v>2000</v>
      </c>
    </row>
    <row r="281" spans="1:14" hidden="1">
      <c r="A281" s="232">
        <v>40128</v>
      </c>
      <c r="C281" t="s">
        <v>1458</v>
      </c>
      <c r="D281" s="1">
        <v>0</v>
      </c>
      <c r="E281" s="1">
        <v>530094</v>
      </c>
      <c r="F281">
        <v>989726.28</v>
      </c>
      <c r="K281" s="2"/>
      <c r="L281" s="232">
        <v>40128</v>
      </c>
      <c r="N281">
        <f t="shared" si="1"/>
        <v>0</v>
      </c>
    </row>
    <row r="282" spans="1:14" hidden="1">
      <c r="A282" s="232">
        <v>40134</v>
      </c>
      <c r="C282" t="s">
        <v>1459</v>
      </c>
      <c r="D282" s="1">
        <v>15567.05</v>
      </c>
      <c r="E282" s="1">
        <v>0</v>
      </c>
      <c r="F282">
        <v>974159.23</v>
      </c>
      <c r="G282" s="8" t="s">
        <v>1362</v>
      </c>
      <c r="K282" s="2"/>
      <c r="L282" s="232">
        <v>40134</v>
      </c>
      <c r="N282">
        <f t="shared" si="1"/>
        <v>15567.05</v>
      </c>
    </row>
    <row r="283" spans="1:14" hidden="1">
      <c r="A283" s="232">
        <v>40144</v>
      </c>
      <c r="C283" t="s">
        <v>1404</v>
      </c>
      <c r="D283" s="1">
        <v>0</v>
      </c>
      <c r="E283" s="1">
        <v>82840</v>
      </c>
      <c r="F283">
        <v>1056999.23</v>
      </c>
      <c r="G283" s="8" t="s">
        <v>1380</v>
      </c>
      <c r="K283" s="2"/>
      <c r="L283" s="232">
        <v>40144</v>
      </c>
      <c r="N283">
        <f t="shared" si="1"/>
        <v>0</v>
      </c>
    </row>
    <row r="284" spans="1:14" hidden="1">
      <c r="A284" s="232">
        <v>40147</v>
      </c>
      <c r="C284" t="s">
        <v>1460</v>
      </c>
      <c r="D284" s="1">
        <v>2000</v>
      </c>
      <c r="E284" s="1">
        <v>0</v>
      </c>
      <c r="F284">
        <v>1054999.23</v>
      </c>
      <c r="G284" s="8" t="s">
        <v>1372</v>
      </c>
      <c r="K284" s="2"/>
      <c r="L284" s="232">
        <v>40147</v>
      </c>
      <c r="N284">
        <f t="shared" si="1"/>
        <v>2000</v>
      </c>
    </row>
    <row r="285" spans="1:14" hidden="1">
      <c r="A285" s="232">
        <v>40150</v>
      </c>
      <c r="C285" t="s">
        <v>1461</v>
      </c>
      <c r="D285" s="1">
        <v>3000</v>
      </c>
      <c r="E285" s="1">
        <v>0</v>
      </c>
      <c r="F285">
        <v>1051999.23</v>
      </c>
      <c r="G285" s="8" t="s">
        <v>1361</v>
      </c>
      <c r="K285" s="2"/>
      <c r="L285" s="232">
        <v>40150</v>
      </c>
      <c r="N285">
        <f t="shared" si="1"/>
        <v>3000</v>
      </c>
    </row>
    <row r="286" spans="1:14" hidden="1">
      <c r="A286" s="232">
        <v>40150</v>
      </c>
      <c r="C286" t="s">
        <v>1462</v>
      </c>
      <c r="D286" s="1">
        <v>20000</v>
      </c>
      <c r="E286" s="1">
        <v>0</v>
      </c>
      <c r="F286">
        <v>1031999.23</v>
      </c>
      <c r="G286" s="8" t="s">
        <v>1361</v>
      </c>
      <c r="K286" s="2"/>
      <c r="L286" s="232">
        <v>40150</v>
      </c>
      <c r="N286">
        <f t="shared" si="1"/>
        <v>20000</v>
      </c>
    </row>
    <row r="287" spans="1:14" hidden="1">
      <c r="A287" s="232">
        <v>40154</v>
      </c>
      <c r="C287" t="s">
        <v>1424</v>
      </c>
      <c r="D287" s="1">
        <v>17578.759999999998</v>
      </c>
      <c r="E287" s="1">
        <v>0</v>
      </c>
      <c r="F287">
        <v>1014420.47</v>
      </c>
      <c r="G287" s="8" t="s">
        <v>1362</v>
      </c>
      <c r="K287" s="2"/>
      <c r="L287" s="232">
        <v>40154</v>
      </c>
      <c r="N287">
        <f t="shared" si="1"/>
        <v>17578.759999999998</v>
      </c>
    </row>
    <row r="288" spans="1:14" hidden="1">
      <c r="A288" s="232">
        <v>40156</v>
      </c>
      <c r="C288" t="s">
        <v>1463</v>
      </c>
      <c r="D288" s="1">
        <v>10000</v>
      </c>
      <c r="E288" s="1">
        <v>0</v>
      </c>
      <c r="F288">
        <v>1004420.47</v>
      </c>
      <c r="G288" s="8" t="s">
        <v>1361</v>
      </c>
      <c r="K288" s="2"/>
      <c r="L288" s="232">
        <v>40156</v>
      </c>
      <c r="N288">
        <f t="shared" si="1"/>
        <v>10000</v>
      </c>
    </row>
    <row r="289" spans="1:14" hidden="1">
      <c r="A289" s="232">
        <v>40156</v>
      </c>
      <c r="C289" t="s">
        <v>1464</v>
      </c>
      <c r="D289" s="1">
        <v>0</v>
      </c>
      <c r="E289" s="1">
        <v>37219</v>
      </c>
      <c r="F289">
        <v>1041639.47</v>
      </c>
      <c r="G289" s="8" t="s">
        <v>1380</v>
      </c>
      <c r="K289" s="2"/>
      <c r="L289" s="232">
        <v>40156</v>
      </c>
      <c r="N289">
        <f t="shared" si="1"/>
        <v>0</v>
      </c>
    </row>
    <row r="290" spans="1:14" hidden="1">
      <c r="A290" s="232">
        <v>40157</v>
      </c>
      <c r="C290" t="s">
        <v>1465</v>
      </c>
      <c r="D290" s="1">
        <v>2000</v>
      </c>
      <c r="E290" s="1">
        <v>0</v>
      </c>
      <c r="F290">
        <v>1039639.47</v>
      </c>
      <c r="G290" s="8" t="s">
        <v>1372</v>
      </c>
      <c r="K290" s="2"/>
      <c r="L290" s="232">
        <v>40157</v>
      </c>
      <c r="N290">
        <f t="shared" si="1"/>
        <v>2000</v>
      </c>
    </row>
    <row r="291" spans="1:14" hidden="1">
      <c r="A291" s="232">
        <v>40166</v>
      </c>
      <c r="C291" t="s">
        <v>1466</v>
      </c>
      <c r="D291" s="1">
        <v>37782.660000000003</v>
      </c>
      <c r="E291" s="1">
        <v>0</v>
      </c>
      <c r="F291">
        <v>1001856.81</v>
      </c>
      <c r="G291" s="8" t="s">
        <v>1362</v>
      </c>
      <c r="K291" s="2"/>
      <c r="L291" s="232">
        <v>40166</v>
      </c>
      <c r="N291">
        <f t="shared" si="1"/>
        <v>37782.660000000003</v>
      </c>
    </row>
    <row r="292" spans="1:14" hidden="1">
      <c r="A292" s="232">
        <v>40171</v>
      </c>
      <c r="C292" t="s">
        <v>1467</v>
      </c>
      <c r="D292" s="1">
        <v>0</v>
      </c>
      <c r="E292" s="1">
        <v>93220</v>
      </c>
      <c r="F292">
        <v>1095076.81</v>
      </c>
      <c r="G292" s="8" t="s">
        <v>1380</v>
      </c>
      <c r="K292" s="2"/>
      <c r="L292" s="232">
        <v>40171</v>
      </c>
      <c r="N292">
        <f t="shared" si="1"/>
        <v>0</v>
      </c>
    </row>
    <row r="293" spans="1:14" hidden="1">
      <c r="A293" s="232">
        <v>40176</v>
      </c>
      <c r="C293" t="s">
        <v>1468</v>
      </c>
      <c r="D293" s="1">
        <v>2000</v>
      </c>
      <c r="E293" s="1">
        <v>0</v>
      </c>
      <c r="F293">
        <v>1093076.81</v>
      </c>
      <c r="G293" s="8" t="s">
        <v>1372</v>
      </c>
      <c r="K293" s="2"/>
      <c r="L293" s="232">
        <v>40176</v>
      </c>
      <c r="N293">
        <f t="shared" si="1"/>
        <v>2000</v>
      </c>
    </row>
    <row r="294" spans="1:14" hidden="1">
      <c r="A294" s="232">
        <v>40182</v>
      </c>
      <c r="C294" t="s">
        <v>1469</v>
      </c>
      <c r="D294" s="1">
        <v>25000</v>
      </c>
      <c r="E294" s="1">
        <v>0</v>
      </c>
      <c r="F294">
        <v>1068076.81</v>
      </c>
      <c r="G294" s="8" t="s">
        <v>1361</v>
      </c>
      <c r="K294" s="2"/>
      <c r="L294" s="232">
        <v>40182</v>
      </c>
      <c r="N294">
        <f t="shared" si="1"/>
        <v>25000</v>
      </c>
    </row>
    <row r="295" spans="1:14" hidden="1">
      <c r="A295" s="232">
        <v>40183</v>
      </c>
      <c r="C295" t="s">
        <v>1470</v>
      </c>
      <c r="D295" s="1">
        <v>12000</v>
      </c>
      <c r="E295" s="1">
        <v>0</v>
      </c>
      <c r="F295">
        <v>1056076.81</v>
      </c>
      <c r="G295" s="8" t="s">
        <v>1362</v>
      </c>
      <c r="K295" s="2"/>
      <c r="L295" s="232">
        <v>40183</v>
      </c>
      <c r="N295">
        <f t="shared" si="1"/>
        <v>12000</v>
      </c>
    </row>
    <row r="296" spans="1:14" hidden="1">
      <c r="A296" s="232">
        <v>40185</v>
      </c>
      <c r="C296" t="s">
        <v>1471</v>
      </c>
      <c r="D296" s="1">
        <v>3000</v>
      </c>
      <c r="E296" s="1">
        <v>0</v>
      </c>
      <c r="F296">
        <v>1053076.81</v>
      </c>
      <c r="K296" s="2"/>
      <c r="L296" s="232">
        <v>40185</v>
      </c>
      <c r="N296">
        <f t="shared" si="1"/>
        <v>3000</v>
      </c>
    </row>
    <row r="297" spans="1:14" hidden="1">
      <c r="A297" s="232">
        <v>40189</v>
      </c>
      <c r="C297" t="s">
        <v>1472</v>
      </c>
      <c r="D297" s="1">
        <v>2000</v>
      </c>
      <c r="E297" s="1">
        <v>0</v>
      </c>
      <c r="F297">
        <v>1051076.81</v>
      </c>
      <c r="G297" s="8" t="s">
        <v>1372</v>
      </c>
      <c r="K297" s="2"/>
      <c r="L297" s="232">
        <v>40189</v>
      </c>
      <c r="N297">
        <f t="shared" si="1"/>
        <v>2000</v>
      </c>
    </row>
    <row r="298" spans="1:14" hidden="1">
      <c r="A298" s="232">
        <v>40194</v>
      </c>
      <c r="C298" t="s">
        <v>1473</v>
      </c>
      <c r="D298" s="1">
        <v>24520</v>
      </c>
      <c r="E298" s="1">
        <v>0</v>
      </c>
      <c r="F298">
        <v>1026556.81</v>
      </c>
      <c r="G298" s="8" t="s">
        <v>1370</v>
      </c>
      <c r="K298" s="2"/>
      <c r="L298" s="232">
        <v>40194</v>
      </c>
      <c r="N298">
        <f t="shared" si="1"/>
        <v>24520</v>
      </c>
    </row>
    <row r="299" spans="1:14" hidden="1">
      <c r="A299" s="232">
        <v>40194</v>
      </c>
      <c r="C299" t="s">
        <v>1473</v>
      </c>
      <c r="D299" s="1">
        <v>5622</v>
      </c>
      <c r="E299" s="1">
        <v>0</v>
      </c>
      <c r="F299">
        <v>1020934.81</v>
      </c>
      <c r="G299" s="8" t="s">
        <v>1370</v>
      </c>
      <c r="K299" s="2"/>
      <c r="L299" s="232">
        <v>40194</v>
      </c>
      <c r="N299">
        <f t="shared" si="1"/>
        <v>5622</v>
      </c>
    </row>
    <row r="300" spans="1:14" hidden="1">
      <c r="A300" s="232">
        <v>40196</v>
      </c>
      <c r="C300" t="s">
        <v>1474</v>
      </c>
      <c r="D300" s="1">
        <v>3000</v>
      </c>
      <c r="E300" s="1">
        <v>0</v>
      </c>
      <c r="F300">
        <v>1017934.81</v>
      </c>
      <c r="G300" s="8" t="s">
        <v>1361</v>
      </c>
      <c r="K300" s="2"/>
      <c r="L300" s="232">
        <v>40196</v>
      </c>
      <c r="N300">
        <f t="shared" si="1"/>
        <v>3000</v>
      </c>
    </row>
    <row r="301" spans="1:14" hidden="1">
      <c r="A301" s="232">
        <v>40206</v>
      </c>
      <c r="C301" t="s">
        <v>1475</v>
      </c>
      <c r="D301" s="1">
        <v>2000</v>
      </c>
      <c r="E301" s="1">
        <v>0</v>
      </c>
      <c r="F301">
        <v>1015934.81</v>
      </c>
      <c r="G301" s="8" t="s">
        <v>1372</v>
      </c>
      <c r="K301" s="2"/>
      <c r="L301" s="232">
        <v>40206</v>
      </c>
      <c r="N301">
        <f t="shared" si="1"/>
        <v>2000</v>
      </c>
    </row>
    <row r="302" spans="1:14" hidden="1">
      <c r="A302" s="232">
        <v>40206</v>
      </c>
      <c r="C302" t="s">
        <v>1404</v>
      </c>
      <c r="D302" s="1">
        <v>0</v>
      </c>
      <c r="E302" s="1">
        <v>82081</v>
      </c>
      <c r="F302">
        <v>1098015.81</v>
      </c>
      <c r="G302" s="8" t="s">
        <v>1380</v>
      </c>
      <c r="K302" s="2"/>
      <c r="L302" s="232">
        <v>40206</v>
      </c>
      <c r="N302">
        <f t="shared" si="1"/>
        <v>0</v>
      </c>
    </row>
    <row r="303" spans="1:14" hidden="1">
      <c r="A303" s="232">
        <v>40207</v>
      </c>
      <c r="C303" t="s">
        <v>1470</v>
      </c>
      <c r="D303" s="1">
        <v>10575.73</v>
      </c>
      <c r="E303" s="1">
        <v>0</v>
      </c>
      <c r="F303">
        <v>1087440.08</v>
      </c>
      <c r="G303" s="8" t="s">
        <v>1362</v>
      </c>
      <c r="K303" s="2"/>
      <c r="L303" s="232">
        <v>40207</v>
      </c>
      <c r="N303">
        <f t="shared" si="1"/>
        <v>10575.73</v>
      </c>
    </row>
    <row r="304" spans="1:14" hidden="1">
      <c r="A304" s="232">
        <v>40211</v>
      </c>
      <c r="C304" t="s">
        <v>1476</v>
      </c>
      <c r="D304" s="1">
        <v>3000</v>
      </c>
      <c r="E304" s="1">
        <v>0</v>
      </c>
      <c r="F304">
        <v>1084440.08</v>
      </c>
      <c r="G304" s="8" t="s">
        <v>1361</v>
      </c>
      <c r="K304" s="2"/>
      <c r="L304" s="232">
        <v>40211</v>
      </c>
      <c r="N304">
        <f t="shared" si="1"/>
        <v>3000</v>
      </c>
    </row>
    <row r="305" spans="1:14" hidden="1">
      <c r="A305" s="232">
        <v>40213</v>
      </c>
      <c r="C305" t="s">
        <v>1477</v>
      </c>
      <c r="D305" s="1">
        <v>20000</v>
      </c>
      <c r="E305" s="1">
        <v>0</v>
      </c>
      <c r="F305">
        <v>1064440.08</v>
      </c>
      <c r="G305" s="8" t="s">
        <v>1361</v>
      </c>
      <c r="K305" s="2"/>
      <c r="L305" s="232">
        <v>40213</v>
      </c>
      <c r="N305">
        <f t="shared" si="1"/>
        <v>20000</v>
      </c>
    </row>
    <row r="306" spans="1:14" hidden="1">
      <c r="A306" s="232">
        <v>40219</v>
      </c>
      <c r="C306" t="s">
        <v>1478</v>
      </c>
      <c r="D306" s="1">
        <v>2000</v>
      </c>
      <c r="E306" s="1">
        <v>0</v>
      </c>
      <c r="F306">
        <v>1062440.08</v>
      </c>
      <c r="G306" s="8" t="s">
        <v>1372</v>
      </c>
      <c r="K306" s="2"/>
      <c r="L306" s="232">
        <v>40219</v>
      </c>
      <c r="N306">
        <f t="shared" si="1"/>
        <v>2000</v>
      </c>
    </row>
    <row r="307" spans="1:14" hidden="1">
      <c r="A307" s="232">
        <v>40219</v>
      </c>
      <c r="C307" t="s">
        <v>1479</v>
      </c>
      <c r="D307" s="1">
        <v>3000</v>
      </c>
      <c r="E307" s="1">
        <v>0</v>
      </c>
      <c r="F307">
        <v>1059440.08</v>
      </c>
      <c r="K307" s="2"/>
      <c r="L307" s="232">
        <v>40219</v>
      </c>
      <c r="N307">
        <f t="shared" si="1"/>
        <v>3000</v>
      </c>
    </row>
    <row r="308" spans="1:14" hidden="1">
      <c r="A308" s="232">
        <v>40220</v>
      </c>
      <c r="C308" t="s">
        <v>1414</v>
      </c>
      <c r="D308" s="1">
        <v>0</v>
      </c>
      <c r="E308" s="1">
        <v>75556</v>
      </c>
      <c r="F308">
        <v>1134996.08</v>
      </c>
      <c r="G308" s="8" t="s">
        <v>1380</v>
      </c>
      <c r="K308" s="2"/>
      <c r="L308" s="232">
        <v>40220</v>
      </c>
      <c r="N308">
        <f t="shared" si="1"/>
        <v>0</v>
      </c>
    </row>
    <row r="309" spans="1:14" hidden="1">
      <c r="A309" s="232">
        <v>40224</v>
      </c>
      <c r="C309" t="s">
        <v>1480</v>
      </c>
      <c r="D309" s="1">
        <v>20000</v>
      </c>
      <c r="E309" s="1">
        <v>0</v>
      </c>
      <c r="F309">
        <v>1114996.08</v>
      </c>
      <c r="G309" s="8" t="s">
        <v>1361</v>
      </c>
      <c r="K309" s="2"/>
      <c r="L309" s="232">
        <v>40224</v>
      </c>
      <c r="N309">
        <f t="shared" si="1"/>
        <v>20000</v>
      </c>
    </row>
    <row r="310" spans="1:14" hidden="1">
      <c r="A310" s="232">
        <v>40226</v>
      </c>
      <c r="C310" t="s">
        <v>1453</v>
      </c>
      <c r="D310" s="1">
        <v>0</v>
      </c>
      <c r="E310" s="1">
        <v>1594</v>
      </c>
      <c r="F310">
        <v>1116590.0800000001</v>
      </c>
      <c r="G310" s="8" t="s">
        <v>1380</v>
      </c>
      <c r="K310" s="2"/>
      <c r="L310" s="232">
        <v>40226</v>
      </c>
      <c r="N310">
        <f t="shared" si="1"/>
        <v>0</v>
      </c>
    </row>
    <row r="311" spans="1:14" hidden="1">
      <c r="A311" s="232">
        <v>40228</v>
      </c>
      <c r="C311" t="s">
        <v>1481</v>
      </c>
      <c r="D311" s="1">
        <v>3516.88</v>
      </c>
      <c r="E311" s="1">
        <v>0</v>
      </c>
      <c r="F311">
        <v>1113073.2</v>
      </c>
      <c r="K311" s="2"/>
      <c r="L311" s="232">
        <v>40228</v>
      </c>
      <c r="N311">
        <f t="shared" si="1"/>
        <v>3516.88</v>
      </c>
    </row>
    <row r="312" spans="1:14" hidden="1">
      <c r="A312" s="232">
        <v>40233</v>
      </c>
      <c r="C312" t="s">
        <v>1482</v>
      </c>
      <c r="D312" s="1">
        <v>2369.73</v>
      </c>
      <c r="E312" s="1">
        <v>0</v>
      </c>
      <c r="F312">
        <v>1110703.47</v>
      </c>
      <c r="K312" s="2"/>
      <c r="L312" s="232">
        <v>40233</v>
      </c>
      <c r="N312">
        <f t="shared" si="1"/>
        <v>2369.73</v>
      </c>
    </row>
    <row r="313" spans="1:14" hidden="1">
      <c r="A313" s="232">
        <v>40234</v>
      </c>
      <c r="C313" t="s">
        <v>1404</v>
      </c>
      <c r="D313" s="1">
        <v>0</v>
      </c>
      <c r="E313" s="1">
        <v>81153</v>
      </c>
      <c r="F313">
        <v>1191856.47</v>
      </c>
      <c r="G313" s="8" t="s">
        <v>1380</v>
      </c>
      <c r="K313" s="2"/>
      <c r="L313" s="232">
        <v>40234</v>
      </c>
      <c r="N313">
        <f t="shared" si="1"/>
        <v>0</v>
      </c>
    </row>
    <row r="314" spans="1:14" hidden="1">
      <c r="A314" s="232">
        <v>40238</v>
      </c>
      <c r="C314" t="s">
        <v>1483</v>
      </c>
      <c r="D314" s="1">
        <v>0</v>
      </c>
      <c r="E314" s="1">
        <v>12608</v>
      </c>
      <c r="F314">
        <v>1204464.47</v>
      </c>
      <c r="G314" s="8" t="s">
        <v>1368</v>
      </c>
      <c r="K314" s="2"/>
      <c r="L314" s="232">
        <v>40238</v>
      </c>
      <c r="N314">
        <f t="shared" si="1"/>
        <v>0</v>
      </c>
    </row>
    <row r="315" spans="1:14" hidden="1">
      <c r="A315" s="232">
        <v>40239</v>
      </c>
      <c r="C315" t="s">
        <v>1484</v>
      </c>
      <c r="D315" s="1">
        <v>2000</v>
      </c>
      <c r="E315" s="1">
        <v>0</v>
      </c>
      <c r="F315">
        <v>1202464.47</v>
      </c>
      <c r="G315" s="8" t="s">
        <v>1372</v>
      </c>
      <c r="K315" s="2"/>
      <c r="L315" s="232">
        <v>40239</v>
      </c>
      <c r="N315">
        <f t="shared" si="1"/>
        <v>2000</v>
      </c>
    </row>
    <row r="316" spans="1:14" hidden="1">
      <c r="A316" s="232">
        <v>40239</v>
      </c>
      <c r="C316" t="s">
        <v>1485</v>
      </c>
      <c r="D316" s="1">
        <v>20000</v>
      </c>
      <c r="E316" s="1">
        <v>0</v>
      </c>
      <c r="F316">
        <v>1182464.47</v>
      </c>
      <c r="G316" s="8" t="s">
        <v>1361</v>
      </c>
      <c r="K316" s="2"/>
      <c r="L316" s="232">
        <v>40239</v>
      </c>
      <c r="N316">
        <f t="shared" si="1"/>
        <v>20000</v>
      </c>
    </row>
    <row r="317" spans="1:14" hidden="1">
      <c r="A317" s="232">
        <v>40241</v>
      </c>
      <c r="C317" t="s">
        <v>1470</v>
      </c>
      <c r="D317" s="1">
        <v>12269.22</v>
      </c>
      <c r="E317" s="1">
        <v>0</v>
      </c>
      <c r="F317">
        <v>1170195.25</v>
      </c>
      <c r="G317" s="8" t="s">
        <v>1362</v>
      </c>
      <c r="K317" s="2"/>
      <c r="L317" s="232">
        <v>40241</v>
      </c>
      <c r="N317">
        <f t="shared" si="1"/>
        <v>12269.22</v>
      </c>
    </row>
    <row r="318" spans="1:14" hidden="1">
      <c r="A318" s="232">
        <v>40241</v>
      </c>
      <c r="C318" t="s">
        <v>1486</v>
      </c>
      <c r="D318" s="1">
        <v>3000</v>
      </c>
      <c r="E318" s="1">
        <v>0</v>
      </c>
      <c r="F318">
        <v>1167195.25</v>
      </c>
      <c r="K318" s="2"/>
      <c r="L318" s="232">
        <v>40241</v>
      </c>
      <c r="N318">
        <f t="shared" si="1"/>
        <v>3000</v>
      </c>
    </row>
    <row r="319" spans="1:14" hidden="1">
      <c r="A319" s="232">
        <v>40241</v>
      </c>
      <c r="C319" t="s">
        <v>1487</v>
      </c>
      <c r="D319" s="1">
        <v>0</v>
      </c>
      <c r="E319" s="1">
        <v>884.43</v>
      </c>
      <c r="F319">
        <v>1168079.68</v>
      </c>
      <c r="G319" s="8" t="s">
        <v>1375</v>
      </c>
      <c r="K319" s="2"/>
      <c r="L319" s="232">
        <v>40241</v>
      </c>
      <c r="N319">
        <f t="shared" si="1"/>
        <v>0</v>
      </c>
    </row>
    <row r="320" spans="1:14" hidden="1">
      <c r="A320" s="232">
        <v>40243</v>
      </c>
      <c r="C320" t="s">
        <v>1488</v>
      </c>
      <c r="D320" s="1">
        <v>79188.78</v>
      </c>
      <c r="E320" s="1">
        <v>0</v>
      </c>
      <c r="F320">
        <v>1088890.8999999999</v>
      </c>
      <c r="G320" s="8" t="s">
        <v>1362</v>
      </c>
      <c r="K320" s="2"/>
      <c r="L320" s="232">
        <v>40243</v>
      </c>
      <c r="N320">
        <f t="shared" si="1"/>
        <v>79188.78</v>
      </c>
    </row>
    <row r="321" spans="1:14" hidden="1">
      <c r="A321" s="232">
        <v>40245</v>
      </c>
      <c r="C321" t="s">
        <v>1489</v>
      </c>
      <c r="D321" s="1">
        <v>3880</v>
      </c>
      <c r="E321" s="1">
        <v>0</v>
      </c>
      <c r="F321">
        <v>1085010.8999999999</v>
      </c>
      <c r="K321" s="2"/>
      <c r="L321" s="232">
        <v>40245</v>
      </c>
      <c r="N321">
        <f t="shared" si="1"/>
        <v>3880</v>
      </c>
    </row>
    <row r="322" spans="1:14" hidden="1">
      <c r="A322" s="232">
        <v>40247</v>
      </c>
      <c r="C322" t="s">
        <v>1490</v>
      </c>
      <c r="D322" s="1">
        <v>2000</v>
      </c>
      <c r="E322" s="1">
        <v>0</v>
      </c>
      <c r="F322">
        <v>1083010.8999999999</v>
      </c>
      <c r="G322" s="8" t="s">
        <v>1372</v>
      </c>
      <c r="K322" s="2"/>
      <c r="L322" s="232">
        <v>40247</v>
      </c>
      <c r="N322">
        <f t="shared" si="1"/>
        <v>2000</v>
      </c>
    </row>
    <row r="323" spans="1:14" hidden="1">
      <c r="A323" s="232">
        <v>40248</v>
      </c>
      <c r="C323" t="s">
        <v>1491</v>
      </c>
      <c r="D323" s="1">
        <v>0</v>
      </c>
      <c r="E323" s="1">
        <v>37077</v>
      </c>
      <c r="F323">
        <v>1120087.8999999999</v>
      </c>
      <c r="G323" s="8" t="s">
        <v>1360</v>
      </c>
      <c r="K323" s="2"/>
      <c r="L323" s="232">
        <v>40248</v>
      </c>
      <c r="N323">
        <f t="shared" si="1"/>
        <v>0</v>
      </c>
    </row>
    <row r="324" spans="1:14" hidden="1">
      <c r="A324" s="232">
        <v>40249</v>
      </c>
      <c r="C324" t="s">
        <v>1492</v>
      </c>
      <c r="D324" s="1">
        <v>20000</v>
      </c>
      <c r="E324" s="1">
        <v>0</v>
      </c>
      <c r="F324">
        <v>1100087.8999999999</v>
      </c>
      <c r="G324" s="8" t="s">
        <v>1361</v>
      </c>
      <c r="K324" s="2"/>
      <c r="L324" s="232">
        <v>40249</v>
      </c>
      <c r="N324">
        <f t="shared" si="1"/>
        <v>20000</v>
      </c>
    </row>
    <row r="325" spans="1:14" hidden="1">
      <c r="A325" s="232">
        <v>40261</v>
      </c>
      <c r="C325" t="s">
        <v>1493</v>
      </c>
      <c r="D325" s="1">
        <v>4000</v>
      </c>
      <c r="E325" s="1">
        <v>0</v>
      </c>
      <c r="F325">
        <v>1096087.8999999999</v>
      </c>
      <c r="G325" s="8" t="s">
        <v>1361</v>
      </c>
      <c r="K325" s="2"/>
      <c r="L325" s="232">
        <v>40261</v>
      </c>
      <c r="N325">
        <f t="shared" si="1"/>
        <v>4000</v>
      </c>
    </row>
    <row r="326" spans="1:14" hidden="1">
      <c r="A326" s="232">
        <v>40261</v>
      </c>
      <c r="C326" t="s">
        <v>1494</v>
      </c>
      <c r="D326" s="1">
        <v>0</v>
      </c>
      <c r="E326" s="1">
        <v>1217.18</v>
      </c>
      <c r="F326">
        <v>1097305.08</v>
      </c>
      <c r="G326" s="8" t="s">
        <v>1375</v>
      </c>
      <c r="K326" s="2"/>
      <c r="L326" s="232">
        <v>40261</v>
      </c>
      <c r="N326">
        <f t="shared" si="1"/>
        <v>0</v>
      </c>
    </row>
    <row r="327" spans="1:14" hidden="1">
      <c r="A327" s="232">
        <v>40266</v>
      </c>
      <c r="C327" t="s">
        <v>1495</v>
      </c>
      <c r="D327" s="1">
        <v>2000</v>
      </c>
      <c r="E327" s="1">
        <v>0</v>
      </c>
      <c r="F327">
        <v>1095305.08</v>
      </c>
      <c r="G327" s="8" t="s">
        <v>1372</v>
      </c>
      <c r="K327" s="2"/>
      <c r="L327" s="232">
        <v>40266</v>
      </c>
      <c r="N327">
        <f t="shared" si="1"/>
        <v>2000</v>
      </c>
    </row>
    <row r="328" spans="1:14" hidden="1">
      <c r="A328" s="232">
        <v>40267</v>
      </c>
      <c r="C328" t="s">
        <v>1404</v>
      </c>
      <c r="D328" s="1">
        <v>0</v>
      </c>
      <c r="E328" s="1">
        <v>108332</v>
      </c>
      <c r="F328">
        <v>1203637.08</v>
      </c>
      <c r="G328" s="8" t="s">
        <v>1380</v>
      </c>
      <c r="K328" s="2"/>
      <c r="L328" s="232">
        <v>40267</v>
      </c>
      <c r="N328">
        <f t="shared" si="1"/>
        <v>0</v>
      </c>
    </row>
    <row r="329" spans="1:14" hidden="1">
      <c r="A329" s="232">
        <v>40269</v>
      </c>
      <c r="C329" t="s">
        <v>1394</v>
      </c>
      <c r="D329" s="1">
        <v>0</v>
      </c>
      <c r="E329" s="1">
        <v>0</v>
      </c>
      <c r="F329">
        <v>1203637.08</v>
      </c>
      <c r="K329" s="2"/>
      <c r="L329" s="232">
        <v>40269</v>
      </c>
      <c r="N329">
        <f t="shared" si="1"/>
        <v>0</v>
      </c>
    </row>
    <row r="330" spans="1:14" hidden="1">
      <c r="A330" s="232">
        <v>40271</v>
      </c>
      <c r="C330" t="s">
        <v>1496</v>
      </c>
      <c r="D330" s="1">
        <v>3000</v>
      </c>
      <c r="E330" s="1">
        <v>0</v>
      </c>
      <c r="F330">
        <v>1200637.08</v>
      </c>
      <c r="G330" s="8" t="s">
        <v>1361</v>
      </c>
      <c r="K330" s="2"/>
      <c r="L330" s="232">
        <v>40271</v>
      </c>
      <c r="N330">
        <f t="shared" si="1"/>
        <v>3000</v>
      </c>
    </row>
    <row r="331" spans="1:14" hidden="1">
      <c r="A331" s="232">
        <v>40271</v>
      </c>
      <c r="C331" t="s">
        <v>1497</v>
      </c>
      <c r="D331" s="1">
        <v>0</v>
      </c>
      <c r="E331" s="1">
        <v>4038</v>
      </c>
      <c r="F331">
        <v>1204675.08</v>
      </c>
      <c r="G331" s="8" t="s">
        <v>1380</v>
      </c>
      <c r="K331" s="2"/>
      <c r="L331" s="232">
        <v>40271</v>
      </c>
      <c r="N331">
        <f t="shared" ref="N331:N394" si="2">D331*1</f>
        <v>0</v>
      </c>
    </row>
    <row r="332" spans="1:14" hidden="1">
      <c r="A332" s="232">
        <v>40273</v>
      </c>
      <c r="C332" t="s">
        <v>1498</v>
      </c>
      <c r="D332" s="1">
        <v>20000</v>
      </c>
      <c r="E332" s="1">
        <v>0</v>
      </c>
      <c r="F332">
        <v>1184675.08</v>
      </c>
      <c r="G332" s="8" t="s">
        <v>1361</v>
      </c>
      <c r="K332" s="2"/>
      <c r="L332" s="232">
        <v>40273</v>
      </c>
      <c r="N332">
        <f t="shared" si="2"/>
        <v>20000</v>
      </c>
    </row>
    <row r="333" spans="1:14" hidden="1">
      <c r="A333" s="232">
        <v>40274</v>
      </c>
      <c r="C333" t="s">
        <v>1470</v>
      </c>
      <c r="D333" s="1">
        <v>33000</v>
      </c>
      <c r="E333" s="1">
        <v>0</v>
      </c>
      <c r="F333">
        <v>1151675.08</v>
      </c>
      <c r="G333" s="8" t="s">
        <v>1362</v>
      </c>
      <c r="K333" s="2"/>
      <c r="L333" s="232">
        <v>40274</v>
      </c>
      <c r="N333">
        <f t="shared" si="2"/>
        <v>33000</v>
      </c>
    </row>
    <row r="334" spans="1:14" hidden="1">
      <c r="A334" s="232">
        <v>40275</v>
      </c>
      <c r="C334" t="s">
        <v>1499</v>
      </c>
      <c r="D334" s="1">
        <v>3000</v>
      </c>
      <c r="E334" s="1">
        <v>0</v>
      </c>
      <c r="F334">
        <v>1148675.08</v>
      </c>
      <c r="K334" s="2"/>
      <c r="L334" s="232">
        <v>40275</v>
      </c>
      <c r="N334">
        <f t="shared" si="2"/>
        <v>3000</v>
      </c>
    </row>
    <row r="335" spans="1:14" hidden="1">
      <c r="A335" s="232">
        <v>40276</v>
      </c>
      <c r="C335" t="s">
        <v>1500</v>
      </c>
      <c r="D335" s="1">
        <v>0</v>
      </c>
      <c r="E335" s="1">
        <v>40000</v>
      </c>
      <c r="F335">
        <v>1188675.08</v>
      </c>
      <c r="K335" s="2"/>
      <c r="L335" s="232">
        <v>40276</v>
      </c>
      <c r="N335">
        <f t="shared" si="2"/>
        <v>0</v>
      </c>
    </row>
    <row r="336" spans="1:14" hidden="1">
      <c r="A336" s="232">
        <v>40278</v>
      </c>
      <c r="C336" t="s">
        <v>1501</v>
      </c>
      <c r="D336" s="1">
        <v>2000</v>
      </c>
      <c r="E336" s="1">
        <v>0</v>
      </c>
      <c r="F336">
        <v>1186675.08</v>
      </c>
      <c r="G336" s="8" t="s">
        <v>1372</v>
      </c>
      <c r="K336" s="2"/>
      <c r="L336" s="232">
        <v>40278</v>
      </c>
      <c r="N336">
        <f t="shared" si="2"/>
        <v>2000</v>
      </c>
    </row>
    <row r="337" spans="1:14" hidden="1">
      <c r="A337" s="232">
        <v>40283</v>
      </c>
      <c r="C337" t="s">
        <v>1502</v>
      </c>
      <c r="D337" s="1">
        <v>700000</v>
      </c>
      <c r="E337" s="1">
        <v>0</v>
      </c>
      <c r="F337">
        <v>486675.08</v>
      </c>
      <c r="G337" s="8" t="s">
        <v>1363</v>
      </c>
      <c r="K337" s="2"/>
      <c r="L337" s="232">
        <v>40283</v>
      </c>
      <c r="N337">
        <f t="shared" si="2"/>
        <v>700000</v>
      </c>
    </row>
    <row r="338" spans="1:14" hidden="1">
      <c r="A338" s="232">
        <v>40292</v>
      </c>
      <c r="C338" t="s">
        <v>1503</v>
      </c>
      <c r="D338" s="1">
        <v>28582</v>
      </c>
      <c r="E338" s="1">
        <v>0</v>
      </c>
      <c r="F338">
        <v>458093.08</v>
      </c>
      <c r="K338" s="2"/>
      <c r="L338" s="232">
        <v>40292</v>
      </c>
      <c r="N338">
        <f t="shared" si="2"/>
        <v>28582</v>
      </c>
    </row>
    <row r="339" spans="1:14" hidden="1">
      <c r="A339" s="232">
        <v>40292</v>
      </c>
      <c r="C339" t="s">
        <v>1470</v>
      </c>
      <c r="D339" s="1">
        <v>3567.41</v>
      </c>
      <c r="E339" s="1">
        <v>0</v>
      </c>
      <c r="F339">
        <v>454525.67</v>
      </c>
      <c r="G339" s="8" t="s">
        <v>1362</v>
      </c>
      <c r="K339" s="2"/>
      <c r="L339" s="232">
        <v>40292</v>
      </c>
      <c r="N339">
        <f t="shared" si="2"/>
        <v>3567.41</v>
      </c>
    </row>
    <row r="340" spans="1:14" hidden="1">
      <c r="A340" s="232">
        <v>40294</v>
      </c>
      <c r="C340" t="s">
        <v>1504</v>
      </c>
      <c r="D340" s="1">
        <v>3000</v>
      </c>
      <c r="E340" s="1">
        <v>0</v>
      </c>
      <c r="F340">
        <v>451525.67</v>
      </c>
      <c r="G340" s="8" t="s">
        <v>1361</v>
      </c>
      <c r="K340" s="2"/>
      <c r="L340" s="232">
        <v>40294</v>
      </c>
      <c r="N340">
        <f t="shared" si="2"/>
        <v>3000</v>
      </c>
    </row>
    <row r="341" spans="1:14" hidden="1">
      <c r="A341" s="232">
        <v>40296</v>
      </c>
      <c r="C341" t="s">
        <v>1505</v>
      </c>
      <c r="D341" s="1">
        <v>0</v>
      </c>
      <c r="E341" s="1">
        <v>3159</v>
      </c>
      <c r="F341">
        <v>454684.67</v>
      </c>
      <c r="G341" s="8" t="s">
        <v>1368</v>
      </c>
      <c r="K341" s="2"/>
      <c r="L341" s="232">
        <v>40296</v>
      </c>
      <c r="N341">
        <f t="shared" si="2"/>
        <v>0</v>
      </c>
    </row>
    <row r="342" spans="1:14" hidden="1">
      <c r="A342" s="232">
        <v>40296</v>
      </c>
      <c r="C342" t="s">
        <v>1506</v>
      </c>
      <c r="D342" s="1">
        <v>2000</v>
      </c>
      <c r="E342" s="1">
        <v>0</v>
      </c>
      <c r="F342">
        <v>452684.67</v>
      </c>
      <c r="G342" s="8" t="s">
        <v>1372</v>
      </c>
      <c r="K342" s="2"/>
      <c r="L342" s="232">
        <v>40296</v>
      </c>
      <c r="N342">
        <f t="shared" si="2"/>
        <v>2000</v>
      </c>
    </row>
    <row r="343" spans="1:14" hidden="1">
      <c r="A343" s="232">
        <v>40297</v>
      </c>
      <c r="C343" t="s">
        <v>1404</v>
      </c>
      <c r="D343" s="1">
        <v>0</v>
      </c>
      <c r="E343" s="1">
        <v>383372</v>
      </c>
      <c r="F343">
        <v>836056.67</v>
      </c>
      <c r="G343" s="8" t="s">
        <v>1380</v>
      </c>
      <c r="K343" s="2"/>
      <c r="L343" s="232">
        <v>40297</v>
      </c>
      <c r="N343">
        <f t="shared" si="2"/>
        <v>0</v>
      </c>
    </row>
    <row r="344" spans="1:14" hidden="1">
      <c r="A344" s="232">
        <v>40302</v>
      </c>
      <c r="C344" t="s">
        <v>1507</v>
      </c>
      <c r="D344" s="1">
        <v>10000</v>
      </c>
      <c r="E344" s="1">
        <v>0</v>
      </c>
      <c r="F344">
        <v>826056.67</v>
      </c>
      <c r="G344" s="8" t="s">
        <v>1361</v>
      </c>
      <c r="K344" s="2"/>
      <c r="L344" s="232">
        <v>40302</v>
      </c>
      <c r="N344">
        <f t="shared" si="2"/>
        <v>10000</v>
      </c>
    </row>
    <row r="345" spans="1:14" hidden="1">
      <c r="A345" s="232">
        <v>40308</v>
      </c>
      <c r="C345" t="s">
        <v>1421</v>
      </c>
      <c r="D345" s="1">
        <v>300000</v>
      </c>
      <c r="E345" s="1">
        <v>0</v>
      </c>
      <c r="F345">
        <v>526056.67000000004</v>
      </c>
      <c r="G345" s="8" t="s">
        <v>1363</v>
      </c>
      <c r="K345" s="2"/>
      <c r="L345" s="232">
        <v>40308</v>
      </c>
      <c r="N345">
        <f t="shared" si="2"/>
        <v>300000</v>
      </c>
    </row>
    <row r="346" spans="1:14" hidden="1">
      <c r="A346" s="232">
        <v>40308</v>
      </c>
      <c r="C346" t="s">
        <v>1508</v>
      </c>
      <c r="D346" s="1">
        <v>2000</v>
      </c>
      <c r="E346" s="1">
        <v>0</v>
      </c>
      <c r="F346">
        <v>524056.67</v>
      </c>
      <c r="G346" s="8" t="s">
        <v>1372</v>
      </c>
      <c r="K346" s="2"/>
      <c r="L346" s="232">
        <v>40308</v>
      </c>
      <c r="N346">
        <f t="shared" si="2"/>
        <v>2000</v>
      </c>
    </row>
    <row r="347" spans="1:14" hidden="1">
      <c r="A347" s="232">
        <v>40309</v>
      </c>
      <c r="C347" t="s">
        <v>1509</v>
      </c>
      <c r="D347" s="1">
        <v>400</v>
      </c>
      <c r="E347" s="1">
        <v>0</v>
      </c>
      <c r="F347">
        <v>523656.67</v>
      </c>
      <c r="G347" s="8" t="s">
        <v>1361</v>
      </c>
      <c r="K347" s="2"/>
      <c r="L347" s="232">
        <v>40309</v>
      </c>
      <c r="N347">
        <f t="shared" si="2"/>
        <v>400</v>
      </c>
    </row>
    <row r="348" spans="1:14" hidden="1">
      <c r="A348" s="232">
        <v>40318</v>
      </c>
      <c r="C348" t="s">
        <v>1510</v>
      </c>
      <c r="D348" s="1">
        <v>10000</v>
      </c>
      <c r="E348" s="1">
        <v>0</v>
      </c>
      <c r="F348">
        <v>513656.67</v>
      </c>
      <c r="G348" s="8" t="s">
        <v>1361</v>
      </c>
      <c r="K348" s="2"/>
      <c r="L348" s="232">
        <v>40318</v>
      </c>
      <c r="N348">
        <f t="shared" si="2"/>
        <v>10000</v>
      </c>
    </row>
    <row r="349" spans="1:14" hidden="1">
      <c r="A349" s="232">
        <v>40323</v>
      </c>
      <c r="C349" t="s">
        <v>1473</v>
      </c>
      <c r="D349" s="1">
        <v>270569</v>
      </c>
      <c r="E349" s="1">
        <v>0</v>
      </c>
      <c r="F349">
        <v>243087.67</v>
      </c>
      <c r="G349" s="8" t="s">
        <v>1370</v>
      </c>
      <c r="K349" s="2"/>
      <c r="L349" s="232">
        <v>40323</v>
      </c>
      <c r="N349">
        <f t="shared" si="2"/>
        <v>270569</v>
      </c>
    </row>
    <row r="350" spans="1:14" hidden="1">
      <c r="A350" s="232">
        <v>40326</v>
      </c>
      <c r="C350" t="s">
        <v>1511</v>
      </c>
      <c r="D350" s="1">
        <v>2000</v>
      </c>
      <c r="E350" s="1">
        <v>0</v>
      </c>
      <c r="F350">
        <v>241087.67</v>
      </c>
      <c r="G350" s="8" t="s">
        <v>1372</v>
      </c>
      <c r="K350" s="2"/>
      <c r="L350" s="232">
        <v>40326</v>
      </c>
      <c r="N350">
        <f t="shared" si="2"/>
        <v>2000</v>
      </c>
    </row>
    <row r="351" spans="1:14" hidden="1">
      <c r="A351" s="232">
        <v>40326</v>
      </c>
      <c r="C351" t="s">
        <v>1453</v>
      </c>
      <c r="D351" s="1">
        <v>0</v>
      </c>
      <c r="E351" s="1">
        <v>1762</v>
      </c>
      <c r="F351">
        <v>242849.67</v>
      </c>
      <c r="G351" s="8" t="s">
        <v>1380</v>
      </c>
      <c r="K351" s="2"/>
      <c r="L351" s="232">
        <v>40326</v>
      </c>
      <c r="N351">
        <f t="shared" si="2"/>
        <v>0</v>
      </c>
    </row>
    <row r="352" spans="1:14" hidden="1">
      <c r="A352" s="232">
        <v>40326</v>
      </c>
      <c r="C352" t="s">
        <v>1404</v>
      </c>
      <c r="D352" s="1">
        <v>0</v>
      </c>
      <c r="E352" s="1">
        <v>100068</v>
      </c>
      <c r="F352">
        <v>342917.67</v>
      </c>
      <c r="G352" s="8" t="s">
        <v>1380</v>
      </c>
      <c r="K352" s="2"/>
      <c r="L352" s="232">
        <v>40326</v>
      </c>
      <c r="N352">
        <f t="shared" si="2"/>
        <v>0</v>
      </c>
    </row>
    <row r="353" spans="1:14" hidden="1">
      <c r="A353" s="232">
        <v>40327</v>
      </c>
      <c r="C353" t="s">
        <v>1512</v>
      </c>
      <c r="D353" s="1">
        <v>24089.69</v>
      </c>
      <c r="E353" s="1">
        <v>0</v>
      </c>
      <c r="F353">
        <v>318827.98</v>
      </c>
      <c r="G353" s="8" t="s">
        <v>1362</v>
      </c>
      <c r="K353" s="2"/>
      <c r="L353" s="232">
        <v>40327</v>
      </c>
      <c r="N353">
        <f t="shared" si="2"/>
        <v>24089.69</v>
      </c>
    </row>
    <row r="354" spans="1:14" hidden="1">
      <c r="A354" s="232">
        <v>40331</v>
      </c>
      <c r="C354" t="s">
        <v>1513</v>
      </c>
      <c r="D354" s="1">
        <v>20000</v>
      </c>
      <c r="E354" s="1">
        <v>0</v>
      </c>
      <c r="F354">
        <v>298827.98</v>
      </c>
      <c r="G354" s="8" t="s">
        <v>1361</v>
      </c>
      <c r="K354" s="2"/>
      <c r="L354" s="232">
        <v>40331</v>
      </c>
      <c r="N354">
        <f t="shared" si="2"/>
        <v>20000</v>
      </c>
    </row>
    <row r="355" spans="1:14" hidden="1">
      <c r="A355" s="232">
        <v>40337</v>
      </c>
      <c r="C355" t="s">
        <v>1514</v>
      </c>
      <c r="D355" s="1">
        <v>3000</v>
      </c>
      <c r="E355" s="1">
        <v>0</v>
      </c>
      <c r="F355">
        <v>295827.98</v>
      </c>
      <c r="K355" s="2"/>
      <c r="L355" s="232">
        <v>40337</v>
      </c>
      <c r="N355">
        <f t="shared" si="2"/>
        <v>3000</v>
      </c>
    </row>
    <row r="356" spans="1:14" hidden="1">
      <c r="A356" s="232">
        <v>40339</v>
      </c>
      <c r="C356" t="s">
        <v>1515</v>
      </c>
      <c r="D356" s="1">
        <v>12000</v>
      </c>
      <c r="E356" s="1">
        <v>0</v>
      </c>
      <c r="F356">
        <v>283827.98</v>
      </c>
      <c r="K356" s="2"/>
      <c r="L356" s="232">
        <v>40339</v>
      </c>
      <c r="N356">
        <f t="shared" si="2"/>
        <v>12000</v>
      </c>
    </row>
    <row r="357" spans="1:14" hidden="1">
      <c r="A357" s="232">
        <v>40339</v>
      </c>
      <c r="C357" t="s">
        <v>1516</v>
      </c>
      <c r="D357" s="1">
        <v>2000</v>
      </c>
      <c r="E357" s="1">
        <v>0</v>
      </c>
      <c r="F357">
        <v>281827.98</v>
      </c>
      <c r="G357" s="8" t="s">
        <v>1372</v>
      </c>
      <c r="K357" s="2"/>
      <c r="L357" s="232">
        <v>40339</v>
      </c>
      <c r="N357">
        <f t="shared" si="2"/>
        <v>2000</v>
      </c>
    </row>
    <row r="358" spans="1:14" hidden="1">
      <c r="A358" s="232">
        <v>40343</v>
      </c>
      <c r="C358" t="s">
        <v>1517</v>
      </c>
      <c r="D358" s="1">
        <v>3000</v>
      </c>
      <c r="E358" s="1">
        <v>0</v>
      </c>
      <c r="F358">
        <v>278827.98</v>
      </c>
      <c r="G358" s="8" t="s">
        <v>1361</v>
      </c>
      <c r="K358" s="2"/>
      <c r="L358" s="232">
        <v>40343</v>
      </c>
      <c r="N358">
        <f t="shared" si="2"/>
        <v>3000</v>
      </c>
    </row>
    <row r="359" spans="1:14" hidden="1">
      <c r="A359" s="232">
        <v>40353</v>
      </c>
      <c r="C359" t="s">
        <v>1512</v>
      </c>
      <c r="D359" s="1">
        <v>16538.12</v>
      </c>
      <c r="E359" s="1">
        <v>0</v>
      </c>
      <c r="F359">
        <v>262289.86</v>
      </c>
      <c r="G359" s="8" t="s">
        <v>1362</v>
      </c>
      <c r="K359" s="2"/>
      <c r="L359" s="232">
        <v>40353</v>
      </c>
      <c r="N359">
        <f t="shared" si="2"/>
        <v>16538.12</v>
      </c>
    </row>
    <row r="360" spans="1:14" hidden="1">
      <c r="A360" s="232">
        <v>40357</v>
      </c>
      <c r="C360" t="s">
        <v>1518</v>
      </c>
      <c r="D360" s="1">
        <v>10000</v>
      </c>
      <c r="E360" s="1">
        <v>0</v>
      </c>
      <c r="F360">
        <v>252289.86</v>
      </c>
      <c r="G360" s="8" t="s">
        <v>1361</v>
      </c>
      <c r="K360" s="2"/>
      <c r="L360" s="232">
        <v>40357</v>
      </c>
      <c r="N360">
        <f t="shared" si="2"/>
        <v>10000</v>
      </c>
    </row>
    <row r="361" spans="1:14" hidden="1">
      <c r="A361" s="232">
        <v>40357</v>
      </c>
      <c r="C361" t="s">
        <v>1519</v>
      </c>
      <c r="D361" s="1">
        <v>2000</v>
      </c>
      <c r="E361" s="1">
        <v>0</v>
      </c>
      <c r="F361">
        <v>250289.86</v>
      </c>
      <c r="G361" s="8" t="s">
        <v>1372</v>
      </c>
      <c r="K361" s="2"/>
      <c r="L361" s="232">
        <v>40357</v>
      </c>
      <c r="N361">
        <f t="shared" si="2"/>
        <v>2000</v>
      </c>
    </row>
    <row r="362" spans="1:14" hidden="1">
      <c r="A362" s="232">
        <v>40358</v>
      </c>
      <c r="C362" t="s">
        <v>1453</v>
      </c>
      <c r="D362" s="1">
        <v>0</v>
      </c>
      <c r="E362" s="1">
        <v>881</v>
      </c>
      <c r="F362">
        <v>251170.86</v>
      </c>
      <c r="G362" s="8" t="s">
        <v>1380</v>
      </c>
      <c r="K362" s="2"/>
      <c r="L362" s="232">
        <v>40358</v>
      </c>
      <c r="N362">
        <f t="shared" si="2"/>
        <v>0</v>
      </c>
    </row>
    <row r="363" spans="1:14" hidden="1">
      <c r="A363" s="232">
        <v>40358</v>
      </c>
      <c r="C363" t="s">
        <v>1404</v>
      </c>
      <c r="D363" s="1">
        <v>0</v>
      </c>
      <c r="E363" s="1">
        <v>100068</v>
      </c>
      <c r="F363">
        <v>351238.86</v>
      </c>
      <c r="G363" s="8" t="s">
        <v>1380</v>
      </c>
      <c r="K363" s="2"/>
      <c r="L363" s="232">
        <v>40358</v>
      </c>
      <c r="N363">
        <f t="shared" si="2"/>
        <v>0</v>
      </c>
    </row>
    <row r="364" spans="1:14" hidden="1">
      <c r="A364" s="232">
        <v>40359</v>
      </c>
      <c r="C364" t="s">
        <v>1503</v>
      </c>
      <c r="D364" s="1">
        <v>10042</v>
      </c>
      <c r="E364" s="1">
        <v>0</v>
      </c>
      <c r="F364">
        <v>341196.86</v>
      </c>
      <c r="K364" s="2"/>
      <c r="L364" s="232">
        <v>40359</v>
      </c>
      <c r="N364">
        <f t="shared" si="2"/>
        <v>10042</v>
      </c>
    </row>
    <row r="365" spans="1:14" hidden="1">
      <c r="A365" s="232">
        <v>40361</v>
      </c>
      <c r="C365" t="s">
        <v>1520</v>
      </c>
      <c r="D365" s="1">
        <v>3000</v>
      </c>
      <c r="E365" s="1">
        <v>0</v>
      </c>
      <c r="F365">
        <v>338196.86</v>
      </c>
      <c r="G365" s="8" t="s">
        <v>1361</v>
      </c>
      <c r="K365" s="2"/>
      <c r="L365" s="232">
        <v>40361</v>
      </c>
      <c r="N365">
        <f t="shared" si="2"/>
        <v>3000</v>
      </c>
    </row>
    <row r="366" spans="1:14" hidden="1">
      <c r="A366" s="232">
        <v>40364</v>
      </c>
      <c r="C366" t="s">
        <v>1521</v>
      </c>
      <c r="D366" s="1">
        <v>20000</v>
      </c>
      <c r="E366" s="1">
        <v>0</v>
      </c>
      <c r="F366">
        <v>318196.86</v>
      </c>
      <c r="G366" s="8" t="s">
        <v>1361</v>
      </c>
      <c r="K366" s="2"/>
      <c r="L366" s="232">
        <v>40364</v>
      </c>
      <c r="N366">
        <f t="shared" si="2"/>
        <v>20000</v>
      </c>
    </row>
    <row r="367" spans="1:14" hidden="1">
      <c r="A367" s="232">
        <v>40369</v>
      </c>
      <c r="C367" t="s">
        <v>1522</v>
      </c>
      <c r="D367" s="1">
        <v>2000</v>
      </c>
      <c r="E367" s="1">
        <v>0</v>
      </c>
      <c r="F367">
        <v>316196.86</v>
      </c>
      <c r="G367" s="8" t="s">
        <v>1372</v>
      </c>
      <c r="K367" s="2"/>
      <c r="L367" s="232">
        <v>40369</v>
      </c>
      <c r="N367">
        <f t="shared" si="2"/>
        <v>2000</v>
      </c>
    </row>
    <row r="368" spans="1:14" hidden="1">
      <c r="A368" s="232">
        <v>40371</v>
      </c>
      <c r="C368" t="s">
        <v>1523</v>
      </c>
      <c r="D368" s="1">
        <v>3000</v>
      </c>
      <c r="E368" s="1">
        <v>0</v>
      </c>
      <c r="F368">
        <v>313196.86</v>
      </c>
      <c r="K368" s="2"/>
      <c r="L368" s="232">
        <v>40371</v>
      </c>
      <c r="N368">
        <f t="shared" si="2"/>
        <v>3000</v>
      </c>
    </row>
    <row r="369" spans="1:14" hidden="1">
      <c r="A369" s="232">
        <v>40372</v>
      </c>
      <c r="C369" t="s">
        <v>1524</v>
      </c>
      <c r="D369" s="1">
        <v>150117</v>
      </c>
      <c r="E369" s="1">
        <v>0</v>
      </c>
      <c r="F369">
        <v>163079.85999999999</v>
      </c>
      <c r="K369" s="2"/>
      <c r="L369" s="232">
        <v>40372</v>
      </c>
      <c r="N369">
        <f t="shared" si="2"/>
        <v>150117</v>
      </c>
    </row>
    <row r="370" spans="1:14" hidden="1">
      <c r="A370" s="232">
        <v>40385</v>
      </c>
      <c r="C370" t="s">
        <v>1470</v>
      </c>
      <c r="D370" s="1">
        <v>12724.63</v>
      </c>
      <c r="E370" s="1">
        <v>0</v>
      </c>
      <c r="F370">
        <v>150355.23000000001</v>
      </c>
      <c r="G370" s="8" t="s">
        <v>1362</v>
      </c>
      <c r="K370" s="2"/>
      <c r="L370" s="232">
        <v>40385</v>
      </c>
      <c r="N370">
        <f t="shared" si="2"/>
        <v>12724.63</v>
      </c>
    </row>
    <row r="371" spans="1:14" hidden="1">
      <c r="A371" s="232">
        <v>40387</v>
      </c>
      <c r="C371" t="s">
        <v>1525</v>
      </c>
      <c r="D371" s="1">
        <v>2000</v>
      </c>
      <c r="E371" s="1">
        <v>0</v>
      </c>
      <c r="F371">
        <v>148355.23000000001</v>
      </c>
      <c r="G371" s="8" t="s">
        <v>1372</v>
      </c>
      <c r="K371" s="2"/>
      <c r="L371" s="232">
        <v>40387</v>
      </c>
      <c r="N371">
        <f t="shared" si="2"/>
        <v>2000</v>
      </c>
    </row>
    <row r="372" spans="1:14" hidden="1">
      <c r="A372" s="232">
        <v>40388</v>
      </c>
      <c r="C372" t="s">
        <v>1404</v>
      </c>
      <c r="D372" s="1">
        <v>0</v>
      </c>
      <c r="E372" s="1">
        <v>101435</v>
      </c>
      <c r="F372">
        <v>249790.23</v>
      </c>
      <c r="G372" s="8" t="s">
        <v>1380</v>
      </c>
      <c r="K372" s="2"/>
      <c r="L372" s="232">
        <v>40388</v>
      </c>
      <c r="N372">
        <f t="shared" si="2"/>
        <v>0</v>
      </c>
    </row>
    <row r="373" spans="1:14" hidden="1">
      <c r="A373" s="232">
        <v>40397</v>
      </c>
      <c r="C373" t="s">
        <v>1526</v>
      </c>
      <c r="D373" s="1">
        <v>3000</v>
      </c>
      <c r="E373" s="1">
        <v>0</v>
      </c>
      <c r="F373">
        <v>246790.23</v>
      </c>
      <c r="K373" s="2"/>
      <c r="L373" s="232">
        <v>40397</v>
      </c>
      <c r="N373">
        <f t="shared" si="2"/>
        <v>3000</v>
      </c>
    </row>
    <row r="374" spans="1:14" hidden="1">
      <c r="A374" s="232">
        <v>40400</v>
      </c>
      <c r="C374" t="s">
        <v>1527</v>
      </c>
      <c r="D374" s="1">
        <v>2000</v>
      </c>
      <c r="E374" s="1">
        <v>0</v>
      </c>
      <c r="F374">
        <v>244790.23</v>
      </c>
      <c r="G374" s="8" t="s">
        <v>1372</v>
      </c>
      <c r="K374" s="2"/>
      <c r="L374" s="232">
        <v>40400</v>
      </c>
      <c r="N374">
        <f t="shared" si="2"/>
        <v>2000</v>
      </c>
    </row>
    <row r="375" spans="1:14" hidden="1">
      <c r="A375" s="232">
        <v>40413</v>
      </c>
      <c r="C375" t="s">
        <v>1470</v>
      </c>
      <c r="D375" s="1">
        <v>9245.99</v>
      </c>
      <c r="E375" s="1">
        <v>0</v>
      </c>
      <c r="F375">
        <v>235544.24</v>
      </c>
      <c r="G375" s="8" t="s">
        <v>1362</v>
      </c>
      <c r="K375" s="2"/>
      <c r="L375" s="232">
        <v>40413</v>
      </c>
      <c r="N375">
        <f t="shared" si="2"/>
        <v>9245.99</v>
      </c>
    </row>
    <row r="376" spans="1:14" hidden="1">
      <c r="A376" s="232">
        <v>40418</v>
      </c>
      <c r="C376" t="s">
        <v>1528</v>
      </c>
      <c r="D376" s="1">
        <v>2000</v>
      </c>
      <c r="E376" s="1">
        <v>0</v>
      </c>
      <c r="F376">
        <v>233544.24</v>
      </c>
      <c r="G376" s="8" t="s">
        <v>1372</v>
      </c>
      <c r="K376" s="2"/>
      <c r="L376" s="232">
        <v>40418</v>
      </c>
      <c r="N376">
        <f t="shared" si="2"/>
        <v>2000</v>
      </c>
    </row>
    <row r="377" spans="1:14" hidden="1">
      <c r="A377" s="232">
        <v>40420</v>
      </c>
      <c r="C377" t="s">
        <v>1529</v>
      </c>
      <c r="D377" s="1">
        <v>10000</v>
      </c>
      <c r="E377" s="1">
        <v>0</v>
      </c>
      <c r="F377">
        <v>223544.24</v>
      </c>
      <c r="G377" s="8" t="s">
        <v>1361</v>
      </c>
      <c r="K377" s="2"/>
      <c r="L377" s="232">
        <v>40420</v>
      </c>
      <c r="N377">
        <f t="shared" si="2"/>
        <v>10000</v>
      </c>
    </row>
    <row r="378" spans="1:14" hidden="1">
      <c r="A378" s="232">
        <v>40420</v>
      </c>
      <c r="C378" t="s">
        <v>1404</v>
      </c>
      <c r="D378" s="1">
        <v>0</v>
      </c>
      <c r="E378" s="1">
        <v>100068</v>
      </c>
      <c r="F378">
        <v>323612.24</v>
      </c>
      <c r="G378" s="8" t="s">
        <v>1380</v>
      </c>
      <c r="K378" s="2"/>
      <c r="L378" s="232">
        <v>40420</v>
      </c>
      <c r="N378">
        <f t="shared" si="2"/>
        <v>0</v>
      </c>
    </row>
    <row r="379" spans="1:14" hidden="1">
      <c r="A379" s="232">
        <v>40423</v>
      </c>
      <c r="C379" t="s">
        <v>1530</v>
      </c>
      <c r="D379" s="1">
        <v>0</v>
      </c>
      <c r="E379" s="1">
        <v>6304</v>
      </c>
      <c r="F379">
        <v>329916.24</v>
      </c>
      <c r="G379" s="8" t="s">
        <v>1368</v>
      </c>
      <c r="K379" s="2"/>
      <c r="L379" s="232">
        <v>40423</v>
      </c>
      <c r="N379">
        <f t="shared" si="2"/>
        <v>0</v>
      </c>
    </row>
    <row r="380" spans="1:14" hidden="1">
      <c r="A380" s="232">
        <v>40427</v>
      </c>
      <c r="C380" t="s">
        <v>1531</v>
      </c>
      <c r="D380" s="1">
        <v>5000</v>
      </c>
      <c r="E380" s="1">
        <v>0</v>
      </c>
      <c r="F380">
        <v>324916.24</v>
      </c>
      <c r="G380" s="8" t="s">
        <v>1361</v>
      </c>
      <c r="K380" s="2"/>
      <c r="L380" s="232">
        <v>40427</v>
      </c>
      <c r="N380">
        <f t="shared" si="2"/>
        <v>5000</v>
      </c>
    </row>
    <row r="381" spans="1:14" hidden="1">
      <c r="A381" s="232">
        <v>40434</v>
      </c>
      <c r="C381" t="s">
        <v>1532</v>
      </c>
      <c r="D381" s="1">
        <v>2000</v>
      </c>
      <c r="E381" s="1">
        <v>0</v>
      </c>
      <c r="F381">
        <v>322916.24</v>
      </c>
      <c r="G381" s="8" t="s">
        <v>1372</v>
      </c>
      <c r="K381" s="2"/>
      <c r="L381" s="232">
        <v>40434</v>
      </c>
      <c r="N381">
        <f t="shared" si="2"/>
        <v>2000</v>
      </c>
    </row>
    <row r="382" spans="1:14" hidden="1">
      <c r="A382" s="232">
        <v>40436</v>
      </c>
      <c r="C382" t="s">
        <v>1533</v>
      </c>
      <c r="D382" s="1">
        <v>0</v>
      </c>
      <c r="E382" s="1">
        <v>1238.21</v>
      </c>
      <c r="F382">
        <v>324154.45</v>
      </c>
      <c r="G382" s="8" t="s">
        <v>1375</v>
      </c>
      <c r="K382" s="2"/>
      <c r="L382" s="232">
        <v>40436</v>
      </c>
      <c r="N382">
        <f t="shared" si="2"/>
        <v>0</v>
      </c>
    </row>
    <row r="383" spans="1:14" hidden="1">
      <c r="A383" s="232">
        <v>40449</v>
      </c>
      <c r="C383" t="s">
        <v>1534</v>
      </c>
      <c r="D383" s="1">
        <v>2000</v>
      </c>
      <c r="E383" s="1">
        <v>0</v>
      </c>
      <c r="F383">
        <v>322154.45</v>
      </c>
      <c r="G383" s="8" t="s">
        <v>1372</v>
      </c>
      <c r="K383" s="2"/>
      <c r="L383" s="232">
        <v>40449</v>
      </c>
      <c r="N383">
        <f t="shared" si="2"/>
        <v>2000</v>
      </c>
    </row>
    <row r="384" spans="1:14" hidden="1">
      <c r="A384" s="232">
        <v>40450</v>
      </c>
      <c r="C384" t="s">
        <v>1470</v>
      </c>
      <c r="D384" s="1">
        <v>22350.04</v>
      </c>
      <c r="E384" s="1">
        <v>0</v>
      </c>
      <c r="F384">
        <v>299804.40999999997</v>
      </c>
      <c r="G384" s="8" t="s">
        <v>1362</v>
      </c>
      <c r="K384" s="2"/>
      <c r="L384" s="232">
        <v>40450</v>
      </c>
      <c r="N384">
        <f t="shared" si="2"/>
        <v>22350.04</v>
      </c>
    </row>
    <row r="385" spans="1:14" hidden="1">
      <c r="A385" s="232">
        <v>40450</v>
      </c>
      <c r="C385" t="s">
        <v>1404</v>
      </c>
      <c r="D385" s="1">
        <v>0</v>
      </c>
      <c r="E385" s="1">
        <v>109344</v>
      </c>
      <c r="F385">
        <v>409148.41</v>
      </c>
      <c r="G385" s="8" t="s">
        <v>1380</v>
      </c>
      <c r="K385" s="2"/>
      <c r="L385" s="232">
        <v>40450</v>
      </c>
      <c r="N385">
        <f t="shared" si="2"/>
        <v>0</v>
      </c>
    </row>
    <row r="386" spans="1:14" hidden="1">
      <c r="A386" s="232">
        <v>40455</v>
      </c>
      <c r="C386" t="s">
        <v>1535</v>
      </c>
      <c r="D386" s="1">
        <v>20000</v>
      </c>
      <c r="E386" s="1">
        <v>0</v>
      </c>
      <c r="F386">
        <v>389148.41</v>
      </c>
      <c r="G386" s="8" t="s">
        <v>1361</v>
      </c>
      <c r="K386" s="2"/>
      <c r="L386" s="232">
        <v>40455</v>
      </c>
      <c r="N386">
        <f t="shared" si="2"/>
        <v>20000</v>
      </c>
    </row>
    <row r="387" spans="1:14" hidden="1">
      <c r="A387" s="232">
        <v>40457</v>
      </c>
      <c r="C387" t="s">
        <v>1536</v>
      </c>
      <c r="D387" s="1">
        <v>30126</v>
      </c>
      <c r="E387" s="1">
        <v>0</v>
      </c>
      <c r="F387">
        <v>359022.41</v>
      </c>
      <c r="K387" s="2"/>
      <c r="L387" s="232">
        <v>40457</v>
      </c>
      <c r="N387">
        <f t="shared" si="2"/>
        <v>30126</v>
      </c>
    </row>
    <row r="388" spans="1:14" hidden="1">
      <c r="A388" s="232">
        <v>40459</v>
      </c>
      <c r="C388" t="s">
        <v>1537</v>
      </c>
      <c r="D388" s="1">
        <v>0</v>
      </c>
      <c r="E388" s="1">
        <v>1450</v>
      </c>
      <c r="F388">
        <v>360472.41</v>
      </c>
      <c r="G388" s="8" t="s">
        <v>1380</v>
      </c>
      <c r="K388" s="2"/>
      <c r="L388" s="232">
        <v>40459</v>
      </c>
      <c r="N388">
        <f t="shared" si="2"/>
        <v>0</v>
      </c>
    </row>
    <row r="389" spans="1:14" hidden="1">
      <c r="A389" s="232">
        <v>40462</v>
      </c>
      <c r="C389" t="s">
        <v>1538</v>
      </c>
      <c r="D389" s="1">
        <v>72258.13</v>
      </c>
      <c r="E389" s="1">
        <v>0</v>
      </c>
      <c r="F389">
        <v>288214.28000000003</v>
      </c>
      <c r="G389" s="8" t="s">
        <v>1362</v>
      </c>
      <c r="K389" s="2"/>
      <c r="L389" s="232">
        <v>40462</v>
      </c>
      <c r="N389">
        <f t="shared" si="2"/>
        <v>72258.13</v>
      </c>
    </row>
    <row r="390" spans="1:14" hidden="1">
      <c r="A390" s="232">
        <v>40462</v>
      </c>
      <c r="C390" t="s">
        <v>1539</v>
      </c>
      <c r="D390" s="1">
        <v>2000</v>
      </c>
      <c r="E390" s="1">
        <v>0</v>
      </c>
      <c r="F390">
        <v>286214.28000000003</v>
      </c>
      <c r="G390" s="8" t="s">
        <v>1372</v>
      </c>
      <c r="K390" s="2"/>
      <c r="L390" s="232">
        <v>40462</v>
      </c>
      <c r="N390">
        <f t="shared" si="2"/>
        <v>2000</v>
      </c>
    </row>
    <row r="391" spans="1:14" hidden="1">
      <c r="A391" s="232">
        <v>40462</v>
      </c>
      <c r="C391" t="s">
        <v>1540</v>
      </c>
      <c r="D391" s="1">
        <v>3000</v>
      </c>
      <c r="E391" s="1">
        <v>0</v>
      </c>
      <c r="F391">
        <v>283214.28000000003</v>
      </c>
      <c r="K391" s="2"/>
      <c r="L391" s="232">
        <v>40462</v>
      </c>
      <c r="N391">
        <f t="shared" si="2"/>
        <v>3000</v>
      </c>
    </row>
    <row r="392" spans="1:14" hidden="1">
      <c r="A392" s="232">
        <v>40476</v>
      </c>
      <c r="C392" t="s">
        <v>1541</v>
      </c>
      <c r="D392" s="1">
        <v>10000</v>
      </c>
      <c r="E392" s="1">
        <v>0</v>
      </c>
      <c r="F392">
        <v>273214.28000000003</v>
      </c>
      <c r="G392" s="8" t="s">
        <v>1361</v>
      </c>
      <c r="K392" s="2"/>
      <c r="L392" s="232">
        <v>40476</v>
      </c>
      <c r="N392">
        <f t="shared" si="2"/>
        <v>10000</v>
      </c>
    </row>
    <row r="393" spans="1:14" hidden="1">
      <c r="A393" s="232">
        <v>40476</v>
      </c>
      <c r="C393" t="s">
        <v>1542</v>
      </c>
      <c r="D393" s="1">
        <v>8482.2999999999993</v>
      </c>
      <c r="E393" s="1">
        <v>0</v>
      </c>
      <c r="F393">
        <v>264731.98</v>
      </c>
      <c r="K393" s="2"/>
      <c r="L393" s="232">
        <v>40476</v>
      </c>
      <c r="N393">
        <f t="shared" si="2"/>
        <v>8482.2999999999993</v>
      </c>
    </row>
    <row r="394" spans="1:14" hidden="1">
      <c r="A394" s="232">
        <v>40477</v>
      </c>
      <c r="C394" t="s">
        <v>1543</v>
      </c>
      <c r="D394" s="1">
        <v>6000</v>
      </c>
      <c r="E394" s="1">
        <v>0</v>
      </c>
      <c r="F394">
        <v>258731.98</v>
      </c>
      <c r="K394" s="2"/>
      <c r="L394" s="232">
        <v>40477</v>
      </c>
      <c r="N394">
        <f t="shared" si="2"/>
        <v>6000</v>
      </c>
    </row>
    <row r="395" spans="1:14" hidden="1">
      <c r="A395" s="232">
        <v>40477</v>
      </c>
      <c r="C395" t="s">
        <v>1544</v>
      </c>
      <c r="D395" s="1">
        <v>0</v>
      </c>
      <c r="E395" s="1">
        <v>164408</v>
      </c>
      <c r="F395">
        <v>423139.98</v>
      </c>
      <c r="G395" s="8" t="s">
        <v>1380</v>
      </c>
      <c r="K395" s="2"/>
      <c r="L395" s="232">
        <v>40477</v>
      </c>
      <c r="N395">
        <f t="shared" ref="N395:N458" si="3">D395*1</f>
        <v>0</v>
      </c>
    </row>
    <row r="396" spans="1:14" hidden="1">
      <c r="A396" s="232">
        <v>40478</v>
      </c>
      <c r="C396" t="s">
        <v>1470</v>
      </c>
      <c r="D396" s="1">
        <v>14701.67</v>
      </c>
      <c r="E396" s="1">
        <v>0</v>
      </c>
      <c r="F396">
        <v>408438.31</v>
      </c>
      <c r="G396" s="8" t="s">
        <v>1362</v>
      </c>
      <c r="K396" s="2"/>
      <c r="L396" s="232">
        <v>40478</v>
      </c>
      <c r="N396">
        <f t="shared" si="3"/>
        <v>14701.67</v>
      </c>
    </row>
    <row r="397" spans="1:14" hidden="1">
      <c r="A397" s="232">
        <v>40479</v>
      </c>
      <c r="C397" t="s">
        <v>1545</v>
      </c>
      <c r="D397" s="1">
        <v>2000</v>
      </c>
      <c r="E397" s="1">
        <v>0</v>
      </c>
      <c r="F397">
        <v>406438.31</v>
      </c>
      <c r="G397" s="8" t="s">
        <v>1372</v>
      </c>
      <c r="K397" s="2"/>
      <c r="L397" s="232">
        <v>40479</v>
      </c>
      <c r="N397">
        <f t="shared" si="3"/>
        <v>2000</v>
      </c>
    </row>
    <row r="398" spans="1:14" hidden="1">
      <c r="A398" s="232">
        <v>40479</v>
      </c>
      <c r="C398" t="s">
        <v>1546</v>
      </c>
      <c r="D398" s="1">
        <v>0</v>
      </c>
      <c r="E398" s="1">
        <v>99800</v>
      </c>
      <c r="F398">
        <v>506238.31</v>
      </c>
      <c r="G398" s="8" t="s">
        <v>1380</v>
      </c>
      <c r="K398" s="2"/>
      <c r="L398" s="232">
        <v>40479</v>
      </c>
      <c r="N398">
        <f t="shared" si="3"/>
        <v>0</v>
      </c>
    </row>
    <row r="399" spans="1:14" hidden="1">
      <c r="A399" s="232">
        <v>40485</v>
      </c>
      <c r="C399" t="s">
        <v>1547</v>
      </c>
      <c r="D399" s="1">
        <v>5000</v>
      </c>
      <c r="E399" s="1">
        <v>0</v>
      </c>
      <c r="F399">
        <v>501238.31</v>
      </c>
      <c r="K399" s="2"/>
      <c r="L399" s="232">
        <v>40485</v>
      </c>
      <c r="N399">
        <f t="shared" si="3"/>
        <v>5000</v>
      </c>
    </row>
    <row r="400" spans="1:14" hidden="1">
      <c r="A400" s="232">
        <v>40485</v>
      </c>
      <c r="C400" t="s">
        <v>1548</v>
      </c>
      <c r="D400" s="1">
        <v>0</v>
      </c>
      <c r="E400" s="1">
        <v>3524</v>
      </c>
      <c r="F400">
        <v>504762.31</v>
      </c>
      <c r="G400" s="8" t="s">
        <v>1380</v>
      </c>
      <c r="K400" s="2"/>
      <c r="L400" s="232">
        <v>40485</v>
      </c>
      <c r="N400">
        <f t="shared" si="3"/>
        <v>0</v>
      </c>
    </row>
    <row r="401" spans="1:14" hidden="1">
      <c r="A401" s="232">
        <v>40486</v>
      </c>
      <c r="C401" t="s">
        <v>1549</v>
      </c>
      <c r="D401" s="1">
        <v>10000</v>
      </c>
      <c r="E401" s="1">
        <v>0</v>
      </c>
      <c r="F401">
        <v>494762.31</v>
      </c>
      <c r="G401" s="8" t="s">
        <v>1361</v>
      </c>
      <c r="K401" s="2"/>
      <c r="L401" s="232">
        <v>40486</v>
      </c>
      <c r="N401">
        <f t="shared" si="3"/>
        <v>10000</v>
      </c>
    </row>
    <row r="402" spans="1:14" hidden="1">
      <c r="A402" s="232">
        <v>40488</v>
      </c>
      <c r="C402" t="s">
        <v>1550</v>
      </c>
      <c r="D402" s="1">
        <v>3000</v>
      </c>
      <c r="E402" s="1">
        <v>0</v>
      </c>
      <c r="F402">
        <v>491762.31</v>
      </c>
      <c r="K402" s="2"/>
      <c r="L402" s="232">
        <v>40488</v>
      </c>
      <c r="N402">
        <f t="shared" si="3"/>
        <v>3000</v>
      </c>
    </row>
    <row r="403" spans="1:14" hidden="1">
      <c r="A403" s="232">
        <v>40490</v>
      </c>
      <c r="C403" t="s">
        <v>1551</v>
      </c>
      <c r="D403" s="1">
        <v>101215</v>
      </c>
      <c r="E403" s="1">
        <v>0</v>
      </c>
      <c r="F403">
        <v>390547.31</v>
      </c>
      <c r="G403" s="8" t="s">
        <v>1362</v>
      </c>
      <c r="K403" s="2"/>
      <c r="L403" s="232">
        <v>40490</v>
      </c>
      <c r="N403">
        <f t="shared" si="3"/>
        <v>101215</v>
      </c>
    </row>
    <row r="404" spans="1:14" hidden="1">
      <c r="A404" s="232">
        <v>40492</v>
      </c>
      <c r="C404" t="s">
        <v>1552</v>
      </c>
      <c r="D404" s="1">
        <v>2000</v>
      </c>
      <c r="E404" s="1">
        <v>0</v>
      </c>
      <c r="F404">
        <v>388547.31</v>
      </c>
      <c r="G404" s="8" t="s">
        <v>1372</v>
      </c>
      <c r="K404" s="2"/>
      <c r="L404" s="232">
        <v>40492</v>
      </c>
      <c r="N404">
        <f t="shared" si="3"/>
        <v>2000</v>
      </c>
    </row>
    <row r="405" spans="1:14" hidden="1">
      <c r="A405" s="232">
        <v>40511</v>
      </c>
      <c r="C405" t="s">
        <v>1553</v>
      </c>
      <c r="D405" s="1">
        <v>900</v>
      </c>
      <c r="E405" s="1">
        <v>0</v>
      </c>
      <c r="F405">
        <v>387647.31</v>
      </c>
      <c r="K405" s="2"/>
      <c r="L405" s="232">
        <v>40511</v>
      </c>
      <c r="N405">
        <f t="shared" si="3"/>
        <v>900</v>
      </c>
    </row>
    <row r="406" spans="1:14" hidden="1">
      <c r="A406" s="232">
        <v>40511</v>
      </c>
      <c r="C406" t="s">
        <v>1554</v>
      </c>
      <c r="D406" s="1">
        <v>2000</v>
      </c>
      <c r="E406" s="1">
        <v>0</v>
      </c>
      <c r="F406">
        <v>385647.31</v>
      </c>
      <c r="G406" s="8" t="s">
        <v>1372</v>
      </c>
      <c r="K406" s="2"/>
      <c r="L406" s="232">
        <v>40511</v>
      </c>
      <c r="N406">
        <f t="shared" si="3"/>
        <v>2000</v>
      </c>
    </row>
    <row r="407" spans="1:14" hidden="1">
      <c r="A407" s="232">
        <v>40511</v>
      </c>
      <c r="C407" t="s">
        <v>1546</v>
      </c>
      <c r="D407" s="1">
        <v>0</v>
      </c>
      <c r="E407" s="1">
        <v>99800</v>
      </c>
      <c r="F407">
        <v>485447.31</v>
      </c>
      <c r="G407" s="8" t="s">
        <v>1380</v>
      </c>
      <c r="K407" s="2"/>
      <c r="L407" s="232">
        <v>40511</v>
      </c>
      <c r="N407">
        <f t="shared" si="3"/>
        <v>0</v>
      </c>
    </row>
    <row r="408" spans="1:14" hidden="1">
      <c r="A408" s="232">
        <v>40513</v>
      </c>
      <c r="C408" t="s">
        <v>1555</v>
      </c>
      <c r="D408" s="1">
        <v>400</v>
      </c>
      <c r="E408" s="1">
        <v>0</v>
      </c>
      <c r="F408">
        <v>485047.31</v>
      </c>
      <c r="G408" s="8" t="s">
        <v>1361</v>
      </c>
      <c r="K408" s="2"/>
      <c r="L408" s="232">
        <v>40513</v>
      </c>
      <c r="N408">
        <f t="shared" si="3"/>
        <v>400</v>
      </c>
    </row>
    <row r="409" spans="1:14" hidden="1">
      <c r="A409" s="232">
        <v>40516</v>
      </c>
      <c r="C409" t="s">
        <v>1556</v>
      </c>
      <c r="D409" s="1">
        <v>52500</v>
      </c>
      <c r="E409" s="1">
        <v>0</v>
      </c>
      <c r="F409">
        <v>432547.31</v>
      </c>
      <c r="K409" s="2"/>
      <c r="L409" s="232">
        <v>40516</v>
      </c>
      <c r="N409">
        <f t="shared" si="3"/>
        <v>52500</v>
      </c>
    </row>
    <row r="410" spans="1:14" hidden="1">
      <c r="A410" s="232">
        <v>40518</v>
      </c>
      <c r="C410" t="s">
        <v>1557</v>
      </c>
      <c r="D410" s="1">
        <v>6000</v>
      </c>
      <c r="E410" s="1">
        <v>0</v>
      </c>
      <c r="F410">
        <v>426547.31</v>
      </c>
      <c r="K410" s="2"/>
      <c r="L410" s="232">
        <v>40518</v>
      </c>
      <c r="N410">
        <f t="shared" si="3"/>
        <v>6000</v>
      </c>
    </row>
    <row r="411" spans="1:14" hidden="1">
      <c r="A411" s="232">
        <v>40518</v>
      </c>
      <c r="C411" t="s">
        <v>1470</v>
      </c>
      <c r="D411" s="1">
        <v>15698.11</v>
      </c>
      <c r="E411" s="1">
        <v>0</v>
      </c>
      <c r="F411">
        <v>410849.2</v>
      </c>
      <c r="G411" s="8" t="s">
        <v>1362</v>
      </c>
      <c r="K411" s="2"/>
      <c r="L411" s="232">
        <v>40518</v>
      </c>
      <c r="N411">
        <f t="shared" si="3"/>
        <v>15698.11</v>
      </c>
    </row>
    <row r="412" spans="1:14" hidden="1">
      <c r="A412" s="232">
        <v>40518</v>
      </c>
      <c r="C412" t="s">
        <v>1558</v>
      </c>
      <c r="D412" s="1">
        <v>10000</v>
      </c>
      <c r="E412" s="1">
        <v>0</v>
      </c>
      <c r="F412">
        <v>400849.2</v>
      </c>
      <c r="G412" s="8" t="s">
        <v>1361</v>
      </c>
      <c r="K412" s="2"/>
      <c r="L412" s="232">
        <v>40518</v>
      </c>
      <c r="N412">
        <f t="shared" si="3"/>
        <v>10000</v>
      </c>
    </row>
    <row r="413" spans="1:14" hidden="1">
      <c r="A413" s="232">
        <v>40521</v>
      </c>
      <c r="C413" t="s">
        <v>1466</v>
      </c>
      <c r="D413" s="1">
        <v>7269</v>
      </c>
      <c r="E413" s="1">
        <v>0</v>
      </c>
      <c r="F413">
        <v>393580.2</v>
      </c>
      <c r="G413" s="8" t="s">
        <v>1362</v>
      </c>
      <c r="K413" s="2"/>
      <c r="L413" s="232">
        <v>40521</v>
      </c>
      <c r="N413">
        <f t="shared" si="3"/>
        <v>7269</v>
      </c>
    </row>
    <row r="414" spans="1:14" hidden="1">
      <c r="A414" s="232">
        <v>40522</v>
      </c>
      <c r="C414" t="s">
        <v>1559</v>
      </c>
      <c r="D414" s="1">
        <v>2000</v>
      </c>
      <c r="E414" s="1">
        <v>0</v>
      </c>
      <c r="F414">
        <v>391580.2</v>
      </c>
      <c r="G414" s="8" t="s">
        <v>1372</v>
      </c>
      <c r="K414" s="2"/>
      <c r="L414" s="232">
        <v>40522</v>
      </c>
      <c r="N414">
        <f t="shared" si="3"/>
        <v>2000</v>
      </c>
    </row>
    <row r="415" spans="1:14" hidden="1">
      <c r="A415" s="232">
        <v>40532</v>
      </c>
      <c r="C415" t="s">
        <v>1560</v>
      </c>
      <c r="D415" s="1">
        <v>40000</v>
      </c>
      <c r="E415" s="1">
        <v>0</v>
      </c>
      <c r="F415">
        <v>351580.2</v>
      </c>
      <c r="G415" s="8" t="s">
        <v>1379</v>
      </c>
      <c r="K415" s="2"/>
      <c r="L415" s="232">
        <v>40532</v>
      </c>
      <c r="N415">
        <f t="shared" si="3"/>
        <v>40000</v>
      </c>
    </row>
    <row r="416" spans="1:14" hidden="1">
      <c r="A416" s="232">
        <v>40533</v>
      </c>
      <c r="C416" t="s">
        <v>1550</v>
      </c>
      <c r="D416" s="1">
        <v>300</v>
      </c>
      <c r="E416" s="1">
        <v>0</v>
      </c>
      <c r="F416">
        <v>351280.2</v>
      </c>
      <c r="K416" s="2"/>
      <c r="L416" s="232">
        <v>40533</v>
      </c>
      <c r="N416">
        <f t="shared" si="3"/>
        <v>300</v>
      </c>
    </row>
    <row r="417" spans="1:14" hidden="1">
      <c r="A417" s="232">
        <v>40540</v>
      </c>
      <c r="C417" t="s">
        <v>1561</v>
      </c>
      <c r="D417" s="1">
        <v>2000</v>
      </c>
      <c r="E417" s="1">
        <v>0</v>
      </c>
      <c r="F417">
        <v>349280.2</v>
      </c>
      <c r="G417" s="8" t="s">
        <v>1372</v>
      </c>
      <c r="K417" s="2"/>
      <c r="L417" s="232">
        <v>40540</v>
      </c>
      <c r="N417">
        <f t="shared" si="3"/>
        <v>2000</v>
      </c>
    </row>
    <row r="418" spans="1:14" hidden="1">
      <c r="A418" s="232">
        <v>40540</v>
      </c>
      <c r="C418" t="s">
        <v>1562</v>
      </c>
      <c r="D418" s="1">
        <v>0</v>
      </c>
      <c r="E418" s="1">
        <v>122300</v>
      </c>
      <c r="F418">
        <v>471580.2</v>
      </c>
      <c r="G418" s="8" t="s">
        <v>1380</v>
      </c>
      <c r="K418" s="2"/>
      <c r="L418" s="232">
        <v>40540</v>
      </c>
      <c r="N418">
        <f t="shared" si="3"/>
        <v>0</v>
      </c>
    </row>
    <row r="419" spans="1:14" hidden="1">
      <c r="A419" s="232">
        <v>40542</v>
      </c>
      <c r="C419" t="s">
        <v>1563</v>
      </c>
      <c r="D419" s="1">
        <v>100</v>
      </c>
      <c r="E419" s="1">
        <v>0</v>
      </c>
      <c r="F419">
        <v>471480.2</v>
      </c>
      <c r="G419" s="8" t="s">
        <v>1363</v>
      </c>
      <c r="K419" s="2"/>
      <c r="L419" s="232">
        <v>40542</v>
      </c>
      <c r="N419">
        <f t="shared" si="3"/>
        <v>100</v>
      </c>
    </row>
    <row r="420" spans="1:14" hidden="1">
      <c r="A420" s="232">
        <v>40543</v>
      </c>
      <c r="C420" t="s">
        <v>1564</v>
      </c>
      <c r="D420" s="1">
        <v>0</v>
      </c>
      <c r="E420" s="1">
        <v>881</v>
      </c>
      <c r="F420">
        <v>472361.2</v>
      </c>
      <c r="G420" s="8" t="s">
        <v>1380</v>
      </c>
      <c r="K420" s="2"/>
      <c r="L420" s="232">
        <v>40543</v>
      </c>
      <c r="N420">
        <f t="shared" si="3"/>
        <v>0</v>
      </c>
    </row>
    <row r="421" spans="1:14" hidden="1">
      <c r="A421" s="232">
        <v>40544</v>
      </c>
      <c r="C421" t="s">
        <v>1565</v>
      </c>
      <c r="D421" s="1">
        <v>10</v>
      </c>
      <c r="E421" s="1">
        <v>0</v>
      </c>
      <c r="F421">
        <v>472351.2</v>
      </c>
      <c r="K421" s="2"/>
      <c r="L421" s="232">
        <v>40544</v>
      </c>
      <c r="N421">
        <f t="shared" si="3"/>
        <v>10</v>
      </c>
    </row>
    <row r="422" spans="1:14" hidden="1">
      <c r="A422" s="232">
        <v>40546</v>
      </c>
      <c r="C422" t="s">
        <v>1566</v>
      </c>
      <c r="D422" s="1">
        <v>24520</v>
      </c>
      <c r="E422" s="1">
        <v>0</v>
      </c>
      <c r="F422">
        <v>447831.2</v>
      </c>
      <c r="G422" s="8" t="s">
        <v>1370</v>
      </c>
      <c r="K422" s="2"/>
      <c r="L422" s="232">
        <v>40546</v>
      </c>
      <c r="N422">
        <f t="shared" si="3"/>
        <v>24520</v>
      </c>
    </row>
    <row r="423" spans="1:14" hidden="1">
      <c r="A423" s="232">
        <v>40546</v>
      </c>
      <c r="C423" t="s">
        <v>1567</v>
      </c>
      <c r="D423" s="1">
        <v>100000</v>
      </c>
      <c r="E423" s="1">
        <v>0</v>
      </c>
      <c r="F423">
        <v>347831.2</v>
      </c>
      <c r="G423" s="8" t="s">
        <v>1363</v>
      </c>
      <c r="K423" s="2"/>
      <c r="L423" s="232">
        <v>40546</v>
      </c>
      <c r="N423">
        <f t="shared" si="3"/>
        <v>100000</v>
      </c>
    </row>
    <row r="424" spans="1:14" hidden="1">
      <c r="A424" s="232">
        <v>40547</v>
      </c>
      <c r="C424" t="s">
        <v>1568</v>
      </c>
      <c r="D424" s="1">
        <v>16200</v>
      </c>
      <c r="E424" s="1">
        <v>0</v>
      </c>
      <c r="F424">
        <v>331631.2</v>
      </c>
      <c r="K424" s="2"/>
      <c r="L424" s="232">
        <v>40547</v>
      </c>
      <c r="N424">
        <f t="shared" si="3"/>
        <v>16200</v>
      </c>
    </row>
    <row r="425" spans="1:14" hidden="1">
      <c r="A425" s="232">
        <v>40547</v>
      </c>
      <c r="C425" t="s">
        <v>1569</v>
      </c>
      <c r="D425" s="1">
        <v>10087.280000000001</v>
      </c>
      <c r="E425" s="1">
        <v>0</v>
      </c>
      <c r="F425">
        <v>321543.92</v>
      </c>
      <c r="G425" s="8" t="s">
        <v>1362</v>
      </c>
      <c r="K425" s="2"/>
      <c r="L425" s="232">
        <v>40547</v>
      </c>
      <c r="N425">
        <f t="shared" si="3"/>
        <v>10087.280000000001</v>
      </c>
    </row>
    <row r="426" spans="1:14" hidden="1">
      <c r="A426" s="232">
        <v>40548</v>
      </c>
      <c r="C426" t="s">
        <v>1570</v>
      </c>
      <c r="D426" s="1">
        <v>6000</v>
      </c>
      <c r="E426" s="1">
        <v>0</v>
      </c>
      <c r="F426">
        <v>315543.92</v>
      </c>
      <c r="K426" s="2"/>
      <c r="L426" s="232">
        <v>40548</v>
      </c>
      <c r="N426">
        <f t="shared" si="3"/>
        <v>6000</v>
      </c>
    </row>
    <row r="427" spans="1:14" hidden="1">
      <c r="A427" s="232">
        <v>40548</v>
      </c>
      <c r="C427" t="s">
        <v>1571</v>
      </c>
      <c r="D427" s="1">
        <v>40000</v>
      </c>
      <c r="E427" s="1">
        <v>0</v>
      </c>
      <c r="F427">
        <v>275543.92</v>
      </c>
      <c r="G427" s="8" t="s">
        <v>1379</v>
      </c>
      <c r="K427" s="2"/>
      <c r="L427" s="232">
        <v>40548</v>
      </c>
      <c r="N427">
        <f t="shared" si="3"/>
        <v>40000</v>
      </c>
    </row>
    <row r="428" spans="1:14" hidden="1">
      <c r="A428" s="232">
        <v>40553</v>
      </c>
      <c r="C428" t="s">
        <v>1572</v>
      </c>
      <c r="D428" s="1">
        <v>2000</v>
      </c>
      <c r="E428" s="1">
        <v>0</v>
      </c>
      <c r="F428">
        <v>273543.92</v>
      </c>
      <c r="G428" s="8" t="s">
        <v>1372</v>
      </c>
      <c r="K428" s="2"/>
      <c r="L428" s="232">
        <v>40553</v>
      </c>
      <c r="N428">
        <f t="shared" si="3"/>
        <v>2000</v>
      </c>
    </row>
    <row r="429" spans="1:14" hidden="1">
      <c r="A429" s="232">
        <v>40555</v>
      </c>
      <c r="C429" t="s">
        <v>1564</v>
      </c>
      <c r="D429" s="1">
        <v>0</v>
      </c>
      <c r="E429" s="1">
        <v>881</v>
      </c>
      <c r="F429">
        <v>274424.92</v>
      </c>
      <c r="G429" s="8" t="s">
        <v>1380</v>
      </c>
      <c r="K429" s="2"/>
      <c r="L429" s="232">
        <v>40555</v>
      </c>
      <c r="N429">
        <f t="shared" si="3"/>
        <v>0</v>
      </c>
    </row>
    <row r="430" spans="1:14" hidden="1">
      <c r="A430" s="232">
        <v>40556</v>
      </c>
      <c r="C430" t="s">
        <v>1573</v>
      </c>
      <c r="D430" s="1">
        <v>394</v>
      </c>
      <c r="E430" s="1">
        <v>0</v>
      </c>
      <c r="F430">
        <v>274030.92</v>
      </c>
      <c r="K430" s="2"/>
      <c r="L430" s="232">
        <v>40556</v>
      </c>
      <c r="N430">
        <f t="shared" si="3"/>
        <v>394</v>
      </c>
    </row>
    <row r="431" spans="1:14" hidden="1">
      <c r="A431" s="232">
        <v>40568</v>
      </c>
      <c r="C431" t="s">
        <v>1574</v>
      </c>
      <c r="D431" s="1">
        <v>20</v>
      </c>
      <c r="E431" s="1">
        <v>0</v>
      </c>
      <c r="F431">
        <v>274010.92</v>
      </c>
      <c r="K431" s="2"/>
      <c r="L431" s="232">
        <v>40568</v>
      </c>
      <c r="N431">
        <f t="shared" si="3"/>
        <v>20</v>
      </c>
    </row>
    <row r="432" spans="1:14" hidden="1">
      <c r="A432" s="232">
        <v>40568</v>
      </c>
      <c r="C432" t="s">
        <v>1575</v>
      </c>
      <c r="D432" s="1">
        <v>3000</v>
      </c>
      <c r="E432" s="1">
        <v>0</v>
      </c>
      <c r="F432">
        <v>271010.92</v>
      </c>
      <c r="G432" s="8" t="s">
        <v>1361</v>
      </c>
      <c r="K432" s="2"/>
      <c r="L432" s="232">
        <v>40568</v>
      </c>
      <c r="N432">
        <f t="shared" si="3"/>
        <v>3000</v>
      </c>
    </row>
    <row r="433" spans="1:14" hidden="1">
      <c r="A433" s="232">
        <v>40571</v>
      </c>
      <c r="C433" t="s">
        <v>1576</v>
      </c>
      <c r="D433" s="1">
        <v>881</v>
      </c>
      <c r="E433" s="1">
        <v>0</v>
      </c>
      <c r="F433">
        <v>270129.91999999998</v>
      </c>
      <c r="K433" s="2"/>
      <c r="L433" s="232">
        <v>40571</v>
      </c>
      <c r="N433">
        <f t="shared" si="3"/>
        <v>881</v>
      </c>
    </row>
    <row r="434" spans="1:14" hidden="1">
      <c r="A434" s="232">
        <v>40571</v>
      </c>
      <c r="C434" t="s">
        <v>1577</v>
      </c>
      <c r="D434" s="1">
        <v>5622</v>
      </c>
      <c r="E434" s="1">
        <v>0</v>
      </c>
      <c r="F434">
        <v>264507.92</v>
      </c>
      <c r="G434" s="8" t="s">
        <v>1370</v>
      </c>
      <c r="K434" s="2"/>
      <c r="L434" s="232">
        <v>40571</v>
      </c>
      <c r="N434">
        <f t="shared" si="3"/>
        <v>5622</v>
      </c>
    </row>
    <row r="435" spans="1:14" hidden="1">
      <c r="A435" s="232">
        <v>40571</v>
      </c>
      <c r="C435" t="s">
        <v>1578</v>
      </c>
      <c r="D435" s="1">
        <v>2000</v>
      </c>
      <c r="E435" s="1">
        <v>0</v>
      </c>
      <c r="F435">
        <v>262507.92</v>
      </c>
      <c r="G435" s="8" t="s">
        <v>1372</v>
      </c>
      <c r="K435" s="2"/>
      <c r="L435" s="232">
        <v>40571</v>
      </c>
      <c r="N435">
        <f t="shared" si="3"/>
        <v>2000</v>
      </c>
    </row>
    <row r="436" spans="1:14" hidden="1">
      <c r="A436" s="232">
        <v>40571</v>
      </c>
      <c r="C436" t="s">
        <v>1562</v>
      </c>
      <c r="D436" s="1">
        <v>0</v>
      </c>
      <c r="E436" s="1">
        <v>102479</v>
      </c>
      <c r="F436">
        <v>364986.92</v>
      </c>
      <c r="G436" s="8" t="s">
        <v>1380</v>
      </c>
      <c r="K436" s="2"/>
      <c r="L436" s="232">
        <v>40571</v>
      </c>
      <c r="N436">
        <f t="shared" si="3"/>
        <v>0</v>
      </c>
    </row>
    <row r="437" spans="1:14" hidden="1">
      <c r="A437" s="232">
        <v>40571</v>
      </c>
      <c r="C437" t="s">
        <v>1579</v>
      </c>
      <c r="D437" s="1">
        <v>0</v>
      </c>
      <c r="E437" s="1">
        <v>7375</v>
      </c>
      <c r="F437">
        <v>372361.92</v>
      </c>
      <c r="G437" s="8" t="s">
        <v>1380</v>
      </c>
      <c r="K437" s="2"/>
      <c r="L437" s="232">
        <v>40571</v>
      </c>
      <c r="N437">
        <f t="shared" si="3"/>
        <v>0</v>
      </c>
    </row>
    <row r="438" spans="1:14" hidden="1">
      <c r="A438" s="232">
        <v>40574</v>
      </c>
      <c r="C438" t="s">
        <v>1580</v>
      </c>
      <c r="D438" s="1">
        <v>122.44</v>
      </c>
      <c r="E438" s="1">
        <v>0</v>
      </c>
      <c r="F438">
        <v>372239.48</v>
      </c>
      <c r="K438" s="2"/>
      <c r="L438" s="232">
        <v>40574</v>
      </c>
      <c r="N438">
        <f t="shared" si="3"/>
        <v>122.44</v>
      </c>
    </row>
    <row r="439" spans="1:14" hidden="1">
      <c r="A439" s="232">
        <v>40574</v>
      </c>
      <c r="C439" t="s">
        <v>1581</v>
      </c>
      <c r="D439" s="1">
        <v>6000</v>
      </c>
      <c r="E439" s="1">
        <v>0</v>
      </c>
      <c r="F439">
        <v>366239.48</v>
      </c>
      <c r="K439" s="2"/>
      <c r="L439" s="232">
        <v>40574</v>
      </c>
      <c r="N439">
        <f t="shared" si="3"/>
        <v>6000</v>
      </c>
    </row>
    <row r="440" spans="1:14" hidden="1">
      <c r="A440" s="232">
        <v>40578</v>
      </c>
      <c r="C440" t="s">
        <v>1582</v>
      </c>
      <c r="D440" s="1">
        <v>17500</v>
      </c>
      <c r="E440" s="1">
        <v>0</v>
      </c>
      <c r="F440">
        <v>348739.48</v>
      </c>
      <c r="K440" s="2"/>
      <c r="L440" s="232">
        <v>40578</v>
      </c>
      <c r="N440">
        <f t="shared" si="3"/>
        <v>17500</v>
      </c>
    </row>
    <row r="441" spans="1:14" hidden="1">
      <c r="A441" s="232">
        <v>40579</v>
      </c>
      <c r="C441" t="s">
        <v>1571</v>
      </c>
      <c r="D441" s="1">
        <v>40000</v>
      </c>
      <c r="E441" s="1">
        <v>0</v>
      </c>
      <c r="F441">
        <v>308739.48</v>
      </c>
      <c r="G441" s="8" t="s">
        <v>1379</v>
      </c>
      <c r="K441" s="2"/>
      <c r="L441" s="232">
        <v>40579</v>
      </c>
      <c r="N441">
        <f t="shared" si="3"/>
        <v>40000</v>
      </c>
    </row>
    <row r="442" spans="1:14" hidden="1">
      <c r="A442" s="232">
        <v>40581</v>
      </c>
      <c r="C442" t="s">
        <v>1583</v>
      </c>
      <c r="D442" s="1">
        <v>2969.4</v>
      </c>
      <c r="E442" s="1">
        <v>0</v>
      </c>
      <c r="F442">
        <v>305770.08</v>
      </c>
      <c r="G442" s="8" t="s">
        <v>1362</v>
      </c>
      <c r="K442" s="2"/>
      <c r="L442" s="232">
        <v>40581</v>
      </c>
      <c r="N442">
        <f t="shared" si="3"/>
        <v>2969.4</v>
      </c>
    </row>
    <row r="443" spans="1:14" hidden="1">
      <c r="A443" s="232">
        <v>40581</v>
      </c>
      <c r="C443" t="s">
        <v>1584</v>
      </c>
      <c r="D443" s="1">
        <v>600</v>
      </c>
      <c r="E443" s="1">
        <v>0</v>
      </c>
      <c r="F443">
        <v>305170.08</v>
      </c>
      <c r="K443" s="2"/>
      <c r="L443" s="232">
        <v>40581</v>
      </c>
      <c r="N443">
        <f t="shared" si="3"/>
        <v>600</v>
      </c>
    </row>
    <row r="444" spans="1:14" hidden="1">
      <c r="A444" s="232">
        <v>40584</v>
      </c>
      <c r="C444" t="s">
        <v>1585</v>
      </c>
      <c r="D444" s="1">
        <v>2000</v>
      </c>
      <c r="E444" s="1">
        <v>0</v>
      </c>
      <c r="F444">
        <v>303170.08</v>
      </c>
      <c r="G444" s="8" t="s">
        <v>1372</v>
      </c>
      <c r="K444" s="2"/>
      <c r="L444" s="232">
        <v>40584</v>
      </c>
      <c r="N444">
        <f t="shared" si="3"/>
        <v>2000</v>
      </c>
    </row>
    <row r="445" spans="1:14" hidden="1">
      <c r="A445" s="232">
        <v>40592</v>
      </c>
      <c r="C445" t="s">
        <v>1586</v>
      </c>
      <c r="D445" s="1">
        <v>2000</v>
      </c>
      <c r="E445" s="1">
        <v>0</v>
      </c>
      <c r="F445">
        <v>301170.08</v>
      </c>
      <c r="G445" s="8" t="s">
        <v>1361</v>
      </c>
      <c r="K445" s="2"/>
      <c r="L445" s="232">
        <v>40592</v>
      </c>
      <c r="N445">
        <f t="shared" si="3"/>
        <v>2000</v>
      </c>
    </row>
    <row r="446" spans="1:14" hidden="1">
      <c r="A446" s="232">
        <v>40592</v>
      </c>
      <c r="C446" t="s">
        <v>1587</v>
      </c>
      <c r="D446" s="1">
        <v>319</v>
      </c>
      <c r="E446" s="1">
        <v>0</v>
      </c>
      <c r="F446">
        <v>300851.08</v>
      </c>
      <c r="K446" s="2"/>
      <c r="L446" s="232">
        <v>40592</v>
      </c>
      <c r="N446">
        <f t="shared" si="3"/>
        <v>319</v>
      </c>
    </row>
    <row r="447" spans="1:14" hidden="1">
      <c r="A447" s="232">
        <v>40599</v>
      </c>
      <c r="C447" t="s">
        <v>1588</v>
      </c>
      <c r="D447" s="1">
        <v>392</v>
      </c>
      <c r="E447" s="1">
        <v>0</v>
      </c>
      <c r="F447">
        <v>300459.08</v>
      </c>
      <c r="K447" s="2"/>
      <c r="L447" s="232">
        <v>40599</v>
      </c>
      <c r="N447">
        <f t="shared" si="3"/>
        <v>392</v>
      </c>
    </row>
    <row r="448" spans="1:14" hidden="1">
      <c r="A448" s="232">
        <v>40599</v>
      </c>
      <c r="C448" t="s">
        <v>1589</v>
      </c>
      <c r="D448" s="1">
        <v>285</v>
      </c>
      <c r="E448" s="1">
        <v>0</v>
      </c>
      <c r="F448">
        <v>300174.08000000002</v>
      </c>
      <c r="K448" s="2"/>
      <c r="L448" s="232">
        <v>40599</v>
      </c>
      <c r="N448">
        <f t="shared" si="3"/>
        <v>285</v>
      </c>
    </row>
    <row r="449" spans="1:14" hidden="1">
      <c r="A449" s="232">
        <v>40600</v>
      </c>
      <c r="C449" t="s">
        <v>1590</v>
      </c>
      <c r="D449" s="1">
        <v>0</v>
      </c>
      <c r="E449" s="1">
        <v>3592</v>
      </c>
      <c r="F449">
        <v>303766.08</v>
      </c>
      <c r="G449" s="8" t="s">
        <v>1380</v>
      </c>
      <c r="K449" s="2"/>
      <c r="L449" s="232">
        <v>40600</v>
      </c>
      <c r="N449">
        <f t="shared" si="3"/>
        <v>0</v>
      </c>
    </row>
    <row r="450" spans="1:14" hidden="1">
      <c r="A450" s="232">
        <v>40602</v>
      </c>
      <c r="C450" t="s">
        <v>1404</v>
      </c>
      <c r="D450" s="1">
        <v>0</v>
      </c>
      <c r="E450" s="1">
        <v>126246</v>
      </c>
      <c r="F450">
        <v>430012.08</v>
      </c>
      <c r="G450" s="8" t="s">
        <v>1380</v>
      </c>
      <c r="K450" s="2"/>
      <c r="L450" s="232">
        <v>40602</v>
      </c>
      <c r="N450">
        <f t="shared" si="3"/>
        <v>0</v>
      </c>
    </row>
    <row r="451" spans="1:14" hidden="1">
      <c r="A451" s="232">
        <v>40602</v>
      </c>
      <c r="C451" t="s">
        <v>1591</v>
      </c>
      <c r="D451" s="1">
        <v>2000</v>
      </c>
      <c r="E451" s="1">
        <v>0</v>
      </c>
      <c r="F451">
        <v>428012.08</v>
      </c>
      <c r="G451" s="8" t="s">
        <v>1372</v>
      </c>
      <c r="K451" s="2"/>
      <c r="L451" s="232">
        <v>40602</v>
      </c>
      <c r="N451">
        <f t="shared" si="3"/>
        <v>2000</v>
      </c>
    </row>
    <row r="452" spans="1:14" hidden="1">
      <c r="A452" s="232">
        <v>40606</v>
      </c>
      <c r="C452" t="s">
        <v>1592</v>
      </c>
      <c r="D452" s="1">
        <v>12100</v>
      </c>
      <c r="E452" s="1">
        <v>0</v>
      </c>
      <c r="F452">
        <v>415912.08</v>
      </c>
      <c r="K452" s="2"/>
      <c r="L452" s="232">
        <v>40606</v>
      </c>
      <c r="N452">
        <f t="shared" si="3"/>
        <v>12100</v>
      </c>
    </row>
    <row r="453" spans="1:14" hidden="1">
      <c r="A453" s="232">
        <v>40607</v>
      </c>
      <c r="C453" t="s">
        <v>1593</v>
      </c>
      <c r="D453" s="1">
        <v>0</v>
      </c>
      <c r="E453" s="1">
        <v>6152</v>
      </c>
      <c r="F453">
        <v>422064.08</v>
      </c>
      <c r="G453" s="8" t="s">
        <v>1368</v>
      </c>
      <c r="K453" s="2"/>
      <c r="L453" s="232">
        <v>40607</v>
      </c>
      <c r="N453">
        <f t="shared" si="3"/>
        <v>0</v>
      </c>
    </row>
    <row r="454" spans="1:14" hidden="1">
      <c r="A454" s="232">
        <v>40607</v>
      </c>
      <c r="C454" t="s">
        <v>1571</v>
      </c>
      <c r="D454" s="1">
        <v>40000</v>
      </c>
      <c r="E454" s="1">
        <v>0</v>
      </c>
      <c r="F454">
        <v>382064.08</v>
      </c>
      <c r="G454" s="8" t="s">
        <v>1379</v>
      </c>
      <c r="K454" s="2"/>
      <c r="L454" s="232">
        <v>40607</v>
      </c>
      <c r="N454">
        <f t="shared" si="3"/>
        <v>40000</v>
      </c>
    </row>
    <row r="455" spans="1:14" hidden="1">
      <c r="A455" s="232">
        <v>40609</v>
      </c>
      <c r="C455" t="s">
        <v>1553</v>
      </c>
      <c r="D455" s="1">
        <v>6825</v>
      </c>
      <c r="E455" s="1">
        <v>0</v>
      </c>
      <c r="F455">
        <v>375239.08</v>
      </c>
      <c r="K455" s="2"/>
      <c r="L455" s="232">
        <v>40609</v>
      </c>
      <c r="N455">
        <f t="shared" si="3"/>
        <v>6825</v>
      </c>
    </row>
    <row r="456" spans="1:14" hidden="1">
      <c r="A456" s="232">
        <v>40610</v>
      </c>
      <c r="C456" t="s">
        <v>1594</v>
      </c>
      <c r="D456" s="1">
        <v>0</v>
      </c>
      <c r="E456" s="1">
        <v>600</v>
      </c>
      <c r="F456">
        <v>375839.08</v>
      </c>
      <c r="G456" s="8" t="s">
        <v>1380</v>
      </c>
      <c r="K456" s="2"/>
      <c r="L456" s="232">
        <v>40610</v>
      </c>
      <c r="N456">
        <f t="shared" si="3"/>
        <v>0</v>
      </c>
    </row>
    <row r="457" spans="1:14" hidden="1">
      <c r="A457" s="232">
        <v>40612</v>
      </c>
      <c r="C457" t="s">
        <v>1595</v>
      </c>
      <c r="D457" s="1">
        <v>2000</v>
      </c>
      <c r="E457" s="1">
        <v>0</v>
      </c>
      <c r="F457">
        <v>373839.08</v>
      </c>
      <c r="G457" s="8" t="s">
        <v>1372</v>
      </c>
      <c r="K457" s="2"/>
      <c r="L457" s="232">
        <v>40612</v>
      </c>
      <c r="N457">
        <f t="shared" si="3"/>
        <v>2000</v>
      </c>
    </row>
    <row r="458" spans="1:14" hidden="1">
      <c r="A458" s="232">
        <v>40617</v>
      </c>
      <c r="C458" t="s">
        <v>1596</v>
      </c>
      <c r="D458" s="1">
        <v>307</v>
      </c>
      <c r="E458" s="1">
        <v>0</v>
      </c>
      <c r="F458">
        <v>373532.08</v>
      </c>
      <c r="K458" s="2"/>
      <c r="L458" s="232">
        <v>40617</v>
      </c>
      <c r="N458">
        <f t="shared" si="3"/>
        <v>307</v>
      </c>
    </row>
    <row r="459" spans="1:14" hidden="1">
      <c r="A459" s="232">
        <v>40625</v>
      </c>
      <c r="C459" t="s">
        <v>1597</v>
      </c>
      <c r="D459" s="1">
        <v>445</v>
      </c>
      <c r="E459" s="1">
        <v>0</v>
      </c>
      <c r="F459">
        <v>373087.08</v>
      </c>
      <c r="K459" s="2"/>
      <c r="L459" s="232">
        <v>40625</v>
      </c>
      <c r="N459">
        <f t="shared" ref="N459:N522" si="4">D459*1</f>
        <v>445</v>
      </c>
    </row>
    <row r="460" spans="1:14" hidden="1">
      <c r="A460" s="232">
        <v>40628</v>
      </c>
      <c r="C460" t="s">
        <v>1598</v>
      </c>
      <c r="D460" s="1">
        <v>100000</v>
      </c>
      <c r="E460" s="1">
        <v>0</v>
      </c>
      <c r="F460">
        <v>273087.08</v>
      </c>
      <c r="G460" s="8" t="s">
        <v>1363</v>
      </c>
      <c r="K460" s="2"/>
      <c r="L460" s="232">
        <v>40628</v>
      </c>
      <c r="N460">
        <f t="shared" si="4"/>
        <v>100000</v>
      </c>
    </row>
    <row r="461" spans="1:14" hidden="1">
      <c r="A461" s="232">
        <v>40630</v>
      </c>
      <c r="C461" t="s">
        <v>1599</v>
      </c>
      <c r="D461" s="1">
        <v>2000</v>
      </c>
      <c r="E461" s="1">
        <v>0</v>
      </c>
      <c r="F461">
        <v>271087.08</v>
      </c>
      <c r="G461" s="8" t="s">
        <v>1372</v>
      </c>
      <c r="K461" s="2"/>
      <c r="L461" s="232">
        <v>40630</v>
      </c>
      <c r="N461">
        <f t="shared" si="4"/>
        <v>2000</v>
      </c>
    </row>
    <row r="462" spans="1:14" hidden="1">
      <c r="A462" s="232">
        <v>40631</v>
      </c>
      <c r="C462" t="s">
        <v>1600</v>
      </c>
      <c r="D462" s="1">
        <v>109</v>
      </c>
      <c r="E462" s="1">
        <v>0</v>
      </c>
      <c r="F462">
        <v>270978.08</v>
      </c>
      <c r="K462" s="2"/>
      <c r="L462" s="232">
        <v>40631</v>
      </c>
      <c r="N462">
        <f t="shared" si="4"/>
        <v>109</v>
      </c>
    </row>
    <row r="463" spans="1:14" hidden="1">
      <c r="A463" s="232">
        <v>40632</v>
      </c>
      <c r="C463" t="s">
        <v>1404</v>
      </c>
      <c r="D463" s="1">
        <v>0</v>
      </c>
      <c r="E463" s="1">
        <v>114156</v>
      </c>
      <c r="F463">
        <v>385134.08000000002</v>
      </c>
      <c r="G463" s="8" t="s">
        <v>1380</v>
      </c>
      <c r="K463" s="2"/>
      <c r="L463" s="232">
        <v>40632</v>
      </c>
      <c r="N463">
        <f t="shared" si="4"/>
        <v>0</v>
      </c>
    </row>
    <row r="464" spans="1:14" hidden="1">
      <c r="A464" s="232">
        <v>40634</v>
      </c>
      <c r="C464" t="s">
        <v>1394</v>
      </c>
      <c r="D464" s="1">
        <v>0</v>
      </c>
      <c r="E464" s="1">
        <v>0</v>
      </c>
      <c r="F464">
        <v>385134.08000000002</v>
      </c>
      <c r="K464" s="2"/>
      <c r="L464" s="232">
        <v>40634</v>
      </c>
      <c r="N464">
        <f t="shared" si="4"/>
        <v>0</v>
      </c>
    </row>
    <row r="465" spans="1:14" hidden="1">
      <c r="A465" s="232">
        <v>40635</v>
      </c>
      <c r="C465" t="s">
        <v>1601</v>
      </c>
      <c r="D465" s="1">
        <v>17399</v>
      </c>
      <c r="E465" s="1">
        <v>0</v>
      </c>
      <c r="F465">
        <v>367735.08</v>
      </c>
      <c r="G465" s="8" t="s">
        <v>1362</v>
      </c>
      <c r="K465" s="2"/>
      <c r="L465" s="232">
        <v>40635</v>
      </c>
      <c r="N465">
        <f t="shared" si="4"/>
        <v>17399</v>
      </c>
    </row>
    <row r="466" spans="1:14" hidden="1">
      <c r="A466" s="232">
        <v>40635</v>
      </c>
      <c r="C466" t="s">
        <v>1602</v>
      </c>
      <c r="D466" s="1">
        <v>5400</v>
      </c>
      <c r="E466" s="1">
        <v>0</v>
      </c>
      <c r="F466">
        <v>362335.08</v>
      </c>
      <c r="K466" s="2"/>
      <c r="L466" s="232">
        <v>40635</v>
      </c>
      <c r="N466">
        <f t="shared" si="4"/>
        <v>5400</v>
      </c>
    </row>
    <row r="467" spans="1:14" hidden="1">
      <c r="A467" s="232">
        <v>40637</v>
      </c>
      <c r="C467" t="s">
        <v>1603</v>
      </c>
      <c r="D467" s="1">
        <v>20000</v>
      </c>
      <c r="E467" s="1">
        <v>0</v>
      </c>
      <c r="F467">
        <v>342335.08</v>
      </c>
      <c r="G467" s="8" t="s">
        <v>1361</v>
      </c>
      <c r="K467" s="2"/>
      <c r="L467" s="232">
        <v>40637</v>
      </c>
      <c r="N467">
        <f t="shared" si="4"/>
        <v>20000</v>
      </c>
    </row>
    <row r="468" spans="1:14" hidden="1">
      <c r="A468" s="232">
        <v>40637</v>
      </c>
      <c r="C468" t="s">
        <v>1604</v>
      </c>
      <c r="D468" s="1">
        <v>12100</v>
      </c>
      <c r="E468" s="1">
        <v>0</v>
      </c>
      <c r="F468">
        <v>330235.08</v>
      </c>
      <c r="K468" s="2"/>
      <c r="L468" s="232">
        <v>40637</v>
      </c>
      <c r="N468">
        <f t="shared" si="4"/>
        <v>12100</v>
      </c>
    </row>
    <row r="469" spans="1:14" hidden="1">
      <c r="A469" s="232">
        <v>40638</v>
      </c>
      <c r="C469" t="s">
        <v>1605</v>
      </c>
      <c r="D469" s="1">
        <v>100000</v>
      </c>
      <c r="E469" s="1">
        <v>0</v>
      </c>
      <c r="F469">
        <v>230235.08</v>
      </c>
      <c r="G469" s="8" t="s">
        <v>1363</v>
      </c>
      <c r="K469" s="2"/>
      <c r="L469" s="232">
        <v>40638</v>
      </c>
      <c r="N469">
        <f t="shared" si="4"/>
        <v>100000</v>
      </c>
    </row>
    <row r="470" spans="1:14" hidden="1">
      <c r="A470" s="232">
        <v>40638</v>
      </c>
      <c r="C470" t="s">
        <v>1571</v>
      </c>
      <c r="D470" s="1">
        <v>40000</v>
      </c>
      <c r="E470" s="1">
        <v>0</v>
      </c>
      <c r="F470">
        <v>190235.08</v>
      </c>
      <c r="G470" s="8" t="s">
        <v>1379</v>
      </c>
      <c r="K470" s="2"/>
      <c r="L470" s="232">
        <v>40638</v>
      </c>
      <c r="N470">
        <f t="shared" si="4"/>
        <v>40000</v>
      </c>
    </row>
    <row r="471" spans="1:14" hidden="1">
      <c r="A471" s="232">
        <v>40639</v>
      </c>
      <c r="C471" t="s">
        <v>1606</v>
      </c>
      <c r="D471" s="1">
        <v>0</v>
      </c>
      <c r="E471" s="1">
        <v>695.53</v>
      </c>
      <c r="F471">
        <v>190930.61</v>
      </c>
      <c r="G471" s="8" t="s">
        <v>1375</v>
      </c>
      <c r="K471" s="2"/>
      <c r="L471" s="232">
        <v>40639</v>
      </c>
      <c r="N471">
        <f t="shared" si="4"/>
        <v>0</v>
      </c>
    </row>
    <row r="472" spans="1:14" hidden="1">
      <c r="A472" s="232">
        <v>40644</v>
      </c>
      <c r="C472" t="s">
        <v>1607</v>
      </c>
      <c r="D472" s="1">
        <v>450</v>
      </c>
      <c r="E472" s="1">
        <v>0</v>
      </c>
      <c r="F472">
        <v>190480.61</v>
      </c>
      <c r="K472" s="2"/>
      <c r="L472" s="232">
        <v>40644</v>
      </c>
      <c r="N472">
        <f t="shared" si="4"/>
        <v>450</v>
      </c>
    </row>
    <row r="473" spans="1:14" hidden="1">
      <c r="A473" s="232">
        <v>40644</v>
      </c>
      <c r="C473" t="s">
        <v>1608</v>
      </c>
      <c r="D473" s="1">
        <v>2000</v>
      </c>
      <c r="E473" s="1">
        <v>0</v>
      </c>
      <c r="F473">
        <v>188480.61</v>
      </c>
      <c r="G473" s="8" t="s">
        <v>1372</v>
      </c>
      <c r="K473" s="2"/>
      <c r="L473" s="232">
        <v>40644</v>
      </c>
      <c r="N473">
        <f t="shared" si="4"/>
        <v>2000</v>
      </c>
    </row>
    <row r="474" spans="1:14" hidden="1">
      <c r="A474" s="232">
        <v>40654</v>
      </c>
      <c r="C474" t="s">
        <v>1609</v>
      </c>
      <c r="D474" s="1">
        <v>1048</v>
      </c>
      <c r="E474" s="1">
        <v>0</v>
      </c>
      <c r="F474">
        <v>187432.61</v>
      </c>
      <c r="K474" s="2"/>
      <c r="L474" s="232">
        <v>40654</v>
      </c>
      <c r="N474">
        <f t="shared" si="4"/>
        <v>1048</v>
      </c>
    </row>
    <row r="475" spans="1:14" hidden="1">
      <c r="A475" s="232">
        <v>40658</v>
      </c>
      <c r="C475" t="s">
        <v>1610</v>
      </c>
      <c r="D475" s="1">
        <v>1047.77</v>
      </c>
      <c r="E475" s="1">
        <v>0</v>
      </c>
      <c r="F475">
        <v>186384.84</v>
      </c>
      <c r="K475" s="2"/>
      <c r="L475" s="232">
        <v>40658</v>
      </c>
      <c r="N475">
        <f t="shared" si="4"/>
        <v>1047.77</v>
      </c>
    </row>
    <row r="476" spans="1:14" hidden="1">
      <c r="A476" s="232">
        <v>40660</v>
      </c>
      <c r="C476" t="s">
        <v>1611</v>
      </c>
      <c r="D476" s="1">
        <v>1000</v>
      </c>
      <c r="E476" s="1">
        <v>0</v>
      </c>
      <c r="F476">
        <v>185384.84</v>
      </c>
      <c r="K476" s="2"/>
      <c r="L476" s="232">
        <v>40660</v>
      </c>
      <c r="N476">
        <f t="shared" si="4"/>
        <v>1000</v>
      </c>
    </row>
    <row r="477" spans="1:14" hidden="1">
      <c r="A477" s="232">
        <v>40661</v>
      </c>
      <c r="C477" t="s">
        <v>1612</v>
      </c>
      <c r="D477" s="1">
        <v>2000</v>
      </c>
      <c r="E477" s="1">
        <v>0</v>
      </c>
      <c r="F477">
        <v>183384.84</v>
      </c>
      <c r="G477" s="8" t="s">
        <v>1372</v>
      </c>
      <c r="K477" s="2"/>
      <c r="L477" s="232">
        <v>40661</v>
      </c>
      <c r="N477">
        <f t="shared" si="4"/>
        <v>2000</v>
      </c>
    </row>
    <row r="478" spans="1:14" hidden="1">
      <c r="A478" s="232">
        <v>40661</v>
      </c>
      <c r="C478" t="s">
        <v>1404</v>
      </c>
      <c r="D478" s="1">
        <v>0</v>
      </c>
      <c r="E478" s="1">
        <v>477997</v>
      </c>
      <c r="F478">
        <v>661381.84</v>
      </c>
      <c r="G478" s="8" t="s">
        <v>1380</v>
      </c>
      <c r="K478" s="2"/>
      <c r="L478" s="232">
        <v>40661</v>
      </c>
      <c r="N478">
        <f t="shared" si="4"/>
        <v>0</v>
      </c>
    </row>
    <row r="479" spans="1:14" hidden="1">
      <c r="A479" s="232">
        <v>40666</v>
      </c>
      <c r="C479" t="s">
        <v>1613</v>
      </c>
      <c r="D479" s="1">
        <v>9917</v>
      </c>
      <c r="E479" s="1">
        <v>0</v>
      </c>
      <c r="F479">
        <v>651464.84</v>
      </c>
      <c r="G479" s="8" t="s">
        <v>1362</v>
      </c>
      <c r="K479" s="2"/>
      <c r="L479" s="232">
        <v>40666</v>
      </c>
      <c r="N479">
        <f t="shared" si="4"/>
        <v>9917</v>
      </c>
    </row>
    <row r="480" spans="1:14" hidden="1">
      <c r="A480" s="232">
        <v>40667</v>
      </c>
      <c r="C480" t="s">
        <v>1614</v>
      </c>
      <c r="D480" s="1">
        <v>17500</v>
      </c>
      <c r="E480" s="1">
        <v>0</v>
      </c>
      <c r="F480">
        <v>633964.84</v>
      </c>
      <c r="K480" s="2"/>
      <c r="L480" s="232">
        <v>40667</v>
      </c>
      <c r="N480">
        <f t="shared" si="4"/>
        <v>17500</v>
      </c>
    </row>
    <row r="481" spans="1:14" hidden="1">
      <c r="A481" s="232">
        <v>40668</v>
      </c>
      <c r="C481" t="s">
        <v>1615</v>
      </c>
      <c r="D481" s="1">
        <v>0</v>
      </c>
      <c r="E481" s="1">
        <v>1238.21</v>
      </c>
      <c r="F481">
        <v>635203.05000000005</v>
      </c>
      <c r="G481" s="8" t="s">
        <v>1375</v>
      </c>
      <c r="K481" s="2"/>
      <c r="L481" s="232">
        <v>40668</v>
      </c>
      <c r="N481">
        <f t="shared" si="4"/>
        <v>0</v>
      </c>
    </row>
    <row r="482" spans="1:14" hidden="1">
      <c r="A482" s="232">
        <v>40668</v>
      </c>
      <c r="C482" t="s">
        <v>1571</v>
      </c>
      <c r="D482" s="1">
        <v>40000</v>
      </c>
      <c r="E482" s="1">
        <v>0</v>
      </c>
      <c r="F482">
        <v>595203.05000000005</v>
      </c>
      <c r="G482" s="8" t="s">
        <v>1379</v>
      </c>
      <c r="K482" s="2"/>
      <c r="L482" s="232">
        <v>40668</v>
      </c>
      <c r="N482">
        <f t="shared" si="4"/>
        <v>40000</v>
      </c>
    </row>
    <row r="483" spans="1:14" hidden="1">
      <c r="A483" s="232">
        <v>40673</v>
      </c>
      <c r="C483" t="s">
        <v>1616</v>
      </c>
      <c r="D483" s="1">
        <v>18540</v>
      </c>
      <c r="E483" s="1">
        <v>0</v>
      </c>
      <c r="F483">
        <v>576663.05000000005</v>
      </c>
      <c r="K483" s="2"/>
      <c r="L483" s="232">
        <v>40673</v>
      </c>
      <c r="N483">
        <f t="shared" si="4"/>
        <v>18540</v>
      </c>
    </row>
    <row r="484" spans="1:14" hidden="1">
      <c r="A484" s="232">
        <v>40673</v>
      </c>
      <c r="C484" t="s">
        <v>1617</v>
      </c>
      <c r="D484" s="1">
        <v>2000</v>
      </c>
      <c r="E484" s="1">
        <v>0</v>
      </c>
      <c r="F484">
        <v>574663.05000000005</v>
      </c>
      <c r="G484" s="8" t="s">
        <v>1372</v>
      </c>
      <c r="K484" s="2"/>
      <c r="L484" s="232">
        <v>40673</v>
      </c>
      <c r="N484">
        <f t="shared" si="4"/>
        <v>2000</v>
      </c>
    </row>
    <row r="485" spans="1:14" hidden="1">
      <c r="A485" s="232">
        <v>40677</v>
      </c>
      <c r="C485" t="s">
        <v>1618</v>
      </c>
      <c r="D485" s="1">
        <v>848</v>
      </c>
      <c r="E485" s="1">
        <v>0</v>
      </c>
      <c r="F485">
        <v>573815.05000000005</v>
      </c>
      <c r="K485" s="2"/>
      <c r="L485" s="232">
        <v>40677</v>
      </c>
      <c r="N485">
        <f t="shared" si="4"/>
        <v>848</v>
      </c>
    </row>
    <row r="486" spans="1:14" hidden="1">
      <c r="A486" s="232">
        <v>40680</v>
      </c>
      <c r="C486" t="s">
        <v>1619</v>
      </c>
      <c r="D486" s="1">
        <v>3000</v>
      </c>
      <c r="E486" s="1">
        <v>0</v>
      </c>
      <c r="F486">
        <v>570815.05000000005</v>
      </c>
      <c r="G486" s="8" t="s">
        <v>1361</v>
      </c>
      <c r="K486" s="2"/>
      <c r="L486" s="232">
        <v>40680</v>
      </c>
      <c r="N486">
        <f t="shared" si="4"/>
        <v>3000</v>
      </c>
    </row>
    <row r="487" spans="1:14" hidden="1">
      <c r="A487" s="232">
        <v>40686</v>
      </c>
      <c r="C487" t="s">
        <v>1620</v>
      </c>
      <c r="D487" s="1">
        <v>10000</v>
      </c>
      <c r="E487" s="1">
        <v>0</v>
      </c>
      <c r="F487">
        <v>560815.05000000005</v>
      </c>
      <c r="G487" s="8" t="s">
        <v>1361</v>
      </c>
      <c r="K487" s="2"/>
      <c r="L487" s="232">
        <v>40686</v>
      </c>
      <c r="N487">
        <f t="shared" si="4"/>
        <v>10000</v>
      </c>
    </row>
    <row r="488" spans="1:14" hidden="1">
      <c r="A488" s="232">
        <v>40686</v>
      </c>
      <c r="C488" t="s">
        <v>1621</v>
      </c>
      <c r="D488" s="1">
        <v>5000</v>
      </c>
      <c r="E488" s="1">
        <v>0</v>
      </c>
      <c r="F488">
        <v>555815.05000000005</v>
      </c>
      <c r="G488" s="8" t="s">
        <v>1361</v>
      </c>
      <c r="K488" s="2"/>
      <c r="L488" s="232">
        <v>40686</v>
      </c>
      <c r="N488">
        <f t="shared" si="4"/>
        <v>5000</v>
      </c>
    </row>
    <row r="489" spans="1:14" hidden="1">
      <c r="A489" s="232">
        <v>40687</v>
      </c>
      <c r="C489" t="s">
        <v>1622</v>
      </c>
      <c r="D489" s="1">
        <v>0</v>
      </c>
      <c r="E489" s="1">
        <v>2661</v>
      </c>
      <c r="F489">
        <v>558476.05000000005</v>
      </c>
      <c r="G489" s="8" t="s">
        <v>1380</v>
      </c>
      <c r="K489" s="2"/>
      <c r="L489" s="232">
        <v>40687</v>
      </c>
      <c r="N489">
        <f t="shared" si="4"/>
        <v>0</v>
      </c>
    </row>
    <row r="490" spans="1:14" hidden="1">
      <c r="A490" s="232">
        <v>40688</v>
      </c>
      <c r="C490" t="s">
        <v>1623</v>
      </c>
      <c r="D490" s="1">
        <v>1027</v>
      </c>
      <c r="E490" s="1">
        <v>0</v>
      </c>
      <c r="F490">
        <v>557449.05000000005</v>
      </c>
      <c r="K490" s="2"/>
      <c r="L490" s="232">
        <v>40688</v>
      </c>
      <c r="N490">
        <f t="shared" si="4"/>
        <v>1027</v>
      </c>
    </row>
    <row r="491" spans="1:14" hidden="1">
      <c r="A491" s="232">
        <v>40691</v>
      </c>
      <c r="C491" t="s">
        <v>1624</v>
      </c>
      <c r="D491" s="1">
        <v>2000</v>
      </c>
      <c r="E491" s="1">
        <v>0</v>
      </c>
      <c r="F491">
        <v>555449.05000000005</v>
      </c>
      <c r="G491" s="8" t="s">
        <v>1372</v>
      </c>
      <c r="K491" s="2"/>
      <c r="L491" s="232">
        <v>40691</v>
      </c>
      <c r="N491">
        <f t="shared" si="4"/>
        <v>2000</v>
      </c>
    </row>
    <row r="492" spans="1:14" hidden="1">
      <c r="A492" s="232">
        <v>40693</v>
      </c>
      <c r="C492" t="s">
        <v>1625</v>
      </c>
      <c r="D492" s="1">
        <v>400</v>
      </c>
      <c r="E492" s="1">
        <v>0</v>
      </c>
      <c r="F492">
        <v>555049.05000000005</v>
      </c>
      <c r="G492" s="8" t="s">
        <v>1361</v>
      </c>
      <c r="K492" s="2"/>
      <c r="L492" s="232">
        <v>40693</v>
      </c>
      <c r="N492">
        <f t="shared" si="4"/>
        <v>400</v>
      </c>
    </row>
    <row r="493" spans="1:14" hidden="1">
      <c r="A493" s="232">
        <v>40693</v>
      </c>
      <c r="C493" t="s">
        <v>1404</v>
      </c>
      <c r="D493" s="1">
        <v>0</v>
      </c>
      <c r="E493" s="1">
        <v>109752</v>
      </c>
      <c r="F493">
        <v>664801.05000000005</v>
      </c>
      <c r="G493" s="8" t="s">
        <v>1380</v>
      </c>
      <c r="K493" s="2"/>
      <c r="L493" s="232">
        <v>40693</v>
      </c>
      <c r="N493">
        <f t="shared" si="4"/>
        <v>0</v>
      </c>
    </row>
    <row r="494" spans="1:14" hidden="1">
      <c r="A494" s="232">
        <v>40695</v>
      </c>
      <c r="C494" t="s">
        <v>1626</v>
      </c>
      <c r="D494" s="1">
        <v>28383.66</v>
      </c>
      <c r="E494" s="1">
        <v>0</v>
      </c>
      <c r="F494">
        <v>636417.39</v>
      </c>
      <c r="K494" s="2"/>
      <c r="L494" s="232">
        <v>40695</v>
      </c>
      <c r="N494">
        <f t="shared" si="4"/>
        <v>28383.66</v>
      </c>
    </row>
    <row r="495" spans="1:14" hidden="1">
      <c r="A495" s="232">
        <v>40697</v>
      </c>
      <c r="C495" t="s">
        <v>1627</v>
      </c>
      <c r="D495" s="1">
        <v>100000</v>
      </c>
      <c r="E495" s="1">
        <v>0</v>
      </c>
      <c r="F495">
        <v>536417.39</v>
      </c>
      <c r="G495" s="8" t="s">
        <v>1363</v>
      </c>
      <c r="K495" s="2"/>
      <c r="L495" s="232">
        <v>40697</v>
      </c>
      <c r="N495">
        <f t="shared" si="4"/>
        <v>100000</v>
      </c>
    </row>
    <row r="496" spans="1:14" hidden="1">
      <c r="A496" s="232">
        <v>40698</v>
      </c>
      <c r="C496" t="s">
        <v>1628</v>
      </c>
      <c r="D496" s="1">
        <v>17500</v>
      </c>
      <c r="E496" s="1">
        <v>0</v>
      </c>
      <c r="F496">
        <v>518917.39</v>
      </c>
      <c r="K496" s="2"/>
      <c r="L496" s="232">
        <v>40698</v>
      </c>
      <c r="N496">
        <f t="shared" si="4"/>
        <v>17500</v>
      </c>
    </row>
    <row r="497" spans="1:14" hidden="1">
      <c r="A497" s="232">
        <v>40700</v>
      </c>
      <c r="C497" t="s">
        <v>1629</v>
      </c>
      <c r="D497" s="1">
        <v>7000</v>
      </c>
      <c r="E497" s="1">
        <v>0</v>
      </c>
      <c r="F497">
        <v>511917.39</v>
      </c>
      <c r="K497" s="2"/>
      <c r="L497" s="232">
        <v>40700</v>
      </c>
      <c r="N497">
        <f t="shared" si="4"/>
        <v>7000</v>
      </c>
    </row>
    <row r="498" spans="1:14" hidden="1">
      <c r="A498" s="232">
        <v>40700</v>
      </c>
      <c r="C498" t="s">
        <v>1630</v>
      </c>
      <c r="D498" s="1">
        <v>7500</v>
      </c>
      <c r="E498" s="1">
        <v>0</v>
      </c>
      <c r="F498">
        <v>504417.39</v>
      </c>
      <c r="K498" s="2"/>
      <c r="L498" s="232">
        <v>40700</v>
      </c>
      <c r="N498">
        <f t="shared" si="4"/>
        <v>7500</v>
      </c>
    </row>
    <row r="499" spans="1:14" hidden="1">
      <c r="A499" s="232">
        <v>40700</v>
      </c>
      <c r="C499" t="s">
        <v>1571</v>
      </c>
      <c r="D499" s="1">
        <v>40000</v>
      </c>
      <c r="E499" s="1">
        <v>0</v>
      </c>
      <c r="F499">
        <v>464417.39</v>
      </c>
      <c r="G499" s="8" t="s">
        <v>1379</v>
      </c>
      <c r="K499" s="2"/>
      <c r="L499" s="232">
        <v>40700</v>
      </c>
      <c r="N499">
        <f t="shared" si="4"/>
        <v>40000</v>
      </c>
    </row>
    <row r="500" spans="1:14" hidden="1">
      <c r="A500" s="232">
        <v>40704</v>
      </c>
      <c r="C500" t="s">
        <v>1631</v>
      </c>
      <c r="D500" s="1">
        <v>2000</v>
      </c>
      <c r="E500" s="1">
        <v>0</v>
      </c>
      <c r="F500">
        <v>462417.39</v>
      </c>
      <c r="G500" s="8" t="s">
        <v>1372</v>
      </c>
      <c r="K500" s="2"/>
      <c r="L500" s="232">
        <v>40704</v>
      </c>
      <c r="N500">
        <f t="shared" si="4"/>
        <v>2000</v>
      </c>
    </row>
    <row r="501" spans="1:14" hidden="1">
      <c r="A501" s="232">
        <v>40707</v>
      </c>
      <c r="C501" t="s">
        <v>1632</v>
      </c>
      <c r="D501" s="1">
        <v>270570</v>
      </c>
      <c r="E501" s="1">
        <v>0</v>
      </c>
      <c r="F501">
        <v>191847.39</v>
      </c>
      <c r="G501" s="8" t="s">
        <v>1370</v>
      </c>
      <c r="K501" s="2"/>
      <c r="L501" s="232">
        <v>40707</v>
      </c>
      <c r="N501">
        <f t="shared" si="4"/>
        <v>270570</v>
      </c>
    </row>
    <row r="502" spans="1:14" hidden="1">
      <c r="A502" s="232">
        <v>40714</v>
      </c>
      <c r="C502" t="s">
        <v>1633</v>
      </c>
      <c r="D502" s="1">
        <v>3000</v>
      </c>
      <c r="E502" s="1">
        <v>0</v>
      </c>
      <c r="F502">
        <v>188847.39</v>
      </c>
      <c r="G502" s="8" t="s">
        <v>1361</v>
      </c>
      <c r="K502" s="2"/>
      <c r="L502" s="232">
        <v>40714</v>
      </c>
      <c r="N502">
        <f t="shared" si="4"/>
        <v>3000</v>
      </c>
    </row>
    <row r="503" spans="1:14" hidden="1">
      <c r="A503" s="232">
        <v>40715</v>
      </c>
      <c r="C503" t="s">
        <v>1634</v>
      </c>
      <c r="D503" s="1">
        <v>699</v>
      </c>
      <c r="E503" s="1">
        <v>0</v>
      </c>
      <c r="F503">
        <v>188148.39</v>
      </c>
      <c r="K503" s="2"/>
      <c r="L503" s="232">
        <v>40715</v>
      </c>
      <c r="N503">
        <f t="shared" si="4"/>
        <v>699</v>
      </c>
    </row>
    <row r="504" spans="1:14" hidden="1">
      <c r="A504" s="232">
        <v>40717</v>
      </c>
      <c r="C504" t="s">
        <v>1635</v>
      </c>
      <c r="D504" s="1">
        <v>6000</v>
      </c>
      <c r="E504" s="1">
        <v>0</v>
      </c>
      <c r="F504">
        <v>182148.39</v>
      </c>
      <c r="K504" s="2"/>
      <c r="L504" s="232">
        <v>40717</v>
      </c>
      <c r="N504">
        <f t="shared" si="4"/>
        <v>6000</v>
      </c>
    </row>
    <row r="505" spans="1:14" hidden="1">
      <c r="A505" s="232">
        <v>40719</v>
      </c>
      <c r="C505" t="s">
        <v>1636</v>
      </c>
      <c r="D505" s="1">
        <v>1208</v>
      </c>
      <c r="E505" s="1">
        <v>0</v>
      </c>
      <c r="F505">
        <v>180940.39</v>
      </c>
      <c r="K505" s="2"/>
      <c r="L505" s="232">
        <v>40719</v>
      </c>
      <c r="N505">
        <f t="shared" si="4"/>
        <v>1208</v>
      </c>
    </row>
    <row r="506" spans="1:14" hidden="1">
      <c r="A506" s="232">
        <v>40722</v>
      </c>
      <c r="C506" t="s">
        <v>1637</v>
      </c>
      <c r="D506" s="1">
        <v>2000</v>
      </c>
      <c r="E506" s="1">
        <v>0</v>
      </c>
      <c r="F506">
        <v>178940.39</v>
      </c>
      <c r="G506" s="8" t="s">
        <v>1372</v>
      </c>
      <c r="K506" s="2"/>
      <c r="L506" s="232">
        <v>40722</v>
      </c>
      <c r="N506">
        <f t="shared" si="4"/>
        <v>2000</v>
      </c>
    </row>
    <row r="507" spans="1:14" hidden="1">
      <c r="A507" s="232">
        <v>40723</v>
      </c>
      <c r="C507" t="s">
        <v>1404</v>
      </c>
      <c r="D507" s="1">
        <v>0</v>
      </c>
      <c r="E507" s="1">
        <v>109752</v>
      </c>
      <c r="F507">
        <v>288692.39</v>
      </c>
      <c r="G507" s="8" t="s">
        <v>1380</v>
      </c>
      <c r="K507" s="2"/>
      <c r="L507" s="232">
        <v>40723</v>
      </c>
      <c r="N507">
        <f t="shared" si="4"/>
        <v>0</v>
      </c>
    </row>
    <row r="508" spans="1:14" hidden="1">
      <c r="A508" s="232">
        <v>40728</v>
      </c>
      <c r="C508" t="s">
        <v>1638</v>
      </c>
      <c r="D508" s="1">
        <v>9589</v>
      </c>
      <c r="E508" s="1">
        <v>0</v>
      </c>
      <c r="F508">
        <v>279103.39</v>
      </c>
      <c r="G508" s="8" t="s">
        <v>1362</v>
      </c>
      <c r="K508" s="2"/>
      <c r="L508" s="232">
        <v>40728</v>
      </c>
      <c r="N508">
        <f t="shared" si="4"/>
        <v>9589</v>
      </c>
    </row>
    <row r="509" spans="1:14" hidden="1">
      <c r="A509" s="232">
        <v>40728</v>
      </c>
      <c r="C509" t="s">
        <v>1639</v>
      </c>
      <c r="D509" s="1">
        <v>5000</v>
      </c>
      <c r="E509" s="1">
        <v>0</v>
      </c>
      <c r="F509">
        <v>274103.39</v>
      </c>
      <c r="G509" s="8" t="s">
        <v>1361</v>
      </c>
      <c r="K509" s="2"/>
      <c r="L509" s="232">
        <v>40728</v>
      </c>
      <c r="N509">
        <f t="shared" si="4"/>
        <v>5000</v>
      </c>
    </row>
    <row r="510" spans="1:14" hidden="1">
      <c r="A510" s="232">
        <v>40728</v>
      </c>
      <c r="C510" t="s">
        <v>1640</v>
      </c>
      <c r="D510" s="1">
        <v>12100</v>
      </c>
      <c r="E510" s="1">
        <v>0</v>
      </c>
      <c r="F510">
        <v>262003.39</v>
      </c>
      <c r="K510" s="2"/>
      <c r="L510" s="232">
        <v>40728</v>
      </c>
      <c r="N510">
        <f t="shared" si="4"/>
        <v>12100</v>
      </c>
    </row>
    <row r="511" spans="1:14" hidden="1">
      <c r="A511" s="232">
        <v>40729</v>
      </c>
      <c r="C511" t="s">
        <v>1571</v>
      </c>
      <c r="D511" s="1">
        <v>40000</v>
      </c>
      <c r="E511" s="1">
        <v>0</v>
      </c>
      <c r="F511">
        <v>222003.39</v>
      </c>
      <c r="G511" s="8" t="s">
        <v>1379</v>
      </c>
      <c r="K511" s="2"/>
      <c r="L511" s="232">
        <v>40729</v>
      </c>
      <c r="N511">
        <f t="shared" si="4"/>
        <v>40000</v>
      </c>
    </row>
    <row r="512" spans="1:14" hidden="1">
      <c r="A512" s="232">
        <v>40733</v>
      </c>
      <c r="C512" t="s">
        <v>1641</v>
      </c>
      <c r="D512" s="1">
        <v>4000</v>
      </c>
      <c r="E512" s="1">
        <v>0</v>
      </c>
      <c r="F512">
        <v>218003.39</v>
      </c>
      <c r="G512" s="8" t="s">
        <v>1361</v>
      </c>
      <c r="K512" s="2"/>
      <c r="L512" s="232">
        <v>40733</v>
      </c>
      <c r="N512">
        <f t="shared" si="4"/>
        <v>4000</v>
      </c>
    </row>
    <row r="513" spans="1:14" hidden="1">
      <c r="A513" s="232">
        <v>40735</v>
      </c>
      <c r="C513" t="s">
        <v>1642</v>
      </c>
      <c r="D513" s="1">
        <v>2000</v>
      </c>
      <c r="E513" s="1">
        <v>0</v>
      </c>
      <c r="F513">
        <v>216003.39</v>
      </c>
      <c r="G513" s="8" t="s">
        <v>1372</v>
      </c>
      <c r="K513" s="2"/>
      <c r="L513" s="232">
        <v>40735</v>
      </c>
      <c r="N513">
        <f t="shared" si="4"/>
        <v>2000</v>
      </c>
    </row>
    <row r="514" spans="1:14" hidden="1">
      <c r="A514" s="232">
        <v>40737</v>
      </c>
      <c r="C514" t="s">
        <v>1643</v>
      </c>
      <c r="D514" s="1">
        <v>10000</v>
      </c>
      <c r="E514" s="1">
        <v>0</v>
      </c>
      <c r="F514">
        <v>206003.39</v>
      </c>
      <c r="G514" s="8" t="s">
        <v>1361</v>
      </c>
      <c r="K514" s="2"/>
      <c r="L514" s="232">
        <v>40737</v>
      </c>
      <c r="N514">
        <f t="shared" si="4"/>
        <v>10000</v>
      </c>
    </row>
    <row r="515" spans="1:14" hidden="1">
      <c r="A515" s="232">
        <v>40742</v>
      </c>
      <c r="C515" t="s">
        <v>1644</v>
      </c>
      <c r="D515" s="1">
        <v>400</v>
      </c>
      <c r="E515" s="1">
        <v>0</v>
      </c>
      <c r="F515">
        <v>205603.39</v>
      </c>
      <c r="G515" s="8" t="s">
        <v>1361</v>
      </c>
      <c r="K515" s="2"/>
      <c r="L515" s="232">
        <v>40742</v>
      </c>
      <c r="N515">
        <f t="shared" si="4"/>
        <v>400</v>
      </c>
    </row>
    <row r="516" spans="1:14" hidden="1">
      <c r="A516" s="232">
        <v>40743</v>
      </c>
      <c r="C516" t="s">
        <v>1645</v>
      </c>
      <c r="D516" s="1">
        <v>20470</v>
      </c>
      <c r="E516" s="1">
        <v>0</v>
      </c>
      <c r="F516">
        <v>185133.39</v>
      </c>
      <c r="K516" s="2"/>
      <c r="L516" s="232">
        <v>40743</v>
      </c>
      <c r="N516">
        <f t="shared" si="4"/>
        <v>20470</v>
      </c>
    </row>
    <row r="517" spans="1:14" hidden="1">
      <c r="A517" s="232">
        <v>40743</v>
      </c>
      <c r="C517" t="s">
        <v>1646</v>
      </c>
      <c r="D517" s="1">
        <v>356</v>
      </c>
      <c r="E517" s="1">
        <v>0</v>
      </c>
      <c r="F517">
        <v>184777.39</v>
      </c>
      <c r="K517" s="2"/>
      <c r="L517" s="232">
        <v>40743</v>
      </c>
      <c r="N517">
        <f t="shared" si="4"/>
        <v>356</v>
      </c>
    </row>
    <row r="518" spans="1:14" hidden="1">
      <c r="A518" s="232">
        <v>40746</v>
      </c>
      <c r="C518" t="s">
        <v>1647</v>
      </c>
      <c r="D518" s="1">
        <v>394</v>
      </c>
      <c r="E518" s="1">
        <v>0</v>
      </c>
      <c r="F518">
        <v>184383.39</v>
      </c>
      <c r="K518" s="2"/>
      <c r="L518" s="232">
        <v>40746</v>
      </c>
      <c r="N518">
        <f t="shared" si="4"/>
        <v>394</v>
      </c>
    </row>
    <row r="519" spans="1:14" hidden="1">
      <c r="A519" s="232">
        <v>40749</v>
      </c>
      <c r="C519" t="s">
        <v>1648</v>
      </c>
      <c r="D519" s="1">
        <v>100000</v>
      </c>
      <c r="E519" s="1">
        <v>0</v>
      </c>
      <c r="F519">
        <v>84383.39</v>
      </c>
      <c r="G519" s="8" t="s">
        <v>1363</v>
      </c>
      <c r="K519" s="2"/>
      <c r="L519" s="232">
        <v>40749</v>
      </c>
      <c r="N519">
        <f t="shared" si="4"/>
        <v>100000</v>
      </c>
    </row>
    <row r="520" spans="1:14" hidden="1">
      <c r="A520" s="232">
        <v>40750</v>
      </c>
      <c r="C520" t="s">
        <v>1649</v>
      </c>
      <c r="D520" s="1">
        <v>1108</v>
      </c>
      <c r="E520" s="1">
        <v>0</v>
      </c>
      <c r="F520">
        <v>83275.39</v>
      </c>
      <c r="K520" s="2"/>
      <c r="L520" s="232">
        <v>40750</v>
      </c>
      <c r="N520">
        <f t="shared" si="4"/>
        <v>1108</v>
      </c>
    </row>
    <row r="521" spans="1:14" hidden="1">
      <c r="A521" s="232">
        <v>40750</v>
      </c>
      <c r="C521" t="s">
        <v>1650</v>
      </c>
      <c r="D521" s="1">
        <v>3224</v>
      </c>
      <c r="E521" s="1">
        <v>0</v>
      </c>
      <c r="F521">
        <v>80051.39</v>
      </c>
      <c r="K521" s="2"/>
      <c r="L521" s="232">
        <v>40750</v>
      </c>
      <c r="N521">
        <f t="shared" si="4"/>
        <v>3224</v>
      </c>
    </row>
    <row r="522" spans="1:14" hidden="1">
      <c r="A522" s="232">
        <v>40752</v>
      </c>
      <c r="C522" t="s">
        <v>1651</v>
      </c>
      <c r="D522" s="1">
        <v>2000</v>
      </c>
      <c r="E522" s="1">
        <v>0</v>
      </c>
      <c r="F522">
        <v>78051.39</v>
      </c>
      <c r="G522" s="8" t="s">
        <v>1372</v>
      </c>
      <c r="K522" s="2"/>
      <c r="L522" s="232">
        <v>40752</v>
      </c>
      <c r="N522">
        <f t="shared" si="4"/>
        <v>2000</v>
      </c>
    </row>
    <row r="523" spans="1:14" hidden="1">
      <c r="A523" s="232">
        <v>40752</v>
      </c>
      <c r="C523" t="s">
        <v>1404</v>
      </c>
      <c r="D523" s="1">
        <v>0</v>
      </c>
      <c r="E523" s="1">
        <v>106662</v>
      </c>
      <c r="F523">
        <v>184713.39</v>
      </c>
      <c r="G523" s="8" t="s">
        <v>1380</v>
      </c>
      <c r="K523" s="2"/>
      <c r="L523" s="232">
        <v>40752</v>
      </c>
      <c r="N523">
        <f t="shared" ref="N523:N586" si="5">D523*1</f>
        <v>0</v>
      </c>
    </row>
    <row r="524" spans="1:14" hidden="1">
      <c r="A524" s="232">
        <v>40758</v>
      </c>
      <c r="C524" t="s">
        <v>1652</v>
      </c>
      <c r="D524" s="1">
        <v>28543</v>
      </c>
      <c r="E524" s="1">
        <v>0</v>
      </c>
      <c r="F524">
        <v>156170.39000000001</v>
      </c>
      <c r="G524" s="8" t="s">
        <v>1362</v>
      </c>
      <c r="K524" s="2"/>
      <c r="L524" s="232">
        <v>40758</v>
      </c>
      <c r="N524">
        <f t="shared" si="5"/>
        <v>28543</v>
      </c>
    </row>
    <row r="525" spans="1:14" hidden="1">
      <c r="A525" s="232">
        <v>40759</v>
      </c>
      <c r="C525" t="s">
        <v>1653</v>
      </c>
      <c r="D525" s="1">
        <v>14276</v>
      </c>
      <c r="E525" s="1">
        <v>0</v>
      </c>
      <c r="F525">
        <v>141894.39000000001</v>
      </c>
      <c r="K525" s="2"/>
      <c r="L525" s="232">
        <v>40759</v>
      </c>
      <c r="N525">
        <f t="shared" si="5"/>
        <v>14276</v>
      </c>
    </row>
    <row r="526" spans="1:14" hidden="1">
      <c r="A526" s="232">
        <v>40760</v>
      </c>
      <c r="C526" t="s">
        <v>1654</v>
      </c>
      <c r="D526" s="1">
        <v>100000</v>
      </c>
      <c r="E526" s="1">
        <v>0</v>
      </c>
      <c r="F526">
        <v>41894.39</v>
      </c>
      <c r="G526" s="8" t="s">
        <v>1363</v>
      </c>
      <c r="K526" s="2"/>
      <c r="L526" s="232">
        <v>40760</v>
      </c>
      <c r="N526">
        <f t="shared" si="5"/>
        <v>100000</v>
      </c>
    </row>
    <row r="527" spans="1:14" hidden="1">
      <c r="A527" s="232">
        <v>40760</v>
      </c>
      <c r="C527" t="s">
        <v>1571</v>
      </c>
      <c r="D527" s="1">
        <v>40000</v>
      </c>
      <c r="E527" s="1">
        <v>0</v>
      </c>
      <c r="F527">
        <v>1894.39</v>
      </c>
      <c r="G527" s="8" t="s">
        <v>1379</v>
      </c>
      <c r="K527" s="2"/>
      <c r="L527" s="232">
        <v>40760</v>
      </c>
      <c r="N527">
        <f t="shared" si="5"/>
        <v>40000</v>
      </c>
    </row>
    <row r="528" spans="1:14" hidden="1">
      <c r="A528" s="232">
        <v>40761</v>
      </c>
      <c r="C528" t="s">
        <v>1655</v>
      </c>
      <c r="D528" s="1">
        <v>0</v>
      </c>
      <c r="E528" s="1">
        <v>10000</v>
      </c>
      <c r="F528">
        <v>11894.39</v>
      </c>
      <c r="G528" s="8" t="s">
        <v>1379</v>
      </c>
      <c r="K528" s="2"/>
      <c r="L528" s="232">
        <v>40761</v>
      </c>
      <c r="N528">
        <f t="shared" si="5"/>
        <v>0</v>
      </c>
    </row>
    <row r="529" spans="1:14" hidden="1">
      <c r="A529" s="232">
        <v>40761</v>
      </c>
      <c r="C529" t="s">
        <v>1655</v>
      </c>
      <c r="D529" s="1">
        <v>0</v>
      </c>
      <c r="E529" s="1">
        <v>348</v>
      </c>
      <c r="F529">
        <v>12242.39</v>
      </c>
      <c r="G529" s="8" t="s">
        <v>1379</v>
      </c>
      <c r="K529" s="2"/>
      <c r="L529" s="232">
        <v>40761</v>
      </c>
      <c r="N529">
        <f t="shared" si="5"/>
        <v>0</v>
      </c>
    </row>
    <row r="530" spans="1:14" hidden="1">
      <c r="A530" s="232">
        <v>40761</v>
      </c>
      <c r="C530" t="s">
        <v>1656</v>
      </c>
      <c r="D530" s="1">
        <v>10000</v>
      </c>
      <c r="E530" s="1">
        <v>0</v>
      </c>
      <c r="F530">
        <v>2242.39</v>
      </c>
      <c r="G530" s="8" t="s">
        <v>1361</v>
      </c>
      <c r="K530" s="2"/>
      <c r="L530" s="232">
        <v>40761</v>
      </c>
      <c r="N530">
        <f t="shared" si="5"/>
        <v>10000</v>
      </c>
    </row>
    <row r="531" spans="1:14" hidden="1">
      <c r="A531" s="232">
        <v>40763</v>
      </c>
      <c r="C531" t="s">
        <v>1655</v>
      </c>
      <c r="D531" s="1">
        <v>0</v>
      </c>
      <c r="E531" s="1">
        <v>10000</v>
      </c>
      <c r="F531">
        <v>12242.39</v>
      </c>
      <c r="G531" s="8" t="s">
        <v>1379</v>
      </c>
      <c r="K531" s="2"/>
      <c r="L531" s="232">
        <v>40763</v>
      </c>
      <c r="N531">
        <f t="shared" si="5"/>
        <v>0</v>
      </c>
    </row>
    <row r="532" spans="1:14" hidden="1">
      <c r="A532" s="232">
        <v>40763</v>
      </c>
      <c r="C532" t="s">
        <v>1655</v>
      </c>
      <c r="D532" s="1">
        <v>0</v>
      </c>
      <c r="E532" s="1">
        <v>350</v>
      </c>
      <c r="F532">
        <v>12592.39</v>
      </c>
      <c r="G532" s="8" t="s">
        <v>1379</v>
      </c>
      <c r="K532" s="2"/>
      <c r="L532" s="232">
        <v>40763</v>
      </c>
      <c r="N532">
        <f t="shared" si="5"/>
        <v>0</v>
      </c>
    </row>
    <row r="533" spans="1:14" hidden="1">
      <c r="A533" s="232">
        <v>40765</v>
      </c>
      <c r="C533" t="s">
        <v>1657</v>
      </c>
      <c r="D533" s="1">
        <v>0</v>
      </c>
      <c r="E533" s="1">
        <v>10000</v>
      </c>
      <c r="F533">
        <v>22592.39</v>
      </c>
      <c r="G533" s="8" t="s">
        <v>1380</v>
      </c>
      <c r="K533" s="2"/>
      <c r="L533" s="232">
        <v>40765</v>
      </c>
      <c r="N533">
        <f t="shared" si="5"/>
        <v>0</v>
      </c>
    </row>
    <row r="534" spans="1:14" hidden="1">
      <c r="A534" s="232">
        <v>40765</v>
      </c>
      <c r="C534" t="s">
        <v>1658</v>
      </c>
      <c r="D534" s="1">
        <v>2000</v>
      </c>
      <c r="E534" s="1">
        <v>0</v>
      </c>
      <c r="F534">
        <v>20592.39</v>
      </c>
      <c r="G534" s="8" t="s">
        <v>1372</v>
      </c>
      <c r="K534" s="2"/>
      <c r="L534" s="232">
        <v>40765</v>
      </c>
      <c r="N534">
        <f t="shared" si="5"/>
        <v>2000</v>
      </c>
    </row>
    <row r="535" spans="1:14" hidden="1">
      <c r="A535" s="232">
        <v>40768</v>
      </c>
      <c r="C535" t="s">
        <v>1622</v>
      </c>
      <c r="D535" s="1">
        <v>0</v>
      </c>
      <c r="E535" s="1">
        <v>5751</v>
      </c>
      <c r="F535">
        <v>26343.39</v>
      </c>
      <c r="G535" s="8" t="s">
        <v>1380</v>
      </c>
      <c r="K535" s="2"/>
      <c r="L535" s="232">
        <v>40768</v>
      </c>
      <c r="N535">
        <f t="shared" si="5"/>
        <v>0</v>
      </c>
    </row>
    <row r="536" spans="1:14" hidden="1">
      <c r="A536" s="232">
        <v>40777</v>
      </c>
      <c r="C536" t="s">
        <v>1659</v>
      </c>
      <c r="D536" s="1">
        <v>294</v>
      </c>
      <c r="E536" s="1">
        <v>0</v>
      </c>
      <c r="F536">
        <v>26049.39</v>
      </c>
      <c r="K536" s="2"/>
      <c r="L536" s="232">
        <v>40777</v>
      </c>
      <c r="N536">
        <f t="shared" si="5"/>
        <v>294</v>
      </c>
    </row>
    <row r="537" spans="1:14" hidden="1">
      <c r="A537" s="232">
        <v>40778</v>
      </c>
      <c r="C537" t="s">
        <v>1660</v>
      </c>
      <c r="D537" s="1">
        <v>560</v>
      </c>
      <c r="E537" s="1">
        <v>0</v>
      </c>
      <c r="F537">
        <v>25489.39</v>
      </c>
      <c r="K537" s="2"/>
      <c r="L537" s="232">
        <v>40778</v>
      </c>
      <c r="N537">
        <f t="shared" si="5"/>
        <v>560</v>
      </c>
    </row>
    <row r="538" spans="1:14" hidden="1">
      <c r="A538" s="232">
        <v>40782</v>
      </c>
      <c r="C538" t="s">
        <v>1661</v>
      </c>
      <c r="D538" s="1">
        <v>1135</v>
      </c>
      <c r="E538" s="1">
        <v>0</v>
      </c>
      <c r="F538">
        <v>24354.39</v>
      </c>
      <c r="G538" s="8" t="s">
        <v>1362</v>
      </c>
      <c r="K538" s="2"/>
      <c r="L538" s="232">
        <v>40782</v>
      </c>
      <c r="N538">
        <f t="shared" si="5"/>
        <v>1135</v>
      </c>
    </row>
    <row r="539" spans="1:14" hidden="1">
      <c r="A539" s="232">
        <v>40784</v>
      </c>
      <c r="C539" t="s">
        <v>1662</v>
      </c>
      <c r="D539" s="1">
        <v>2000</v>
      </c>
      <c r="E539" s="1">
        <v>0</v>
      </c>
      <c r="F539">
        <v>22354.39</v>
      </c>
      <c r="G539" s="8" t="s">
        <v>1372</v>
      </c>
      <c r="K539" s="2"/>
      <c r="L539" s="232">
        <v>40784</v>
      </c>
      <c r="N539">
        <f t="shared" si="5"/>
        <v>2000</v>
      </c>
    </row>
    <row r="540" spans="1:14" hidden="1">
      <c r="A540" s="232">
        <v>40784</v>
      </c>
      <c r="C540" t="s">
        <v>1404</v>
      </c>
      <c r="D540" s="1">
        <v>0</v>
      </c>
      <c r="E540" s="1">
        <v>109752</v>
      </c>
      <c r="F540">
        <v>132106.39000000001</v>
      </c>
      <c r="G540" s="8" t="s">
        <v>1380</v>
      </c>
      <c r="K540" s="2"/>
      <c r="L540" s="232">
        <v>40784</v>
      </c>
      <c r="N540">
        <f t="shared" si="5"/>
        <v>0</v>
      </c>
    </row>
    <row r="541" spans="1:14" hidden="1">
      <c r="A541" s="232">
        <v>40787</v>
      </c>
      <c r="C541" t="s">
        <v>1663</v>
      </c>
      <c r="D541" s="1">
        <v>0</v>
      </c>
      <c r="E541" s="1">
        <v>5738</v>
      </c>
      <c r="F541">
        <v>137844.39000000001</v>
      </c>
      <c r="G541" s="8" t="s">
        <v>1368</v>
      </c>
      <c r="K541" s="2"/>
      <c r="L541" s="232">
        <v>40787</v>
      </c>
      <c r="N541">
        <f t="shared" si="5"/>
        <v>0</v>
      </c>
    </row>
    <row r="542" spans="1:14" hidden="1">
      <c r="A542" s="232">
        <v>40789</v>
      </c>
      <c r="C542" t="s">
        <v>1664</v>
      </c>
      <c r="D542" s="1">
        <v>10785</v>
      </c>
      <c r="E542" s="1">
        <v>0</v>
      </c>
      <c r="F542">
        <v>127059.39</v>
      </c>
      <c r="G542" s="8" t="s">
        <v>1362</v>
      </c>
      <c r="K542" s="2"/>
      <c r="L542" s="232">
        <v>40789</v>
      </c>
      <c r="N542">
        <f t="shared" si="5"/>
        <v>10785</v>
      </c>
    </row>
    <row r="543" spans="1:14" hidden="1">
      <c r="A543" s="232">
        <v>40791</v>
      </c>
      <c r="C543" t="s">
        <v>1665</v>
      </c>
      <c r="D543" s="1">
        <v>17500</v>
      </c>
      <c r="E543" s="1">
        <v>0</v>
      </c>
      <c r="F543">
        <v>109559.39</v>
      </c>
      <c r="K543" s="2"/>
      <c r="L543" s="232">
        <v>40791</v>
      </c>
      <c r="N543">
        <f t="shared" si="5"/>
        <v>17500</v>
      </c>
    </row>
    <row r="544" spans="1:14" hidden="1">
      <c r="A544" s="232">
        <v>40791</v>
      </c>
      <c r="C544" t="s">
        <v>1571</v>
      </c>
      <c r="D544" s="1">
        <v>40000</v>
      </c>
      <c r="E544" s="1">
        <v>0</v>
      </c>
      <c r="F544">
        <v>69559.39</v>
      </c>
      <c r="G544" s="8" t="s">
        <v>1379</v>
      </c>
      <c r="K544" s="2"/>
      <c r="L544" s="232">
        <v>40791</v>
      </c>
      <c r="N544">
        <f t="shared" si="5"/>
        <v>40000</v>
      </c>
    </row>
    <row r="545" spans="1:14" hidden="1">
      <c r="A545" s="232">
        <v>40795</v>
      </c>
      <c r="C545" t="s">
        <v>1616</v>
      </c>
      <c r="D545" s="1">
        <v>35223</v>
      </c>
      <c r="E545" s="1">
        <v>0</v>
      </c>
      <c r="F545">
        <v>34336.39</v>
      </c>
      <c r="K545" s="2"/>
      <c r="L545" s="232">
        <v>40795</v>
      </c>
      <c r="N545">
        <f t="shared" si="5"/>
        <v>35223</v>
      </c>
    </row>
    <row r="546" spans="1:14" hidden="1">
      <c r="A546" s="232">
        <v>40795</v>
      </c>
      <c r="C546" t="s">
        <v>1666</v>
      </c>
      <c r="D546" s="1">
        <v>0</v>
      </c>
      <c r="E546" s="1">
        <v>4210</v>
      </c>
      <c r="F546">
        <v>38546.39</v>
      </c>
      <c r="G546" s="8" t="s">
        <v>1360</v>
      </c>
      <c r="K546" s="2"/>
      <c r="L546" s="232">
        <v>40795</v>
      </c>
      <c r="N546">
        <f t="shared" si="5"/>
        <v>0</v>
      </c>
    </row>
    <row r="547" spans="1:14" hidden="1">
      <c r="A547" s="232">
        <v>40796</v>
      </c>
      <c r="C547" t="s">
        <v>1667</v>
      </c>
      <c r="D547" s="1">
        <v>20000</v>
      </c>
      <c r="E547" s="1">
        <v>0</v>
      </c>
      <c r="F547">
        <v>18546.39</v>
      </c>
      <c r="G547" s="8" t="s">
        <v>1361</v>
      </c>
      <c r="K547" s="2"/>
      <c r="L547" s="232">
        <v>40796</v>
      </c>
      <c r="N547">
        <f t="shared" si="5"/>
        <v>20000</v>
      </c>
    </row>
    <row r="548" spans="1:14" hidden="1">
      <c r="A548" s="232">
        <v>40796</v>
      </c>
      <c r="C548" t="s">
        <v>1668</v>
      </c>
      <c r="D548" s="1">
        <v>2000</v>
      </c>
      <c r="E548" s="1">
        <v>0</v>
      </c>
      <c r="F548">
        <v>16546.39</v>
      </c>
      <c r="G548" s="8" t="s">
        <v>1372</v>
      </c>
      <c r="K548" s="2"/>
      <c r="L548" s="232">
        <v>40796</v>
      </c>
      <c r="N548">
        <f t="shared" si="5"/>
        <v>2000</v>
      </c>
    </row>
    <row r="549" spans="1:14" hidden="1">
      <c r="A549" s="232">
        <v>40796</v>
      </c>
      <c r="C549" t="s">
        <v>1669</v>
      </c>
      <c r="D549" s="1">
        <v>4000</v>
      </c>
      <c r="E549" s="1">
        <v>0</v>
      </c>
      <c r="F549">
        <v>12546.39</v>
      </c>
      <c r="G549" s="8" t="s">
        <v>1361</v>
      </c>
      <c r="K549" s="2"/>
      <c r="L549" s="232">
        <v>40796</v>
      </c>
      <c r="N549">
        <f t="shared" si="5"/>
        <v>4000</v>
      </c>
    </row>
    <row r="550" spans="1:14" hidden="1">
      <c r="A550" s="232">
        <v>40807</v>
      </c>
      <c r="C550" t="s">
        <v>1670</v>
      </c>
      <c r="D550" s="1">
        <v>5000</v>
      </c>
      <c r="E550" s="1">
        <v>0</v>
      </c>
      <c r="F550">
        <v>7546.39</v>
      </c>
      <c r="G550" s="8" t="s">
        <v>1361</v>
      </c>
      <c r="K550" s="2"/>
      <c r="L550" s="232">
        <v>40807</v>
      </c>
      <c r="N550">
        <f t="shared" si="5"/>
        <v>5000</v>
      </c>
    </row>
    <row r="551" spans="1:14" hidden="1">
      <c r="A551" s="232">
        <v>40807</v>
      </c>
      <c r="C551" t="s">
        <v>1655</v>
      </c>
      <c r="D551" s="1">
        <v>0</v>
      </c>
      <c r="E551" s="1">
        <v>5000</v>
      </c>
      <c r="F551">
        <v>12546.39</v>
      </c>
      <c r="G551" s="8" t="s">
        <v>1379</v>
      </c>
      <c r="K551" s="2"/>
      <c r="L551" s="232">
        <v>40807</v>
      </c>
      <c r="N551">
        <f t="shared" si="5"/>
        <v>0</v>
      </c>
    </row>
    <row r="552" spans="1:14" hidden="1">
      <c r="A552" s="232">
        <v>40807</v>
      </c>
      <c r="C552" t="s">
        <v>1655</v>
      </c>
      <c r="D552" s="1">
        <v>0</v>
      </c>
      <c r="E552" s="1">
        <v>212</v>
      </c>
      <c r="F552">
        <v>12758.39</v>
      </c>
      <c r="G552" s="8" t="s">
        <v>1379</v>
      </c>
      <c r="K552" s="2"/>
      <c r="L552" s="232">
        <v>40807</v>
      </c>
      <c r="N552">
        <f t="shared" si="5"/>
        <v>0</v>
      </c>
    </row>
    <row r="553" spans="1:14" hidden="1">
      <c r="A553" s="232">
        <v>40808</v>
      </c>
      <c r="C553" t="s">
        <v>1671</v>
      </c>
      <c r="D553" s="1">
        <v>342</v>
      </c>
      <c r="E553" s="1">
        <v>0</v>
      </c>
      <c r="F553">
        <v>12416.39</v>
      </c>
      <c r="K553" s="2"/>
      <c r="L553" s="232">
        <v>40808</v>
      </c>
      <c r="N553">
        <f t="shared" si="5"/>
        <v>342</v>
      </c>
    </row>
    <row r="554" spans="1:14" hidden="1">
      <c r="A554" s="232">
        <v>40808</v>
      </c>
      <c r="C554" t="s">
        <v>1672</v>
      </c>
      <c r="D554" s="1">
        <v>300</v>
      </c>
      <c r="E554" s="1">
        <v>0</v>
      </c>
      <c r="F554">
        <v>12116.39</v>
      </c>
      <c r="K554" s="2"/>
      <c r="L554" s="232">
        <v>40808</v>
      </c>
      <c r="N554">
        <f t="shared" si="5"/>
        <v>300</v>
      </c>
    </row>
    <row r="555" spans="1:14" hidden="1">
      <c r="A555" s="232">
        <v>40813</v>
      </c>
      <c r="C555" t="s">
        <v>1673</v>
      </c>
      <c r="D555" s="1">
        <v>1000</v>
      </c>
      <c r="E555" s="1">
        <v>0</v>
      </c>
      <c r="F555">
        <v>11116.39</v>
      </c>
      <c r="G555" s="8" t="s">
        <v>1361</v>
      </c>
      <c r="K555" s="2"/>
      <c r="L555" s="232">
        <v>40813</v>
      </c>
      <c r="N555">
        <f t="shared" si="5"/>
        <v>1000</v>
      </c>
    </row>
    <row r="556" spans="1:14" hidden="1">
      <c r="A556" s="232">
        <v>40813</v>
      </c>
      <c r="C556" t="s">
        <v>1674</v>
      </c>
      <c r="D556" s="1">
        <v>400</v>
      </c>
      <c r="E556" s="1">
        <v>0</v>
      </c>
      <c r="F556">
        <v>10716.39</v>
      </c>
      <c r="G556" s="8" t="s">
        <v>1361</v>
      </c>
      <c r="K556" s="2"/>
      <c r="L556" s="232">
        <v>40813</v>
      </c>
      <c r="N556">
        <f t="shared" si="5"/>
        <v>400</v>
      </c>
    </row>
    <row r="557" spans="1:14" hidden="1">
      <c r="A557" s="232">
        <v>40814</v>
      </c>
      <c r="C557" t="s">
        <v>1675</v>
      </c>
      <c r="D557" s="1">
        <v>2000</v>
      </c>
      <c r="E557" s="1">
        <v>0</v>
      </c>
      <c r="F557">
        <v>8716.39</v>
      </c>
      <c r="G557" s="8" t="s">
        <v>1372</v>
      </c>
      <c r="K557" s="2"/>
      <c r="L557" s="232">
        <v>40814</v>
      </c>
      <c r="N557">
        <f t="shared" si="5"/>
        <v>2000</v>
      </c>
    </row>
    <row r="558" spans="1:14" hidden="1">
      <c r="A558" s="232">
        <v>40814</v>
      </c>
      <c r="C558" t="s">
        <v>1655</v>
      </c>
      <c r="D558" s="1">
        <v>0</v>
      </c>
      <c r="E558" s="1">
        <v>5000</v>
      </c>
      <c r="F558">
        <v>13716.39</v>
      </c>
      <c r="G558" s="8" t="s">
        <v>1379</v>
      </c>
      <c r="K558" s="2"/>
      <c r="L558" s="232">
        <v>40814</v>
      </c>
      <c r="N558">
        <f t="shared" si="5"/>
        <v>0</v>
      </c>
    </row>
    <row r="559" spans="1:14" hidden="1">
      <c r="A559" s="232">
        <v>40814</v>
      </c>
      <c r="C559" t="s">
        <v>1655</v>
      </c>
      <c r="D559" s="1">
        <v>0</v>
      </c>
      <c r="E559" s="1">
        <v>227</v>
      </c>
      <c r="F559">
        <v>13943.39</v>
      </c>
      <c r="G559" s="8" t="s">
        <v>1379</v>
      </c>
      <c r="K559" s="2"/>
      <c r="L559" s="232">
        <v>40814</v>
      </c>
      <c r="N559">
        <f t="shared" si="5"/>
        <v>0</v>
      </c>
    </row>
    <row r="560" spans="1:14" hidden="1">
      <c r="A560" s="232">
        <v>40814</v>
      </c>
      <c r="C560" t="s">
        <v>1676</v>
      </c>
      <c r="D560" s="1">
        <v>1417</v>
      </c>
      <c r="E560" s="1">
        <v>0</v>
      </c>
      <c r="F560">
        <v>12526.39</v>
      </c>
      <c r="K560" s="2"/>
      <c r="L560" s="232">
        <v>40814</v>
      </c>
      <c r="N560">
        <f t="shared" si="5"/>
        <v>1417</v>
      </c>
    </row>
    <row r="561" spans="1:14" hidden="1">
      <c r="A561" s="232">
        <v>40815</v>
      </c>
      <c r="C561" t="s">
        <v>1404</v>
      </c>
      <c r="D561" s="1">
        <v>0</v>
      </c>
      <c r="E561" s="1">
        <v>113208</v>
      </c>
      <c r="F561">
        <v>125734.39</v>
      </c>
      <c r="G561" s="8" t="s">
        <v>1380</v>
      </c>
      <c r="K561" s="2"/>
      <c r="L561" s="232">
        <v>40815</v>
      </c>
      <c r="N561">
        <f t="shared" si="5"/>
        <v>0</v>
      </c>
    </row>
    <row r="562" spans="1:14" hidden="1">
      <c r="A562" s="232">
        <v>40820</v>
      </c>
      <c r="C562" t="s">
        <v>1677</v>
      </c>
      <c r="D562" s="1">
        <v>1762.6</v>
      </c>
      <c r="E562" s="1">
        <v>0</v>
      </c>
      <c r="F562">
        <v>123971.79</v>
      </c>
      <c r="G562" s="8" t="s">
        <v>1362</v>
      </c>
      <c r="K562" s="2"/>
      <c r="L562" s="232">
        <v>40820</v>
      </c>
      <c r="N562">
        <f t="shared" si="5"/>
        <v>1762.6</v>
      </c>
    </row>
    <row r="563" spans="1:14" hidden="1">
      <c r="A563" s="232">
        <v>40821</v>
      </c>
      <c r="C563" t="s">
        <v>1571</v>
      </c>
      <c r="D563" s="1">
        <v>40000</v>
      </c>
      <c r="E563" s="1">
        <v>0</v>
      </c>
      <c r="F563">
        <v>83971.79</v>
      </c>
      <c r="G563" s="8" t="s">
        <v>1379</v>
      </c>
      <c r="K563" s="2"/>
      <c r="L563" s="232">
        <v>40821</v>
      </c>
      <c r="N563">
        <f t="shared" si="5"/>
        <v>40000</v>
      </c>
    </row>
    <row r="564" spans="1:14" hidden="1">
      <c r="A564" s="232">
        <v>40824</v>
      </c>
      <c r="C564" t="s">
        <v>1678</v>
      </c>
      <c r="D564" s="1">
        <v>5000</v>
      </c>
      <c r="E564" s="1">
        <v>0</v>
      </c>
      <c r="F564">
        <v>78971.789999999994</v>
      </c>
      <c r="G564" s="8" t="s">
        <v>1361</v>
      </c>
      <c r="K564" s="2"/>
      <c r="L564" s="232">
        <v>40824</v>
      </c>
      <c r="N564">
        <f t="shared" si="5"/>
        <v>5000</v>
      </c>
    </row>
    <row r="565" spans="1:14" hidden="1">
      <c r="A565" s="232">
        <v>40826</v>
      </c>
      <c r="C565" t="s">
        <v>1679</v>
      </c>
      <c r="D565" s="1">
        <v>2000</v>
      </c>
      <c r="E565" s="1">
        <v>0</v>
      </c>
      <c r="F565">
        <v>76971.789999999994</v>
      </c>
      <c r="G565" s="8" t="s">
        <v>1372</v>
      </c>
      <c r="K565" s="2"/>
      <c r="L565" s="232">
        <v>40826</v>
      </c>
      <c r="N565">
        <f t="shared" si="5"/>
        <v>2000</v>
      </c>
    </row>
    <row r="566" spans="1:14" hidden="1">
      <c r="A566" s="232">
        <v>40840</v>
      </c>
      <c r="C566" t="s">
        <v>1680</v>
      </c>
      <c r="D566" s="1">
        <v>200</v>
      </c>
      <c r="E566" s="1">
        <v>0</v>
      </c>
      <c r="F566">
        <v>76771.789999999994</v>
      </c>
      <c r="K566" s="2"/>
      <c r="L566" s="232">
        <v>40840</v>
      </c>
      <c r="N566">
        <f t="shared" si="5"/>
        <v>200</v>
      </c>
    </row>
    <row r="567" spans="1:14" hidden="1">
      <c r="A567" s="232">
        <v>40840</v>
      </c>
      <c r="C567" t="s">
        <v>1681</v>
      </c>
      <c r="D567" s="1">
        <v>300</v>
      </c>
      <c r="E567" s="1">
        <v>0</v>
      </c>
      <c r="F567">
        <v>76471.789999999994</v>
      </c>
      <c r="K567" s="2"/>
      <c r="L567" s="232">
        <v>40840</v>
      </c>
      <c r="N567">
        <f t="shared" si="5"/>
        <v>300</v>
      </c>
    </row>
    <row r="568" spans="1:14" hidden="1">
      <c r="A568" s="232">
        <v>40841</v>
      </c>
      <c r="C568" t="s">
        <v>1682</v>
      </c>
      <c r="D568" s="1">
        <v>10000</v>
      </c>
      <c r="E568" s="1">
        <v>0</v>
      </c>
      <c r="F568">
        <v>66471.789999999994</v>
      </c>
      <c r="G568" s="8" t="s">
        <v>1361</v>
      </c>
      <c r="K568" s="2"/>
      <c r="L568" s="232">
        <v>40841</v>
      </c>
      <c r="N568">
        <f t="shared" si="5"/>
        <v>10000</v>
      </c>
    </row>
    <row r="569" spans="1:14" hidden="1">
      <c r="A569" s="232">
        <v>40844</v>
      </c>
      <c r="C569" t="s">
        <v>1683</v>
      </c>
      <c r="D569" s="1">
        <v>2000</v>
      </c>
      <c r="E569" s="1">
        <v>0</v>
      </c>
      <c r="F569">
        <v>64471.79</v>
      </c>
      <c r="G569" s="8" t="s">
        <v>1372</v>
      </c>
      <c r="K569" s="2"/>
      <c r="L569" s="232">
        <v>40844</v>
      </c>
      <c r="N569">
        <f t="shared" si="5"/>
        <v>2000</v>
      </c>
    </row>
    <row r="570" spans="1:14" hidden="1">
      <c r="A570" s="232">
        <v>40844</v>
      </c>
      <c r="C570" t="s">
        <v>1404</v>
      </c>
      <c r="D570" s="1">
        <v>0</v>
      </c>
      <c r="E570" s="1">
        <v>109752</v>
      </c>
      <c r="F570">
        <v>174223.79</v>
      </c>
      <c r="G570" s="8" t="s">
        <v>1380</v>
      </c>
      <c r="K570" s="2"/>
      <c r="L570" s="232">
        <v>40844</v>
      </c>
      <c r="N570">
        <f t="shared" si="5"/>
        <v>0</v>
      </c>
    </row>
    <row r="571" spans="1:14" hidden="1">
      <c r="A571" s="232">
        <v>40845</v>
      </c>
      <c r="C571" t="s">
        <v>1684</v>
      </c>
      <c r="D571" s="1">
        <v>1117</v>
      </c>
      <c r="E571" s="1">
        <v>0</v>
      </c>
      <c r="F571">
        <v>173106.79</v>
      </c>
      <c r="K571" s="2"/>
      <c r="L571" s="232">
        <v>40845</v>
      </c>
      <c r="N571">
        <f t="shared" si="5"/>
        <v>1117</v>
      </c>
    </row>
    <row r="572" spans="1:14" hidden="1">
      <c r="A572" s="232">
        <v>40849</v>
      </c>
      <c r="C572" t="s">
        <v>1685</v>
      </c>
      <c r="D572" s="1">
        <v>0</v>
      </c>
      <c r="E572" s="1">
        <v>17000</v>
      </c>
      <c r="F572">
        <v>190106.79</v>
      </c>
      <c r="G572" s="8" t="s">
        <v>1375</v>
      </c>
      <c r="K572" s="2"/>
      <c r="L572" s="232">
        <v>40849</v>
      </c>
      <c r="N572">
        <f t="shared" si="5"/>
        <v>0</v>
      </c>
    </row>
    <row r="573" spans="1:14" hidden="1">
      <c r="A573" s="232">
        <v>40850</v>
      </c>
      <c r="C573" t="s">
        <v>1686</v>
      </c>
      <c r="D573" s="1">
        <v>4768.9399999999996</v>
      </c>
      <c r="E573" s="1">
        <v>0</v>
      </c>
      <c r="F573">
        <v>185337.85</v>
      </c>
      <c r="G573" s="8" t="s">
        <v>1362</v>
      </c>
      <c r="K573" s="2"/>
      <c r="L573" s="232">
        <v>40850</v>
      </c>
      <c r="N573">
        <f t="shared" si="5"/>
        <v>4768.9399999999996</v>
      </c>
    </row>
    <row r="574" spans="1:14" hidden="1">
      <c r="A574" s="232">
        <v>40852</v>
      </c>
      <c r="C574" t="s">
        <v>1571</v>
      </c>
      <c r="D574" s="1">
        <v>40000</v>
      </c>
      <c r="E574" s="1">
        <v>0</v>
      </c>
      <c r="F574">
        <v>145337.85</v>
      </c>
      <c r="G574" s="8" t="s">
        <v>1379</v>
      </c>
      <c r="K574" s="2"/>
      <c r="L574" s="232">
        <v>40852</v>
      </c>
      <c r="N574">
        <f t="shared" si="5"/>
        <v>40000</v>
      </c>
    </row>
    <row r="575" spans="1:14" hidden="1">
      <c r="A575" s="232">
        <v>40857</v>
      </c>
      <c r="C575" t="s">
        <v>1687</v>
      </c>
      <c r="D575" s="1">
        <v>2000</v>
      </c>
      <c r="E575" s="1">
        <v>0</v>
      </c>
      <c r="F575">
        <v>143337.85</v>
      </c>
      <c r="G575" s="8" t="s">
        <v>1372</v>
      </c>
      <c r="K575" s="2"/>
      <c r="L575" s="232">
        <v>40857</v>
      </c>
      <c r="N575">
        <f t="shared" si="5"/>
        <v>2000</v>
      </c>
    </row>
    <row r="576" spans="1:14" hidden="1">
      <c r="A576" s="232">
        <v>40857</v>
      </c>
      <c r="C576" t="s">
        <v>1688</v>
      </c>
      <c r="D576" s="1">
        <v>50000</v>
      </c>
      <c r="E576" s="1">
        <v>0</v>
      </c>
      <c r="F576">
        <v>93337.85</v>
      </c>
      <c r="G576" s="8" t="s">
        <v>1363</v>
      </c>
      <c r="K576" s="2"/>
      <c r="L576" s="232">
        <v>40857</v>
      </c>
      <c r="N576">
        <f t="shared" si="5"/>
        <v>50000</v>
      </c>
    </row>
    <row r="577" spans="1:14" hidden="1">
      <c r="A577" s="232">
        <v>40865</v>
      </c>
      <c r="C577" t="s">
        <v>1689</v>
      </c>
      <c r="D577" s="1">
        <v>5000</v>
      </c>
      <c r="E577" s="1">
        <v>0</v>
      </c>
      <c r="F577">
        <v>88337.85</v>
      </c>
      <c r="G577" s="8" t="s">
        <v>1361</v>
      </c>
      <c r="K577" s="2"/>
      <c r="L577" s="232">
        <v>40865</v>
      </c>
      <c r="N577">
        <f t="shared" si="5"/>
        <v>5000</v>
      </c>
    </row>
    <row r="578" spans="1:14" hidden="1">
      <c r="A578" s="232">
        <v>40870</v>
      </c>
      <c r="C578" t="s">
        <v>1690</v>
      </c>
      <c r="D578" s="1">
        <v>172</v>
      </c>
      <c r="E578" s="1">
        <v>0</v>
      </c>
      <c r="F578">
        <v>88165.85</v>
      </c>
      <c r="K578" s="2"/>
      <c r="L578" s="232">
        <v>40870</v>
      </c>
      <c r="N578">
        <f t="shared" si="5"/>
        <v>172</v>
      </c>
    </row>
    <row r="579" spans="1:14" hidden="1">
      <c r="A579" s="232">
        <v>40875</v>
      </c>
      <c r="C579" t="s">
        <v>1691</v>
      </c>
      <c r="D579" s="1">
        <v>2000</v>
      </c>
      <c r="E579" s="1">
        <v>0</v>
      </c>
      <c r="F579">
        <v>86165.85</v>
      </c>
      <c r="G579" s="8" t="s">
        <v>1372</v>
      </c>
      <c r="K579" s="2"/>
      <c r="L579" s="232">
        <v>40875</v>
      </c>
      <c r="N579">
        <f t="shared" si="5"/>
        <v>2000</v>
      </c>
    </row>
    <row r="580" spans="1:14" hidden="1">
      <c r="A580" s="232">
        <v>40875</v>
      </c>
      <c r="C580" t="s">
        <v>1692</v>
      </c>
      <c r="D580" s="1">
        <v>5000</v>
      </c>
      <c r="E580" s="1">
        <v>0</v>
      </c>
      <c r="F580">
        <v>81165.850000000006</v>
      </c>
      <c r="G580" s="8" t="s">
        <v>1361</v>
      </c>
      <c r="K580" s="2"/>
      <c r="L580" s="232">
        <v>40875</v>
      </c>
      <c r="N580">
        <f t="shared" si="5"/>
        <v>5000</v>
      </c>
    </row>
    <row r="581" spans="1:14" hidden="1">
      <c r="A581" s="232">
        <v>40876</v>
      </c>
      <c r="C581" t="s">
        <v>1693</v>
      </c>
      <c r="D581" s="1">
        <v>1126</v>
      </c>
      <c r="E581" s="1">
        <v>0</v>
      </c>
      <c r="F581">
        <v>80039.850000000006</v>
      </c>
      <c r="K581" s="2"/>
      <c r="L581" s="232">
        <v>40876</v>
      </c>
      <c r="N581">
        <f t="shared" si="5"/>
        <v>1126</v>
      </c>
    </row>
    <row r="582" spans="1:14" hidden="1">
      <c r="A582" s="232">
        <v>40876</v>
      </c>
      <c r="C582" t="s">
        <v>1694</v>
      </c>
      <c r="D582" s="1">
        <v>0</v>
      </c>
      <c r="E582" s="1">
        <v>108420</v>
      </c>
      <c r="F582">
        <v>188459.85</v>
      </c>
      <c r="G582" s="8" t="s">
        <v>1380</v>
      </c>
      <c r="K582" s="2"/>
      <c r="L582" s="232">
        <v>40876</v>
      </c>
      <c r="N582">
        <f t="shared" si="5"/>
        <v>0</v>
      </c>
    </row>
    <row r="583" spans="1:14" hidden="1">
      <c r="A583" s="232">
        <v>40880</v>
      </c>
      <c r="C583" t="s">
        <v>1695</v>
      </c>
      <c r="D583" s="1">
        <v>40000</v>
      </c>
      <c r="E583" s="1">
        <v>0</v>
      </c>
      <c r="F583">
        <v>148459.85</v>
      </c>
      <c r="G583" s="8" t="s">
        <v>1363</v>
      </c>
      <c r="K583" s="2"/>
      <c r="L583" s="232">
        <v>40880</v>
      </c>
      <c r="N583">
        <f t="shared" si="5"/>
        <v>40000</v>
      </c>
    </row>
    <row r="584" spans="1:14" hidden="1">
      <c r="A584" s="232">
        <v>40882</v>
      </c>
      <c r="C584" t="s">
        <v>1571</v>
      </c>
      <c r="D584" s="1">
        <v>40000</v>
      </c>
      <c r="E584" s="1">
        <v>0</v>
      </c>
      <c r="F584">
        <v>108459.85</v>
      </c>
      <c r="G584" s="8" t="s">
        <v>1379</v>
      </c>
      <c r="K584" s="2"/>
      <c r="L584" s="232">
        <v>40882</v>
      </c>
      <c r="N584">
        <f t="shared" si="5"/>
        <v>40000</v>
      </c>
    </row>
    <row r="585" spans="1:14" hidden="1">
      <c r="A585" s="232">
        <v>40887</v>
      </c>
      <c r="C585" t="s">
        <v>1696</v>
      </c>
      <c r="D585" s="1">
        <v>2000</v>
      </c>
      <c r="E585" s="1">
        <v>0</v>
      </c>
      <c r="F585">
        <v>106459.85</v>
      </c>
      <c r="G585" s="8" t="s">
        <v>1372</v>
      </c>
      <c r="K585" s="2"/>
      <c r="L585" s="232">
        <v>40887</v>
      </c>
      <c r="N585">
        <f t="shared" si="5"/>
        <v>2000</v>
      </c>
    </row>
    <row r="586" spans="1:14" hidden="1">
      <c r="A586" s="232">
        <v>40887</v>
      </c>
      <c r="C586" t="s">
        <v>1697</v>
      </c>
      <c r="D586" s="1">
        <v>1000</v>
      </c>
      <c r="E586" s="1">
        <v>0</v>
      </c>
      <c r="F586">
        <v>105459.85</v>
      </c>
      <c r="K586" s="2"/>
      <c r="L586" s="232">
        <v>40887</v>
      </c>
      <c r="N586">
        <f t="shared" si="5"/>
        <v>1000</v>
      </c>
    </row>
    <row r="587" spans="1:14" hidden="1">
      <c r="A587" s="232">
        <v>40894</v>
      </c>
      <c r="C587" t="s">
        <v>1590</v>
      </c>
      <c r="D587" s="1">
        <v>0</v>
      </c>
      <c r="E587" s="1">
        <v>6490</v>
      </c>
      <c r="F587">
        <v>111949.85</v>
      </c>
      <c r="G587" s="8" t="s">
        <v>1380</v>
      </c>
      <c r="K587" s="2"/>
      <c r="L587" s="232">
        <v>40894</v>
      </c>
      <c r="N587">
        <f t="shared" ref="N587:N650" si="6">D587*1</f>
        <v>0</v>
      </c>
    </row>
    <row r="588" spans="1:14" hidden="1">
      <c r="A588" s="232">
        <v>40899</v>
      </c>
      <c r="C588" t="s">
        <v>1698</v>
      </c>
      <c r="D588" s="1">
        <v>296</v>
      </c>
      <c r="E588" s="1">
        <v>0</v>
      </c>
      <c r="F588">
        <v>111653.85</v>
      </c>
      <c r="K588" s="2"/>
      <c r="L588" s="232">
        <v>40899</v>
      </c>
      <c r="N588">
        <f t="shared" si="6"/>
        <v>296</v>
      </c>
    </row>
    <row r="589" spans="1:14" hidden="1">
      <c r="A589" s="232">
        <v>40903</v>
      </c>
      <c r="C589" t="s">
        <v>1699</v>
      </c>
      <c r="D589" s="1">
        <v>0</v>
      </c>
      <c r="E589" s="1">
        <v>3596</v>
      </c>
      <c r="F589">
        <v>115249.85</v>
      </c>
      <c r="G589" s="8" t="s">
        <v>1380</v>
      </c>
      <c r="K589" s="2"/>
      <c r="L589" s="232">
        <v>40903</v>
      </c>
      <c r="N589">
        <f t="shared" si="6"/>
        <v>0</v>
      </c>
    </row>
    <row r="590" spans="1:14" hidden="1">
      <c r="A590" s="232">
        <v>40905</v>
      </c>
      <c r="C590" t="s">
        <v>1700</v>
      </c>
      <c r="D590" s="1">
        <v>2000</v>
      </c>
      <c r="E590" s="1">
        <v>0</v>
      </c>
      <c r="F590">
        <v>113249.85</v>
      </c>
      <c r="G590" s="8" t="s">
        <v>1372</v>
      </c>
      <c r="K590" s="2"/>
      <c r="L590" s="232">
        <v>40905</v>
      </c>
      <c r="N590">
        <f t="shared" si="6"/>
        <v>2000</v>
      </c>
    </row>
    <row r="591" spans="1:14" hidden="1">
      <c r="A591" s="232">
        <v>40905</v>
      </c>
      <c r="C591" t="s">
        <v>1701</v>
      </c>
      <c r="D591" s="1">
        <v>1101</v>
      </c>
      <c r="E591" s="1">
        <v>0</v>
      </c>
      <c r="F591">
        <v>112148.85</v>
      </c>
      <c r="K591" s="2"/>
      <c r="L591" s="232">
        <v>40905</v>
      </c>
      <c r="N591">
        <f t="shared" si="6"/>
        <v>1101</v>
      </c>
    </row>
    <row r="592" spans="1:14" hidden="1">
      <c r="A592" s="232">
        <v>40906</v>
      </c>
      <c r="C592" t="s">
        <v>1702</v>
      </c>
      <c r="D592" s="1">
        <v>0</v>
      </c>
      <c r="E592" s="1">
        <v>108419</v>
      </c>
      <c r="F592">
        <v>220567.85</v>
      </c>
      <c r="G592" s="8" t="s">
        <v>1380</v>
      </c>
      <c r="K592" s="2"/>
      <c r="L592" s="232">
        <v>40906</v>
      </c>
      <c r="N592">
        <f t="shared" si="6"/>
        <v>0</v>
      </c>
    </row>
    <row r="593" spans="1:14" hidden="1">
      <c r="A593" s="232">
        <v>40911</v>
      </c>
      <c r="C593" t="s">
        <v>1703</v>
      </c>
      <c r="D593" s="1">
        <v>314.42</v>
      </c>
      <c r="E593" s="1">
        <v>0</v>
      </c>
      <c r="F593">
        <v>220253.43</v>
      </c>
      <c r="G593" s="8" t="s">
        <v>1362</v>
      </c>
      <c r="K593" s="2"/>
      <c r="L593" s="232">
        <v>40911</v>
      </c>
      <c r="N593">
        <f t="shared" si="6"/>
        <v>314.42</v>
      </c>
    </row>
    <row r="594" spans="1:14" hidden="1">
      <c r="A594" s="232">
        <v>40913</v>
      </c>
      <c r="C594" t="s">
        <v>1704</v>
      </c>
      <c r="D594" s="1">
        <v>30142</v>
      </c>
      <c r="E594" s="1">
        <v>0</v>
      </c>
      <c r="F594">
        <v>190111.43</v>
      </c>
      <c r="G594" s="8" t="s">
        <v>1370</v>
      </c>
      <c r="K594" s="2"/>
      <c r="L594" s="232">
        <v>40913</v>
      </c>
      <c r="N594">
        <f t="shared" si="6"/>
        <v>30142</v>
      </c>
    </row>
    <row r="595" spans="1:14" hidden="1">
      <c r="A595" s="232">
        <v>40913</v>
      </c>
      <c r="C595" t="s">
        <v>1705</v>
      </c>
      <c r="D595" s="1">
        <v>1000</v>
      </c>
      <c r="E595" s="1">
        <v>0</v>
      </c>
      <c r="F595">
        <v>189111.43</v>
      </c>
      <c r="K595" s="2"/>
      <c r="L595" s="232">
        <v>40913</v>
      </c>
      <c r="N595">
        <f t="shared" si="6"/>
        <v>1000</v>
      </c>
    </row>
    <row r="596" spans="1:14" hidden="1">
      <c r="A596" s="232">
        <v>40913</v>
      </c>
      <c r="C596" t="s">
        <v>1571</v>
      </c>
      <c r="D596" s="1">
        <v>40000</v>
      </c>
      <c r="E596" s="1">
        <v>0</v>
      </c>
      <c r="F596">
        <v>149111.43</v>
      </c>
      <c r="G596" s="8" t="s">
        <v>1379</v>
      </c>
      <c r="K596" s="2"/>
      <c r="L596" s="232">
        <v>40913</v>
      </c>
      <c r="N596">
        <f t="shared" si="6"/>
        <v>40000</v>
      </c>
    </row>
    <row r="597" spans="1:14" hidden="1">
      <c r="A597" s="232">
        <v>40914</v>
      </c>
      <c r="C597" t="s">
        <v>1706</v>
      </c>
      <c r="D597" s="1">
        <v>0</v>
      </c>
      <c r="E597" s="1">
        <v>25707.26</v>
      </c>
      <c r="F597">
        <v>174818.69</v>
      </c>
      <c r="G597" s="8" t="s">
        <v>1380</v>
      </c>
      <c r="K597" s="2"/>
      <c r="L597" s="232">
        <v>40914</v>
      </c>
      <c r="N597">
        <f t="shared" si="6"/>
        <v>0</v>
      </c>
    </row>
    <row r="598" spans="1:14" hidden="1">
      <c r="A598" s="232">
        <v>40918</v>
      </c>
      <c r="C598" t="s">
        <v>1707</v>
      </c>
      <c r="D598" s="1">
        <v>2000</v>
      </c>
      <c r="E598" s="1">
        <v>0</v>
      </c>
      <c r="F598">
        <v>172818.69</v>
      </c>
      <c r="G598" s="8" t="s">
        <v>1372</v>
      </c>
      <c r="K598" s="2"/>
      <c r="L598" s="232">
        <v>40918</v>
      </c>
      <c r="N598">
        <f t="shared" si="6"/>
        <v>2000</v>
      </c>
    </row>
    <row r="599" spans="1:14" hidden="1">
      <c r="A599" s="232">
        <v>40920</v>
      </c>
      <c r="C599" t="s">
        <v>1708</v>
      </c>
      <c r="D599" s="1">
        <v>5000</v>
      </c>
      <c r="E599" s="1">
        <v>0</v>
      </c>
      <c r="F599">
        <v>167818.69</v>
      </c>
      <c r="G599" s="8" t="s">
        <v>1361</v>
      </c>
      <c r="K599" s="2"/>
      <c r="L599" s="232">
        <v>40920</v>
      </c>
      <c r="N599">
        <f t="shared" si="6"/>
        <v>5000</v>
      </c>
    </row>
    <row r="600" spans="1:14" hidden="1">
      <c r="A600" s="232">
        <v>40933</v>
      </c>
      <c r="C600" t="s">
        <v>1709</v>
      </c>
      <c r="D600" s="1">
        <v>325</v>
      </c>
      <c r="E600" s="1">
        <v>0</v>
      </c>
      <c r="F600">
        <v>167493.69</v>
      </c>
      <c r="K600" s="2"/>
      <c r="L600" s="232">
        <v>40933</v>
      </c>
      <c r="N600">
        <f t="shared" si="6"/>
        <v>325</v>
      </c>
    </row>
    <row r="601" spans="1:14" hidden="1">
      <c r="A601" s="232">
        <v>40936</v>
      </c>
      <c r="C601" t="s">
        <v>1710</v>
      </c>
      <c r="D601" s="1">
        <v>2000</v>
      </c>
      <c r="E601" s="1">
        <v>0</v>
      </c>
      <c r="F601">
        <v>165493.69</v>
      </c>
      <c r="G601" s="8" t="s">
        <v>1372</v>
      </c>
      <c r="K601" s="2"/>
      <c r="L601" s="232">
        <v>40936</v>
      </c>
      <c r="N601">
        <f t="shared" si="6"/>
        <v>2000</v>
      </c>
    </row>
    <row r="602" spans="1:14" hidden="1">
      <c r="A602" s="232">
        <v>40938</v>
      </c>
      <c r="C602" t="s">
        <v>1711</v>
      </c>
      <c r="D602" s="1">
        <v>0</v>
      </c>
      <c r="E602" s="1">
        <v>108420</v>
      </c>
      <c r="F602">
        <v>273913.69</v>
      </c>
      <c r="G602" s="8" t="s">
        <v>1380</v>
      </c>
      <c r="K602" s="2"/>
      <c r="L602" s="232">
        <v>40938</v>
      </c>
      <c r="N602">
        <f t="shared" si="6"/>
        <v>0</v>
      </c>
    </row>
    <row r="603" spans="1:14" hidden="1">
      <c r="A603" s="232">
        <v>40940</v>
      </c>
      <c r="C603" t="s">
        <v>1712</v>
      </c>
      <c r="D603" s="1">
        <v>1108</v>
      </c>
      <c r="E603" s="1">
        <v>0</v>
      </c>
      <c r="F603">
        <v>272805.69</v>
      </c>
      <c r="K603" s="2"/>
      <c r="L603" s="232">
        <v>40940</v>
      </c>
      <c r="N603">
        <f t="shared" si="6"/>
        <v>1108</v>
      </c>
    </row>
    <row r="604" spans="1:14" hidden="1">
      <c r="A604" s="232">
        <v>40942</v>
      </c>
      <c r="C604" t="s">
        <v>1713</v>
      </c>
      <c r="D604" s="1">
        <v>2529.73</v>
      </c>
      <c r="E604" s="1">
        <v>0</v>
      </c>
      <c r="F604">
        <v>270275.96000000002</v>
      </c>
      <c r="K604" s="2"/>
      <c r="L604" s="232">
        <v>40942</v>
      </c>
      <c r="N604">
        <f t="shared" si="6"/>
        <v>2529.73</v>
      </c>
    </row>
    <row r="605" spans="1:14" hidden="1">
      <c r="A605" s="232">
        <v>40945</v>
      </c>
      <c r="C605" t="s">
        <v>1714</v>
      </c>
      <c r="D605" s="1">
        <v>1000</v>
      </c>
      <c r="E605" s="1">
        <v>0</v>
      </c>
      <c r="F605">
        <v>269275.96000000002</v>
      </c>
      <c r="G605" s="8" t="s">
        <v>1361</v>
      </c>
      <c r="K605" s="2"/>
      <c r="L605" s="232">
        <v>40945</v>
      </c>
      <c r="N605">
        <f t="shared" si="6"/>
        <v>1000</v>
      </c>
    </row>
    <row r="606" spans="1:14" hidden="1">
      <c r="A606" s="232">
        <v>40945</v>
      </c>
      <c r="C606" t="s">
        <v>1571</v>
      </c>
      <c r="D606" s="1">
        <v>40000</v>
      </c>
      <c r="E606" s="1">
        <v>0</v>
      </c>
      <c r="F606">
        <v>229275.96</v>
      </c>
      <c r="G606" s="8" t="s">
        <v>1379</v>
      </c>
      <c r="K606" s="2"/>
      <c r="L606" s="232">
        <v>40945</v>
      </c>
      <c r="N606">
        <f t="shared" si="6"/>
        <v>40000</v>
      </c>
    </row>
    <row r="607" spans="1:14" hidden="1">
      <c r="A607" s="232">
        <v>40946</v>
      </c>
      <c r="C607" t="s">
        <v>1715</v>
      </c>
      <c r="D607" s="1">
        <v>1000</v>
      </c>
      <c r="E607" s="1">
        <v>0</v>
      </c>
      <c r="F607">
        <v>228275.96</v>
      </c>
      <c r="K607" s="2"/>
      <c r="L607" s="232">
        <v>40946</v>
      </c>
      <c r="N607">
        <f t="shared" si="6"/>
        <v>1000</v>
      </c>
    </row>
    <row r="608" spans="1:14" hidden="1">
      <c r="A608" s="232">
        <v>40946</v>
      </c>
      <c r="C608" t="s">
        <v>1716</v>
      </c>
      <c r="D608" s="1">
        <v>305</v>
      </c>
      <c r="E608" s="1">
        <v>0</v>
      </c>
      <c r="F608">
        <v>227970.96</v>
      </c>
      <c r="G608" s="8" t="s">
        <v>1362</v>
      </c>
      <c r="K608" s="2"/>
      <c r="L608" s="232">
        <v>40946</v>
      </c>
      <c r="N608">
        <f t="shared" si="6"/>
        <v>305</v>
      </c>
    </row>
    <row r="609" spans="1:14" hidden="1">
      <c r="A609" s="232">
        <v>40949</v>
      </c>
      <c r="C609" t="s">
        <v>1717</v>
      </c>
      <c r="D609" s="1">
        <v>2000</v>
      </c>
      <c r="E609" s="1">
        <v>0</v>
      </c>
      <c r="F609">
        <v>225970.96</v>
      </c>
      <c r="G609" s="8" t="s">
        <v>1372</v>
      </c>
      <c r="K609" s="2"/>
      <c r="L609" s="232">
        <v>40949</v>
      </c>
      <c r="N609">
        <f t="shared" si="6"/>
        <v>2000</v>
      </c>
    </row>
    <row r="610" spans="1:14" hidden="1">
      <c r="A610" s="232">
        <v>40961</v>
      </c>
      <c r="C610" t="s">
        <v>1718</v>
      </c>
      <c r="D610" s="1">
        <v>312</v>
      </c>
      <c r="E610" s="1">
        <v>0</v>
      </c>
      <c r="F610">
        <v>225658.96</v>
      </c>
      <c r="K610" s="2"/>
      <c r="L610" s="232">
        <v>40961</v>
      </c>
      <c r="N610">
        <f t="shared" si="6"/>
        <v>312</v>
      </c>
    </row>
    <row r="611" spans="1:14" hidden="1">
      <c r="A611" s="232">
        <v>40961</v>
      </c>
      <c r="C611" t="s">
        <v>1719</v>
      </c>
      <c r="D611" s="1">
        <v>50000</v>
      </c>
      <c r="E611" s="1">
        <v>0</v>
      </c>
      <c r="F611">
        <v>175658.96</v>
      </c>
      <c r="G611" s="8" t="s">
        <v>1363</v>
      </c>
      <c r="K611" s="2"/>
      <c r="L611" s="232">
        <v>40961</v>
      </c>
      <c r="N611">
        <f t="shared" si="6"/>
        <v>50000</v>
      </c>
    </row>
    <row r="612" spans="1:14" hidden="1">
      <c r="A612" s="232">
        <v>40967</v>
      </c>
      <c r="C612" t="s">
        <v>1720</v>
      </c>
      <c r="D612" s="1">
        <v>2000</v>
      </c>
      <c r="E612" s="1">
        <v>0</v>
      </c>
      <c r="F612">
        <v>173658.96</v>
      </c>
      <c r="G612" s="8" t="s">
        <v>1372</v>
      </c>
      <c r="K612" s="2"/>
      <c r="L612" s="232">
        <v>40967</v>
      </c>
      <c r="N612">
        <f t="shared" si="6"/>
        <v>2000</v>
      </c>
    </row>
    <row r="613" spans="1:14" hidden="1">
      <c r="A613" s="232">
        <v>40967</v>
      </c>
      <c r="C613" t="s">
        <v>1721</v>
      </c>
      <c r="D613" s="1">
        <v>0</v>
      </c>
      <c r="E613" s="1">
        <v>125208</v>
      </c>
      <c r="F613">
        <v>298866.96000000002</v>
      </c>
      <c r="G613" s="8" t="s">
        <v>1380</v>
      </c>
      <c r="K613" s="2"/>
      <c r="L613" s="232">
        <v>40967</v>
      </c>
      <c r="N613">
        <f t="shared" si="6"/>
        <v>0</v>
      </c>
    </row>
    <row r="614" spans="1:14" hidden="1">
      <c r="A614" s="232">
        <v>40969</v>
      </c>
      <c r="C614" t="s">
        <v>1722</v>
      </c>
      <c r="D614" s="1">
        <v>1107</v>
      </c>
      <c r="E614" s="1">
        <v>0</v>
      </c>
      <c r="F614">
        <v>297759.96000000002</v>
      </c>
      <c r="K614" s="2"/>
      <c r="L614" s="232">
        <v>40969</v>
      </c>
      <c r="N614">
        <f t="shared" si="6"/>
        <v>1107</v>
      </c>
    </row>
    <row r="615" spans="1:14" hidden="1">
      <c r="A615" s="232">
        <v>40969</v>
      </c>
      <c r="C615" t="s">
        <v>1723</v>
      </c>
      <c r="D615" s="1">
        <v>0</v>
      </c>
      <c r="E615" s="1">
        <v>2638</v>
      </c>
      <c r="F615">
        <v>300397.96000000002</v>
      </c>
      <c r="G615" s="8" t="s">
        <v>1368</v>
      </c>
      <c r="K615" s="2"/>
      <c r="L615" s="232">
        <v>40969</v>
      </c>
      <c r="N615">
        <f t="shared" si="6"/>
        <v>0</v>
      </c>
    </row>
    <row r="616" spans="1:14" hidden="1">
      <c r="A616" s="232">
        <v>40973</v>
      </c>
      <c r="C616" t="s">
        <v>1724</v>
      </c>
      <c r="D616" s="1">
        <v>2118.44</v>
      </c>
      <c r="E616" s="1">
        <v>0</v>
      </c>
      <c r="F616">
        <v>298279.52</v>
      </c>
      <c r="G616" s="8" t="s">
        <v>1362</v>
      </c>
      <c r="K616" s="2"/>
      <c r="L616" s="232">
        <v>40973</v>
      </c>
      <c r="N616">
        <f t="shared" si="6"/>
        <v>2118.44</v>
      </c>
    </row>
    <row r="617" spans="1:14" hidden="1">
      <c r="A617" s="232">
        <v>40973</v>
      </c>
      <c r="C617" t="s">
        <v>1571</v>
      </c>
      <c r="D617" s="1">
        <v>40000</v>
      </c>
      <c r="E617" s="1">
        <v>0</v>
      </c>
      <c r="F617">
        <v>258279.52</v>
      </c>
      <c r="G617" s="8" t="s">
        <v>1379</v>
      </c>
      <c r="K617" s="2"/>
      <c r="L617" s="232">
        <v>40973</v>
      </c>
      <c r="N617">
        <f t="shared" si="6"/>
        <v>40000</v>
      </c>
    </row>
    <row r="618" spans="1:14" hidden="1">
      <c r="A618" s="232">
        <v>40975</v>
      </c>
      <c r="C618" t="s">
        <v>1725</v>
      </c>
      <c r="D618" s="1">
        <v>3000</v>
      </c>
      <c r="E618" s="1">
        <v>0</v>
      </c>
      <c r="F618">
        <v>255279.52</v>
      </c>
      <c r="G618" s="8" t="s">
        <v>1361</v>
      </c>
      <c r="K618" s="2"/>
      <c r="L618" s="232">
        <v>40975</v>
      </c>
      <c r="N618">
        <f t="shared" si="6"/>
        <v>3000</v>
      </c>
    </row>
    <row r="619" spans="1:14" hidden="1">
      <c r="A619" s="232">
        <v>40975</v>
      </c>
      <c r="C619" t="s">
        <v>1726</v>
      </c>
      <c r="D619" s="1">
        <v>1000</v>
      </c>
      <c r="E619" s="1">
        <v>0</v>
      </c>
      <c r="F619">
        <v>254279.52</v>
      </c>
      <c r="K619" s="2"/>
      <c r="L619" s="232">
        <v>40975</v>
      </c>
      <c r="N619">
        <f t="shared" si="6"/>
        <v>1000</v>
      </c>
    </row>
    <row r="620" spans="1:14" hidden="1">
      <c r="A620" s="232">
        <v>40978</v>
      </c>
      <c r="C620" t="s">
        <v>1727</v>
      </c>
      <c r="D620" s="1">
        <v>2000</v>
      </c>
      <c r="E620" s="1">
        <v>0</v>
      </c>
      <c r="F620">
        <v>252279.52</v>
      </c>
      <c r="G620" s="8" t="s">
        <v>1372</v>
      </c>
      <c r="K620" s="2"/>
      <c r="L620" s="232">
        <v>40978</v>
      </c>
      <c r="N620">
        <f t="shared" si="6"/>
        <v>2000</v>
      </c>
    </row>
    <row r="621" spans="1:14" hidden="1">
      <c r="A621" s="232">
        <v>40980</v>
      </c>
      <c r="C621" t="s">
        <v>1728</v>
      </c>
      <c r="D621" s="1">
        <v>5000</v>
      </c>
      <c r="E621" s="1">
        <v>0</v>
      </c>
      <c r="F621">
        <v>247279.52</v>
      </c>
      <c r="G621" s="8" t="s">
        <v>1361</v>
      </c>
      <c r="K621" s="2"/>
      <c r="L621" s="232">
        <v>40980</v>
      </c>
      <c r="N621">
        <f t="shared" si="6"/>
        <v>5000</v>
      </c>
    </row>
    <row r="622" spans="1:14" hidden="1">
      <c r="A622" s="232">
        <v>40988</v>
      </c>
      <c r="C622" t="s">
        <v>1729</v>
      </c>
      <c r="D622" s="1">
        <v>0</v>
      </c>
      <c r="E622" s="1">
        <v>4604.8</v>
      </c>
      <c r="F622">
        <v>251884.32</v>
      </c>
      <c r="G622" s="8" t="s">
        <v>1380</v>
      </c>
      <c r="K622" s="2"/>
      <c r="L622" s="232">
        <v>40988</v>
      </c>
      <c r="N622">
        <f t="shared" si="6"/>
        <v>0</v>
      </c>
    </row>
    <row r="623" spans="1:14" hidden="1">
      <c r="A623" s="232">
        <v>40994</v>
      </c>
      <c r="C623" t="s">
        <v>1730</v>
      </c>
      <c r="D623" s="1">
        <v>250</v>
      </c>
      <c r="E623" s="1">
        <v>0</v>
      </c>
      <c r="F623">
        <v>251634.32</v>
      </c>
      <c r="K623" s="2"/>
      <c r="L623" s="232">
        <v>40994</v>
      </c>
      <c r="N623">
        <f t="shared" si="6"/>
        <v>250</v>
      </c>
    </row>
    <row r="624" spans="1:14" hidden="1">
      <c r="A624" s="232">
        <v>40996</v>
      </c>
      <c r="C624" t="s">
        <v>1731</v>
      </c>
      <c r="D624" s="1">
        <v>2000</v>
      </c>
      <c r="E624" s="1">
        <v>0</v>
      </c>
      <c r="F624">
        <v>249634.32</v>
      </c>
      <c r="G624" s="8" t="s">
        <v>1372</v>
      </c>
      <c r="K624" s="2"/>
      <c r="L624" s="232">
        <v>40996</v>
      </c>
      <c r="N624">
        <f t="shared" si="6"/>
        <v>2000</v>
      </c>
    </row>
    <row r="625" spans="1:14" hidden="1">
      <c r="A625" s="232">
        <v>40997</v>
      </c>
      <c r="C625" t="s">
        <v>1732</v>
      </c>
      <c r="D625" s="1">
        <v>0</v>
      </c>
      <c r="E625" s="1">
        <v>260.82</v>
      </c>
      <c r="F625">
        <v>249895.14</v>
      </c>
      <c r="G625" s="8" t="s">
        <v>1375</v>
      </c>
      <c r="K625" s="2"/>
      <c r="L625" s="232">
        <v>40997</v>
      </c>
      <c r="N625">
        <f t="shared" si="6"/>
        <v>0</v>
      </c>
    </row>
    <row r="626" spans="1:14" hidden="1">
      <c r="A626" s="232">
        <v>40997</v>
      </c>
      <c r="C626" t="s">
        <v>1404</v>
      </c>
      <c r="D626" s="1">
        <v>0</v>
      </c>
      <c r="E626" s="1">
        <v>179346</v>
      </c>
      <c r="F626">
        <v>429241.14</v>
      </c>
      <c r="G626" s="8" t="s">
        <v>1380</v>
      </c>
      <c r="K626" s="2"/>
      <c r="L626" s="232">
        <v>40997</v>
      </c>
      <c r="N626">
        <f t="shared" si="6"/>
        <v>0</v>
      </c>
    </row>
    <row r="627" spans="1:14" hidden="1">
      <c r="A627" s="232">
        <v>40998</v>
      </c>
      <c r="C627" t="s">
        <v>1733</v>
      </c>
      <c r="D627" s="1">
        <v>1120</v>
      </c>
      <c r="E627" s="1">
        <v>0</v>
      </c>
      <c r="F627">
        <v>428121.14</v>
      </c>
      <c r="K627" s="2"/>
      <c r="L627" s="232">
        <v>40998</v>
      </c>
      <c r="N627">
        <f t="shared" si="6"/>
        <v>1120</v>
      </c>
    </row>
    <row r="628" spans="1:14" hidden="1">
      <c r="A628" s="232">
        <v>41000</v>
      </c>
      <c r="C628" t="s">
        <v>1394</v>
      </c>
      <c r="D628" s="1">
        <v>0</v>
      </c>
      <c r="E628" s="1">
        <v>0</v>
      </c>
      <c r="F628">
        <v>428121.14</v>
      </c>
      <c r="K628" s="2"/>
      <c r="L628" s="232">
        <v>41000</v>
      </c>
      <c r="N628">
        <f t="shared" si="6"/>
        <v>0</v>
      </c>
    </row>
    <row r="629" spans="1:14" hidden="1">
      <c r="A629" s="232">
        <v>41002</v>
      </c>
      <c r="C629" t="s">
        <v>1734</v>
      </c>
      <c r="D629" s="1">
        <v>16527</v>
      </c>
      <c r="E629" s="1">
        <v>0</v>
      </c>
      <c r="F629">
        <v>411594.14</v>
      </c>
      <c r="G629" s="8" t="s">
        <v>1362</v>
      </c>
      <c r="K629" s="2"/>
      <c r="L629" s="232">
        <v>41002</v>
      </c>
      <c r="N629">
        <f t="shared" si="6"/>
        <v>16527</v>
      </c>
    </row>
    <row r="630" spans="1:14" hidden="1">
      <c r="A630" s="232">
        <v>41002</v>
      </c>
      <c r="C630" t="s">
        <v>1735</v>
      </c>
      <c r="D630" s="1">
        <v>75000</v>
      </c>
      <c r="E630" s="1">
        <v>0</v>
      </c>
      <c r="F630">
        <v>336594.14</v>
      </c>
      <c r="G630" s="8" t="s">
        <v>1363</v>
      </c>
      <c r="K630" s="2"/>
      <c r="L630" s="232">
        <v>41002</v>
      </c>
      <c r="N630">
        <f t="shared" si="6"/>
        <v>75000</v>
      </c>
    </row>
    <row r="631" spans="1:14" hidden="1">
      <c r="A631" s="232">
        <v>41003</v>
      </c>
      <c r="C631" t="s">
        <v>1736</v>
      </c>
      <c r="D631" s="1">
        <v>116226.05</v>
      </c>
      <c r="E631" s="1">
        <v>0</v>
      </c>
      <c r="F631">
        <v>220368.09</v>
      </c>
      <c r="G631" s="8" t="s">
        <v>1362</v>
      </c>
      <c r="K631" s="2"/>
      <c r="L631" s="232">
        <v>41003</v>
      </c>
      <c r="N631">
        <f t="shared" si="6"/>
        <v>116226.05</v>
      </c>
    </row>
    <row r="632" spans="1:14" hidden="1">
      <c r="A632" s="232">
        <v>41006</v>
      </c>
      <c r="C632" t="s">
        <v>1571</v>
      </c>
      <c r="D632" s="1">
        <v>40000</v>
      </c>
      <c r="E632" s="1">
        <v>0</v>
      </c>
      <c r="F632">
        <v>180368.09</v>
      </c>
      <c r="G632" s="8" t="s">
        <v>1379</v>
      </c>
      <c r="K632" s="2"/>
      <c r="L632" s="232">
        <v>41006</v>
      </c>
      <c r="N632">
        <f t="shared" si="6"/>
        <v>40000</v>
      </c>
    </row>
    <row r="633" spans="1:14" hidden="1">
      <c r="A633" s="232">
        <v>41009</v>
      </c>
      <c r="C633" t="s">
        <v>1737</v>
      </c>
      <c r="D633" s="1">
        <v>2000</v>
      </c>
      <c r="E633" s="1">
        <v>0</v>
      </c>
      <c r="F633">
        <v>178368.09</v>
      </c>
      <c r="G633" s="8" t="s">
        <v>1372</v>
      </c>
      <c r="K633" s="2"/>
      <c r="L633" s="232">
        <v>41009</v>
      </c>
      <c r="N633">
        <f t="shared" si="6"/>
        <v>2000</v>
      </c>
    </row>
    <row r="634" spans="1:14" hidden="1">
      <c r="A634" s="232">
        <v>41016</v>
      </c>
      <c r="C634" t="s">
        <v>1738</v>
      </c>
      <c r="D634" s="1">
        <v>1020</v>
      </c>
      <c r="E634" s="1">
        <v>0</v>
      </c>
      <c r="F634">
        <v>177348.09</v>
      </c>
      <c r="K634" s="2"/>
      <c r="L634" s="232">
        <v>41016</v>
      </c>
      <c r="N634">
        <f t="shared" si="6"/>
        <v>1020</v>
      </c>
    </row>
    <row r="635" spans="1:14" hidden="1">
      <c r="A635" s="232">
        <v>41022</v>
      </c>
      <c r="C635" t="s">
        <v>1739</v>
      </c>
      <c r="D635" s="1">
        <v>5000</v>
      </c>
      <c r="E635" s="1">
        <v>0</v>
      </c>
      <c r="F635">
        <v>172348.09</v>
      </c>
      <c r="G635" s="8" t="s">
        <v>1361</v>
      </c>
      <c r="K635" s="2"/>
      <c r="L635" s="232">
        <v>41022</v>
      </c>
      <c r="N635">
        <f t="shared" si="6"/>
        <v>5000</v>
      </c>
    </row>
    <row r="636" spans="1:14" hidden="1">
      <c r="A636" s="232">
        <v>41024</v>
      </c>
      <c r="C636" t="s">
        <v>1740</v>
      </c>
      <c r="D636" s="1">
        <v>450</v>
      </c>
      <c r="E636" s="1">
        <v>0</v>
      </c>
      <c r="F636">
        <v>171898.09</v>
      </c>
      <c r="K636" s="2"/>
      <c r="L636" s="232">
        <v>41024</v>
      </c>
      <c r="N636">
        <f t="shared" si="6"/>
        <v>450</v>
      </c>
    </row>
    <row r="637" spans="1:14" hidden="1">
      <c r="A637" s="232">
        <v>41026</v>
      </c>
      <c r="C637" t="s">
        <v>1741</v>
      </c>
      <c r="D637" s="1">
        <v>1122</v>
      </c>
      <c r="E637" s="1">
        <v>0</v>
      </c>
      <c r="F637">
        <v>170776.09</v>
      </c>
      <c r="K637" s="2"/>
      <c r="L637" s="232">
        <v>41026</v>
      </c>
      <c r="N637">
        <f t="shared" si="6"/>
        <v>1122</v>
      </c>
    </row>
    <row r="638" spans="1:14" hidden="1">
      <c r="A638" s="232">
        <v>41026</v>
      </c>
      <c r="C638" t="s">
        <v>1404</v>
      </c>
      <c r="D638" s="1">
        <v>0</v>
      </c>
      <c r="E638" s="1">
        <v>558440</v>
      </c>
      <c r="F638">
        <v>729216.09</v>
      </c>
      <c r="G638" s="8" t="s">
        <v>1380</v>
      </c>
      <c r="K638" s="2"/>
      <c r="L638" s="232">
        <v>41026</v>
      </c>
      <c r="N638">
        <f t="shared" si="6"/>
        <v>0</v>
      </c>
    </row>
    <row r="639" spans="1:14" hidden="1">
      <c r="A639" s="232">
        <v>41027</v>
      </c>
      <c r="C639" t="s">
        <v>1742</v>
      </c>
      <c r="D639" s="1">
        <v>2000</v>
      </c>
      <c r="E639" s="1">
        <v>0</v>
      </c>
      <c r="F639">
        <v>727216.09</v>
      </c>
      <c r="G639" s="8" t="s">
        <v>1372</v>
      </c>
      <c r="K639" s="2"/>
      <c r="L639" s="232">
        <v>41027</v>
      </c>
      <c r="N639">
        <f t="shared" si="6"/>
        <v>2000</v>
      </c>
    </row>
    <row r="640" spans="1:14" hidden="1">
      <c r="A640" s="232">
        <v>41027</v>
      </c>
      <c r="C640" t="s">
        <v>1743</v>
      </c>
      <c r="D640" s="1">
        <v>250000</v>
      </c>
      <c r="E640" s="1">
        <v>0</v>
      </c>
      <c r="F640">
        <v>477216.09</v>
      </c>
      <c r="G640" s="8" t="s">
        <v>1363</v>
      </c>
      <c r="K640" s="2"/>
      <c r="L640" s="232">
        <v>41027</v>
      </c>
      <c r="N640">
        <f t="shared" si="6"/>
        <v>250000</v>
      </c>
    </row>
    <row r="641" spans="1:14" hidden="1">
      <c r="A641" s="232">
        <v>41032</v>
      </c>
      <c r="C641" t="s">
        <v>1744</v>
      </c>
      <c r="D641" s="1">
        <v>500</v>
      </c>
      <c r="E641" s="1">
        <v>0</v>
      </c>
      <c r="F641">
        <v>476716.09</v>
      </c>
      <c r="G641" s="8" t="s">
        <v>1362</v>
      </c>
      <c r="K641" s="2"/>
      <c r="L641" s="232">
        <v>41032</v>
      </c>
      <c r="N641">
        <f t="shared" si="6"/>
        <v>500</v>
      </c>
    </row>
    <row r="642" spans="1:14" hidden="1">
      <c r="A642" s="232">
        <v>41033</v>
      </c>
      <c r="C642" t="s">
        <v>1745</v>
      </c>
      <c r="D642" s="1">
        <v>100000</v>
      </c>
      <c r="E642" s="1">
        <v>0</v>
      </c>
      <c r="F642">
        <v>376716.09</v>
      </c>
      <c r="G642" s="8" t="s">
        <v>1363</v>
      </c>
      <c r="K642" s="2"/>
      <c r="L642" s="232">
        <v>41033</v>
      </c>
      <c r="N642">
        <f t="shared" si="6"/>
        <v>100000</v>
      </c>
    </row>
    <row r="643" spans="1:14" hidden="1">
      <c r="A643" s="232">
        <v>41034</v>
      </c>
      <c r="C643" t="s">
        <v>1571</v>
      </c>
      <c r="D643" s="1">
        <v>40000</v>
      </c>
      <c r="E643" s="1">
        <v>0</v>
      </c>
      <c r="F643">
        <v>336716.09</v>
      </c>
      <c r="G643" s="8" t="s">
        <v>1379</v>
      </c>
      <c r="K643" s="2"/>
      <c r="L643" s="232">
        <v>41034</v>
      </c>
      <c r="N643">
        <f t="shared" si="6"/>
        <v>40000</v>
      </c>
    </row>
    <row r="644" spans="1:14" hidden="1">
      <c r="A644" s="232">
        <v>41037</v>
      </c>
      <c r="C644" t="s">
        <v>1746</v>
      </c>
      <c r="D644" s="1">
        <v>10000</v>
      </c>
      <c r="E644" s="1">
        <v>0</v>
      </c>
      <c r="F644">
        <v>326716.09000000003</v>
      </c>
      <c r="K644" s="2"/>
      <c r="L644" s="232">
        <v>41037</v>
      </c>
      <c r="N644">
        <f t="shared" si="6"/>
        <v>10000</v>
      </c>
    </row>
    <row r="645" spans="1:14" hidden="1">
      <c r="A645" s="232">
        <v>41039</v>
      </c>
      <c r="C645" t="s">
        <v>1747</v>
      </c>
      <c r="D645" s="1">
        <v>2000</v>
      </c>
      <c r="E645" s="1">
        <v>0</v>
      </c>
      <c r="F645">
        <v>324716.09000000003</v>
      </c>
      <c r="G645" s="8" t="s">
        <v>1372</v>
      </c>
      <c r="K645" s="2"/>
      <c r="L645" s="232">
        <v>41039</v>
      </c>
      <c r="N645">
        <f t="shared" si="6"/>
        <v>2000</v>
      </c>
    </row>
    <row r="646" spans="1:14" hidden="1">
      <c r="A646" s="232">
        <v>41045</v>
      </c>
      <c r="C646" t="s">
        <v>1748</v>
      </c>
      <c r="D646" s="1">
        <v>10000</v>
      </c>
      <c r="E646" s="1">
        <v>0</v>
      </c>
      <c r="F646">
        <v>314716.09000000003</v>
      </c>
      <c r="G646" s="8" t="s">
        <v>1361</v>
      </c>
      <c r="K646" s="2"/>
      <c r="L646" s="232">
        <v>41045</v>
      </c>
      <c r="N646">
        <f t="shared" si="6"/>
        <v>10000</v>
      </c>
    </row>
    <row r="647" spans="1:14" hidden="1">
      <c r="A647" s="232">
        <v>41048</v>
      </c>
      <c r="C647" t="s">
        <v>1749</v>
      </c>
      <c r="D647" s="1">
        <v>3000</v>
      </c>
      <c r="E647" s="1">
        <v>0</v>
      </c>
      <c r="F647">
        <v>311716.09000000003</v>
      </c>
      <c r="G647" s="8" t="s">
        <v>1361</v>
      </c>
      <c r="K647" s="2"/>
      <c r="L647" s="232">
        <v>41048</v>
      </c>
      <c r="N647">
        <f t="shared" si="6"/>
        <v>3000</v>
      </c>
    </row>
    <row r="648" spans="1:14" hidden="1">
      <c r="A648" s="232">
        <v>41052</v>
      </c>
      <c r="C648" t="s">
        <v>1750</v>
      </c>
      <c r="D648" s="1">
        <v>656</v>
      </c>
      <c r="E648" s="1">
        <v>0</v>
      </c>
      <c r="F648">
        <v>311060.09000000003</v>
      </c>
      <c r="K648" s="2"/>
      <c r="L648" s="232">
        <v>41052</v>
      </c>
      <c r="N648">
        <f t="shared" si="6"/>
        <v>656</v>
      </c>
    </row>
    <row r="649" spans="1:14" hidden="1">
      <c r="A649" s="232">
        <v>41052</v>
      </c>
      <c r="C649" t="s">
        <v>1751</v>
      </c>
      <c r="D649" s="1">
        <v>1300</v>
      </c>
      <c r="E649" s="1">
        <v>0</v>
      </c>
      <c r="F649">
        <v>309760.09000000003</v>
      </c>
      <c r="K649" s="2"/>
      <c r="L649" s="232">
        <v>41052</v>
      </c>
      <c r="N649">
        <f t="shared" si="6"/>
        <v>1300</v>
      </c>
    </row>
    <row r="650" spans="1:14" hidden="1">
      <c r="A650" s="232">
        <v>41052</v>
      </c>
      <c r="C650" t="s">
        <v>1752</v>
      </c>
      <c r="D650" s="1">
        <v>1000</v>
      </c>
      <c r="E650" s="1">
        <v>0</v>
      </c>
      <c r="F650">
        <v>308760.09000000003</v>
      </c>
      <c r="G650" s="8" t="s">
        <v>1362</v>
      </c>
      <c r="K650" s="2"/>
      <c r="L650" s="232">
        <v>41052</v>
      </c>
      <c r="N650">
        <f t="shared" si="6"/>
        <v>1000</v>
      </c>
    </row>
    <row r="651" spans="1:14" hidden="1">
      <c r="A651" s="232">
        <v>41057</v>
      </c>
      <c r="C651" t="s">
        <v>1753</v>
      </c>
      <c r="D651" s="1">
        <v>2000</v>
      </c>
      <c r="E651" s="1">
        <v>0</v>
      </c>
      <c r="F651">
        <v>306760.09000000003</v>
      </c>
      <c r="G651" s="8" t="s">
        <v>1372</v>
      </c>
      <c r="K651" s="2"/>
      <c r="L651" s="232">
        <v>41057</v>
      </c>
      <c r="N651">
        <f t="shared" ref="N651:N714" si="7">D651*1</f>
        <v>2000</v>
      </c>
    </row>
    <row r="652" spans="1:14" hidden="1">
      <c r="A652" s="232">
        <v>41059</v>
      </c>
      <c r="C652" t="s">
        <v>1404</v>
      </c>
      <c r="D652" s="1">
        <v>0</v>
      </c>
      <c r="E652" s="1">
        <v>134821</v>
      </c>
      <c r="F652">
        <v>441581.09</v>
      </c>
      <c r="G652" s="8" t="s">
        <v>1380</v>
      </c>
      <c r="K652" s="2"/>
      <c r="L652" s="232">
        <v>41059</v>
      </c>
      <c r="N652">
        <f t="shared" si="7"/>
        <v>0</v>
      </c>
    </row>
    <row r="653" spans="1:14" hidden="1">
      <c r="A653" s="232">
        <v>41064</v>
      </c>
      <c r="C653" t="s">
        <v>1754</v>
      </c>
      <c r="D653" s="1">
        <v>270570</v>
      </c>
      <c r="E653" s="1">
        <v>0</v>
      </c>
      <c r="F653">
        <v>171011.09</v>
      </c>
      <c r="G653" s="8" t="s">
        <v>1370</v>
      </c>
      <c r="K653" s="2"/>
      <c r="L653" s="232">
        <v>41064</v>
      </c>
      <c r="N653">
        <f t="shared" si="7"/>
        <v>270570</v>
      </c>
    </row>
    <row r="654" spans="1:14" hidden="1">
      <c r="A654" s="232">
        <v>41065</v>
      </c>
      <c r="C654" t="s">
        <v>1571</v>
      </c>
      <c r="D654" s="1">
        <v>40000</v>
      </c>
      <c r="E654" s="1">
        <v>0</v>
      </c>
      <c r="F654">
        <v>131011.09</v>
      </c>
      <c r="G654" s="8" t="s">
        <v>1379</v>
      </c>
      <c r="K654" s="2"/>
      <c r="L654" s="232">
        <v>41065</v>
      </c>
      <c r="N654">
        <f t="shared" si="7"/>
        <v>40000</v>
      </c>
    </row>
    <row r="655" spans="1:14" hidden="1">
      <c r="A655" s="232">
        <v>41068</v>
      </c>
      <c r="C655" t="s">
        <v>1755</v>
      </c>
      <c r="D655" s="1">
        <v>10000</v>
      </c>
      <c r="E655" s="1">
        <v>0</v>
      </c>
      <c r="F655">
        <v>121011.09</v>
      </c>
      <c r="G655" s="8" t="s">
        <v>1361</v>
      </c>
      <c r="K655" s="2"/>
      <c r="L655" s="232">
        <v>41068</v>
      </c>
      <c r="N655">
        <f t="shared" si="7"/>
        <v>10000</v>
      </c>
    </row>
    <row r="656" spans="1:14" hidden="1">
      <c r="A656" s="232">
        <v>41071</v>
      </c>
      <c r="C656" t="s">
        <v>1756</v>
      </c>
      <c r="D656" s="1">
        <v>2000</v>
      </c>
      <c r="E656" s="1">
        <v>0</v>
      </c>
      <c r="F656">
        <v>119011.09</v>
      </c>
      <c r="G656" s="8" t="s">
        <v>1372</v>
      </c>
      <c r="K656" s="2"/>
      <c r="L656" s="232">
        <v>41071</v>
      </c>
      <c r="N656">
        <f t="shared" si="7"/>
        <v>2000</v>
      </c>
    </row>
    <row r="657" spans="1:14" hidden="1">
      <c r="A657" s="232">
        <v>41085</v>
      </c>
      <c r="C657" t="s">
        <v>1757</v>
      </c>
      <c r="D657" s="1">
        <v>300</v>
      </c>
      <c r="E657" s="1">
        <v>0</v>
      </c>
      <c r="F657">
        <v>118711.09</v>
      </c>
      <c r="K657" s="2"/>
      <c r="L657" s="232">
        <v>41085</v>
      </c>
      <c r="N657">
        <f t="shared" si="7"/>
        <v>300</v>
      </c>
    </row>
    <row r="658" spans="1:14" hidden="1">
      <c r="A658" s="232">
        <v>41088</v>
      </c>
      <c r="C658" t="s">
        <v>1758</v>
      </c>
      <c r="D658" s="1">
        <v>2000</v>
      </c>
      <c r="E658" s="1">
        <v>0</v>
      </c>
      <c r="F658">
        <v>116711.09</v>
      </c>
      <c r="G658" s="8" t="s">
        <v>1372</v>
      </c>
      <c r="K658" s="2"/>
      <c r="L658" s="232">
        <v>41088</v>
      </c>
      <c r="N658">
        <f t="shared" si="7"/>
        <v>2000</v>
      </c>
    </row>
    <row r="659" spans="1:14" hidden="1">
      <c r="A659" s="232">
        <v>41088</v>
      </c>
      <c r="C659" t="s">
        <v>1759</v>
      </c>
      <c r="D659" s="1">
        <v>1126</v>
      </c>
      <c r="E659" s="1">
        <v>0</v>
      </c>
      <c r="F659">
        <v>115585.09</v>
      </c>
      <c r="K659" s="2"/>
      <c r="L659" s="232">
        <v>41088</v>
      </c>
      <c r="N659">
        <f t="shared" si="7"/>
        <v>1126</v>
      </c>
    </row>
    <row r="660" spans="1:14" hidden="1">
      <c r="A660" s="232">
        <v>41088</v>
      </c>
      <c r="C660" t="s">
        <v>1404</v>
      </c>
      <c r="D660" s="1">
        <v>0</v>
      </c>
      <c r="E660" s="1">
        <v>134821</v>
      </c>
      <c r="F660">
        <v>250406.09</v>
      </c>
      <c r="G660" s="8" t="s">
        <v>1380</v>
      </c>
      <c r="K660" s="2"/>
      <c r="L660" s="232">
        <v>41088</v>
      </c>
      <c r="N660">
        <f t="shared" si="7"/>
        <v>0</v>
      </c>
    </row>
    <row r="661" spans="1:14" hidden="1">
      <c r="A661" s="232">
        <v>41092</v>
      </c>
      <c r="C661" t="s">
        <v>1760</v>
      </c>
      <c r="D661" s="1">
        <v>5000</v>
      </c>
      <c r="E661" s="1">
        <v>0</v>
      </c>
      <c r="F661">
        <v>245406.09</v>
      </c>
      <c r="G661" s="8" t="s">
        <v>1361</v>
      </c>
      <c r="K661" s="2"/>
      <c r="L661" s="232">
        <v>41092</v>
      </c>
      <c r="N661">
        <f t="shared" si="7"/>
        <v>5000</v>
      </c>
    </row>
    <row r="662" spans="1:14" hidden="1">
      <c r="A662" s="232">
        <v>41094</v>
      </c>
      <c r="C662" t="s">
        <v>1503</v>
      </c>
      <c r="D662" s="1">
        <v>24436</v>
      </c>
      <c r="E662" s="1">
        <v>0</v>
      </c>
      <c r="F662">
        <v>220970.09</v>
      </c>
      <c r="K662" s="2"/>
      <c r="L662" s="232">
        <v>41094</v>
      </c>
      <c r="N662">
        <f t="shared" si="7"/>
        <v>24436</v>
      </c>
    </row>
    <row r="663" spans="1:14" hidden="1">
      <c r="A663" s="232">
        <v>41095</v>
      </c>
      <c r="C663" t="s">
        <v>1571</v>
      </c>
      <c r="D663" s="1">
        <v>40000</v>
      </c>
      <c r="E663" s="1">
        <v>0</v>
      </c>
      <c r="F663">
        <v>180970.09</v>
      </c>
      <c r="G663" s="8" t="s">
        <v>1379</v>
      </c>
      <c r="K663" s="2"/>
      <c r="L663" s="232">
        <v>41095</v>
      </c>
      <c r="N663">
        <f t="shared" si="7"/>
        <v>40000</v>
      </c>
    </row>
    <row r="664" spans="1:14" hidden="1">
      <c r="A664" s="232">
        <v>41096</v>
      </c>
      <c r="C664" t="s">
        <v>1761</v>
      </c>
      <c r="D664" s="1">
        <v>50000</v>
      </c>
      <c r="E664" s="1">
        <v>0</v>
      </c>
      <c r="F664">
        <v>130970.09</v>
      </c>
      <c r="G664" s="8" t="s">
        <v>1363</v>
      </c>
      <c r="K664" s="2"/>
      <c r="L664" s="232">
        <v>41096</v>
      </c>
      <c r="N664">
        <f t="shared" si="7"/>
        <v>50000</v>
      </c>
    </row>
    <row r="665" spans="1:14" hidden="1">
      <c r="A665" s="232">
        <v>41099</v>
      </c>
      <c r="C665" t="s">
        <v>1762</v>
      </c>
      <c r="D665" s="1">
        <v>10000</v>
      </c>
      <c r="E665" s="1">
        <v>0</v>
      </c>
      <c r="F665">
        <v>120970.09</v>
      </c>
      <c r="G665" s="8" t="s">
        <v>1361</v>
      </c>
      <c r="K665" s="2"/>
      <c r="L665" s="232">
        <v>41099</v>
      </c>
      <c r="N665">
        <f t="shared" si="7"/>
        <v>10000</v>
      </c>
    </row>
    <row r="666" spans="1:14" hidden="1">
      <c r="A666" s="232">
        <v>41100</v>
      </c>
      <c r="C666" t="s">
        <v>1763</v>
      </c>
      <c r="D666" s="1">
        <v>2000</v>
      </c>
      <c r="E666" s="1">
        <v>0</v>
      </c>
      <c r="F666">
        <v>118970.09</v>
      </c>
      <c r="G666" s="8" t="s">
        <v>1372</v>
      </c>
      <c r="K666" s="2"/>
      <c r="L666" s="232">
        <v>41100</v>
      </c>
      <c r="N666">
        <f t="shared" si="7"/>
        <v>2000</v>
      </c>
    </row>
    <row r="667" spans="1:14" hidden="1">
      <c r="A667" s="232">
        <v>41108</v>
      </c>
      <c r="C667" t="s">
        <v>1764</v>
      </c>
      <c r="D667" s="1">
        <v>911</v>
      </c>
      <c r="E667" s="1">
        <v>0</v>
      </c>
      <c r="F667">
        <v>118059.09</v>
      </c>
      <c r="K667" s="2"/>
      <c r="L667" s="232">
        <v>41108</v>
      </c>
      <c r="N667">
        <f t="shared" si="7"/>
        <v>911</v>
      </c>
    </row>
    <row r="668" spans="1:14" hidden="1">
      <c r="A668" s="232">
        <v>41114</v>
      </c>
      <c r="C668" t="s">
        <v>1765</v>
      </c>
      <c r="D668" s="1">
        <v>36000</v>
      </c>
      <c r="E668" s="1">
        <v>0</v>
      </c>
      <c r="F668">
        <v>82059.09</v>
      </c>
      <c r="G668" s="8" t="s">
        <v>1362</v>
      </c>
      <c r="K668" s="2"/>
      <c r="L668" s="232">
        <v>41114</v>
      </c>
      <c r="N668">
        <f t="shared" si="7"/>
        <v>36000</v>
      </c>
    </row>
    <row r="669" spans="1:14" hidden="1">
      <c r="A669" s="232">
        <v>41116</v>
      </c>
      <c r="C669" t="s">
        <v>1766</v>
      </c>
      <c r="D669" s="1">
        <v>1000</v>
      </c>
      <c r="E669" s="1">
        <v>0</v>
      </c>
      <c r="F669">
        <v>81059.09</v>
      </c>
      <c r="K669" s="2"/>
      <c r="L669" s="232">
        <v>41116</v>
      </c>
      <c r="N669">
        <f t="shared" si="7"/>
        <v>1000</v>
      </c>
    </row>
    <row r="670" spans="1:14" hidden="1">
      <c r="A670" s="232">
        <v>41118</v>
      </c>
      <c r="C670" t="s">
        <v>1767</v>
      </c>
      <c r="D670" s="1">
        <v>1137</v>
      </c>
      <c r="E670" s="1">
        <v>0</v>
      </c>
      <c r="F670">
        <v>79922.09</v>
      </c>
      <c r="K670" s="2"/>
      <c r="L670" s="232">
        <v>41118</v>
      </c>
      <c r="N670">
        <f t="shared" si="7"/>
        <v>1137</v>
      </c>
    </row>
    <row r="671" spans="1:14" hidden="1">
      <c r="A671" s="232">
        <v>41118</v>
      </c>
      <c r="C671" t="s">
        <v>1768</v>
      </c>
      <c r="D671" s="1">
        <v>2000</v>
      </c>
      <c r="E671" s="1">
        <v>0</v>
      </c>
      <c r="F671">
        <v>77922.09</v>
      </c>
      <c r="G671" s="8" t="s">
        <v>1372</v>
      </c>
      <c r="K671" s="2"/>
      <c r="L671" s="232">
        <v>41118</v>
      </c>
      <c r="N671">
        <f t="shared" si="7"/>
        <v>2000</v>
      </c>
    </row>
    <row r="672" spans="1:14" hidden="1">
      <c r="A672" s="232">
        <v>41120</v>
      </c>
      <c r="C672" t="s">
        <v>1404</v>
      </c>
      <c r="D672" s="1">
        <v>0</v>
      </c>
      <c r="E672" s="1">
        <v>134821</v>
      </c>
      <c r="F672">
        <v>212743.09</v>
      </c>
      <c r="G672" s="8" t="s">
        <v>1380</v>
      </c>
      <c r="K672" s="2"/>
      <c r="L672" s="232">
        <v>41120</v>
      </c>
      <c r="N672">
        <f t="shared" si="7"/>
        <v>0</v>
      </c>
    </row>
    <row r="673" spans="1:14" hidden="1">
      <c r="A673" s="232">
        <v>41124</v>
      </c>
      <c r="C673" t="s">
        <v>1769</v>
      </c>
      <c r="D673" s="1">
        <v>9273</v>
      </c>
      <c r="E673" s="1">
        <v>0</v>
      </c>
      <c r="F673">
        <v>203470.09</v>
      </c>
      <c r="G673" s="8" t="s">
        <v>1362</v>
      </c>
      <c r="K673" s="2"/>
      <c r="L673" s="232">
        <v>41124</v>
      </c>
      <c r="N673">
        <f t="shared" si="7"/>
        <v>9273</v>
      </c>
    </row>
    <row r="674" spans="1:14" hidden="1">
      <c r="A674" s="232">
        <v>41124</v>
      </c>
      <c r="C674" t="s">
        <v>1770</v>
      </c>
      <c r="D674" s="1">
        <v>10000</v>
      </c>
      <c r="E674" s="1">
        <v>0</v>
      </c>
      <c r="F674">
        <v>193470.09</v>
      </c>
      <c r="G674" s="8" t="s">
        <v>1361</v>
      </c>
      <c r="K674" s="2"/>
      <c r="L674" s="232">
        <v>41124</v>
      </c>
      <c r="N674">
        <f t="shared" si="7"/>
        <v>10000</v>
      </c>
    </row>
    <row r="675" spans="1:14" hidden="1">
      <c r="A675" s="232">
        <v>41127</v>
      </c>
      <c r="C675" t="s">
        <v>1571</v>
      </c>
      <c r="D675" s="1">
        <v>40000</v>
      </c>
      <c r="E675" s="1">
        <v>0</v>
      </c>
      <c r="F675">
        <v>153470.09</v>
      </c>
      <c r="G675" s="8" t="s">
        <v>1379</v>
      </c>
      <c r="K675" s="2"/>
      <c r="L675" s="232">
        <v>41127</v>
      </c>
      <c r="N675">
        <f t="shared" si="7"/>
        <v>40000</v>
      </c>
    </row>
    <row r="676" spans="1:14" hidden="1">
      <c r="A676" s="232">
        <v>41131</v>
      </c>
      <c r="C676" t="s">
        <v>1771</v>
      </c>
      <c r="D676" s="1">
        <v>2000</v>
      </c>
      <c r="E676" s="1">
        <v>0</v>
      </c>
      <c r="F676">
        <v>151470.09</v>
      </c>
      <c r="G676" s="8" t="s">
        <v>1372</v>
      </c>
      <c r="K676" s="2"/>
      <c r="L676" s="232">
        <v>41131</v>
      </c>
      <c r="N676">
        <f t="shared" si="7"/>
        <v>2000</v>
      </c>
    </row>
    <row r="677" spans="1:14" hidden="1">
      <c r="A677" s="232">
        <v>41134</v>
      </c>
      <c r="C677" t="s">
        <v>1772</v>
      </c>
      <c r="D677" s="1">
        <v>120000</v>
      </c>
      <c r="E677" s="1">
        <v>0</v>
      </c>
      <c r="F677">
        <v>31470.09</v>
      </c>
      <c r="G677" s="8" t="s">
        <v>1363</v>
      </c>
      <c r="K677" s="2"/>
      <c r="L677" s="232">
        <v>41134</v>
      </c>
      <c r="N677">
        <f t="shared" si="7"/>
        <v>120000</v>
      </c>
    </row>
    <row r="678" spans="1:14" hidden="1">
      <c r="A678" s="232">
        <v>41138</v>
      </c>
      <c r="C678" t="s">
        <v>1773</v>
      </c>
      <c r="D678" s="1">
        <v>10000</v>
      </c>
      <c r="E678" s="1">
        <v>0</v>
      </c>
      <c r="F678">
        <v>21470.09</v>
      </c>
      <c r="G678" s="8" t="s">
        <v>1361</v>
      </c>
      <c r="K678" s="2"/>
      <c r="L678" s="232">
        <v>41138</v>
      </c>
      <c r="N678">
        <f t="shared" si="7"/>
        <v>10000</v>
      </c>
    </row>
    <row r="679" spans="1:14" hidden="1">
      <c r="A679" s="232">
        <v>41142</v>
      </c>
      <c r="C679" t="s">
        <v>1774</v>
      </c>
      <c r="D679" s="1">
        <v>0</v>
      </c>
      <c r="E679" s="1">
        <v>47159</v>
      </c>
      <c r="F679">
        <v>68629.09</v>
      </c>
      <c r="G679" s="8" t="s">
        <v>1380</v>
      </c>
      <c r="K679" s="2"/>
      <c r="L679" s="232">
        <v>41142</v>
      </c>
      <c r="N679">
        <f t="shared" si="7"/>
        <v>0</v>
      </c>
    </row>
    <row r="680" spans="1:14" hidden="1">
      <c r="A680" s="232">
        <v>41143</v>
      </c>
      <c r="C680" t="s">
        <v>1775</v>
      </c>
      <c r="D680" s="1">
        <v>65998.16</v>
      </c>
      <c r="E680" s="1">
        <v>0</v>
      </c>
      <c r="F680">
        <v>2630.93</v>
      </c>
      <c r="G680" s="8" t="s">
        <v>1362</v>
      </c>
      <c r="K680" s="2"/>
      <c r="L680" s="232">
        <v>41143</v>
      </c>
      <c r="N680">
        <f t="shared" si="7"/>
        <v>65998.16</v>
      </c>
    </row>
    <row r="681" spans="1:14" hidden="1">
      <c r="A681" s="232">
        <v>41143</v>
      </c>
      <c r="C681" t="s">
        <v>1655</v>
      </c>
      <c r="D681" s="1">
        <v>0</v>
      </c>
      <c r="E681" s="1">
        <v>10000</v>
      </c>
      <c r="F681">
        <v>12630.93</v>
      </c>
      <c r="G681" s="8" t="s">
        <v>1379</v>
      </c>
      <c r="K681" s="2"/>
      <c r="L681" s="232">
        <v>41143</v>
      </c>
      <c r="N681">
        <f t="shared" si="7"/>
        <v>0</v>
      </c>
    </row>
    <row r="682" spans="1:14" hidden="1">
      <c r="A682" s="232">
        <v>41143</v>
      </c>
      <c r="C682" t="s">
        <v>1655</v>
      </c>
      <c r="D682" s="1">
        <v>0</v>
      </c>
      <c r="E682" s="1">
        <v>425</v>
      </c>
      <c r="F682">
        <v>13055.93</v>
      </c>
      <c r="G682" s="8" t="s">
        <v>1379</v>
      </c>
      <c r="K682" s="2"/>
      <c r="L682" s="232">
        <v>41143</v>
      </c>
      <c r="N682">
        <f t="shared" si="7"/>
        <v>0</v>
      </c>
    </row>
    <row r="683" spans="1:14" hidden="1">
      <c r="A683" s="232">
        <v>41148</v>
      </c>
      <c r="C683" t="s">
        <v>1776</v>
      </c>
      <c r="D683" s="1">
        <v>0</v>
      </c>
      <c r="E683" s="1">
        <v>262434.21999999997</v>
      </c>
      <c r="F683">
        <v>275490.15000000002</v>
      </c>
      <c r="G683" s="8" t="s">
        <v>1380</v>
      </c>
      <c r="K683" s="2"/>
      <c r="L683" s="232">
        <v>41148</v>
      </c>
      <c r="N683">
        <f t="shared" si="7"/>
        <v>0</v>
      </c>
    </row>
    <row r="684" spans="1:14" hidden="1">
      <c r="A684" s="232">
        <v>41149</v>
      </c>
      <c r="C684" t="s">
        <v>1777</v>
      </c>
      <c r="D684" s="1">
        <v>2000</v>
      </c>
      <c r="E684" s="1">
        <v>0</v>
      </c>
      <c r="F684">
        <v>273490.15000000002</v>
      </c>
      <c r="G684" s="8" t="s">
        <v>1372</v>
      </c>
      <c r="K684" s="2"/>
      <c r="L684" s="232">
        <v>41149</v>
      </c>
      <c r="N684">
        <f t="shared" si="7"/>
        <v>2000</v>
      </c>
    </row>
    <row r="685" spans="1:14" hidden="1">
      <c r="A685" s="232">
        <v>41150</v>
      </c>
      <c r="C685" t="s">
        <v>1778</v>
      </c>
      <c r="D685" s="1">
        <v>1127</v>
      </c>
      <c r="E685" s="1">
        <v>0</v>
      </c>
      <c r="F685">
        <v>272363.15000000002</v>
      </c>
      <c r="K685" s="2"/>
      <c r="L685" s="232">
        <v>41150</v>
      </c>
      <c r="N685">
        <f t="shared" si="7"/>
        <v>1127</v>
      </c>
    </row>
    <row r="686" spans="1:14" hidden="1">
      <c r="A686" s="232">
        <v>41151</v>
      </c>
      <c r="C686" t="s">
        <v>1779</v>
      </c>
      <c r="D686" s="1">
        <v>5000</v>
      </c>
      <c r="E686" s="1">
        <v>0</v>
      </c>
      <c r="F686">
        <v>267363.15000000002</v>
      </c>
      <c r="G686" s="8" t="s">
        <v>1361</v>
      </c>
      <c r="K686" s="2"/>
      <c r="L686" s="232">
        <v>41151</v>
      </c>
      <c r="N686">
        <f t="shared" si="7"/>
        <v>5000</v>
      </c>
    </row>
    <row r="687" spans="1:14" hidden="1">
      <c r="A687" s="232">
        <v>41151</v>
      </c>
      <c r="C687" t="s">
        <v>1404</v>
      </c>
      <c r="D687" s="1">
        <v>0</v>
      </c>
      <c r="E687" s="1">
        <v>143834</v>
      </c>
      <c r="F687">
        <v>411197.15</v>
      </c>
      <c r="G687" s="8" t="s">
        <v>1380</v>
      </c>
      <c r="K687" s="2"/>
      <c r="L687" s="232">
        <v>41151</v>
      </c>
      <c r="N687">
        <f t="shared" si="7"/>
        <v>0</v>
      </c>
    </row>
    <row r="688" spans="1:14" hidden="1">
      <c r="A688" s="232">
        <v>41152</v>
      </c>
      <c r="C688" t="s">
        <v>1780</v>
      </c>
      <c r="D688" s="1">
        <v>199</v>
      </c>
      <c r="E688" s="1">
        <v>0</v>
      </c>
      <c r="F688">
        <v>410998.15</v>
      </c>
      <c r="G688" s="8" t="s">
        <v>1362</v>
      </c>
      <c r="K688" s="2"/>
      <c r="L688" s="232">
        <v>41152</v>
      </c>
      <c r="N688">
        <f t="shared" si="7"/>
        <v>199</v>
      </c>
    </row>
    <row r="689" spans="1:14" hidden="1">
      <c r="A689" s="232">
        <v>41152</v>
      </c>
      <c r="C689" t="s">
        <v>1781</v>
      </c>
      <c r="D689" s="1">
        <v>100000</v>
      </c>
      <c r="E689" s="1">
        <v>0</v>
      </c>
      <c r="F689">
        <v>310998.15000000002</v>
      </c>
      <c r="G689" s="8" t="s">
        <v>1363</v>
      </c>
      <c r="K689" s="2"/>
      <c r="L689" s="232">
        <v>41152</v>
      </c>
      <c r="N689">
        <f t="shared" si="7"/>
        <v>100000</v>
      </c>
    </row>
    <row r="690" spans="1:14" hidden="1">
      <c r="A690" s="232">
        <v>41153</v>
      </c>
      <c r="C690" t="s">
        <v>1782</v>
      </c>
      <c r="D690" s="1">
        <v>0</v>
      </c>
      <c r="E690" s="1">
        <v>4375</v>
      </c>
      <c r="F690">
        <v>315373.15000000002</v>
      </c>
      <c r="G690" s="8" t="s">
        <v>1368</v>
      </c>
      <c r="K690" s="2"/>
      <c r="L690" s="232">
        <v>41153</v>
      </c>
      <c r="N690">
        <f t="shared" si="7"/>
        <v>0</v>
      </c>
    </row>
    <row r="691" spans="1:14" hidden="1">
      <c r="A691" s="232">
        <v>41157</v>
      </c>
      <c r="C691" t="s">
        <v>1571</v>
      </c>
      <c r="D691" s="1">
        <v>40000</v>
      </c>
      <c r="E691" s="1">
        <v>0</v>
      </c>
      <c r="F691">
        <v>275373.15000000002</v>
      </c>
      <c r="G691" s="8" t="s">
        <v>1379</v>
      </c>
      <c r="K691" s="2"/>
      <c r="L691" s="232">
        <v>41157</v>
      </c>
      <c r="N691">
        <f t="shared" si="7"/>
        <v>40000</v>
      </c>
    </row>
    <row r="692" spans="1:14" hidden="1">
      <c r="A692" s="232">
        <v>41158</v>
      </c>
      <c r="C692" t="s">
        <v>1783</v>
      </c>
      <c r="D692" s="1">
        <v>3643.06</v>
      </c>
      <c r="E692" s="1">
        <v>0</v>
      </c>
      <c r="F692">
        <v>271730.09000000003</v>
      </c>
      <c r="K692" s="2"/>
      <c r="L692" s="232">
        <v>41158</v>
      </c>
      <c r="N692">
        <f t="shared" si="7"/>
        <v>3643.06</v>
      </c>
    </row>
    <row r="693" spans="1:14" hidden="1">
      <c r="A693" s="232">
        <v>41162</v>
      </c>
      <c r="C693" t="s">
        <v>1784</v>
      </c>
      <c r="D693" s="1">
        <v>2000</v>
      </c>
      <c r="E693" s="1">
        <v>0</v>
      </c>
      <c r="F693">
        <v>269730.09000000003</v>
      </c>
      <c r="G693" s="8" t="s">
        <v>1372</v>
      </c>
      <c r="K693" s="2"/>
      <c r="L693" s="232">
        <v>41162</v>
      </c>
      <c r="N693">
        <f t="shared" si="7"/>
        <v>2000</v>
      </c>
    </row>
    <row r="694" spans="1:14" hidden="1">
      <c r="A694" s="232">
        <v>41176</v>
      </c>
      <c r="C694" t="s">
        <v>1785</v>
      </c>
      <c r="D694" s="1">
        <v>5000</v>
      </c>
      <c r="E694" s="1">
        <v>0</v>
      </c>
      <c r="F694">
        <v>264730.09000000003</v>
      </c>
      <c r="G694" s="8" t="s">
        <v>1361</v>
      </c>
      <c r="K694" s="2"/>
      <c r="L694" s="232">
        <v>41176</v>
      </c>
      <c r="N694">
        <f t="shared" si="7"/>
        <v>5000</v>
      </c>
    </row>
    <row r="695" spans="1:14" hidden="1">
      <c r="A695" s="232">
        <v>41176</v>
      </c>
      <c r="C695" t="s">
        <v>1786</v>
      </c>
      <c r="D695" s="1">
        <v>309</v>
      </c>
      <c r="E695" s="1">
        <v>0</v>
      </c>
      <c r="F695">
        <v>264421.09000000003</v>
      </c>
      <c r="K695" s="2"/>
      <c r="L695" s="232">
        <v>41176</v>
      </c>
      <c r="N695">
        <f t="shared" si="7"/>
        <v>309</v>
      </c>
    </row>
    <row r="696" spans="1:14" hidden="1">
      <c r="A696" s="232">
        <v>41178</v>
      </c>
      <c r="C696" t="s">
        <v>1787</v>
      </c>
      <c r="D696" s="1">
        <v>1121</v>
      </c>
      <c r="E696" s="1">
        <v>0</v>
      </c>
      <c r="F696">
        <v>263300.09000000003</v>
      </c>
      <c r="K696" s="2"/>
      <c r="L696" s="232">
        <v>41178</v>
      </c>
      <c r="N696">
        <f t="shared" si="7"/>
        <v>1121</v>
      </c>
    </row>
    <row r="697" spans="1:14" hidden="1">
      <c r="A697" s="232">
        <v>41178</v>
      </c>
      <c r="C697" t="s">
        <v>1788</v>
      </c>
      <c r="D697" s="1">
        <v>300</v>
      </c>
      <c r="E697" s="1">
        <v>0</v>
      </c>
      <c r="F697">
        <v>263000.09000000003</v>
      </c>
      <c r="K697" s="2"/>
      <c r="L697" s="232">
        <v>41178</v>
      </c>
      <c r="N697">
        <f t="shared" si="7"/>
        <v>300</v>
      </c>
    </row>
    <row r="698" spans="1:14" hidden="1">
      <c r="A698" s="232">
        <v>41178</v>
      </c>
      <c r="C698" t="s">
        <v>1789</v>
      </c>
      <c r="D698" s="1">
        <v>0</v>
      </c>
      <c r="E698" s="1">
        <v>707.55</v>
      </c>
      <c r="F698">
        <v>263707.64</v>
      </c>
      <c r="G698" s="8" t="s">
        <v>1375</v>
      </c>
      <c r="K698" s="2"/>
      <c r="L698" s="232">
        <v>41178</v>
      </c>
      <c r="N698">
        <f t="shared" si="7"/>
        <v>0</v>
      </c>
    </row>
    <row r="699" spans="1:14" hidden="1">
      <c r="A699" s="232">
        <v>41179</v>
      </c>
      <c r="C699" t="s">
        <v>1404</v>
      </c>
      <c r="D699" s="1">
        <v>0</v>
      </c>
      <c r="E699" s="1">
        <v>137798</v>
      </c>
      <c r="F699">
        <v>401505.64</v>
      </c>
      <c r="G699" s="8" t="s">
        <v>1380</v>
      </c>
      <c r="K699" s="2"/>
      <c r="L699" s="232">
        <v>41179</v>
      </c>
      <c r="N699">
        <f t="shared" si="7"/>
        <v>0</v>
      </c>
    </row>
    <row r="700" spans="1:14" hidden="1">
      <c r="A700" s="232">
        <v>41180</v>
      </c>
      <c r="C700" t="s">
        <v>1790</v>
      </c>
      <c r="D700" s="1">
        <v>2000</v>
      </c>
      <c r="E700" s="1">
        <v>0</v>
      </c>
      <c r="F700">
        <v>399505.64</v>
      </c>
      <c r="G700" s="8" t="s">
        <v>1372</v>
      </c>
      <c r="K700" s="2"/>
      <c r="L700" s="232">
        <v>41180</v>
      </c>
      <c r="N700">
        <f t="shared" si="7"/>
        <v>2000</v>
      </c>
    </row>
    <row r="701" spans="1:14" hidden="1">
      <c r="A701" s="232">
        <v>41180</v>
      </c>
      <c r="C701" t="s">
        <v>1791</v>
      </c>
      <c r="D701" s="1">
        <v>199</v>
      </c>
      <c r="E701" s="1">
        <v>0</v>
      </c>
      <c r="F701">
        <v>399306.64</v>
      </c>
      <c r="G701" s="8" t="s">
        <v>1362</v>
      </c>
      <c r="K701" s="2"/>
      <c r="L701" s="232">
        <v>41180</v>
      </c>
      <c r="N701">
        <f t="shared" si="7"/>
        <v>199</v>
      </c>
    </row>
    <row r="702" spans="1:14" hidden="1">
      <c r="A702" s="232">
        <v>41180</v>
      </c>
      <c r="C702" t="s">
        <v>1792</v>
      </c>
      <c r="D702" s="1">
        <v>100000</v>
      </c>
      <c r="E702" s="1">
        <v>0</v>
      </c>
      <c r="F702">
        <v>299306.64</v>
      </c>
      <c r="G702" s="8" t="s">
        <v>1363</v>
      </c>
      <c r="K702" s="2"/>
      <c r="L702" s="232">
        <v>41180</v>
      </c>
      <c r="N702">
        <f t="shared" si="7"/>
        <v>100000</v>
      </c>
    </row>
    <row r="703" spans="1:14" hidden="1">
      <c r="A703" s="232">
        <v>41180</v>
      </c>
      <c r="C703" t="s">
        <v>1793</v>
      </c>
      <c r="D703" s="1">
        <v>0</v>
      </c>
      <c r="E703" s="1">
        <v>48568.37</v>
      </c>
      <c r="F703">
        <v>347875.01</v>
      </c>
      <c r="G703" s="8" t="s">
        <v>1375</v>
      </c>
      <c r="K703" s="2"/>
      <c r="L703" s="232">
        <v>41180</v>
      </c>
      <c r="N703">
        <f t="shared" si="7"/>
        <v>0</v>
      </c>
    </row>
    <row r="704" spans="1:14" hidden="1">
      <c r="A704" s="232">
        <v>41180</v>
      </c>
      <c r="C704" t="s">
        <v>1794</v>
      </c>
      <c r="D704" s="1">
        <v>0</v>
      </c>
      <c r="E704" s="1">
        <v>50205.83</v>
      </c>
      <c r="F704">
        <v>398080.84</v>
      </c>
      <c r="G704" s="8" t="s">
        <v>1375</v>
      </c>
      <c r="K704" s="2"/>
      <c r="L704" s="232">
        <v>41180</v>
      </c>
      <c r="N704">
        <f t="shared" si="7"/>
        <v>0</v>
      </c>
    </row>
    <row r="705" spans="1:14" hidden="1">
      <c r="A705" s="232">
        <v>41187</v>
      </c>
      <c r="C705" t="s">
        <v>1571</v>
      </c>
      <c r="D705" s="1">
        <v>40000</v>
      </c>
      <c r="E705" s="1">
        <v>0</v>
      </c>
      <c r="F705">
        <v>358080.84</v>
      </c>
      <c r="G705" s="8" t="s">
        <v>1379</v>
      </c>
      <c r="K705" s="2"/>
      <c r="L705" s="232">
        <v>41187</v>
      </c>
      <c r="N705">
        <f t="shared" si="7"/>
        <v>40000</v>
      </c>
    </row>
    <row r="706" spans="1:14" hidden="1">
      <c r="A706" s="232">
        <v>41192</v>
      </c>
      <c r="C706" t="s">
        <v>1795</v>
      </c>
      <c r="D706" s="1">
        <v>2000</v>
      </c>
      <c r="E706" s="1">
        <v>0</v>
      </c>
      <c r="F706">
        <v>356080.84</v>
      </c>
      <c r="G706" s="8" t="s">
        <v>1372</v>
      </c>
      <c r="K706" s="2"/>
      <c r="L706" s="232">
        <v>41192</v>
      </c>
      <c r="N706">
        <f t="shared" si="7"/>
        <v>2000</v>
      </c>
    </row>
    <row r="707" spans="1:14" hidden="1">
      <c r="A707" s="232">
        <v>41192</v>
      </c>
      <c r="C707" t="s">
        <v>1796</v>
      </c>
      <c r="D707" s="1">
        <v>0</v>
      </c>
      <c r="E707" s="1">
        <v>43709.17</v>
      </c>
      <c r="F707">
        <v>399790.01</v>
      </c>
      <c r="G707" s="8" t="s">
        <v>1375</v>
      </c>
      <c r="K707" s="2"/>
      <c r="L707" s="232">
        <v>41192</v>
      </c>
      <c r="N707">
        <f t="shared" si="7"/>
        <v>0</v>
      </c>
    </row>
    <row r="708" spans="1:14" hidden="1">
      <c r="A708" s="232">
        <v>41194</v>
      </c>
      <c r="C708" t="s">
        <v>1797</v>
      </c>
      <c r="D708" s="1">
        <v>0</v>
      </c>
      <c r="E708" s="1">
        <v>12.12</v>
      </c>
      <c r="F708">
        <v>399802.13</v>
      </c>
      <c r="G708" s="8" t="s">
        <v>1375</v>
      </c>
      <c r="K708" s="2"/>
      <c r="L708" s="232">
        <v>41194</v>
      </c>
      <c r="N708">
        <f t="shared" si="7"/>
        <v>0</v>
      </c>
    </row>
    <row r="709" spans="1:14" hidden="1">
      <c r="A709" s="232">
        <v>41197</v>
      </c>
      <c r="C709" t="s">
        <v>1798</v>
      </c>
      <c r="D709" s="1">
        <v>5000</v>
      </c>
      <c r="E709" s="1">
        <v>0</v>
      </c>
      <c r="F709">
        <v>394802.13</v>
      </c>
      <c r="G709" s="8" t="s">
        <v>1361</v>
      </c>
      <c r="K709" s="2"/>
      <c r="L709" s="232">
        <v>41197</v>
      </c>
      <c r="N709">
        <f t="shared" si="7"/>
        <v>5000</v>
      </c>
    </row>
    <row r="710" spans="1:14" hidden="1">
      <c r="A710" s="232">
        <v>41204</v>
      </c>
      <c r="C710" t="s">
        <v>1799</v>
      </c>
      <c r="D710" s="1">
        <v>1214</v>
      </c>
      <c r="E710" s="1">
        <v>0</v>
      </c>
      <c r="F710">
        <v>393588.13</v>
      </c>
      <c r="K710" s="2"/>
      <c r="L710" s="232">
        <v>41204</v>
      </c>
      <c r="N710">
        <f t="shared" si="7"/>
        <v>1214</v>
      </c>
    </row>
    <row r="711" spans="1:14" hidden="1">
      <c r="A711" s="232">
        <v>41211</v>
      </c>
      <c r="C711" t="s">
        <v>1800</v>
      </c>
      <c r="D711" s="1">
        <v>1225</v>
      </c>
      <c r="E711" s="1">
        <v>0</v>
      </c>
      <c r="F711">
        <v>392363.13</v>
      </c>
      <c r="K711" s="2"/>
      <c r="L711" s="232">
        <v>41211</v>
      </c>
      <c r="N711">
        <f t="shared" si="7"/>
        <v>1225</v>
      </c>
    </row>
    <row r="712" spans="1:14" hidden="1">
      <c r="A712" s="232">
        <v>41211</v>
      </c>
      <c r="C712" t="s">
        <v>1801</v>
      </c>
      <c r="D712" s="1">
        <v>2000</v>
      </c>
      <c r="E712" s="1">
        <v>0</v>
      </c>
      <c r="F712">
        <v>390363.13</v>
      </c>
      <c r="G712" s="8" t="s">
        <v>1372</v>
      </c>
      <c r="K712" s="2"/>
      <c r="L712" s="232">
        <v>41211</v>
      </c>
      <c r="N712">
        <f t="shared" si="7"/>
        <v>2000</v>
      </c>
    </row>
    <row r="713" spans="1:14" hidden="1">
      <c r="A713" s="232">
        <v>41212</v>
      </c>
      <c r="C713" t="s">
        <v>1802</v>
      </c>
      <c r="D713" s="1">
        <v>250000</v>
      </c>
      <c r="E713" s="1">
        <v>0</v>
      </c>
      <c r="F713">
        <v>140363.13</v>
      </c>
      <c r="G713" s="8" t="s">
        <v>1366</v>
      </c>
      <c r="K713" s="2"/>
      <c r="L713" s="232">
        <v>41212</v>
      </c>
      <c r="N713">
        <f t="shared" si="7"/>
        <v>250000</v>
      </c>
    </row>
    <row r="714" spans="1:14" hidden="1">
      <c r="A714" s="232">
        <v>41212</v>
      </c>
      <c r="C714" t="s">
        <v>1803</v>
      </c>
      <c r="D714" s="1">
        <v>0</v>
      </c>
      <c r="E714" s="1">
        <v>134821</v>
      </c>
      <c r="F714">
        <v>275184.13</v>
      </c>
      <c r="G714" s="8" t="s">
        <v>1380</v>
      </c>
      <c r="K714" s="2"/>
      <c r="L714" s="232">
        <v>41212</v>
      </c>
      <c r="N714">
        <f t="shared" si="7"/>
        <v>0</v>
      </c>
    </row>
    <row r="715" spans="1:14" hidden="1">
      <c r="A715" s="232">
        <v>41218</v>
      </c>
      <c r="C715" t="s">
        <v>1804</v>
      </c>
      <c r="D715" s="1">
        <v>15669</v>
      </c>
      <c r="E715" s="1">
        <v>0</v>
      </c>
      <c r="F715">
        <v>259515.13</v>
      </c>
      <c r="G715" s="8" t="s">
        <v>1362</v>
      </c>
      <c r="K715" s="2"/>
      <c r="L715" s="232">
        <v>41218</v>
      </c>
      <c r="N715">
        <f t="shared" ref="N715:N778" si="8">D715*1</f>
        <v>15669</v>
      </c>
    </row>
    <row r="716" spans="1:14" hidden="1">
      <c r="A716" s="232">
        <v>41218</v>
      </c>
      <c r="C716" t="s">
        <v>1805</v>
      </c>
      <c r="D716" s="1">
        <v>5000</v>
      </c>
      <c r="E716" s="1">
        <v>0</v>
      </c>
      <c r="F716">
        <v>254515.13</v>
      </c>
      <c r="G716" s="8" t="s">
        <v>1361</v>
      </c>
      <c r="K716" s="2"/>
      <c r="L716" s="232">
        <v>41218</v>
      </c>
      <c r="N716">
        <f t="shared" si="8"/>
        <v>5000</v>
      </c>
    </row>
    <row r="717" spans="1:14" hidden="1">
      <c r="A717" s="232">
        <v>41218</v>
      </c>
      <c r="C717" t="s">
        <v>1571</v>
      </c>
      <c r="D717" s="1">
        <v>40000</v>
      </c>
      <c r="E717" s="1">
        <v>0</v>
      </c>
      <c r="F717">
        <v>214515.13</v>
      </c>
      <c r="G717" s="8" t="s">
        <v>1379</v>
      </c>
      <c r="K717" s="2"/>
      <c r="L717" s="232">
        <v>41218</v>
      </c>
      <c r="N717">
        <f t="shared" si="8"/>
        <v>40000</v>
      </c>
    </row>
    <row r="718" spans="1:14" hidden="1">
      <c r="A718" s="232">
        <v>41223</v>
      </c>
      <c r="C718" t="s">
        <v>1806</v>
      </c>
      <c r="D718" s="1">
        <v>2000</v>
      </c>
      <c r="E718" s="1">
        <v>0</v>
      </c>
      <c r="F718">
        <v>212515.13</v>
      </c>
      <c r="G718" s="8" t="s">
        <v>1372</v>
      </c>
      <c r="K718" s="2"/>
      <c r="L718" s="232">
        <v>41223</v>
      </c>
      <c r="N718">
        <f t="shared" si="8"/>
        <v>2000</v>
      </c>
    </row>
    <row r="719" spans="1:14" hidden="1">
      <c r="A719" s="232">
        <v>41227</v>
      </c>
      <c r="C719" t="s">
        <v>1807</v>
      </c>
      <c r="D719" s="1">
        <v>5000</v>
      </c>
      <c r="E719" s="1">
        <v>0</v>
      </c>
      <c r="F719">
        <v>207515.13</v>
      </c>
      <c r="G719" s="8" t="s">
        <v>1361</v>
      </c>
      <c r="K719" s="2"/>
      <c r="L719" s="232">
        <v>41227</v>
      </c>
      <c r="N719">
        <f t="shared" si="8"/>
        <v>5000</v>
      </c>
    </row>
    <row r="720" spans="1:14" hidden="1">
      <c r="A720" s="232">
        <v>41229</v>
      </c>
      <c r="C720" t="s">
        <v>1808</v>
      </c>
      <c r="D720" s="1">
        <v>150000</v>
      </c>
      <c r="E720" s="1">
        <v>0</v>
      </c>
      <c r="F720">
        <v>57515.13</v>
      </c>
      <c r="G720" s="8" t="s">
        <v>1366</v>
      </c>
      <c r="K720" s="2"/>
      <c r="L720" s="232">
        <v>41229</v>
      </c>
      <c r="N720">
        <f t="shared" si="8"/>
        <v>150000</v>
      </c>
    </row>
    <row r="721" spans="1:14" hidden="1">
      <c r="A721" s="232">
        <v>41233</v>
      </c>
      <c r="C721" t="s">
        <v>1809</v>
      </c>
      <c r="D721" s="1">
        <v>11236</v>
      </c>
      <c r="E721" s="1">
        <v>0</v>
      </c>
      <c r="F721">
        <v>46279.13</v>
      </c>
      <c r="G721" s="8" t="s">
        <v>1366</v>
      </c>
      <c r="K721" s="2"/>
      <c r="L721" s="232">
        <v>41233</v>
      </c>
      <c r="N721">
        <f t="shared" si="8"/>
        <v>11236</v>
      </c>
    </row>
    <row r="722" spans="1:14" hidden="1">
      <c r="A722" s="232">
        <v>41235</v>
      </c>
      <c r="C722" t="s">
        <v>1810</v>
      </c>
      <c r="D722" s="1">
        <v>1485</v>
      </c>
      <c r="E722" s="1">
        <v>0</v>
      </c>
      <c r="F722">
        <v>44794.13</v>
      </c>
      <c r="K722" s="2"/>
      <c r="L722" s="232">
        <v>41235</v>
      </c>
      <c r="N722">
        <f t="shared" si="8"/>
        <v>1485</v>
      </c>
    </row>
    <row r="723" spans="1:14" hidden="1">
      <c r="A723" s="232">
        <v>41239</v>
      </c>
      <c r="C723" t="s">
        <v>1811</v>
      </c>
      <c r="D723" s="1">
        <v>0</v>
      </c>
      <c r="E723" s="1">
        <v>33102.53</v>
      </c>
      <c r="F723">
        <v>77896.66</v>
      </c>
      <c r="G723" s="8" t="s">
        <v>1375</v>
      </c>
      <c r="K723" s="2"/>
      <c r="L723" s="232">
        <v>41239</v>
      </c>
      <c r="N723">
        <f t="shared" si="8"/>
        <v>0</v>
      </c>
    </row>
    <row r="724" spans="1:14" hidden="1">
      <c r="A724" s="232">
        <v>41241</v>
      </c>
      <c r="C724" t="s">
        <v>1812</v>
      </c>
      <c r="D724" s="1">
        <v>2000</v>
      </c>
      <c r="E724" s="1">
        <v>0</v>
      </c>
      <c r="F724">
        <v>75896.66</v>
      </c>
      <c r="G724" s="8" t="s">
        <v>1372</v>
      </c>
      <c r="K724" s="2"/>
      <c r="L724" s="232">
        <v>41241</v>
      </c>
      <c r="N724">
        <f t="shared" si="8"/>
        <v>2000</v>
      </c>
    </row>
    <row r="725" spans="1:14" hidden="1">
      <c r="A725" s="232">
        <v>41241</v>
      </c>
      <c r="C725" t="s">
        <v>1813</v>
      </c>
      <c r="D725" s="1">
        <v>1623</v>
      </c>
      <c r="E725" s="1">
        <v>0</v>
      </c>
      <c r="F725">
        <v>74273.66</v>
      </c>
      <c r="K725" s="2"/>
      <c r="L725" s="232">
        <v>41241</v>
      </c>
      <c r="N725">
        <f t="shared" si="8"/>
        <v>1623</v>
      </c>
    </row>
    <row r="726" spans="1:14" hidden="1">
      <c r="A726" s="232">
        <v>41242</v>
      </c>
      <c r="C726" t="s">
        <v>1814</v>
      </c>
      <c r="D726" s="1">
        <v>12000</v>
      </c>
      <c r="E726" s="1">
        <v>0</v>
      </c>
      <c r="F726">
        <v>62273.66</v>
      </c>
      <c r="K726" s="2"/>
      <c r="L726" s="232">
        <v>41242</v>
      </c>
      <c r="N726">
        <f t="shared" si="8"/>
        <v>12000</v>
      </c>
    </row>
    <row r="727" spans="1:14" hidden="1">
      <c r="A727" s="232">
        <v>41242</v>
      </c>
      <c r="C727" t="s">
        <v>1815</v>
      </c>
      <c r="D727" s="1">
        <v>0</v>
      </c>
      <c r="E727" s="1">
        <v>134821</v>
      </c>
      <c r="F727">
        <v>197094.66</v>
      </c>
      <c r="G727" s="8" t="s">
        <v>1380</v>
      </c>
      <c r="K727" s="2"/>
      <c r="L727" s="232">
        <v>41242</v>
      </c>
      <c r="N727">
        <f t="shared" si="8"/>
        <v>0</v>
      </c>
    </row>
    <row r="728" spans="1:14" hidden="1">
      <c r="A728" s="232">
        <v>41246</v>
      </c>
      <c r="C728" t="s">
        <v>1816</v>
      </c>
      <c r="D728" s="1">
        <v>2743.51</v>
      </c>
      <c r="E728" s="1">
        <v>0</v>
      </c>
      <c r="F728">
        <v>194351.15</v>
      </c>
      <c r="G728" s="8" t="s">
        <v>1362</v>
      </c>
      <c r="K728" s="2"/>
      <c r="L728" s="232">
        <v>41246</v>
      </c>
      <c r="N728">
        <f t="shared" si="8"/>
        <v>2743.51</v>
      </c>
    </row>
    <row r="729" spans="1:14" hidden="1">
      <c r="A729" s="232">
        <v>41247</v>
      </c>
      <c r="C729" t="s">
        <v>1817</v>
      </c>
      <c r="D729" s="1">
        <v>20000</v>
      </c>
      <c r="E729" s="1">
        <v>0</v>
      </c>
      <c r="F729">
        <v>174351.15</v>
      </c>
      <c r="G729" s="8" t="s">
        <v>1361</v>
      </c>
      <c r="K729" s="2"/>
      <c r="L729" s="232">
        <v>41247</v>
      </c>
      <c r="N729">
        <f t="shared" si="8"/>
        <v>20000</v>
      </c>
    </row>
    <row r="730" spans="1:14" hidden="1">
      <c r="A730" s="232">
        <v>41250</v>
      </c>
      <c r="C730" t="s">
        <v>1818</v>
      </c>
      <c r="D730" s="1">
        <v>24436</v>
      </c>
      <c r="E730" s="1">
        <v>0</v>
      </c>
      <c r="F730">
        <v>149915.15</v>
      </c>
      <c r="K730" s="2"/>
      <c r="L730" s="232">
        <v>41250</v>
      </c>
      <c r="N730">
        <f t="shared" si="8"/>
        <v>24436</v>
      </c>
    </row>
    <row r="731" spans="1:14" hidden="1">
      <c r="A731" s="232">
        <v>41253</v>
      </c>
      <c r="C731" t="s">
        <v>1819</v>
      </c>
      <c r="D731" s="1">
        <v>2000</v>
      </c>
      <c r="E731" s="1">
        <v>0</v>
      </c>
      <c r="F731">
        <v>147915.15</v>
      </c>
      <c r="G731" s="8" t="s">
        <v>1372</v>
      </c>
      <c r="K731" s="2"/>
      <c r="L731" s="232">
        <v>41253</v>
      </c>
      <c r="N731">
        <f t="shared" si="8"/>
        <v>2000</v>
      </c>
    </row>
    <row r="732" spans="1:14" hidden="1">
      <c r="A732" s="232">
        <v>41256</v>
      </c>
      <c r="C732" t="s">
        <v>1820</v>
      </c>
      <c r="D732" s="1">
        <v>400</v>
      </c>
      <c r="E732" s="1">
        <v>0</v>
      </c>
      <c r="F732">
        <v>147515.15</v>
      </c>
      <c r="G732" s="8" t="s">
        <v>1361</v>
      </c>
      <c r="K732" s="2"/>
      <c r="L732" s="232">
        <v>41256</v>
      </c>
      <c r="N732">
        <f t="shared" si="8"/>
        <v>400</v>
      </c>
    </row>
    <row r="733" spans="1:14" hidden="1">
      <c r="A733" s="232">
        <v>41263</v>
      </c>
      <c r="C733" t="s">
        <v>1821</v>
      </c>
      <c r="D733" s="1">
        <v>0</v>
      </c>
      <c r="E733" s="1">
        <v>1038210</v>
      </c>
      <c r="F733">
        <v>1185725.1499999999</v>
      </c>
      <c r="G733" s="8" t="s">
        <v>1379</v>
      </c>
      <c r="K733" s="2"/>
      <c r="L733" s="232">
        <v>41263</v>
      </c>
      <c r="N733">
        <f t="shared" si="8"/>
        <v>0</v>
      </c>
    </row>
    <row r="734" spans="1:14" hidden="1">
      <c r="A734" s="232">
        <v>41263</v>
      </c>
      <c r="C734" t="s">
        <v>1809</v>
      </c>
      <c r="D734" s="1">
        <v>54370</v>
      </c>
      <c r="E734" s="1">
        <v>0</v>
      </c>
      <c r="F734">
        <v>1131355.1499999999</v>
      </c>
      <c r="G734" s="8" t="s">
        <v>1366</v>
      </c>
      <c r="K734" s="2"/>
      <c r="L734" s="232">
        <v>41263</v>
      </c>
      <c r="N734">
        <f t="shared" si="8"/>
        <v>54370</v>
      </c>
    </row>
    <row r="735" spans="1:14" hidden="1">
      <c r="A735" s="232">
        <v>41269</v>
      </c>
      <c r="C735" t="s">
        <v>1822</v>
      </c>
      <c r="D735" s="1">
        <v>10000</v>
      </c>
      <c r="E735" s="1">
        <v>0</v>
      </c>
      <c r="F735">
        <v>1121355.1499999999</v>
      </c>
      <c r="G735" s="8" t="s">
        <v>1361</v>
      </c>
      <c r="K735" s="2"/>
      <c r="L735" s="232">
        <v>41269</v>
      </c>
      <c r="N735">
        <f t="shared" si="8"/>
        <v>10000</v>
      </c>
    </row>
    <row r="736" spans="1:14" hidden="1">
      <c r="A736" s="232">
        <v>41270</v>
      </c>
      <c r="C736" t="s">
        <v>1823</v>
      </c>
      <c r="D736" s="1">
        <v>1600</v>
      </c>
      <c r="E736" s="1">
        <v>0</v>
      </c>
      <c r="F736">
        <v>1119755.1499999999</v>
      </c>
      <c r="K736" s="2"/>
      <c r="L736" s="232">
        <v>41270</v>
      </c>
      <c r="N736">
        <f t="shared" si="8"/>
        <v>1600</v>
      </c>
    </row>
    <row r="737" spans="1:14" hidden="1">
      <c r="A737" s="232">
        <v>41270</v>
      </c>
      <c r="C737" t="s">
        <v>1824</v>
      </c>
      <c r="D737" s="1">
        <v>1200</v>
      </c>
      <c r="E737" s="1">
        <v>0</v>
      </c>
      <c r="F737">
        <v>1118555.1499999999</v>
      </c>
      <c r="K737" s="2"/>
      <c r="L737" s="232">
        <v>41270</v>
      </c>
      <c r="N737">
        <f t="shared" si="8"/>
        <v>1200</v>
      </c>
    </row>
    <row r="738" spans="1:14" hidden="1">
      <c r="A738" s="232">
        <v>41271</v>
      </c>
      <c r="C738" t="s">
        <v>1825</v>
      </c>
      <c r="D738" s="1">
        <v>2000</v>
      </c>
      <c r="E738" s="1">
        <v>0</v>
      </c>
      <c r="F738">
        <v>1116555.1499999999</v>
      </c>
      <c r="G738" s="8" t="s">
        <v>1372</v>
      </c>
      <c r="K738" s="2"/>
      <c r="L738" s="232">
        <v>41271</v>
      </c>
      <c r="N738">
        <f t="shared" si="8"/>
        <v>2000</v>
      </c>
    </row>
    <row r="739" spans="1:14" hidden="1">
      <c r="A739" s="232">
        <v>41271</v>
      </c>
      <c r="C739" t="s">
        <v>1826</v>
      </c>
      <c r="D739" s="1">
        <v>0</v>
      </c>
      <c r="E739" s="1">
        <v>134821</v>
      </c>
      <c r="F739">
        <v>1251376.1499999999</v>
      </c>
      <c r="G739" s="8" t="s">
        <v>1380</v>
      </c>
      <c r="K739" s="2"/>
      <c r="L739" s="232">
        <v>41271</v>
      </c>
      <c r="N739">
        <f t="shared" si="8"/>
        <v>0</v>
      </c>
    </row>
    <row r="740" spans="1:14" hidden="1">
      <c r="A740" s="232">
        <v>41275</v>
      </c>
      <c r="C740" t="s">
        <v>1827</v>
      </c>
      <c r="D740" s="1">
        <v>200000</v>
      </c>
      <c r="E740" s="1">
        <v>0</v>
      </c>
      <c r="F740">
        <v>1051376.1499999999</v>
      </c>
      <c r="G740" s="8" t="s">
        <v>1363</v>
      </c>
      <c r="K740" s="2"/>
      <c r="L740" s="232">
        <v>41275</v>
      </c>
      <c r="N740">
        <f t="shared" si="8"/>
        <v>200000</v>
      </c>
    </row>
    <row r="741" spans="1:14" hidden="1">
      <c r="A741" s="232">
        <v>41275</v>
      </c>
      <c r="C741" t="s">
        <v>1828</v>
      </c>
      <c r="D741" s="1">
        <v>1110</v>
      </c>
      <c r="E741" s="1">
        <v>0</v>
      </c>
      <c r="F741">
        <v>1050266.1499999999</v>
      </c>
      <c r="K741" s="2"/>
      <c r="L741" s="232">
        <v>41275</v>
      </c>
      <c r="N741">
        <f t="shared" si="8"/>
        <v>1110</v>
      </c>
    </row>
    <row r="742" spans="1:14" hidden="1">
      <c r="A742" s="232">
        <v>41282</v>
      </c>
      <c r="C742" t="s">
        <v>1829</v>
      </c>
      <c r="D742" s="1">
        <v>2500</v>
      </c>
      <c r="E742" s="1">
        <v>0</v>
      </c>
      <c r="F742">
        <v>1047766.15</v>
      </c>
      <c r="K742" s="2"/>
      <c r="L742" s="232">
        <v>41282</v>
      </c>
      <c r="N742">
        <f t="shared" si="8"/>
        <v>2500</v>
      </c>
    </row>
    <row r="743" spans="1:14" hidden="1">
      <c r="A743" s="232">
        <v>41284</v>
      </c>
      <c r="C743" t="s">
        <v>1830</v>
      </c>
      <c r="D743" s="1">
        <v>2000</v>
      </c>
      <c r="E743" s="1">
        <v>0</v>
      </c>
      <c r="F743">
        <v>1045766.15</v>
      </c>
      <c r="G743" s="8" t="s">
        <v>1372</v>
      </c>
      <c r="K743" s="2"/>
      <c r="L743" s="232">
        <v>41284</v>
      </c>
      <c r="N743">
        <f t="shared" si="8"/>
        <v>2000</v>
      </c>
    </row>
    <row r="744" spans="1:14" hidden="1">
      <c r="A744" s="232">
        <v>41289</v>
      </c>
      <c r="C744" t="s">
        <v>1831</v>
      </c>
      <c r="D744" s="1">
        <v>30142</v>
      </c>
      <c r="E744" s="1">
        <v>0</v>
      </c>
      <c r="F744">
        <v>1015624.15</v>
      </c>
      <c r="G744" s="8" t="s">
        <v>1370</v>
      </c>
      <c r="K744" s="2"/>
      <c r="L744" s="232">
        <v>41289</v>
      </c>
      <c r="N744">
        <f t="shared" si="8"/>
        <v>30142</v>
      </c>
    </row>
    <row r="745" spans="1:14" hidden="1">
      <c r="A745" s="232">
        <v>41295</v>
      </c>
      <c r="C745" t="s">
        <v>1832</v>
      </c>
      <c r="D745" s="1">
        <v>493</v>
      </c>
      <c r="E745" s="1">
        <v>0</v>
      </c>
      <c r="F745">
        <v>1015131.15</v>
      </c>
      <c r="K745" s="2"/>
      <c r="L745" s="232">
        <v>41295</v>
      </c>
      <c r="N745">
        <f t="shared" si="8"/>
        <v>493</v>
      </c>
    </row>
    <row r="746" spans="1:14" hidden="1">
      <c r="A746" s="232">
        <v>41295</v>
      </c>
      <c r="C746" t="s">
        <v>1833</v>
      </c>
      <c r="D746" s="1">
        <v>1159</v>
      </c>
      <c r="E746" s="1">
        <v>0</v>
      </c>
      <c r="F746">
        <v>1013972.15</v>
      </c>
      <c r="K746" s="2"/>
      <c r="L746" s="232">
        <v>41295</v>
      </c>
      <c r="N746">
        <f t="shared" si="8"/>
        <v>1159</v>
      </c>
    </row>
    <row r="747" spans="1:14" hidden="1">
      <c r="A747" s="232">
        <v>41295</v>
      </c>
      <c r="C747" t="s">
        <v>1834</v>
      </c>
      <c r="D747" s="1">
        <v>5109</v>
      </c>
      <c r="E747" s="1">
        <v>0</v>
      </c>
      <c r="F747">
        <v>1008863.15</v>
      </c>
      <c r="G747" s="8" t="s">
        <v>1362</v>
      </c>
      <c r="K747" s="2"/>
      <c r="L747" s="232">
        <v>41295</v>
      </c>
      <c r="N747">
        <f t="shared" si="8"/>
        <v>5109</v>
      </c>
    </row>
    <row r="748" spans="1:14" hidden="1">
      <c r="A748" s="232">
        <v>41299</v>
      </c>
      <c r="C748" t="s">
        <v>1835</v>
      </c>
      <c r="D748" s="1">
        <v>5500</v>
      </c>
      <c r="E748" s="1">
        <v>0</v>
      </c>
      <c r="F748">
        <v>1003363.15</v>
      </c>
      <c r="G748" s="8" t="s">
        <v>1361</v>
      </c>
      <c r="K748" s="2"/>
      <c r="L748" s="232">
        <v>41299</v>
      </c>
      <c r="N748">
        <f t="shared" si="8"/>
        <v>5500</v>
      </c>
    </row>
    <row r="749" spans="1:14" hidden="1">
      <c r="A749" s="232">
        <v>41302</v>
      </c>
      <c r="C749" t="s">
        <v>1836</v>
      </c>
      <c r="D749" s="1">
        <v>2000</v>
      </c>
      <c r="E749" s="1">
        <v>0</v>
      </c>
      <c r="F749">
        <v>1001363.15</v>
      </c>
      <c r="G749" s="8" t="s">
        <v>1372</v>
      </c>
      <c r="K749" s="2"/>
      <c r="L749" s="232">
        <v>41302</v>
      </c>
      <c r="N749">
        <f t="shared" si="8"/>
        <v>2000</v>
      </c>
    </row>
    <row r="750" spans="1:14" hidden="1">
      <c r="A750" s="232">
        <v>41304</v>
      </c>
      <c r="C750" t="s">
        <v>1837</v>
      </c>
      <c r="D750" s="1">
        <v>0</v>
      </c>
      <c r="E750" s="1">
        <v>134821</v>
      </c>
      <c r="F750">
        <v>1136184.1499999999</v>
      </c>
      <c r="G750" s="8" t="s">
        <v>1380</v>
      </c>
      <c r="K750" s="2"/>
      <c r="L750" s="232">
        <v>41304</v>
      </c>
      <c r="N750">
        <f t="shared" si="8"/>
        <v>0</v>
      </c>
    </row>
    <row r="751" spans="1:14" hidden="1">
      <c r="A751" s="232">
        <v>41306</v>
      </c>
      <c r="C751" t="s">
        <v>1537</v>
      </c>
      <c r="D751" s="1">
        <v>0</v>
      </c>
      <c r="E751" s="1">
        <v>10999.3</v>
      </c>
      <c r="F751">
        <v>1147183.45</v>
      </c>
      <c r="G751" s="8" t="s">
        <v>1380</v>
      </c>
      <c r="K751" s="2"/>
      <c r="L751" s="232">
        <v>41306</v>
      </c>
      <c r="N751">
        <f t="shared" si="8"/>
        <v>0</v>
      </c>
    </row>
    <row r="752" spans="1:14" hidden="1">
      <c r="A752" s="232">
        <v>41309</v>
      </c>
      <c r="C752" t="s">
        <v>1838</v>
      </c>
      <c r="D752" s="1">
        <v>1110</v>
      </c>
      <c r="E752" s="1">
        <v>0</v>
      </c>
      <c r="F752">
        <v>1146073.45</v>
      </c>
      <c r="K752" s="2"/>
      <c r="L752" s="232">
        <v>41309</v>
      </c>
      <c r="N752">
        <f t="shared" si="8"/>
        <v>1110</v>
      </c>
    </row>
    <row r="753" spans="1:14" hidden="1">
      <c r="A753" s="232">
        <v>41310</v>
      </c>
      <c r="C753" t="s">
        <v>1839</v>
      </c>
      <c r="D753" s="1">
        <v>0</v>
      </c>
      <c r="E753" s="1">
        <v>14400</v>
      </c>
      <c r="F753">
        <v>1160473.45</v>
      </c>
      <c r="G753" s="8" t="s">
        <v>1380</v>
      </c>
      <c r="K753" s="2"/>
      <c r="L753" s="232">
        <v>41310</v>
      </c>
      <c r="N753">
        <f t="shared" si="8"/>
        <v>0</v>
      </c>
    </row>
    <row r="754" spans="1:14" hidden="1">
      <c r="A754" s="232">
        <v>41311</v>
      </c>
      <c r="C754" t="s">
        <v>1840</v>
      </c>
      <c r="D754" s="1">
        <v>3000</v>
      </c>
      <c r="E754" s="1">
        <v>0</v>
      </c>
      <c r="F754">
        <v>1157473.45</v>
      </c>
      <c r="G754" s="8" t="s">
        <v>1362</v>
      </c>
      <c r="K754" s="2"/>
      <c r="L754" s="232">
        <v>41311</v>
      </c>
      <c r="N754">
        <f t="shared" si="8"/>
        <v>3000</v>
      </c>
    </row>
    <row r="755" spans="1:14" hidden="1">
      <c r="A755" s="232">
        <v>41316</v>
      </c>
      <c r="C755" t="s">
        <v>1841</v>
      </c>
      <c r="D755" s="1">
        <v>2000</v>
      </c>
      <c r="E755" s="1">
        <v>0</v>
      </c>
      <c r="F755">
        <v>1155473.45</v>
      </c>
      <c r="G755" s="8" t="s">
        <v>1372</v>
      </c>
      <c r="K755" s="2"/>
      <c r="L755" s="232">
        <v>41316</v>
      </c>
      <c r="N755">
        <f t="shared" si="8"/>
        <v>2000</v>
      </c>
    </row>
    <row r="756" spans="1:14" hidden="1">
      <c r="A756" s="232">
        <v>41319</v>
      </c>
      <c r="C756" t="s">
        <v>1809</v>
      </c>
      <c r="D756" s="1">
        <v>70422</v>
      </c>
      <c r="E756" s="1">
        <v>0</v>
      </c>
      <c r="F756">
        <v>1085051.45</v>
      </c>
      <c r="G756" s="8" t="s">
        <v>1366</v>
      </c>
      <c r="K756" s="2"/>
      <c r="L756" s="232">
        <v>41319</v>
      </c>
      <c r="N756">
        <f t="shared" si="8"/>
        <v>70422</v>
      </c>
    </row>
    <row r="757" spans="1:14" hidden="1">
      <c r="A757" s="232">
        <v>41321</v>
      </c>
      <c r="C757" t="s">
        <v>1842</v>
      </c>
      <c r="D757" s="1">
        <v>0</v>
      </c>
      <c r="E757" s="1">
        <v>55747</v>
      </c>
      <c r="F757">
        <v>1140798.45</v>
      </c>
      <c r="G757" s="8" t="s">
        <v>1380</v>
      </c>
      <c r="K757" s="2"/>
      <c r="L757" s="232">
        <v>41321</v>
      </c>
      <c r="N757">
        <f t="shared" si="8"/>
        <v>0</v>
      </c>
    </row>
    <row r="758" spans="1:14" hidden="1">
      <c r="A758" s="232">
        <v>41323</v>
      </c>
      <c r="C758" t="s">
        <v>1843</v>
      </c>
      <c r="D758" s="1">
        <v>2500</v>
      </c>
      <c r="E758" s="1">
        <v>0</v>
      </c>
      <c r="F758">
        <v>1138298.45</v>
      </c>
      <c r="K758" s="2"/>
      <c r="L758" s="232">
        <v>41323</v>
      </c>
      <c r="N758">
        <f t="shared" si="8"/>
        <v>2500</v>
      </c>
    </row>
    <row r="759" spans="1:14" hidden="1">
      <c r="A759" s="232">
        <v>41327</v>
      </c>
      <c r="C759" t="s">
        <v>1844</v>
      </c>
      <c r="D759" s="1">
        <v>1150</v>
      </c>
      <c r="E759" s="1">
        <v>0</v>
      </c>
      <c r="F759">
        <v>1137148.45</v>
      </c>
      <c r="K759" s="2"/>
      <c r="L759" s="232">
        <v>41327</v>
      </c>
      <c r="N759">
        <f t="shared" si="8"/>
        <v>1150</v>
      </c>
    </row>
    <row r="760" spans="1:14" hidden="1">
      <c r="A760" s="232">
        <v>41327</v>
      </c>
      <c r="C760" t="s">
        <v>1845</v>
      </c>
      <c r="D760" s="1">
        <v>438</v>
      </c>
      <c r="E760" s="1">
        <v>0</v>
      </c>
      <c r="F760">
        <v>1136710.45</v>
      </c>
      <c r="K760" s="2"/>
      <c r="L760" s="232">
        <v>41327</v>
      </c>
      <c r="N760">
        <f t="shared" si="8"/>
        <v>438</v>
      </c>
    </row>
    <row r="761" spans="1:14" hidden="1">
      <c r="A761" s="232">
        <v>41327</v>
      </c>
      <c r="C761" t="s">
        <v>1846</v>
      </c>
      <c r="D761" s="1">
        <v>66121.25</v>
      </c>
      <c r="E761" s="1">
        <v>0</v>
      </c>
      <c r="F761">
        <v>1070589.2</v>
      </c>
      <c r="G761" s="8" t="s">
        <v>1362</v>
      </c>
      <c r="K761" s="2"/>
      <c r="L761" s="232">
        <v>41327</v>
      </c>
      <c r="N761">
        <f t="shared" si="8"/>
        <v>66121.25</v>
      </c>
    </row>
    <row r="762" spans="1:14" hidden="1">
      <c r="A762" s="232">
        <v>41332</v>
      </c>
      <c r="C762" t="s">
        <v>1847</v>
      </c>
      <c r="D762" s="1">
        <v>0</v>
      </c>
      <c r="E762" s="1">
        <v>160657</v>
      </c>
      <c r="F762">
        <v>1231246.2</v>
      </c>
      <c r="G762" s="8" t="s">
        <v>1380</v>
      </c>
      <c r="K762" s="2"/>
      <c r="L762" s="232">
        <v>41332</v>
      </c>
      <c r="N762">
        <f t="shared" si="8"/>
        <v>0</v>
      </c>
    </row>
    <row r="763" spans="1:14" hidden="1">
      <c r="A763" s="232">
        <v>41333</v>
      </c>
      <c r="C763" t="s">
        <v>1848</v>
      </c>
      <c r="D763" s="1">
        <v>2000</v>
      </c>
      <c r="E763" s="1">
        <v>0</v>
      </c>
      <c r="F763">
        <v>1229246.2</v>
      </c>
      <c r="G763" s="8" t="s">
        <v>1372</v>
      </c>
      <c r="K763" s="2"/>
      <c r="L763" s="232">
        <v>41333</v>
      </c>
      <c r="N763">
        <f t="shared" si="8"/>
        <v>2000</v>
      </c>
    </row>
    <row r="764" spans="1:14" hidden="1">
      <c r="A764" s="232">
        <v>41334</v>
      </c>
      <c r="C764" t="s">
        <v>1849</v>
      </c>
      <c r="D764" s="1">
        <v>0</v>
      </c>
      <c r="E764" s="1">
        <v>11633</v>
      </c>
      <c r="F764">
        <v>1240879.2</v>
      </c>
      <c r="G764" s="8" t="s">
        <v>1368</v>
      </c>
      <c r="K764" s="2"/>
      <c r="L764" s="232">
        <v>41334</v>
      </c>
      <c r="N764">
        <f t="shared" si="8"/>
        <v>0</v>
      </c>
    </row>
    <row r="765" spans="1:14" hidden="1">
      <c r="A765" s="232">
        <v>41334</v>
      </c>
      <c r="C765" t="s">
        <v>1850</v>
      </c>
      <c r="D765" s="1">
        <v>10000</v>
      </c>
      <c r="E765" s="1">
        <v>0</v>
      </c>
      <c r="F765">
        <v>1230879.2</v>
      </c>
      <c r="G765" s="8" t="s">
        <v>1361</v>
      </c>
      <c r="K765" s="2"/>
      <c r="L765" s="232">
        <v>41334</v>
      </c>
      <c r="N765">
        <f t="shared" si="8"/>
        <v>10000</v>
      </c>
    </row>
    <row r="766" spans="1:14" hidden="1">
      <c r="A766" s="232">
        <v>41335</v>
      </c>
      <c r="C766" t="s">
        <v>1851</v>
      </c>
      <c r="D766" s="1">
        <v>10000</v>
      </c>
      <c r="E766" s="1">
        <v>0</v>
      </c>
      <c r="F766">
        <v>1220879.2</v>
      </c>
      <c r="G766" s="8" t="s">
        <v>1361</v>
      </c>
      <c r="K766" s="2"/>
      <c r="L766" s="232">
        <v>41335</v>
      </c>
      <c r="N766">
        <f t="shared" si="8"/>
        <v>10000</v>
      </c>
    </row>
    <row r="767" spans="1:14" hidden="1">
      <c r="A767" s="232">
        <v>41335</v>
      </c>
      <c r="C767" t="s">
        <v>1851</v>
      </c>
      <c r="D767" s="1">
        <v>10000</v>
      </c>
      <c r="E767" s="1">
        <v>0</v>
      </c>
      <c r="F767">
        <v>1210879.2</v>
      </c>
      <c r="G767" s="8" t="s">
        <v>1361</v>
      </c>
      <c r="K767" s="2"/>
      <c r="L767" s="232">
        <v>41335</v>
      </c>
      <c r="N767">
        <f t="shared" si="8"/>
        <v>10000</v>
      </c>
    </row>
    <row r="768" spans="1:14" hidden="1">
      <c r="A768" s="232">
        <v>41337</v>
      </c>
      <c r="C768" t="s">
        <v>1852</v>
      </c>
      <c r="D768" s="1">
        <v>0</v>
      </c>
      <c r="E768" s="1">
        <v>4993.57</v>
      </c>
      <c r="F768">
        <v>1215872.77</v>
      </c>
      <c r="G768" s="8" t="s">
        <v>1380</v>
      </c>
      <c r="K768" s="2"/>
      <c r="L768" s="232">
        <v>41337</v>
      </c>
      <c r="N768">
        <f t="shared" si="8"/>
        <v>0</v>
      </c>
    </row>
    <row r="769" spans="1:14" hidden="1">
      <c r="A769" s="232">
        <v>41342</v>
      </c>
      <c r="C769" t="s">
        <v>1853</v>
      </c>
      <c r="D769" s="1">
        <v>1110</v>
      </c>
      <c r="E769" s="1">
        <v>0</v>
      </c>
      <c r="F769">
        <v>1214762.77</v>
      </c>
      <c r="K769" s="2"/>
      <c r="L769" s="232">
        <v>41342</v>
      </c>
      <c r="N769">
        <f t="shared" si="8"/>
        <v>1110</v>
      </c>
    </row>
    <row r="770" spans="1:14" hidden="1">
      <c r="A770" s="232">
        <v>41344</v>
      </c>
      <c r="C770" t="s">
        <v>1854</v>
      </c>
      <c r="D770" s="1">
        <v>2000</v>
      </c>
      <c r="E770" s="1">
        <v>0</v>
      </c>
      <c r="F770">
        <v>1212762.77</v>
      </c>
      <c r="G770" s="8" t="s">
        <v>1372</v>
      </c>
      <c r="K770" s="2"/>
      <c r="L770" s="232">
        <v>41344</v>
      </c>
      <c r="N770">
        <f t="shared" si="8"/>
        <v>2000</v>
      </c>
    </row>
    <row r="771" spans="1:14" hidden="1">
      <c r="A771" s="232">
        <v>41346</v>
      </c>
      <c r="C771" t="s">
        <v>1855</v>
      </c>
      <c r="D771" s="1">
        <v>2500</v>
      </c>
      <c r="E771" s="1">
        <v>0</v>
      </c>
      <c r="F771">
        <v>1210262.77</v>
      </c>
      <c r="K771" s="2"/>
      <c r="L771" s="232">
        <v>41346</v>
      </c>
      <c r="N771">
        <f t="shared" si="8"/>
        <v>2500</v>
      </c>
    </row>
    <row r="772" spans="1:14" hidden="1">
      <c r="A772" s="232">
        <v>41347</v>
      </c>
      <c r="C772" t="s">
        <v>1856</v>
      </c>
      <c r="D772" s="1">
        <v>0</v>
      </c>
      <c r="E772" s="1">
        <v>521.65</v>
      </c>
      <c r="F772">
        <v>1210784.42</v>
      </c>
      <c r="G772" s="8" t="s">
        <v>1375</v>
      </c>
      <c r="K772" s="2"/>
      <c r="L772" s="232">
        <v>41347</v>
      </c>
      <c r="N772">
        <f t="shared" si="8"/>
        <v>0</v>
      </c>
    </row>
    <row r="773" spans="1:14" hidden="1">
      <c r="A773" s="232">
        <v>41348</v>
      </c>
      <c r="C773" t="s">
        <v>1857</v>
      </c>
      <c r="D773" s="1">
        <v>10000</v>
      </c>
      <c r="E773" s="1">
        <v>0</v>
      </c>
      <c r="F773">
        <v>1200784.42</v>
      </c>
      <c r="G773" s="8" t="s">
        <v>1361</v>
      </c>
      <c r="K773" s="2"/>
      <c r="L773" s="232">
        <v>41348</v>
      </c>
      <c r="N773">
        <f t="shared" si="8"/>
        <v>10000</v>
      </c>
    </row>
    <row r="774" spans="1:14" hidden="1">
      <c r="A774" s="232">
        <v>41352</v>
      </c>
      <c r="C774" t="s">
        <v>1858</v>
      </c>
      <c r="D774" s="1">
        <v>2819.36</v>
      </c>
      <c r="E774" s="1">
        <v>0</v>
      </c>
      <c r="F774">
        <v>1197965.06</v>
      </c>
      <c r="K774" s="2"/>
      <c r="L774" s="232">
        <v>41352</v>
      </c>
      <c r="N774">
        <f t="shared" si="8"/>
        <v>2819.36</v>
      </c>
    </row>
    <row r="775" spans="1:14" hidden="1">
      <c r="A775" s="232">
        <v>41355</v>
      </c>
      <c r="C775" t="s">
        <v>1859</v>
      </c>
      <c r="D775" s="1">
        <v>298</v>
      </c>
      <c r="E775" s="1">
        <v>0</v>
      </c>
      <c r="F775">
        <v>1197667.06</v>
      </c>
      <c r="K775" s="2"/>
      <c r="L775" s="232">
        <v>41355</v>
      </c>
      <c r="N775">
        <f t="shared" si="8"/>
        <v>298</v>
      </c>
    </row>
    <row r="776" spans="1:14" hidden="1">
      <c r="A776" s="232">
        <v>41355</v>
      </c>
      <c r="C776" t="s">
        <v>1860</v>
      </c>
      <c r="D776" s="1">
        <v>2000</v>
      </c>
      <c r="E776" s="1">
        <v>0</v>
      </c>
      <c r="F776">
        <v>1195667.06</v>
      </c>
      <c r="G776" s="8" t="s">
        <v>1361</v>
      </c>
      <c r="K776" s="2"/>
      <c r="L776" s="232">
        <v>41355</v>
      </c>
      <c r="N776">
        <f t="shared" si="8"/>
        <v>2000</v>
      </c>
    </row>
    <row r="777" spans="1:14" hidden="1">
      <c r="A777" s="232">
        <v>41360</v>
      </c>
      <c r="C777" t="s">
        <v>1861</v>
      </c>
      <c r="D777" s="1">
        <v>0</v>
      </c>
      <c r="E777" s="1">
        <v>265384</v>
      </c>
      <c r="F777">
        <v>1461051.06</v>
      </c>
      <c r="G777" s="8" t="s">
        <v>1380</v>
      </c>
      <c r="K777" s="2"/>
      <c r="L777" s="232">
        <v>41360</v>
      </c>
      <c r="N777">
        <f t="shared" si="8"/>
        <v>0</v>
      </c>
    </row>
    <row r="778" spans="1:14" hidden="1">
      <c r="A778" s="232">
        <v>41361</v>
      </c>
      <c r="C778" t="s">
        <v>1862</v>
      </c>
      <c r="D778" s="1">
        <v>1122</v>
      </c>
      <c r="E778" s="1">
        <v>0</v>
      </c>
      <c r="F778">
        <v>1459929.06</v>
      </c>
      <c r="K778" s="2"/>
      <c r="L778" s="232">
        <v>41361</v>
      </c>
      <c r="N778">
        <f t="shared" si="8"/>
        <v>1122</v>
      </c>
    </row>
    <row r="779" spans="1:14" hidden="1">
      <c r="A779" s="232">
        <v>41361</v>
      </c>
      <c r="C779" t="s">
        <v>1863</v>
      </c>
      <c r="D779" s="1">
        <v>2000</v>
      </c>
      <c r="E779" s="1">
        <v>0</v>
      </c>
      <c r="F779">
        <v>1457929.06</v>
      </c>
      <c r="G779" s="8" t="s">
        <v>1372</v>
      </c>
      <c r="K779" s="2"/>
      <c r="L779" s="232">
        <v>41361</v>
      </c>
      <c r="N779">
        <f t="shared" ref="N779:N842" si="9">D779*1</f>
        <v>2000</v>
      </c>
    </row>
    <row r="780" spans="1:14" hidden="1">
      <c r="A780" s="232">
        <v>41361</v>
      </c>
      <c r="C780" t="s">
        <v>1864</v>
      </c>
      <c r="D780" s="1">
        <v>69887</v>
      </c>
      <c r="E780" s="1">
        <v>0</v>
      </c>
      <c r="F780">
        <v>1388042.06</v>
      </c>
      <c r="G780" s="8" t="s">
        <v>1366</v>
      </c>
      <c r="K780" s="2"/>
      <c r="L780" s="232">
        <v>41361</v>
      </c>
      <c r="N780">
        <f t="shared" si="9"/>
        <v>69887</v>
      </c>
    </row>
    <row r="781" spans="1:14" hidden="1">
      <c r="A781" s="232">
        <v>41365</v>
      </c>
      <c r="C781" t="s">
        <v>1865</v>
      </c>
      <c r="D781" s="1">
        <v>0</v>
      </c>
      <c r="E781" s="1">
        <v>0</v>
      </c>
      <c r="F781">
        <v>1388042.06</v>
      </c>
      <c r="K781" s="2"/>
      <c r="L781" s="232">
        <v>41365</v>
      </c>
      <c r="N781">
        <f t="shared" si="9"/>
        <v>0</v>
      </c>
    </row>
    <row r="782" spans="1:14" hidden="1">
      <c r="A782" s="232">
        <v>41366</v>
      </c>
      <c r="C782" t="s">
        <v>1866</v>
      </c>
      <c r="D782" s="1">
        <v>7400.94</v>
      </c>
      <c r="E782" s="1">
        <v>0</v>
      </c>
      <c r="F782">
        <v>1380641.12</v>
      </c>
      <c r="G782" s="8" t="s">
        <v>1362</v>
      </c>
      <c r="K782" s="2"/>
      <c r="L782" s="232">
        <v>41366</v>
      </c>
      <c r="N782">
        <f t="shared" si="9"/>
        <v>7400.94</v>
      </c>
    </row>
    <row r="783" spans="1:14" hidden="1">
      <c r="A783" s="232">
        <v>41366</v>
      </c>
      <c r="C783" t="s">
        <v>1867</v>
      </c>
      <c r="D783" s="1">
        <v>9905.48</v>
      </c>
      <c r="E783" s="1">
        <v>0</v>
      </c>
      <c r="F783">
        <v>1370735.64</v>
      </c>
      <c r="G783" s="8" t="s">
        <v>1362</v>
      </c>
      <c r="K783" s="2"/>
      <c r="L783" s="232">
        <v>41366</v>
      </c>
      <c r="N783">
        <f t="shared" si="9"/>
        <v>9905.48</v>
      </c>
    </row>
    <row r="784" spans="1:14" hidden="1">
      <c r="A784" s="232">
        <v>41366</v>
      </c>
      <c r="B784" t="s">
        <v>1868</v>
      </c>
      <c r="C784" t="s">
        <v>1630</v>
      </c>
      <c r="D784" s="1">
        <v>5000</v>
      </c>
      <c r="E784" s="1">
        <v>0</v>
      </c>
      <c r="F784">
        <v>1365735.64</v>
      </c>
      <c r="K784" s="2"/>
      <c r="L784" s="232">
        <v>41366</v>
      </c>
      <c r="N784">
        <f t="shared" si="9"/>
        <v>5000</v>
      </c>
    </row>
    <row r="785" spans="1:14" hidden="1">
      <c r="A785" s="232">
        <v>41372</v>
      </c>
      <c r="C785" t="s">
        <v>1869</v>
      </c>
      <c r="D785" s="1">
        <v>5000</v>
      </c>
      <c r="E785" s="1">
        <v>0</v>
      </c>
      <c r="F785">
        <v>1360735.64</v>
      </c>
      <c r="G785" s="8" t="s">
        <v>1361</v>
      </c>
      <c r="K785" s="2"/>
      <c r="L785" s="232">
        <v>41372</v>
      </c>
      <c r="N785">
        <f t="shared" si="9"/>
        <v>5000</v>
      </c>
    </row>
    <row r="786" spans="1:14" hidden="1">
      <c r="A786" s="232">
        <v>41374</v>
      </c>
      <c r="C786" t="s">
        <v>1870</v>
      </c>
      <c r="D786" s="1">
        <v>2000</v>
      </c>
      <c r="E786" s="1">
        <v>0</v>
      </c>
      <c r="F786">
        <v>1358735.64</v>
      </c>
      <c r="G786" s="8" t="s">
        <v>1372</v>
      </c>
      <c r="K786" s="2"/>
      <c r="L786" s="232">
        <v>41374</v>
      </c>
      <c r="N786">
        <f t="shared" si="9"/>
        <v>2000</v>
      </c>
    </row>
    <row r="787" spans="1:14" hidden="1">
      <c r="A787" s="232">
        <v>41379</v>
      </c>
      <c r="B787" t="s">
        <v>1868</v>
      </c>
      <c r="C787" t="s">
        <v>1871</v>
      </c>
      <c r="D787" s="1">
        <v>3930</v>
      </c>
      <c r="E787" s="1">
        <v>0</v>
      </c>
      <c r="F787">
        <v>1354805.64</v>
      </c>
      <c r="K787" s="2"/>
      <c r="L787" s="232">
        <v>41379</v>
      </c>
      <c r="N787">
        <f t="shared" si="9"/>
        <v>3930</v>
      </c>
    </row>
    <row r="788" spans="1:14" hidden="1">
      <c r="A788" s="232">
        <v>41381</v>
      </c>
      <c r="B788" t="s">
        <v>1868</v>
      </c>
      <c r="C788" t="s">
        <v>1872</v>
      </c>
      <c r="D788" s="1">
        <v>99588</v>
      </c>
      <c r="E788" s="1">
        <v>0</v>
      </c>
      <c r="F788">
        <v>1255217.6399999999</v>
      </c>
      <c r="K788" s="2"/>
      <c r="L788" s="232">
        <v>41381</v>
      </c>
      <c r="N788">
        <f t="shared" si="9"/>
        <v>99588</v>
      </c>
    </row>
    <row r="789" spans="1:14" hidden="1">
      <c r="A789" s="232">
        <v>41383</v>
      </c>
      <c r="B789" t="s">
        <v>1868</v>
      </c>
      <c r="C789" t="s">
        <v>1873</v>
      </c>
      <c r="D789" s="1">
        <v>454.77</v>
      </c>
      <c r="E789" s="1">
        <v>0</v>
      </c>
      <c r="F789">
        <v>1254762.8700000001</v>
      </c>
      <c r="K789" s="2"/>
      <c r="L789" s="232">
        <v>41383</v>
      </c>
      <c r="N789">
        <f t="shared" si="9"/>
        <v>454.77</v>
      </c>
    </row>
    <row r="790" spans="1:14" hidden="1">
      <c r="A790" s="232">
        <v>41387</v>
      </c>
      <c r="C790" t="s">
        <v>1874</v>
      </c>
      <c r="D790" s="1">
        <v>605</v>
      </c>
      <c r="E790" s="1">
        <v>0</v>
      </c>
      <c r="F790">
        <v>1254157.8700000001</v>
      </c>
      <c r="K790" s="2"/>
      <c r="L790" s="232">
        <v>41387</v>
      </c>
      <c r="N790">
        <f t="shared" si="9"/>
        <v>605</v>
      </c>
    </row>
    <row r="791" spans="1:14" hidden="1">
      <c r="A791" s="232">
        <v>41390</v>
      </c>
      <c r="C791" t="s">
        <v>1875</v>
      </c>
      <c r="D791" s="1">
        <v>1000</v>
      </c>
      <c r="E791" s="1">
        <v>0</v>
      </c>
      <c r="F791">
        <v>1253157.8700000001</v>
      </c>
      <c r="G791" s="8" t="s">
        <v>1362</v>
      </c>
      <c r="K791" s="2"/>
      <c r="L791" s="232">
        <v>41390</v>
      </c>
      <c r="N791">
        <f t="shared" si="9"/>
        <v>1000</v>
      </c>
    </row>
    <row r="792" spans="1:14" hidden="1">
      <c r="A792" s="232">
        <v>41390</v>
      </c>
      <c r="C792" t="s">
        <v>1876</v>
      </c>
      <c r="D792" s="1">
        <v>5000</v>
      </c>
      <c r="E792" s="1">
        <v>0</v>
      </c>
      <c r="F792">
        <v>1248157.8700000001</v>
      </c>
      <c r="G792" s="8" t="s">
        <v>1361</v>
      </c>
      <c r="K792" s="2"/>
      <c r="L792" s="232">
        <v>41390</v>
      </c>
      <c r="N792">
        <f t="shared" si="9"/>
        <v>5000</v>
      </c>
    </row>
    <row r="793" spans="1:14" hidden="1">
      <c r="A793" s="232">
        <v>41391</v>
      </c>
      <c r="C793" t="s">
        <v>1877</v>
      </c>
      <c r="D793" s="1">
        <v>1162</v>
      </c>
      <c r="E793" s="1">
        <v>0</v>
      </c>
      <c r="F793">
        <v>1246995.8700000001</v>
      </c>
      <c r="K793" s="2"/>
      <c r="L793" s="232">
        <v>41391</v>
      </c>
      <c r="N793">
        <f t="shared" si="9"/>
        <v>1162</v>
      </c>
    </row>
    <row r="794" spans="1:14" hidden="1">
      <c r="A794" s="232">
        <v>41391</v>
      </c>
      <c r="C794" t="s">
        <v>1878</v>
      </c>
      <c r="D794" s="1">
        <v>69887</v>
      </c>
      <c r="E794" s="1">
        <v>0</v>
      </c>
      <c r="F794">
        <v>1177108.8700000001</v>
      </c>
      <c r="G794" s="8" t="s">
        <v>1366</v>
      </c>
      <c r="K794" s="2"/>
      <c r="L794" s="232">
        <v>41391</v>
      </c>
      <c r="N794">
        <f t="shared" si="9"/>
        <v>69887</v>
      </c>
    </row>
    <row r="795" spans="1:14" hidden="1">
      <c r="A795" s="232">
        <v>41393</v>
      </c>
      <c r="C795" t="s">
        <v>1879</v>
      </c>
      <c r="D795" s="1">
        <v>2000</v>
      </c>
      <c r="E795" s="1">
        <v>0</v>
      </c>
      <c r="F795">
        <v>1175108.8700000001</v>
      </c>
      <c r="G795" s="8" t="s">
        <v>1372</v>
      </c>
      <c r="K795" s="2"/>
      <c r="L795" s="232">
        <v>41393</v>
      </c>
      <c r="N795">
        <f t="shared" si="9"/>
        <v>2000</v>
      </c>
    </row>
    <row r="796" spans="1:14" hidden="1">
      <c r="A796" s="232">
        <v>41393</v>
      </c>
      <c r="C796" t="s">
        <v>1880</v>
      </c>
      <c r="D796" s="1">
        <v>0</v>
      </c>
      <c r="E796" s="1">
        <v>586318</v>
      </c>
      <c r="F796">
        <v>1761426.87</v>
      </c>
      <c r="G796" s="8" t="s">
        <v>1380</v>
      </c>
      <c r="K796" s="2"/>
      <c r="L796" s="232">
        <v>41393</v>
      </c>
      <c r="N796">
        <f t="shared" si="9"/>
        <v>0</v>
      </c>
    </row>
    <row r="797" spans="1:14" hidden="1">
      <c r="A797" s="232">
        <v>41404</v>
      </c>
      <c r="C797" t="s">
        <v>1881</v>
      </c>
      <c r="D797" s="1">
        <v>2000</v>
      </c>
      <c r="E797" s="1">
        <v>0</v>
      </c>
      <c r="F797">
        <v>1759426.87</v>
      </c>
      <c r="G797" s="8" t="s">
        <v>1372</v>
      </c>
      <c r="K797" s="2"/>
      <c r="L797" s="232">
        <v>41404</v>
      </c>
      <c r="N797">
        <f t="shared" si="9"/>
        <v>2000</v>
      </c>
    </row>
    <row r="798" spans="1:14" hidden="1">
      <c r="A798" s="232">
        <v>41407</v>
      </c>
      <c r="C798" t="s">
        <v>1882</v>
      </c>
      <c r="D798" s="1">
        <v>5000</v>
      </c>
      <c r="E798" s="1">
        <v>0</v>
      </c>
      <c r="F798">
        <v>1754426.87</v>
      </c>
      <c r="G798" s="8" t="s">
        <v>1361</v>
      </c>
      <c r="K798" s="2"/>
      <c r="L798" s="232">
        <v>41407</v>
      </c>
      <c r="N798">
        <f t="shared" si="9"/>
        <v>5000</v>
      </c>
    </row>
    <row r="799" spans="1:14" hidden="1">
      <c r="A799" s="232">
        <v>41408</v>
      </c>
      <c r="C799" t="s">
        <v>1883</v>
      </c>
      <c r="D799" s="1">
        <v>10000</v>
      </c>
      <c r="E799" s="1">
        <v>0</v>
      </c>
      <c r="F799">
        <v>1744426.87</v>
      </c>
      <c r="G799" s="8" t="s">
        <v>1361</v>
      </c>
      <c r="K799" s="2"/>
      <c r="L799" s="232">
        <v>41408</v>
      </c>
      <c r="N799">
        <f t="shared" si="9"/>
        <v>10000</v>
      </c>
    </row>
    <row r="800" spans="1:14" hidden="1">
      <c r="A800" s="232">
        <v>41414</v>
      </c>
      <c r="C800" t="s">
        <v>1884</v>
      </c>
      <c r="D800" s="1">
        <v>270570</v>
      </c>
      <c r="E800" s="1">
        <v>0</v>
      </c>
      <c r="F800">
        <v>1473856.87</v>
      </c>
      <c r="G800" s="8" t="s">
        <v>1370</v>
      </c>
      <c r="K800" s="2"/>
      <c r="L800" s="232">
        <v>41414</v>
      </c>
      <c r="N800">
        <f t="shared" si="9"/>
        <v>270570</v>
      </c>
    </row>
    <row r="801" spans="1:14" hidden="1">
      <c r="A801" s="232">
        <v>41414</v>
      </c>
      <c r="C801" t="s">
        <v>1885</v>
      </c>
      <c r="D801" s="1">
        <v>200000</v>
      </c>
      <c r="E801" s="1">
        <v>0</v>
      </c>
      <c r="F801">
        <v>1273856.8700000001</v>
      </c>
      <c r="G801" s="8" t="s">
        <v>1363</v>
      </c>
      <c r="K801" s="2"/>
      <c r="L801" s="232">
        <v>41414</v>
      </c>
      <c r="N801">
        <f t="shared" si="9"/>
        <v>200000</v>
      </c>
    </row>
    <row r="802" spans="1:14" hidden="1">
      <c r="A802" s="232">
        <v>41416</v>
      </c>
      <c r="C802" t="s">
        <v>1886</v>
      </c>
      <c r="D802" s="1">
        <v>417</v>
      </c>
      <c r="E802" s="1">
        <v>0</v>
      </c>
      <c r="F802">
        <v>1273439.8700000001</v>
      </c>
      <c r="K802" s="2"/>
      <c r="L802" s="232">
        <v>41416</v>
      </c>
      <c r="N802">
        <f t="shared" si="9"/>
        <v>417</v>
      </c>
    </row>
    <row r="803" spans="1:14" hidden="1">
      <c r="A803" s="232">
        <v>41419</v>
      </c>
      <c r="C803" t="s">
        <v>1887</v>
      </c>
      <c r="D803" s="1">
        <v>1500</v>
      </c>
      <c r="E803" s="1">
        <v>0</v>
      </c>
      <c r="F803">
        <v>1271939.8700000001</v>
      </c>
      <c r="K803" s="2"/>
      <c r="L803" s="232">
        <v>41419</v>
      </c>
      <c r="N803">
        <f t="shared" si="9"/>
        <v>1500</v>
      </c>
    </row>
    <row r="804" spans="1:14" hidden="1">
      <c r="A804" s="232">
        <v>41421</v>
      </c>
      <c r="C804" t="s">
        <v>1888</v>
      </c>
      <c r="D804" s="1">
        <v>0</v>
      </c>
      <c r="E804" s="1">
        <v>167130</v>
      </c>
      <c r="F804">
        <v>1439069.87</v>
      </c>
      <c r="K804" s="2"/>
      <c r="L804" s="232">
        <v>41421</v>
      </c>
      <c r="N804">
        <f t="shared" si="9"/>
        <v>0</v>
      </c>
    </row>
    <row r="805" spans="1:14" hidden="1">
      <c r="A805" s="232">
        <v>41421</v>
      </c>
      <c r="C805" t="s">
        <v>1889</v>
      </c>
      <c r="D805" s="1">
        <v>69887</v>
      </c>
      <c r="E805" s="1">
        <v>0</v>
      </c>
      <c r="F805">
        <v>1369182.87</v>
      </c>
      <c r="G805" s="8" t="s">
        <v>1366</v>
      </c>
      <c r="K805" s="2"/>
      <c r="L805" s="232">
        <v>41421</v>
      </c>
      <c r="N805">
        <f t="shared" si="9"/>
        <v>69887</v>
      </c>
    </row>
    <row r="806" spans="1:14" hidden="1">
      <c r="A806" s="232">
        <v>41422</v>
      </c>
      <c r="C806" t="s">
        <v>1890</v>
      </c>
      <c r="D806" s="1">
        <v>2000</v>
      </c>
      <c r="E806" s="1">
        <v>0</v>
      </c>
      <c r="F806">
        <v>1367182.87</v>
      </c>
      <c r="G806" s="8" t="s">
        <v>1372</v>
      </c>
      <c r="K806" s="2"/>
      <c r="L806" s="232">
        <v>41422</v>
      </c>
      <c r="N806">
        <f t="shared" si="9"/>
        <v>2000</v>
      </c>
    </row>
    <row r="807" spans="1:14" hidden="1">
      <c r="A807" s="232">
        <v>41428</v>
      </c>
      <c r="C807" t="s">
        <v>1891</v>
      </c>
      <c r="D807" s="1">
        <v>5000</v>
      </c>
      <c r="E807" s="1">
        <v>0</v>
      </c>
      <c r="F807">
        <v>1362182.87</v>
      </c>
      <c r="G807" s="8" t="s">
        <v>1361</v>
      </c>
      <c r="K807" s="2"/>
      <c r="L807" s="232">
        <v>41428</v>
      </c>
      <c r="N807">
        <f t="shared" si="9"/>
        <v>5000</v>
      </c>
    </row>
    <row r="808" spans="1:14" hidden="1">
      <c r="A808" s="232">
        <v>41430</v>
      </c>
      <c r="C808" t="s">
        <v>1892</v>
      </c>
      <c r="D808" s="1">
        <v>1110</v>
      </c>
      <c r="E808" s="1">
        <v>0</v>
      </c>
      <c r="F808">
        <v>1361072.87</v>
      </c>
      <c r="K808" s="2"/>
      <c r="L808" s="232">
        <v>41430</v>
      </c>
      <c r="N808">
        <f t="shared" si="9"/>
        <v>1110</v>
      </c>
    </row>
    <row r="809" spans="1:14" hidden="1">
      <c r="A809" s="232">
        <v>41431</v>
      </c>
      <c r="B809" t="s">
        <v>1868</v>
      </c>
      <c r="C809" t="s">
        <v>1809</v>
      </c>
      <c r="D809" s="1">
        <v>600000</v>
      </c>
      <c r="E809" s="1">
        <v>0</v>
      </c>
      <c r="F809">
        <v>761072.87</v>
      </c>
      <c r="G809" s="8" t="s">
        <v>1366</v>
      </c>
      <c r="K809" s="2"/>
      <c r="L809" s="232">
        <v>41431</v>
      </c>
      <c r="N809">
        <f t="shared" si="9"/>
        <v>600000</v>
      </c>
    </row>
    <row r="810" spans="1:14" hidden="1">
      <c r="A810" s="232">
        <v>41435</v>
      </c>
      <c r="C810" t="s">
        <v>1893</v>
      </c>
      <c r="D810" s="1">
        <v>2000</v>
      </c>
      <c r="E810" s="1">
        <v>0</v>
      </c>
      <c r="F810">
        <v>759072.87</v>
      </c>
      <c r="G810" s="8" t="s">
        <v>1372</v>
      </c>
      <c r="K810" s="2"/>
      <c r="L810" s="232">
        <v>41435</v>
      </c>
      <c r="N810">
        <f t="shared" si="9"/>
        <v>2000</v>
      </c>
    </row>
    <row r="811" spans="1:14" hidden="1">
      <c r="A811" s="232">
        <v>41440</v>
      </c>
      <c r="C811" t="s">
        <v>1894</v>
      </c>
      <c r="D811" s="1">
        <v>10875</v>
      </c>
      <c r="E811" s="1">
        <v>0</v>
      </c>
      <c r="F811">
        <v>748197.87</v>
      </c>
      <c r="K811" s="2"/>
      <c r="L811" s="232">
        <v>41440</v>
      </c>
      <c r="N811">
        <f t="shared" si="9"/>
        <v>10875</v>
      </c>
    </row>
    <row r="812" spans="1:14" hidden="1">
      <c r="A812" s="232">
        <v>41445</v>
      </c>
      <c r="C812" t="s">
        <v>1895</v>
      </c>
      <c r="D812" s="1">
        <v>10000</v>
      </c>
      <c r="E812" s="1">
        <v>0</v>
      </c>
      <c r="F812">
        <v>738197.87</v>
      </c>
      <c r="G812" s="8" t="s">
        <v>1361</v>
      </c>
      <c r="K812" s="2"/>
      <c r="L812" s="232">
        <v>41445</v>
      </c>
      <c r="N812">
        <f t="shared" si="9"/>
        <v>10000</v>
      </c>
    </row>
    <row r="813" spans="1:14" hidden="1">
      <c r="A813" s="232">
        <v>41447</v>
      </c>
      <c r="C813" t="s">
        <v>1896</v>
      </c>
      <c r="D813" s="1">
        <v>394</v>
      </c>
      <c r="E813" s="1">
        <v>0</v>
      </c>
      <c r="F813">
        <v>737803.87</v>
      </c>
      <c r="K813" s="2"/>
      <c r="L813" s="232">
        <v>41447</v>
      </c>
      <c r="N813">
        <f t="shared" si="9"/>
        <v>394</v>
      </c>
    </row>
    <row r="814" spans="1:14" hidden="1">
      <c r="A814" s="232">
        <v>41451</v>
      </c>
      <c r="C814" t="s">
        <v>1897</v>
      </c>
      <c r="D814" s="1">
        <v>0</v>
      </c>
      <c r="E814" s="1">
        <v>167130</v>
      </c>
      <c r="F814">
        <v>904933.87</v>
      </c>
      <c r="G814" s="8" t="s">
        <v>1380</v>
      </c>
      <c r="K814" s="2"/>
      <c r="L814" s="232">
        <v>41451</v>
      </c>
      <c r="N814">
        <f t="shared" si="9"/>
        <v>0</v>
      </c>
    </row>
    <row r="815" spans="1:14" hidden="1">
      <c r="A815" s="232">
        <v>41452</v>
      </c>
      <c r="C815" t="s">
        <v>1898</v>
      </c>
      <c r="D815" s="1">
        <v>902</v>
      </c>
      <c r="E815" s="1">
        <v>0</v>
      </c>
      <c r="F815">
        <v>904031.87</v>
      </c>
      <c r="K815" s="2"/>
      <c r="L815" s="232">
        <v>41452</v>
      </c>
      <c r="N815">
        <f t="shared" si="9"/>
        <v>902</v>
      </c>
    </row>
    <row r="816" spans="1:14" hidden="1">
      <c r="A816" s="232">
        <v>41452</v>
      </c>
      <c r="C816" t="s">
        <v>1899</v>
      </c>
      <c r="D816" s="1">
        <v>69887</v>
      </c>
      <c r="E816" s="1">
        <v>0</v>
      </c>
      <c r="F816">
        <v>834144.87</v>
      </c>
      <c r="G816" s="8" t="s">
        <v>1366</v>
      </c>
      <c r="K816" s="2"/>
      <c r="L816" s="232">
        <v>41452</v>
      </c>
      <c r="N816">
        <f t="shared" si="9"/>
        <v>69887</v>
      </c>
    </row>
    <row r="817" spans="1:14" hidden="1">
      <c r="A817" s="232">
        <v>41453</v>
      </c>
      <c r="C817" t="s">
        <v>1900</v>
      </c>
      <c r="D817" s="1">
        <v>2000</v>
      </c>
      <c r="E817" s="1">
        <v>0</v>
      </c>
      <c r="F817">
        <v>832144.87</v>
      </c>
      <c r="G817" s="8" t="s">
        <v>1372</v>
      </c>
      <c r="K817" s="2"/>
      <c r="L817" s="232">
        <v>41453</v>
      </c>
      <c r="N817">
        <f t="shared" si="9"/>
        <v>2000</v>
      </c>
    </row>
    <row r="818" spans="1:14" hidden="1">
      <c r="A818" s="232">
        <v>41453</v>
      </c>
      <c r="B818" t="s">
        <v>1868</v>
      </c>
      <c r="C818" t="s">
        <v>1818</v>
      </c>
      <c r="D818" s="1">
        <v>24158</v>
      </c>
      <c r="E818" s="1">
        <v>0</v>
      </c>
      <c r="F818">
        <v>807986.87</v>
      </c>
      <c r="K818" s="2"/>
      <c r="L818" s="232">
        <v>41453</v>
      </c>
      <c r="N818">
        <f t="shared" si="9"/>
        <v>24158</v>
      </c>
    </row>
    <row r="819" spans="1:14" hidden="1">
      <c r="A819" s="232">
        <v>41456</v>
      </c>
      <c r="C819" t="s">
        <v>1901</v>
      </c>
      <c r="D819" s="1">
        <v>22810.14</v>
      </c>
      <c r="E819" s="1">
        <v>0</v>
      </c>
      <c r="F819">
        <v>785176.73</v>
      </c>
      <c r="G819" s="8" t="s">
        <v>1362</v>
      </c>
      <c r="K819" s="2"/>
      <c r="L819" s="232">
        <v>41456</v>
      </c>
      <c r="N819">
        <f t="shared" si="9"/>
        <v>22810.14</v>
      </c>
    </row>
    <row r="820" spans="1:14" hidden="1">
      <c r="A820" s="232">
        <v>41457</v>
      </c>
      <c r="C820" t="s">
        <v>1902</v>
      </c>
      <c r="D820" s="1">
        <v>5000</v>
      </c>
      <c r="E820" s="1">
        <v>0</v>
      </c>
      <c r="F820">
        <v>780176.73</v>
      </c>
      <c r="G820" s="8" t="s">
        <v>1361</v>
      </c>
      <c r="K820" s="2"/>
      <c r="L820" s="232">
        <v>41457</v>
      </c>
      <c r="N820">
        <f t="shared" si="9"/>
        <v>5000</v>
      </c>
    </row>
    <row r="821" spans="1:14" hidden="1">
      <c r="A821" s="232">
        <v>41463</v>
      </c>
      <c r="C821" t="s">
        <v>1903</v>
      </c>
      <c r="D821" s="1">
        <v>5000</v>
      </c>
      <c r="E821" s="1">
        <v>0</v>
      </c>
      <c r="F821">
        <v>775176.73</v>
      </c>
      <c r="G821" s="8" t="s">
        <v>1361</v>
      </c>
      <c r="K821" s="2"/>
      <c r="L821" s="232">
        <v>41463</v>
      </c>
      <c r="N821">
        <f t="shared" si="9"/>
        <v>5000</v>
      </c>
    </row>
    <row r="822" spans="1:14" hidden="1">
      <c r="A822" s="232">
        <v>41465</v>
      </c>
      <c r="C822" t="s">
        <v>1904</v>
      </c>
      <c r="D822" s="1">
        <v>2000</v>
      </c>
      <c r="E822" s="1">
        <v>0</v>
      </c>
      <c r="F822">
        <v>773176.73</v>
      </c>
      <c r="G822" s="8" t="s">
        <v>1372</v>
      </c>
      <c r="K822" s="2"/>
      <c r="L822" s="232">
        <v>41465</v>
      </c>
      <c r="N822">
        <f t="shared" si="9"/>
        <v>2000</v>
      </c>
    </row>
    <row r="823" spans="1:14" hidden="1">
      <c r="A823" s="232">
        <v>41479</v>
      </c>
      <c r="C823" t="s">
        <v>1905</v>
      </c>
      <c r="D823" s="1">
        <v>5000</v>
      </c>
      <c r="E823" s="1">
        <v>0</v>
      </c>
      <c r="F823">
        <v>768176.73</v>
      </c>
      <c r="G823" s="8" t="s">
        <v>1361</v>
      </c>
      <c r="K823" s="2"/>
      <c r="L823" s="232">
        <v>41479</v>
      </c>
      <c r="N823">
        <f t="shared" si="9"/>
        <v>5000</v>
      </c>
    </row>
    <row r="824" spans="1:14" hidden="1">
      <c r="A824" s="232">
        <v>41481</v>
      </c>
      <c r="C824" t="s">
        <v>1906</v>
      </c>
      <c r="D824" s="1">
        <v>0</v>
      </c>
      <c r="E824" s="1">
        <v>167130</v>
      </c>
      <c r="F824">
        <v>935306.73</v>
      </c>
      <c r="G824" s="8" t="s">
        <v>1380</v>
      </c>
      <c r="K824" s="2"/>
      <c r="L824" s="232">
        <v>41481</v>
      </c>
      <c r="N824">
        <f t="shared" si="9"/>
        <v>0</v>
      </c>
    </row>
    <row r="825" spans="1:14" hidden="1">
      <c r="A825" s="232">
        <v>41482</v>
      </c>
      <c r="C825" t="s">
        <v>1907</v>
      </c>
      <c r="D825" s="1">
        <v>69887</v>
      </c>
      <c r="E825" s="1">
        <v>0</v>
      </c>
      <c r="F825">
        <v>865419.73</v>
      </c>
      <c r="G825" s="8" t="s">
        <v>1366</v>
      </c>
      <c r="K825" s="2"/>
      <c r="L825" s="232">
        <v>41482</v>
      </c>
      <c r="N825">
        <f t="shared" si="9"/>
        <v>69887</v>
      </c>
    </row>
    <row r="826" spans="1:14" hidden="1">
      <c r="A826" s="232">
        <v>41482</v>
      </c>
      <c r="C826" t="s">
        <v>1908</v>
      </c>
      <c r="D826" s="1">
        <v>1122</v>
      </c>
      <c r="E826" s="1">
        <v>0</v>
      </c>
      <c r="F826">
        <v>864297.73</v>
      </c>
      <c r="K826" s="2"/>
      <c r="L826" s="232">
        <v>41482</v>
      </c>
      <c r="N826">
        <f t="shared" si="9"/>
        <v>1122</v>
      </c>
    </row>
    <row r="827" spans="1:14" hidden="1">
      <c r="A827" s="232">
        <v>41482</v>
      </c>
      <c r="C827" t="s">
        <v>1909</v>
      </c>
      <c r="D827" s="1">
        <v>600</v>
      </c>
      <c r="E827" s="1">
        <v>0</v>
      </c>
      <c r="F827">
        <v>863697.73</v>
      </c>
      <c r="K827" s="2"/>
      <c r="L827" s="232">
        <v>41482</v>
      </c>
      <c r="N827">
        <f t="shared" si="9"/>
        <v>600</v>
      </c>
    </row>
    <row r="828" spans="1:14" hidden="1">
      <c r="A828" s="232">
        <v>41484</v>
      </c>
      <c r="C828" t="s">
        <v>1910</v>
      </c>
      <c r="D828" s="1">
        <v>2000</v>
      </c>
      <c r="E828" s="1">
        <v>0</v>
      </c>
      <c r="F828">
        <v>861697.73</v>
      </c>
      <c r="G828" s="8" t="s">
        <v>1372</v>
      </c>
      <c r="K828" s="2"/>
      <c r="L828" s="232">
        <v>41484</v>
      </c>
      <c r="N828">
        <f t="shared" si="9"/>
        <v>2000</v>
      </c>
    </row>
    <row r="829" spans="1:14" hidden="1">
      <c r="A829" s="232">
        <v>41486</v>
      </c>
      <c r="C829" t="s">
        <v>1911</v>
      </c>
      <c r="D829" s="1">
        <v>19770.25</v>
      </c>
      <c r="E829" s="1">
        <v>0</v>
      </c>
      <c r="F829">
        <v>841927.48</v>
      </c>
      <c r="G829" s="8" t="s">
        <v>1362</v>
      </c>
      <c r="K829" s="2"/>
      <c r="L829" s="232">
        <v>41486</v>
      </c>
      <c r="N829">
        <f t="shared" si="9"/>
        <v>19770.25</v>
      </c>
    </row>
    <row r="830" spans="1:14" hidden="1">
      <c r="A830" s="232">
        <v>41488</v>
      </c>
      <c r="C830" t="s">
        <v>1912</v>
      </c>
      <c r="D830" s="1">
        <v>6000</v>
      </c>
      <c r="E830" s="1">
        <v>0</v>
      </c>
      <c r="F830">
        <v>835927.48</v>
      </c>
      <c r="G830" s="8" t="s">
        <v>1361</v>
      </c>
      <c r="K830" s="2"/>
      <c r="L830" s="232">
        <v>41488</v>
      </c>
      <c r="N830">
        <f t="shared" si="9"/>
        <v>6000</v>
      </c>
    </row>
    <row r="831" spans="1:14" hidden="1">
      <c r="A831" s="232">
        <v>41491</v>
      </c>
      <c r="C831" t="s">
        <v>1913</v>
      </c>
      <c r="D831" s="1">
        <v>1110</v>
      </c>
      <c r="E831" s="1">
        <v>0</v>
      </c>
      <c r="F831">
        <v>834817.48</v>
      </c>
      <c r="K831" s="2"/>
      <c r="L831" s="232">
        <v>41491</v>
      </c>
      <c r="N831">
        <f t="shared" si="9"/>
        <v>1110</v>
      </c>
    </row>
    <row r="832" spans="1:14" hidden="1">
      <c r="A832" s="232">
        <v>41492</v>
      </c>
      <c r="B832" t="s">
        <v>1914</v>
      </c>
      <c r="C832" t="s">
        <v>1915</v>
      </c>
      <c r="D832" s="1">
        <v>6743</v>
      </c>
      <c r="E832" s="1">
        <v>0</v>
      </c>
      <c r="F832">
        <v>828074.48</v>
      </c>
      <c r="K832" s="2"/>
      <c r="L832" s="232">
        <v>41492</v>
      </c>
      <c r="N832">
        <f t="shared" si="9"/>
        <v>6743</v>
      </c>
    </row>
    <row r="833" spans="1:14" hidden="1">
      <c r="A833" s="232">
        <v>41494</v>
      </c>
      <c r="B833" t="s">
        <v>1916</v>
      </c>
      <c r="C833" t="s">
        <v>1917</v>
      </c>
      <c r="D833" s="1">
        <v>5000</v>
      </c>
      <c r="E833" s="1">
        <v>0</v>
      </c>
      <c r="F833">
        <v>823074.48</v>
      </c>
      <c r="G833" s="8" t="s">
        <v>1361</v>
      </c>
      <c r="K833" s="2"/>
      <c r="L833" s="232">
        <v>41494</v>
      </c>
      <c r="N833">
        <f t="shared" si="9"/>
        <v>5000</v>
      </c>
    </row>
    <row r="834" spans="1:14" hidden="1">
      <c r="A834" s="232">
        <v>41496</v>
      </c>
      <c r="C834" t="s">
        <v>1918</v>
      </c>
      <c r="D834" s="1">
        <v>2000</v>
      </c>
      <c r="E834" s="1">
        <v>0</v>
      </c>
      <c r="F834">
        <v>821074.48</v>
      </c>
      <c r="G834" s="8" t="s">
        <v>1372</v>
      </c>
      <c r="K834" s="2"/>
      <c r="L834" s="232">
        <v>41496</v>
      </c>
      <c r="N834">
        <f t="shared" si="9"/>
        <v>2000</v>
      </c>
    </row>
    <row r="835" spans="1:14" hidden="1">
      <c r="A835" s="232">
        <v>41512</v>
      </c>
      <c r="B835" t="s">
        <v>1914</v>
      </c>
      <c r="C835" t="s">
        <v>1919</v>
      </c>
      <c r="D835" s="1">
        <v>115.3</v>
      </c>
      <c r="E835" s="1">
        <v>0</v>
      </c>
      <c r="F835">
        <v>820959.18</v>
      </c>
      <c r="K835" s="2"/>
      <c r="L835" s="232">
        <v>41512</v>
      </c>
      <c r="N835">
        <f t="shared" si="9"/>
        <v>115.3</v>
      </c>
    </row>
    <row r="836" spans="1:14" hidden="1">
      <c r="A836" s="232">
        <v>41512</v>
      </c>
      <c r="B836" t="s">
        <v>1914</v>
      </c>
      <c r="C836" t="s">
        <v>1920</v>
      </c>
      <c r="D836" s="1">
        <v>800</v>
      </c>
      <c r="E836" s="1">
        <v>0</v>
      </c>
      <c r="F836">
        <v>820159.18</v>
      </c>
      <c r="K836" s="2"/>
      <c r="L836" s="232">
        <v>41512</v>
      </c>
      <c r="N836">
        <f t="shared" si="9"/>
        <v>800</v>
      </c>
    </row>
    <row r="837" spans="1:14" hidden="1">
      <c r="A837" s="232">
        <v>41513</v>
      </c>
      <c r="C837" t="s">
        <v>1921</v>
      </c>
      <c r="D837" s="1">
        <v>69887</v>
      </c>
      <c r="E837" s="1">
        <v>0</v>
      </c>
      <c r="F837">
        <v>750272.18</v>
      </c>
      <c r="G837" s="8" t="s">
        <v>1366</v>
      </c>
      <c r="K837" s="2"/>
      <c r="L837" s="232">
        <v>41513</v>
      </c>
      <c r="N837">
        <f t="shared" si="9"/>
        <v>69887</v>
      </c>
    </row>
    <row r="838" spans="1:14" hidden="1">
      <c r="A838" s="232">
        <v>41513</v>
      </c>
      <c r="C838" t="s">
        <v>1922</v>
      </c>
      <c r="D838" s="1">
        <v>0</v>
      </c>
      <c r="E838" s="1">
        <v>167130</v>
      </c>
      <c r="F838">
        <v>917402.18</v>
      </c>
      <c r="G838" s="8" t="s">
        <v>1380</v>
      </c>
      <c r="K838" s="2"/>
      <c r="L838" s="232">
        <v>41513</v>
      </c>
      <c r="N838">
        <f t="shared" si="9"/>
        <v>0</v>
      </c>
    </row>
    <row r="839" spans="1:14" hidden="1">
      <c r="A839" s="232">
        <v>41514</v>
      </c>
      <c r="C839" t="s">
        <v>1923</v>
      </c>
      <c r="D839" s="1">
        <v>2000</v>
      </c>
      <c r="E839" s="1">
        <v>0</v>
      </c>
      <c r="F839">
        <v>915402.18</v>
      </c>
      <c r="G839" s="8" t="s">
        <v>1372</v>
      </c>
      <c r="K839" s="2"/>
      <c r="L839" s="232">
        <v>41514</v>
      </c>
      <c r="N839">
        <f t="shared" si="9"/>
        <v>2000</v>
      </c>
    </row>
    <row r="840" spans="1:14" hidden="1">
      <c r="A840" s="232">
        <v>41514</v>
      </c>
      <c r="B840" t="s">
        <v>1916</v>
      </c>
      <c r="C840" t="s">
        <v>1924</v>
      </c>
      <c r="D840" s="1">
        <v>6000</v>
      </c>
      <c r="E840" s="1">
        <v>0</v>
      </c>
      <c r="F840">
        <v>909402.18</v>
      </c>
      <c r="G840" s="8" t="s">
        <v>1361</v>
      </c>
      <c r="K840" s="2"/>
      <c r="L840" s="232">
        <v>41514</v>
      </c>
      <c r="N840">
        <f t="shared" si="9"/>
        <v>6000</v>
      </c>
    </row>
    <row r="841" spans="1:14" hidden="1">
      <c r="A841" s="232">
        <v>41516</v>
      </c>
      <c r="B841" t="s">
        <v>1916</v>
      </c>
      <c r="C841" t="s">
        <v>1925</v>
      </c>
      <c r="D841" s="1">
        <v>10000</v>
      </c>
      <c r="E841" s="1">
        <v>0</v>
      </c>
      <c r="F841">
        <v>899402.18</v>
      </c>
      <c r="G841" s="8" t="s">
        <v>1361</v>
      </c>
      <c r="K841" s="2"/>
      <c r="L841" s="232">
        <v>41516</v>
      </c>
      <c r="N841">
        <f t="shared" si="9"/>
        <v>10000</v>
      </c>
    </row>
    <row r="842" spans="1:14" hidden="1">
      <c r="A842" s="232">
        <v>41519</v>
      </c>
      <c r="C842" t="s">
        <v>1926</v>
      </c>
      <c r="D842" s="1">
        <v>0</v>
      </c>
      <c r="E842" s="1">
        <v>22388</v>
      </c>
      <c r="F842">
        <v>921790.18</v>
      </c>
      <c r="G842" s="8" t="s">
        <v>1368</v>
      </c>
      <c r="K842" s="2"/>
      <c r="L842" s="232">
        <v>41519</v>
      </c>
      <c r="N842">
        <f t="shared" si="9"/>
        <v>0</v>
      </c>
    </row>
    <row r="843" spans="1:14" hidden="1">
      <c r="A843" s="232">
        <v>41519</v>
      </c>
      <c r="B843" t="s">
        <v>1914</v>
      </c>
      <c r="C843" t="s">
        <v>1927</v>
      </c>
      <c r="D843" s="1">
        <v>7754.78</v>
      </c>
      <c r="E843" s="1">
        <v>0</v>
      </c>
      <c r="F843">
        <v>914035.4</v>
      </c>
      <c r="G843" s="8" t="s">
        <v>1362</v>
      </c>
      <c r="K843" s="2"/>
      <c r="L843" s="232">
        <v>41519</v>
      </c>
      <c r="N843">
        <f t="shared" ref="N843:N906" si="10">D843*1</f>
        <v>7754.78</v>
      </c>
    </row>
    <row r="844" spans="1:14" hidden="1">
      <c r="A844" s="232">
        <v>41519</v>
      </c>
      <c r="B844" t="s">
        <v>1914</v>
      </c>
      <c r="C844" t="s">
        <v>1928</v>
      </c>
      <c r="D844" s="1">
        <v>200000</v>
      </c>
      <c r="E844" s="1">
        <v>0</v>
      </c>
      <c r="F844">
        <v>714035.4</v>
      </c>
      <c r="G844" s="8" t="s">
        <v>1363</v>
      </c>
      <c r="K844" s="2"/>
      <c r="L844" s="232">
        <v>41519</v>
      </c>
      <c r="N844">
        <f t="shared" si="10"/>
        <v>200000</v>
      </c>
    </row>
    <row r="845" spans="1:14" hidden="1">
      <c r="A845" s="232">
        <v>41520</v>
      </c>
      <c r="B845" t="s">
        <v>1914</v>
      </c>
      <c r="C845" t="s">
        <v>1929</v>
      </c>
      <c r="D845" s="1">
        <v>6298</v>
      </c>
      <c r="E845" s="1">
        <v>0</v>
      </c>
      <c r="F845">
        <v>707737.4</v>
      </c>
      <c r="K845" s="2"/>
      <c r="L845" s="232">
        <v>41520</v>
      </c>
      <c r="N845">
        <f t="shared" si="10"/>
        <v>6298</v>
      </c>
    </row>
    <row r="846" spans="1:14" hidden="1">
      <c r="A846" s="232">
        <v>41521</v>
      </c>
      <c r="B846" t="s">
        <v>1914</v>
      </c>
      <c r="C846" t="s">
        <v>1930</v>
      </c>
      <c r="D846" s="1">
        <v>1110</v>
      </c>
      <c r="E846" s="1">
        <v>0</v>
      </c>
      <c r="F846">
        <v>706627.4</v>
      </c>
      <c r="K846" s="2"/>
      <c r="L846" s="232">
        <v>41521</v>
      </c>
      <c r="N846">
        <f t="shared" si="10"/>
        <v>1110</v>
      </c>
    </row>
    <row r="847" spans="1:14" hidden="1">
      <c r="A847" s="232">
        <v>41527</v>
      </c>
      <c r="C847" t="s">
        <v>1931</v>
      </c>
      <c r="D847" s="1">
        <v>2000</v>
      </c>
      <c r="E847" s="1">
        <v>0</v>
      </c>
      <c r="F847">
        <v>704627.4</v>
      </c>
      <c r="G847" s="8" t="s">
        <v>1372</v>
      </c>
      <c r="K847" s="2"/>
      <c r="L847" s="232">
        <v>41527</v>
      </c>
      <c r="N847">
        <f t="shared" si="10"/>
        <v>2000</v>
      </c>
    </row>
    <row r="848" spans="1:14" hidden="1">
      <c r="A848" s="232">
        <v>41540</v>
      </c>
      <c r="B848" t="s">
        <v>1914</v>
      </c>
      <c r="C848" t="s">
        <v>1932</v>
      </c>
      <c r="D848" s="1">
        <v>132086</v>
      </c>
      <c r="E848" s="1">
        <v>0</v>
      </c>
      <c r="F848">
        <v>572541.4</v>
      </c>
      <c r="K848" s="2"/>
      <c r="L848" s="232">
        <v>41540</v>
      </c>
      <c r="N848">
        <f t="shared" si="10"/>
        <v>132086</v>
      </c>
    </row>
    <row r="849" spans="1:14" hidden="1">
      <c r="A849" s="232">
        <v>41540</v>
      </c>
      <c r="B849" t="s">
        <v>1914</v>
      </c>
      <c r="C849" t="s">
        <v>1933</v>
      </c>
      <c r="D849" s="1">
        <v>1311</v>
      </c>
      <c r="E849" s="1">
        <v>0</v>
      </c>
      <c r="F849">
        <v>571230.4</v>
      </c>
      <c r="K849" s="2"/>
      <c r="L849" s="232">
        <v>41540</v>
      </c>
      <c r="N849">
        <f t="shared" si="10"/>
        <v>1311</v>
      </c>
    </row>
    <row r="850" spans="1:14" hidden="1">
      <c r="A850" s="232">
        <v>41540</v>
      </c>
      <c r="B850" t="s">
        <v>1914</v>
      </c>
      <c r="C850" t="s">
        <v>1934</v>
      </c>
      <c r="D850" s="1">
        <v>1500</v>
      </c>
      <c r="E850" s="1">
        <v>0</v>
      </c>
      <c r="F850">
        <v>569730.4</v>
      </c>
      <c r="K850" s="2"/>
      <c r="L850" s="232">
        <v>41540</v>
      </c>
      <c r="N850">
        <f t="shared" si="10"/>
        <v>1500</v>
      </c>
    </row>
    <row r="851" spans="1:14" hidden="1">
      <c r="A851" s="232">
        <v>41540</v>
      </c>
      <c r="B851" t="s">
        <v>1914</v>
      </c>
      <c r="C851" t="s">
        <v>1935</v>
      </c>
      <c r="D851" s="1">
        <v>326.20999999999998</v>
      </c>
      <c r="E851" s="1">
        <v>0</v>
      </c>
      <c r="F851">
        <v>569404.18999999994</v>
      </c>
      <c r="K851" s="2"/>
      <c r="L851" s="232">
        <v>41540</v>
      </c>
      <c r="N851">
        <f t="shared" si="10"/>
        <v>326.20999999999998</v>
      </c>
    </row>
    <row r="852" spans="1:14" hidden="1">
      <c r="A852" s="232">
        <v>41543</v>
      </c>
      <c r="C852" t="s">
        <v>1936</v>
      </c>
      <c r="D852" s="1">
        <v>0</v>
      </c>
      <c r="E852" s="1">
        <v>167130</v>
      </c>
      <c r="F852">
        <v>736534.19</v>
      </c>
      <c r="G852" s="8" t="s">
        <v>1380</v>
      </c>
      <c r="K852" s="2"/>
      <c r="L852" s="232">
        <v>41543</v>
      </c>
      <c r="N852">
        <f t="shared" si="10"/>
        <v>0</v>
      </c>
    </row>
    <row r="853" spans="1:14" hidden="1">
      <c r="A853" s="232">
        <v>41544</v>
      </c>
      <c r="C853" t="s">
        <v>1937</v>
      </c>
      <c r="D853" s="1">
        <v>69887</v>
      </c>
      <c r="E853" s="1">
        <v>0</v>
      </c>
      <c r="F853">
        <v>666647.18999999994</v>
      </c>
      <c r="G853" s="8" t="s">
        <v>1366</v>
      </c>
      <c r="K853" s="2"/>
      <c r="L853" s="232">
        <v>41544</v>
      </c>
      <c r="N853">
        <f t="shared" si="10"/>
        <v>69887</v>
      </c>
    </row>
    <row r="854" spans="1:14" hidden="1">
      <c r="A854" s="232">
        <v>41545</v>
      </c>
      <c r="B854" t="s">
        <v>1938</v>
      </c>
      <c r="C854" t="s">
        <v>1939</v>
      </c>
      <c r="D854" s="1">
        <v>2000</v>
      </c>
      <c r="E854" s="1">
        <v>0</v>
      </c>
      <c r="F854">
        <v>664647.18999999994</v>
      </c>
      <c r="G854" s="8" t="s">
        <v>1372</v>
      </c>
      <c r="K854" s="2"/>
      <c r="L854" s="232">
        <v>41545</v>
      </c>
      <c r="N854">
        <f t="shared" si="10"/>
        <v>2000</v>
      </c>
    </row>
    <row r="855" spans="1:14" hidden="1">
      <c r="A855" s="232">
        <v>41548</v>
      </c>
      <c r="B855" t="s">
        <v>1914</v>
      </c>
      <c r="C855" t="s">
        <v>1940</v>
      </c>
      <c r="D855" s="1">
        <v>4568.1400000000003</v>
      </c>
      <c r="E855" s="1">
        <v>0</v>
      </c>
      <c r="F855">
        <v>660079.05000000005</v>
      </c>
      <c r="G855" s="8" t="s">
        <v>1362</v>
      </c>
      <c r="K855" s="2"/>
      <c r="L855" s="232">
        <v>41548</v>
      </c>
      <c r="N855">
        <f t="shared" si="10"/>
        <v>4568.1400000000003</v>
      </c>
    </row>
    <row r="856" spans="1:14" hidden="1">
      <c r="A856" s="232">
        <v>41548</v>
      </c>
      <c r="B856" t="s">
        <v>1914</v>
      </c>
      <c r="C856" t="s">
        <v>1941</v>
      </c>
      <c r="D856" s="1">
        <v>29962</v>
      </c>
      <c r="E856" s="1">
        <v>0</v>
      </c>
      <c r="F856">
        <v>630117.05000000005</v>
      </c>
      <c r="G856" s="8" t="s">
        <v>1362</v>
      </c>
      <c r="K856" s="2"/>
      <c r="L856" s="232">
        <v>41548</v>
      </c>
      <c r="N856">
        <f t="shared" si="10"/>
        <v>29962</v>
      </c>
    </row>
    <row r="857" spans="1:14" hidden="1">
      <c r="A857" s="232">
        <v>41550</v>
      </c>
      <c r="B857" t="s">
        <v>1916</v>
      </c>
      <c r="C857" t="s">
        <v>1942</v>
      </c>
      <c r="D857" s="1">
        <v>10000</v>
      </c>
      <c r="E857" s="1">
        <v>0</v>
      </c>
      <c r="F857">
        <v>620117.05000000005</v>
      </c>
      <c r="G857" s="8" t="s">
        <v>1361</v>
      </c>
      <c r="K857" s="2"/>
      <c r="L857" s="232">
        <v>41550</v>
      </c>
      <c r="N857">
        <f t="shared" si="10"/>
        <v>10000</v>
      </c>
    </row>
    <row r="858" spans="1:14" hidden="1">
      <c r="A858" s="232">
        <v>41550</v>
      </c>
      <c r="C858" t="s">
        <v>1943</v>
      </c>
      <c r="D858" s="1">
        <v>0</v>
      </c>
      <c r="E858" s="1">
        <v>849.06</v>
      </c>
      <c r="F858">
        <v>620966.11</v>
      </c>
      <c r="G858" s="8" t="s">
        <v>1375</v>
      </c>
      <c r="K858" s="2"/>
      <c r="L858" s="232">
        <v>41550</v>
      </c>
      <c r="N858">
        <f t="shared" si="10"/>
        <v>0</v>
      </c>
    </row>
    <row r="859" spans="1:14" hidden="1">
      <c r="A859" s="232">
        <v>41554</v>
      </c>
      <c r="B859" t="s">
        <v>1914</v>
      </c>
      <c r="C859" t="s">
        <v>1944</v>
      </c>
      <c r="D859" s="1">
        <v>6298</v>
      </c>
      <c r="E859" s="1">
        <v>0</v>
      </c>
      <c r="F859">
        <v>614668.11</v>
      </c>
      <c r="K859" s="2"/>
      <c r="L859" s="232">
        <v>41554</v>
      </c>
      <c r="N859">
        <f t="shared" si="10"/>
        <v>6298</v>
      </c>
    </row>
    <row r="860" spans="1:14" hidden="1">
      <c r="A860" s="232">
        <v>41557</v>
      </c>
      <c r="B860" t="s">
        <v>1938</v>
      </c>
      <c r="C860" t="s">
        <v>1945</v>
      </c>
      <c r="D860" s="1">
        <v>2000</v>
      </c>
      <c r="E860" s="1">
        <v>0</v>
      </c>
      <c r="F860">
        <v>612668.11</v>
      </c>
      <c r="G860" s="8" t="s">
        <v>1372</v>
      </c>
      <c r="K860" s="2"/>
      <c r="L860" s="232">
        <v>41557</v>
      </c>
      <c r="N860">
        <f t="shared" si="10"/>
        <v>2000</v>
      </c>
    </row>
    <row r="861" spans="1:14" hidden="1">
      <c r="A861" s="232">
        <v>41561</v>
      </c>
      <c r="B861" t="s">
        <v>1916</v>
      </c>
      <c r="C861" t="s">
        <v>1946</v>
      </c>
      <c r="D861" s="1">
        <v>5000</v>
      </c>
      <c r="E861" s="1">
        <v>0</v>
      </c>
      <c r="F861">
        <v>607668.11</v>
      </c>
      <c r="G861" s="8" t="s">
        <v>1361</v>
      </c>
      <c r="K861" s="2"/>
      <c r="L861" s="232">
        <v>41561</v>
      </c>
      <c r="N861">
        <f t="shared" si="10"/>
        <v>5000</v>
      </c>
    </row>
    <row r="862" spans="1:14" hidden="1">
      <c r="A862" s="232">
        <v>41568</v>
      </c>
      <c r="B862" t="s">
        <v>1914</v>
      </c>
      <c r="C862" t="s">
        <v>1947</v>
      </c>
      <c r="D862" s="1">
        <v>984</v>
      </c>
      <c r="E862" s="1">
        <v>0</v>
      </c>
      <c r="F862">
        <v>606684.11</v>
      </c>
      <c r="K862" s="2"/>
      <c r="L862" s="232">
        <v>41568</v>
      </c>
      <c r="N862">
        <f t="shared" si="10"/>
        <v>984</v>
      </c>
    </row>
    <row r="863" spans="1:14" hidden="1">
      <c r="A863" s="232">
        <v>41568</v>
      </c>
      <c r="B863" t="s">
        <v>1914</v>
      </c>
      <c r="C863" t="s">
        <v>1948</v>
      </c>
      <c r="D863" s="1">
        <v>700</v>
      </c>
      <c r="E863" s="1">
        <v>0</v>
      </c>
      <c r="F863">
        <v>605984.11</v>
      </c>
      <c r="K863" s="2"/>
      <c r="L863" s="232">
        <v>41568</v>
      </c>
      <c r="N863">
        <f t="shared" si="10"/>
        <v>700</v>
      </c>
    </row>
    <row r="864" spans="1:14" hidden="1">
      <c r="A864" s="232">
        <v>41569</v>
      </c>
      <c r="B864" t="s">
        <v>1914</v>
      </c>
      <c r="C864" t="s">
        <v>1949</v>
      </c>
      <c r="D864" s="1">
        <v>4331.0600000000004</v>
      </c>
      <c r="E864" s="1">
        <v>0</v>
      </c>
      <c r="F864">
        <v>601653.05000000005</v>
      </c>
      <c r="G864" s="8" t="s">
        <v>1362</v>
      </c>
      <c r="K864" s="2"/>
      <c r="L864" s="232">
        <v>41569</v>
      </c>
      <c r="N864">
        <f t="shared" si="10"/>
        <v>4331.0600000000004</v>
      </c>
    </row>
    <row r="865" spans="1:14" hidden="1">
      <c r="A865" s="232">
        <v>41569</v>
      </c>
      <c r="B865" t="s">
        <v>1914</v>
      </c>
      <c r="C865" t="s">
        <v>1950</v>
      </c>
      <c r="D865" s="1">
        <v>127</v>
      </c>
      <c r="E865" s="1">
        <v>0</v>
      </c>
      <c r="F865">
        <v>601526.05000000005</v>
      </c>
      <c r="K865" s="2"/>
      <c r="L865" s="232">
        <v>41569</v>
      </c>
      <c r="N865">
        <f t="shared" si="10"/>
        <v>127</v>
      </c>
    </row>
    <row r="866" spans="1:14" hidden="1">
      <c r="A866" s="232">
        <v>41569</v>
      </c>
      <c r="B866" t="s">
        <v>1914</v>
      </c>
      <c r="C866" t="s">
        <v>1951</v>
      </c>
      <c r="D866" s="1">
        <v>236</v>
      </c>
      <c r="E866" s="1">
        <v>0</v>
      </c>
      <c r="F866">
        <v>601290.05000000005</v>
      </c>
      <c r="K866" s="2"/>
      <c r="L866" s="232">
        <v>41569</v>
      </c>
      <c r="N866">
        <f t="shared" si="10"/>
        <v>236</v>
      </c>
    </row>
    <row r="867" spans="1:14" hidden="1">
      <c r="A867" s="232">
        <v>41571</v>
      </c>
      <c r="C867" t="s">
        <v>1952</v>
      </c>
      <c r="D867" s="1">
        <v>0</v>
      </c>
      <c r="E867" s="1">
        <v>7840.21</v>
      </c>
      <c r="F867">
        <v>609130.26</v>
      </c>
      <c r="G867" s="8" t="s">
        <v>1380</v>
      </c>
      <c r="K867" s="2"/>
      <c r="L867" s="232">
        <v>41571</v>
      </c>
      <c r="N867">
        <f t="shared" si="10"/>
        <v>0</v>
      </c>
    </row>
    <row r="868" spans="1:14" hidden="1">
      <c r="A868" s="232">
        <v>41575</v>
      </c>
      <c r="B868" t="s">
        <v>1938</v>
      </c>
      <c r="C868" t="s">
        <v>1953</v>
      </c>
      <c r="D868" s="1">
        <v>2000</v>
      </c>
      <c r="E868" s="1">
        <v>0</v>
      </c>
      <c r="F868">
        <v>607130.26</v>
      </c>
      <c r="G868" s="8" t="s">
        <v>1372</v>
      </c>
      <c r="K868" s="2"/>
      <c r="L868" s="232">
        <v>41575</v>
      </c>
      <c r="N868">
        <f t="shared" si="10"/>
        <v>2000</v>
      </c>
    </row>
    <row r="869" spans="1:14" hidden="1">
      <c r="A869" s="232">
        <v>41575</v>
      </c>
      <c r="C869" t="s">
        <v>1954</v>
      </c>
      <c r="D869" s="1">
        <v>69887</v>
      </c>
      <c r="E869" s="1">
        <v>0</v>
      </c>
      <c r="F869">
        <v>537243.26</v>
      </c>
      <c r="G869" s="8" t="s">
        <v>1366</v>
      </c>
      <c r="K869" s="2"/>
      <c r="L869" s="232">
        <v>41575</v>
      </c>
      <c r="N869">
        <f t="shared" si="10"/>
        <v>69887</v>
      </c>
    </row>
    <row r="870" spans="1:14" hidden="1">
      <c r="A870" s="232">
        <v>41575</v>
      </c>
      <c r="B870" t="s">
        <v>1914</v>
      </c>
      <c r="C870" t="s">
        <v>1955</v>
      </c>
      <c r="D870" s="1">
        <v>0</v>
      </c>
      <c r="E870" s="1">
        <v>167130</v>
      </c>
      <c r="F870">
        <v>704373.26</v>
      </c>
      <c r="G870" s="8" t="s">
        <v>1380</v>
      </c>
      <c r="K870" s="2"/>
      <c r="L870" s="232">
        <v>41575</v>
      </c>
      <c r="N870">
        <f t="shared" si="10"/>
        <v>0</v>
      </c>
    </row>
    <row r="871" spans="1:14" hidden="1">
      <c r="A871" s="232">
        <v>41580</v>
      </c>
      <c r="B871" t="s">
        <v>1914</v>
      </c>
      <c r="C871" t="s">
        <v>1956</v>
      </c>
      <c r="D871" s="1">
        <v>1706</v>
      </c>
      <c r="E871" s="1">
        <v>0</v>
      </c>
      <c r="F871">
        <v>702667.26</v>
      </c>
      <c r="G871" s="8" t="s">
        <v>1362</v>
      </c>
      <c r="K871" s="2"/>
      <c r="L871" s="232">
        <v>41580</v>
      </c>
      <c r="N871">
        <f t="shared" si="10"/>
        <v>1706</v>
      </c>
    </row>
    <row r="872" spans="1:14" hidden="1">
      <c r="A872" s="232">
        <v>41580</v>
      </c>
      <c r="B872" t="s">
        <v>1916</v>
      </c>
      <c r="C872" t="s">
        <v>1957</v>
      </c>
      <c r="D872" s="1">
        <v>10000</v>
      </c>
      <c r="E872" s="1">
        <v>0</v>
      </c>
      <c r="F872">
        <v>692667.26</v>
      </c>
      <c r="G872" s="8" t="s">
        <v>1361</v>
      </c>
      <c r="K872" s="2"/>
      <c r="L872" s="232">
        <v>41580</v>
      </c>
      <c r="N872">
        <f t="shared" si="10"/>
        <v>10000</v>
      </c>
    </row>
    <row r="873" spans="1:14" hidden="1">
      <c r="A873" s="232">
        <v>41580</v>
      </c>
      <c r="B873" t="s">
        <v>1868</v>
      </c>
      <c r="C873" t="s">
        <v>1958</v>
      </c>
      <c r="D873" s="1">
        <v>2400</v>
      </c>
      <c r="E873" s="1">
        <v>0</v>
      </c>
      <c r="F873">
        <v>690267.26</v>
      </c>
      <c r="K873" s="2"/>
      <c r="L873" s="232">
        <v>41580</v>
      </c>
      <c r="N873">
        <f t="shared" si="10"/>
        <v>2400</v>
      </c>
    </row>
    <row r="874" spans="1:14" hidden="1">
      <c r="A874" s="232">
        <v>41582</v>
      </c>
      <c r="B874" t="s">
        <v>1914</v>
      </c>
      <c r="C874" t="s">
        <v>1959</v>
      </c>
      <c r="D874" s="1">
        <v>7351</v>
      </c>
      <c r="E874" s="1">
        <v>0</v>
      </c>
      <c r="F874">
        <v>682916.26</v>
      </c>
      <c r="K874" s="2"/>
      <c r="L874" s="232">
        <v>41582</v>
      </c>
      <c r="N874">
        <f t="shared" si="10"/>
        <v>7351</v>
      </c>
    </row>
    <row r="875" spans="1:14" hidden="1">
      <c r="A875" s="232">
        <v>41589</v>
      </c>
      <c r="B875" t="s">
        <v>1938</v>
      </c>
      <c r="C875" t="s">
        <v>1960</v>
      </c>
      <c r="D875" s="1">
        <v>2000</v>
      </c>
      <c r="E875" s="1">
        <v>0</v>
      </c>
      <c r="F875">
        <v>680916.26</v>
      </c>
      <c r="G875" s="8" t="s">
        <v>1372</v>
      </c>
      <c r="K875" s="2"/>
      <c r="L875" s="232">
        <v>41589</v>
      </c>
      <c r="N875">
        <f t="shared" si="10"/>
        <v>2000</v>
      </c>
    </row>
    <row r="876" spans="1:14" hidden="1">
      <c r="A876" s="232">
        <v>41591</v>
      </c>
      <c r="B876" t="s">
        <v>1914</v>
      </c>
      <c r="C876" t="s">
        <v>1961</v>
      </c>
      <c r="D876" s="1">
        <v>5160</v>
      </c>
      <c r="E876" s="1">
        <v>0</v>
      </c>
      <c r="F876">
        <v>675756.26</v>
      </c>
      <c r="K876" s="2"/>
      <c r="L876" s="232">
        <v>41591</v>
      </c>
      <c r="N876">
        <f t="shared" si="10"/>
        <v>5160</v>
      </c>
    </row>
    <row r="877" spans="1:14" hidden="1">
      <c r="A877" s="232">
        <v>41600</v>
      </c>
      <c r="B877" t="s">
        <v>1868</v>
      </c>
      <c r="C877" t="s">
        <v>1962</v>
      </c>
      <c r="D877" s="1">
        <v>2500</v>
      </c>
      <c r="E877" s="1">
        <v>0</v>
      </c>
      <c r="F877">
        <v>673256.26</v>
      </c>
      <c r="K877" s="2"/>
      <c r="L877" s="232">
        <v>41600</v>
      </c>
      <c r="N877">
        <f t="shared" si="10"/>
        <v>2500</v>
      </c>
    </row>
    <row r="878" spans="1:14" hidden="1">
      <c r="A878" s="232">
        <v>41601</v>
      </c>
      <c r="B878" t="s">
        <v>1963</v>
      </c>
      <c r="C878" t="s">
        <v>1964</v>
      </c>
      <c r="D878" s="1">
        <v>10000</v>
      </c>
      <c r="E878" s="1">
        <v>0</v>
      </c>
      <c r="F878">
        <v>663256.26</v>
      </c>
      <c r="G878" s="8" t="s">
        <v>1361</v>
      </c>
      <c r="K878" s="2"/>
      <c r="L878" s="232">
        <v>41601</v>
      </c>
      <c r="N878">
        <f t="shared" si="10"/>
        <v>10000</v>
      </c>
    </row>
    <row r="879" spans="1:14" hidden="1">
      <c r="A879" s="232">
        <v>41603</v>
      </c>
      <c r="B879" t="s">
        <v>1914</v>
      </c>
      <c r="C879" t="s">
        <v>1965</v>
      </c>
      <c r="D879" s="1">
        <v>562</v>
      </c>
      <c r="E879" s="1">
        <v>0</v>
      </c>
      <c r="F879">
        <v>662694.26</v>
      </c>
      <c r="K879" s="2"/>
      <c r="L879" s="232">
        <v>41603</v>
      </c>
      <c r="N879">
        <f t="shared" si="10"/>
        <v>562</v>
      </c>
    </row>
    <row r="880" spans="1:14" hidden="1">
      <c r="A880" s="232">
        <v>41603</v>
      </c>
      <c r="B880" t="s">
        <v>1914</v>
      </c>
      <c r="C880" t="s">
        <v>1966</v>
      </c>
      <c r="D880" s="1">
        <v>1500</v>
      </c>
      <c r="E880" s="1">
        <v>0</v>
      </c>
      <c r="F880">
        <v>661194.26</v>
      </c>
      <c r="K880" s="2"/>
      <c r="L880" s="232">
        <v>41603</v>
      </c>
      <c r="N880">
        <f t="shared" si="10"/>
        <v>1500</v>
      </c>
    </row>
    <row r="881" spans="1:14" hidden="1">
      <c r="A881" s="232">
        <v>41603</v>
      </c>
      <c r="B881" t="s">
        <v>1914</v>
      </c>
      <c r="C881" t="s">
        <v>1967</v>
      </c>
      <c r="D881" s="1">
        <v>1500</v>
      </c>
      <c r="E881" s="1">
        <v>0</v>
      </c>
      <c r="F881">
        <v>659694.26</v>
      </c>
      <c r="K881" s="2"/>
      <c r="L881" s="232">
        <v>41603</v>
      </c>
      <c r="N881">
        <f t="shared" si="10"/>
        <v>1500</v>
      </c>
    </row>
    <row r="882" spans="1:14" hidden="1">
      <c r="A882" s="232">
        <v>41604</v>
      </c>
      <c r="B882" t="s">
        <v>1914</v>
      </c>
      <c r="C882" t="s">
        <v>1968</v>
      </c>
      <c r="D882" s="1">
        <v>0</v>
      </c>
      <c r="E882" s="1">
        <v>187312</v>
      </c>
      <c r="F882">
        <v>847006.26</v>
      </c>
      <c r="G882" s="8" t="s">
        <v>1380</v>
      </c>
      <c r="K882" s="2"/>
      <c r="L882" s="232">
        <v>41604</v>
      </c>
      <c r="N882">
        <f t="shared" si="10"/>
        <v>0</v>
      </c>
    </row>
    <row r="883" spans="1:14" hidden="1">
      <c r="A883" s="232">
        <v>41605</v>
      </c>
      <c r="C883" t="s">
        <v>1969</v>
      </c>
      <c r="D883" s="1">
        <v>69887</v>
      </c>
      <c r="E883" s="1">
        <v>0</v>
      </c>
      <c r="F883">
        <v>777119.26</v>
      </c>
      <c r="G883" s="8" t="s">
        <v>1366</v>
      </c>
      <c r="K883" s="2"/>
      <c r="L883" s="232">
        <v>41605</v>
      </c>
      <c r="N883">
        <f t="shared" si="10"/>
        <v>69887</v>
      </c>
    </row>
    <row r="884" spans="1:14" hidden="1">
      <c r="A884" s="232">
        <v>41606</v>
      </c>
      <c r="B884" t="s">
        <v>1938</v>
      </c>
      <c r="C884" t="s">
        <v>1970</v>
      </c>
      <c r="D884" s="1">
        <v>2000</v>
      </c>
      <c r="E884" s="1">
        <v>0</v>
      </c>
      <c r="F884">
        <v>775119.26</v>
      </c>
      <c r="G884" s="8" t="s">
        <v>1372</v>
      </c>
      <c r="K884" s="2"/>
      <c r="L884" s="232">
        <v>41606</v>
      </c>
      <c r="N884">
        <f t="shared" si="10"/>
        <v>2000</v>
      </c>
    </row>
    <row r="885" spans="1:14" hidden="1">
      <c r="A885" s="232">
        <v>41611</v>
      </c>
      <c r="B885" t="s">
        <v>1914</v>
      </c>
      <c r="C885" t="s">
        <v>1971</v>
      </c>
      <c r="D885" s="1">
        <v>31800</v>
      </c>
      <c r="E885" s="1">
        <v>0</v>
      </c>
      <c r="F885">
        <v>743319.26</v>
      </c>
      <c r="G885" s="8" t="s">
        <v>1362</v>
      </c>
      <c r="K885" s="2"/>
      <c r="L885" s="232">
        <v>41611</v>
      </c>
      <c r="N885">
        <f t="shared" si="10"/>
        <v>31800</v>
      </c>
    </row>
    <row r="886" spans="1:14" hidden="1">
      <c r="A886" s="232">
        <v>41612</v>
      </c>
      <c r="B886" t="s">
        <v>1914</v>
      </c>
      <c r="C886" t="s">
        <v>1972</v>
      </c>
      <c r="D886" s="1">
        <v>7894</v>
      </c>
      <c r="E886" s="1">
        <v>0</v>
      </c>
      <c r="F886">
        <v>735425.26</v>
      </c>
      <c r="K886" s="2"/>
      <c r="L886" s="232">
        <v>41612</v>
      </c>
      <c r="N886">
        <f t="shared" si="10"/>
        <v>7894</v>
      </c>
    </row>
    <row r="887" spans="1:14" hidden="1">
      <c r="A887" s="232">
        <v>41612</v>
      </c>
      <c r="B887" t="s">
        <v>1914</v>
      </c>
      <c r="C887" t="s">
        <v>1973</v>
      </c>
      <c r="D887" s="1">
        <v>1110</v>
      </c>
      <c r="E887" s="1">
        <v>0</v>
      </c>
      <c r="F887">
        <v>734315.26</v>
      </c>
      <c r="K887" s="2"/>
      <c r="L887" s="232">
        <v>41612</v>
      </c>
      <c r="N887">
        <f t="shared" si="10"/>
        <v>1110</v>
      </c>
    </row>
    <row r="888" spans="1:14" hidden="1">
      <c r="A888" s="232">
        <v>41612</v>
      </c>
      <c r="B888" t="s">
        <v>1868</v>
      </c>
      <c r="C888" t="s">
        <v>1974</v>
      </c>
      <c r="D888" s="1">
        <v>5000</v>
      </c>
      <c r="E888" s="1">
        <v>0</v>
      </c>
      <c r="F888">
        <v>729315.26</v>
      </c>
      <c r="K888" s="2"/>
      <c r="L888" s="232">
        <v>41612</v>
      </c>
      <c r="N888">
        <f t="shared" si="10"/>
        <v>5000</v>
      </c>
    </row>
    <row r="889" spans="1:14" hidden="1">
      <c r="A889" s="232">
        <v>41618</v>
      </c>
      <c r="B889" t="s">
        <v>1938</v>
      </c>
      <c r="C889" t="s">
        <v>1975</v>
      </c>
      <c r="D889" s="1">
        <v>2000</v>
      </c>
      <c r="E889" s="1">
        <v>0</v>
      </c>
      <c r="F889">
        <v>727315.26</v>
      </c>
      <c r="G889" s="8" t="s">
        <v>1372</v>
      </c>
      <c r="K889" s="2"/>
      <c r="L889" s="232">
        <v>41618</v>
      </c>
      <c r="N889">
        <f t="shared" si="10"/>
        <v>2000</v>
      </c>
    </row>
    <row r="890" spans="1:14" hidden="1">
      <c r="A890" s="232">
        <v>41621</v>
      </c>
      <c r="C890" t="s">
        <v>1976</v>
      </c>
      <c r="D890" s="1">
        <v>0</v>
      </c>
      <c r="E890" s="1">
        <v>2558</v>
      </c>
      <c r="F890">
        <v>729873.26</v>
      </c>
      <c r="G890" s="8" t="s">
        <v>1380</v>
      </c>
      <c r="K890" s="2"/>
      <c r="L890" s="232">
        <v>41621</v>
      </c>
      <c r="N890">
        <f t="shared" si="10"/>
        <v>0</v>
      </c>
    </row>
    <row r="891" spans="1:14" hidden="1">
      <c r="A891" s="232">
        <v>41629</v>
      </c>
      <c r="B891" t="s">
        <v>1914</v>
      </c>
      <c r="C891" t="s">
        <v>1977</v>
      </c>
      <c r="D891" s="1">
        <v>300</v>
      </c>
      <c r="E891" s="1">
        <v>0</v>
      </c>
      <c r="F891">
        <v>729573.26</v>
      </c>
      <c r="K891" s="2"/>
      <c r="L891" s="232">
        <v>41629</v>
      </c>
      <c r="N891">
        <f t="shared" si="10"/>
        <v>300</v>
      </c>
    </row>
    <row r="892" spans="1:14" hidden="1">
      <c r="A892" s="232">
        <v>41629</v>
      </c>
      <c r="B892" t="s">
        <v>1914</v>
      </c>
      <c r="C892" t="s">
        <v>1978</v>
      </c>
      <c r="D892" s="1">
        <v>562</v>
      </c>
      <c r="E892" s="1">
        <v>0</v>
      </c>
      <c r="F892">
        <v>729011.26</v>
      </c>
      <c r="K892" s="2"/>
      <c r="L892" s="232">
        <v>41629</v>
      </c>
      <c r="N892">
        <f t="shared" si="10"/>
        <v>562</v>
      </c>
    </row>
    <row r="893" spans="1:14" hidden="1">
      <c r="A893" s="232">
        <v>41629</v>
      </c>
      <c r="B893" t="s">
        <v>1914</v>
      </c>
      <c r="C893" t="s">
        <v>1979</v>
      </c>
      <c r="D893" s="1">
        <v>562</v>
      </c>
      <c r="E893" s="1">
        <v>0</v>
      </c>
      <c r="F893">
        <v>728449.26</v>
      </c>
      <c r="K893" s="2"/>
      <c r="L893" s="232">
        <v>41629</v>
      </c>
      <c r="N893">
        <f t="shared" si="10"/>
        <v>562</v>
      </c>
    </row>
    <row r="894" spans="1:14" hidden="1">
      <c r="A894" s="232">
        <v>41629</v>
      </c>
      <c r="B894" t="s">
        <v>1963</v>
      </c>
      <c r="C894" t="s">
        <v>1980</v>
      </c>
      <c r="D894" s="1">
        <v>10000</v>
      </c>
      <c r="E894" s="1">
        <v>0</v>
      </c>
      <c r="F894">
        <v>718449.26</v>
      </c>
      <c r="G894" s="8" t="s">
        <v>1361</v>
      </c>
      <c r="K894" s="2"/>
      <c r="L894" s="232">
        <v>41629</v>
      </c>
      <c r="N894">
        <f t="shared" si="10"/>
        <v>10000</v>
      </c>
    </row>
    <row r="895" spans="1:14" hidden="1">
      <c r="A895" s="232">
        <v>41635</v>
      </c>
      <c r="C895" t="s">
        <v>1981</v>
      </c>
      <c r="D895" s="1">
        <v>69887</v>
      </c>
      <c r="E895" s="1">
        <v>0</v>
      </c>
      <c r="F895">
        <v>648562.26</v>
      </c>
      <c r="G895" s="8" t="s">
        <v>1366</v>
      </c>
      <c r="K895" s="2"/>
      <c r="L895" s="232">
        <v>41635</v>
      </c>
      <c r="N895">
        <f t="shared" si="10"/>
        <v>69887</v>
      </c>
    </row>
    <row r="896" spans="1:14" hidden="1">
      <c r="A896" s="232">
        <v>41635</v>
      </c>
      <c r="B896" t="s">
        <v>1914</v>
      </c>
      <c r="C896" t="s">
        <v>1982</v>
      </c>
      <c r="D896" s="1">
        <v>0</v>
      </c>
      <c r="E896" s="1">
        <v>206862</v>
      </c>
      <c r="F896">
        <v>855424.26</v>
      </c>
      <c r="G896" s="8" t="s">
        <v>1380</v>
      </c>
      <c r="K896" s="2"/>
      <c r="L896" s="232">
        <v>41635</v>
      </c>
      <c r="N896">
        <f t="shared" si="10"/>
        <v>0</v>
      </c>
    </row>
    <row r="897" spans="1:14" hidden="1">
      <c r="A897" s="232">
        <v>41636</v>
      </c>
      <c r="B897" t="s">
        <v>1914</v>
      </c>
      <c r="C897" t="s">
        <v>1983</v>
      </c>
      <c r="D897" s="1">
        <v>881</v>
      </c>
      <c r="E897" s="1">
        <v>0</v>
      </c>
      <c r="F897">
        <v>854543.26</v>
      </c>
      <c r="K897" s="2"/>
      <c r="L897" s="232">
        <v>41636</v>
      </c>
      <c r="N897">
        <f t="shared" si="10"/>
        <v>881</v>
      </c>
    </row>
    <row r="898" spans="1:14" hidden="1">
      <c r="A898" s="232">
        <v>41636</v>
      </c>
      <c r="B898" t="s">
        <v>1938</v>
      </c>
      <c r="C898" t="s">
        <v>1984</v>
      </c>
      <c r="D898" s="1">
        <v>2000</v>
      </c>
      <c r="E898" s="1">
        <v>0</v>
      </c>
      <c r="F898">
        <v>852543.26</v>
      </c>
      <c r="G898" s="8" t="s">
        <v>1372</v>
      </c>
      <c r="K898" s="2"/>
      <c r="L898" s="232">
        <v>41636</v>
      </c>
      <c r="N898">
        <f t="shared" si="10"/>
        <v>2000</v>
      </c>
    </row>
    <row r="899" spans="1:14" hidden="1">
      <c r="A899" s="232">
        <v>41638</v>
      </c>
      <c r="C899" t="s">
        <v>1985</v>
      </c>
      <c r="D899" s="1">
        <v>0</v>
      </c>
      <c r="E899" s="1">
        <v>9043</v>
      </c>
      <c r="F899">
        <v>861586.26</v>
      </c>
      <c r="G899" s="8" t="s">
        <v>1368</v>
      </c>
      <c r="K899" s="2"/>
      <c r="L899" s="232">
        <v>41638</v>
      </c>
      <c r="N899">
        <f t="shared" si="10"/>
        <v>0</v>
      </c>
    </row>
    <row r="900" spans="1:14" hidden="1">
      <c r="A900" s="232">
        <v>41638</v>
      </c>
      <c r="B900" t="s">
        <v>1914</v>
      </c>
      <c r="C900" t="s">
        <v>1986</v>
      </c>
      <c r="D900" s="1">
        <v>100</v>
      </c>
      <c r="E900" s="1">
        <v>0</v>
      </c>
      <c r="F900">
        <v>861486.26</v>
      </c>
      <c r="G900" s="8" t="s">
        <v>1363</v>
      </c>
      <c r="K900" s="2"/>
      <c r="L900" s="232">
        <v>41638</v>
      </c>
      <c r="N900">
        <f t="shared" si="10"/>
        <v>100</v>
      </c>
    </row>
    <row r="901" spans="1:14" hidden="1">
      <c r="A901" s="232">
        <v>41640</v>
      </c>
      <c r="B901" t="s">
        <v>1914</v>
      </c>
      <c r="C901" t="s">
        <v>1987</v>
      </c>
      <c r="D901" s="1">
        <v>150000</v>
      </c>
      <c r="E901" s="1">
        <v>0</v>
      </c>
      <c r="F901">
        <v>711486.26</v>
      </c>
      <c r="G901" s="8" t="s">
        <v>1363</v>
      </c>
      <c r="K901" s="2"/>
      <c r="L901" s="232">
        <v>41640</v>
      </c>
      <c r="N901">
        <f t="shared" si="10"/>
        <v>150000</v>
      </c>
    </row>
    <row r="902" spans="1:14" hidden="1">
      <c r="A902" s="232">
        <v>41640</v>
      </c>
      <c r="B902" t="s">
        <v>1914</v>
      </c>
      <c r="C902" t="s">
        <v>1988</v>
      </c>
      <c r="D902" s="1">
        <v>8166</v>
      </c>
      <c r="E902" s="1">
        <v>0</v>
      </c>
      <c r="F902">
        <v>703320.26</v>
      </c>
      <c r="K902" s="2"/>
      <c r="L902" s="232">
        <v>41640</v>
      </c>
      <c r="N902">
        <f t="shared" si="10"/>
        <v>8166</v>
      </c>
    </row>
    <row r="903" spans="1:14" hidden="1">
      <c r="A903" s="232">
        <v>41643</v>
      </c>
      <c r="B903" t="s">
        <v>1914</v>
      </c>
      <c r="C903" t="s">
        <v>1989</v>
      </c>
      <c r="D903" s="1">
        <v>1110</v>
      </c>
      <c r="E903" s="1">
        <v>0</v>
      </c>
      <c r="F903">
        <v>702210.26</v>
      </c>
      <c r="K903" s="2"/>
      <c r="L903" s="232">
        <v>41643</v>
      </c>
      <c r="N903">
        <f t="shared" si="10"/>
        <v>1110</v>
      </c>
    </row>
    <row r="904" spans="1:14" hidden="1">
      <c r="A904" s="232">
        <v>41643</v>
      </c>
      <c r="B904" t="s">
        <v>1914</v>
      </c>
      <c r="C904" t="s">
        <v>1990</v>
      </c>
      <c r="D904" s="1">
        <v>30142</v>
      </c>
      <c r="E904" s="1">
        <v>0</v>
      </c>
      <c r="F904">
        <v>672068.26</v>
      </c>
      <c r="G904" s="8" t="s">
        <v>1370</v>
      </c>
      <c r="K904" s="2"/>
      <c r="L904" s="232">
        <v>41643</v>
      </c>
      <c r="N904">
        <f t="shared" si="10"/>
        <v>30142</v>
      </c>
    </row>
    <row r="905" spans="1:14" hidden="1">
      <c r="A905" s="232">
        <v>41645</v>
      </c>
      <c r="B905" t="s">
        <v>1963</v>
      </c>
      <c r="C905" t="s">
        <v>1991</v>
      </c>
      <c r="D905" s="1">
        <v>10000</v>
      </c>
      <c r="E905" s="1">
        <v>0</v>
      </c>
      <c r="F905">
        <v>662068.26</v>
      </c>
      <c r="G905" s="8" t="s">
        <v>1361</v>
      </c>
      <c r="K905" s="2"/>
      <c r="L905" s="232">
        <v>41645</v>
      </c>
      <c r="N905">
        <f t="shared" si="10"/>
        <v>10000</v>
      </c>
    </row>
    <row r="906" spans="1:14" hidden="1">
      <c r="A906" s="232">
        <v>41646</v>
      </c>
      <c r="B906" t="s">
        <v>1868</v>
      </c>
      <c r="C906" t="s">
        <v>1992</v>
      </c>
      <c r="D906" s="1">
        <v>3611.01</v>
      </c>
      <c r="E906" s="1">
        <v>0</v>
      </c>
      <c r="F906">
        <v>658457.25</v>
      </c>
      <c r="K906" s="2"/>
      <c r="L906" s="232">
        <v>41646</v>
      </c>
      <c r="N906">
        <f t="shared" si="10"/>
        <v>3611.01</v>
      </c>
    </row>
    <row r="907" spans="1:14" hidden="1">
      <c r="A907" s="232">
        <v>41649</v>
      </c>
      <c r="B907" t="s">
        <v>1938</v>
      </c>
      <c r="C907" t="s">
        <v>1993</v>
      </c>
      <c r="D907" s="1">
        <v>2000</v>
      </c>
      <c r="E907" s="1">
        <v>0</v>
      </c>
      <c r="F907">
        <v>656457.25</v>
      </c>
      <c r="G907" s="8" t="s">
        <v>1372</v>
      </c>
      <c r="K907" s="2"/>
      <c r="L907" s="232">
        <v>41649</v>
      </c>
      <c r="N907">
        <f t="shared" ref="N907:N970" si="11">D907*1</f>
        <v>2000</v>
      </c>
    </row>
    <row r="908" spans="1:14" hidden="1">
      <c r="A908" s="232">
        <v>41649</v>
      </c>
      <c r="B908" t="s">
        <v>1868</v>
      </c>
      <c r="C908" t="s">
        <v>1630</v>
      </c>
      <c r="D908" s="1">
        <v>5000</v>
      </c>
      <c r="E908" s="1">
        <v>0</v>
      </c>
      <c r="F908">
        <v>651457.25</v>
      </c>
      <c r="K908" s="2"/>
      <c r="L908" s="232">
        <v>41649</v>
      </c>
      <c r="N908">
        <f t="shared" si="11"/>
        <v>5000</v>
      </c>
    </row>
    <row r="909" spans="1:14" hidden="1">
      <c r="A909" s="232">
        <v>41661</v>
      </c>
      <c r="B909" t="s">
        <v>1914</v>
      </c>
      <c r="C909" t="s">
        <v>1994</v>
      </c>
      <c r="D909" s="1">
        <v>562</v>
      </c>
      <c r="E909" s="1">
        <v>0</v>
      </c>
      <c r="F909">
        <v>650895.25</v>
      </c>
      <c r="K909" s="2"/>
      <c r="L909" s="232">
        <v>41661</v>
      </c>
      <c r="N909">
        <f t="shared" si="11"/>
        <v>562</v>
      </c>
    </row>
    <row r="910" spans="1:14" hidden="1">
      <c r="A910" s="232">
        <v>41661</v>
      </c>
      <c r="B910" t="s">
        <v>1914</v>
      </c>
      <c r="C910" t="s">
        <v>1995</v>
      </c>
      <c r="D910" s="1">
        <v>562</v>
      </c>
      <c r="E910" s="1">
        <v>0</v>
      </c>
      <c r="F910">
        <v>650333.25</v>
      </c>
      <c r="K910" s="2"/>
      <c r="L910" s="232">
        <v>41661</v>
      </c>
      <c r="N910">
        <f t="shared" si="11"/>
        <v>562</v>
      </c>
    </row>
    <row r="911" spans="1:14" hidden="1">
      <c r="A911" s="232">
        <v>41664</v>
      </c>
      <c r="B911" t="s">
        <v>1914</v>
      </c>
      <c r="C911" t="s">
        <v>1996</v>
      </c>
      <c r="D911" s="1">
        <v>1500</v>
      </c>
      <c r="E911" s="1">
        <v>0</v>
      </c>
      <c r="F911">
        <v>648833.25</v>
      </c>
      <c r="K911" s="2"/>
      <c r="L911" s="232">
        <v>41664</v>
      </c>
      <c r="N911">
        <f t="shared" si="11"/>
        <v>1500</v>
      </c>
    </row>
    <row r="912" spans="1:14" hidden="1">
      <c r="A912" s="232">
        <v>41664</v>
      </c>
      <c r="B912" t="s">
        <v>1997</v>
      </c>
      <c r="C912" t="s">
        <v>1998</v>
      </c>
      <c r="D912" s="1">
        <v>100000</v>
      </c>
      <c r="E912" s="1">
        <v>0</v>
      </c>
      <c r="F912">
        <v>548833.25</v>
      </c>
      <c r="G912" s="8" t="s">
        <v>1363</v>
      </c>
      <c r="K912" s="2"/>
      <c r="L912" s="232">
        <v>41664</v>
      </c>
      <c r="N912">
        <f t="shared" si="11"/>
        <v>100000</v>
      </c>
    </row>
    <row r="913" spans="1:14" hidden="1">
      <c r="A913" s="232">
        <v>41666</v>
      </c>
      <c r="C913" t="s">
        <v>1999</v>
      </c>
      <c r="D913" s="1">
        <v>50321</v>
      </c>
      <c r="E913" s="1">
        <v>0</v>
      </c>
      <c r="F913">
        <v>498512.25</v>
      </c>
      <c r="G913" s="8" t="s">
        <v>1366</v>
      </c>
      <c r="K913" s="2"/>
      <c r="L913" s="232">
        <v>41666</v>
      </c>
      <c r="N913">
        <f t="shared" si="11"/>
        <v>50321</v>
      </c>
    </row>
    <row r="914" spans="1:14" hidden="1">
      <c r="A914" s="232">
        <v>41666</v>
      </c>
      <c r="B914" t="s">
        <v>1914</v>
      </c>
      <c r="C914" t="s">
        <v>2000</v>
      </c>
      <c r="D914" s="1">
        <v>0</v>
      </c>
      <c r="E914" s="1">
        <v>167131</v>
      </c>
      <c r="F914">
        <v>665643.25</v>
      </c>
      <c r="G914" s="8" t="s">
        <v>1380</v>
      </c>
      <c r="K914" s="2"/>
      <c r="L914" s="232">
        <v>41666</v>
      </c>
      <c r="N914">
        <f t="shared" si="11"/>
        <v>0</v>
      </c>
    </row>
    <row r="915" spans="1:14" hidden="1">
      <c r="A915" s="232">
        <v>41667</v>
      </c>
      <c r="B915" t="s">
        <v>1938</v>
      </c>
      <c r="C915" t="s">
        <v>2001</v>
      </c>
      <c r="D915" s="1">
        <v>2000</v>
      </c>
      <c r="E915" s="1">
        <v>0</v>
      </c>
      <c r="F915">
        <v>663643.25</v>
      </c>
      <c r="G915" s="8" t="s">
        <v>1372</v>
      </c>
      <c r="K915" s="2"/>
      <c r="L915" s="232">
        <v>41667</v>
      </c>
      <c r="N915">
        <f t="shared" si="11"/>
        <v>2000</v>
      </c>
    </row>
    <row r="916" spans="1:14" hidden="1">
      <c r="A916" s="232">
        <v>41667</v>
      </c>
      <c r="B916" t="s">
        <v>1868</v>
      </c>
      <c r="C916" t="s">
        <v>1809</v>
      </c>
      <c r="D916" s="1">
        <v>16527</v>
      </c>
      <c r="E916" s="1">
        <v>0</v>
      </c>
      <c r="F916">
        <v>647116.25</v>
      </c>
      <c r="G916" s="8" t="s">
        <v>1366</v>
      </c>
      <c r="K916" s="2"/>
      <c r="L916" s="232">
        <v>41667</v>
      </c>
      <c r="N916">
        <f t="shared" si="11"/>
        <v>16527</v>
      </c>
    </row>
    <row r="917" spans="1:14" hidden="1">
      <c r="A917" s="232">
        <v>41668</v>
      </c>
      <c r="B917" t="s">
        <v>1914</v>
      </c>
      <c r="C917" t="s">
        <v>2002</v>
      </c>
      <c r="D917" s="1">
        <v>1133</v>
      </c>
      <c r="E917" s="1">
        <v>0</v>
      </c>
      <c r="F917">
        <v>645983.25</v>
      </c>
      <c r="K917" s="2"/>
      <c r="L917" s="232">
        <v>41668</v>
      </c>
      <c r="N917">
        <f t="shared" si="11"/>
        <v>1133</v>
      </c>
    </row>
    <row r="918" spans="1:14" hidden="1">
      <c r="A918" s="232">
        <v>41673</v>
      </c>
      <c r="B918" t="s">
        <v>1963</v>
      </c>
      <c r="C918" t="s">
        <v>2003</v>
      </c>
      <c r="D918" s="1">
        <v>5000</v>
      </c>
      <c r="E918" s="1">
        <v>0</v>
      </c>
      <c r="F918">
        <v>640983.25</v>
      </c>
      <c r="G918" s="8" t="s">
        <v>1361</v>
      </c>
      <c r="K918" s="2"/>
      <c r="L918" s="232">
        <v>41673</v>
      </c>
      <c r="N918">
        <f t="shared" si="11"/>
        <v>5000</v>
      </c>
    </row>
    <row r="919" spans="1:14" hidden="1">
      <c r="A919" s="232">
        <v>41675</v>
      </c>
      <c r="B919" t="s">
        <v>1914</v>
      </c>
      <c r="C919" t="s">
        <v>2004</v>
      </c>
      <c r="D919" s="1">
        <v>383</v>
      </c>
      <c r="E919" s="1">
        <v>0</v>
      </c>
      <c r="F919">
        <v>640600.25</v>
      </c>
      <c r="K919" s="2"/>
      <c r="L919" s="232">
        <v>41675</v>
      </c>
      <c r="N919">
        <f t="shared" si="11"/>
        <v>383</v>
      </c>
    </row>
    <row r="920" spans="1:14" hidden="1">
      <c r="A920" s="232">
        <v>41675</v>
      </c>
      <c r="B920" t="s">
        <v>1914</v>
      </c>
      <c r="C920" t="s">
        <v>2005</v>
      </c>
      <c r="D920" s="1">
        <v>6669</v>
      </c>
      <c r="E920" s="1">
        <v>0</v>
      </c>
      <c r="F920">
        <v>633931.25</v>
      </c>
      <c r="K920" s="2"/>
      <c r="L920" s="232">
        <v>41675</v>
      </c>
      <c r="N920">
        <f t="shared" si="11"/>
        <v>6669</v>
      </c>
    </row>
    <row r="921" spans="1:14" hidden="1">
      <c r="A921" s="232">
        <v>41675</v>
      </c>
      <c r="B921" t="s">
        <v>1914</v>
      </c>
      <c r="C921" t="s">
        <v>2006</v>
      </c>
      <c r="D921" s="1">
        <v>1110</v>
      </c>
      <c r="E921" s="1">
        <v>0</v>
      </c>
      <c r="F921">
        <v>632821.25</v>
      </c>
      <c r="K921" s="2"/>
      <c r="L921" s="232">
        <v>41675</v>
      </c>
      <c r="N921">
        <f t="shared" si="11"/>
        <v>1110</v>
      </c>
    </row>
    <row r="922" spans="1:14" hidden="1">
      <c r="A922" s="232">
        <v>41680</v>
      </c>
      <c r="B922" t="s">
        <v>1938</v>
      </c>
      <c r="C922" t="s">
        <v>2007</v>
      </c>
      <c r="D922" s="1">
        <v>2000</v>
      </c>
      <c r="E922" s="1">
        <v>0</v>
      </c>
      <c r="F922">
        <v>630821.25</v>
      </c>
      <c r="G922" s="8" t="s">
        <v>1372</v>
      </c>
      <c r="K922" s="2"/>
      <c r="L922" s="232">
        <v>41680</v>
      </c>
      <c r="N922">
        <f t="shared" si="11"/>
        <v>2000</v>
      </c>
    </row>
    <row r="923" spans="1:14" hidden="1">
      <c r="A923" s="232">
        <v>41683</v>
      </c>
      <c r="C923" t="s">
        <v>2008</v>
      </c>
      <c r="D923" s="1">
        <v>0</v>
      </c>
      <c r="E923" s="1">
        <v>521.65</v>
      </c>
      <c r="F923">
        <v>631342.9</v>
      </c>
      <c r="G923" s="8" t="s">
        <v>1375</v>
      </c>
      <c r="K923" s="2"/>
      <c r="L923" s="232">
        <v>41683</v>
      </c>
      <c r="N923">
        <f t="shared" si="11"/>
        <v>0</v>
      </c>
    </row>
    <row r="924" spans="1:14" hidden="1">
      <c r="A924" s="232">
        <v>41685</v>
      </c>
      <c r="B924" t="s">
        <v>1963</v>
      </c>
      <c r="C924" t="s">
        <v>2009</v>
      </c>
      <c r="D924" s="1">
        <v>400</v>
      </c>
      <c r="E924" s="1">
        <v>0</v>
      </c>
      <c r="F924">
        <v>630942.9</v>
      </c>
      <c r="G924" s="8" t="s">
        <v>1361</v>
      </c>
      <c r="K924" s="2"/>
      <c r="L924" s="232">
        <v>41685</v>
      </c>
      <c r="N924">
        <f t="shared" si="11"/>
        <v>400</v>
      </c>
    </row>
    <row r="925" spans="1:14" hidden="1">
      <c r="A925" s="232">
        <v>41685</v>
      </c>
      <c r="B925" t="s">
        <v>1963</v>
      </c>
      <c r="C925" t="s">
        <v>2009</v>
      </c>
      <c r="D925" s="1">
        <v>400</v>
      </c>
      <c r="E925" s="1">
        <v>0</v>
      </c>
      <c r="F925">
        <v>630542.9</v>
      </c>
      <c r="G925" s="8" t="s">
        <v>1361</v>
      </c>
      <c r="K925" s="2"/>
      <c r="L925" s="232">
        <v>41685</v>
      </c>
      <c r="N925">
        <f t="shared" si="11"/>
        <v>400</v>
      </c>
    </row>
    <row r="926" spans="1:14" hidden="1">
      <c r="A926" s="232">
        <v>41687</v>
      </c>
      <c r="C926" t="s">
        <v>2010</v>
      </c>
      <c r="D926" s="1">
        <v>0</v>
      </c>
      <c r="E926" s="1">
        <v>3120</v>
      </c>
      <c r="F926">
        <v>633662.9</v>
      </c>
      <c r="G926" s="8" t="s">
        <v>1380</v>
      </c>
      <c r="K926" s="2"/>
      <c r="L926" s="232">
        <v>41687</v>
      </c>
      <c r="N926">
        <f t="shared" si="11"/>
        <v>0</v>
      </c>
    </row>
    <row r="927" spans="1:14" hidden="1">
      <c r="A927" s="232">
        <v>41689</v>
      </c>
      <c r="B927" t="s">
        <v>1963</v>
      </c>
      <c r="C927" t="s">
        <v>2011</v>
      </c>
      <c r="D927" s="1">
        <v>5000</v>
      </c>
      <c r="E927" s="1">
        <v>0</v>
      </c>
      <c r="F927">
        <v>628662.9</v>
      </c>
      <c r="G927" s="8" t="s">
        <v>1361</v>
      </c>
      <c r="K927" s="2"/>
      <c r="L927" s="232">
        <v>41689</v>
      </c>
      <c r="N927">
        <f t="shared" si="11"/>
        <v>5000</v>
      </c>
    </row>
    <row r="928" spans="1:14" hidden="1">
      <c r="A928" s="232">
        <v>41694</v>
      </c>
      <c r="B928" t="s">
        <v>1914</v>
      </c>
      <c r="C928" t="s">
        <v>2012</v>
      </c>
      <c r="D928" s="1">
        <v>562</v>
      </c>
      <c r="E928" s="1">
        <v>0</v>
      </c>
      <c r="F928">
        <v>628100.9</v>
      </c>
      <c r="K928" s="2"/>
      <c r="L928" s="232">
        <v>41694</v>
      </c>
      <c r="N928">
        <f t="shared" si="11"/>
        <v>562</v>
      </c>
    </row>
    <row r="929" spans="1:14" hidden="1">
      <c r="A929" s="232">
        <v>41696</v>
      </c>
      <c r="B929" t="s">
        <v>1914</v>
      </c>
      <c r="C929" t="s">
        <v>2013</v>
      </c>
      <c r="D929" s="1">
        <v>0</v>
      </c>
      <c r="E929" s="1">
        <v>167130</v>
      </c>
      <c r="F929">
        <v>795230.9</v>
      </c>
      <c r="G929" s="8" t="s">
        <v>1380</v>
      </c>
      <c r="K929" s="2"/>
      <c r="L929" s="232">
        <v>41696</v>
      </c>
      <c r="N929">
        <f t="shared" si="11"/>
        <v>0</v>
      </c>
    </row>
    <row r="930" spans="1:14" hidden="1">
      <c r="A930" s="232">
        <v>41698</v>
      </c>
      <c r="B930" t="s">
        <v>1914</v>
      </c>
      <c r="C930" t="s">
        <v>2014</v>
      </c>
      <c r="D930" s="1">
        <v>1500</v>
      </c>
      <c r="E930" s="1">
        <v>0</v>
      </c>
      <c r="F930">
        <v>793730.9</v>
      </c>
      <c r="K930" s="2"/>
      <c r="L930" s="232">
        <v>41698</v>
      </c>
      <c r="N930">
        <f t="shared" si="11"/>
        <v>1500</v>
      </c>
    </row>
    <row r="931" spans="1:14" hidden="1">
      <c r="A931" s="232">
        <v>41698</v>
      </c>
      <c r="B931" t="s">
        <v>1914</v>
      </c>
      <c r="C931" t="s">
        <v>2015</v>
      </c>
      <c r="D931" s="1">
        <v>1500</v>
      </c>
      <c r="E931" s="1">
        <v>0</v>
      </c>
      <c r="F931">
        <v>792230.9</v>
      </c>
      <c r="K931" s="2"/>
      <c r="L931" s="232">
        <v>41698</v>
      </c>
      <c r="N931">
        <f t="shared" si="11"/>
        <v>1500</v>
      </c>
    </row>
    <row r="932" spans="1:14" hidden="1">
      <c r="A932" s="232">
        <v>41698</v>
      </c>
      <c r="B932" t="s">
        <v>1938</v>
      </c>
      <c r="C932" t="s">
        <v>2016</v>
      </c>
      <c r="D932" s="1">
        <v>2000</v>
      </c>
      <c r="E932" s="1">
        <v>0</v>
      </c>
      <c r="F932">
        <v>790230.9</v>
      </c>
      <c r="G932" s="8" t="s">
        <v>1372</v>
      </c>
      <c r="K932" s="2"/>
      <c r="L932" s="232">
        <v>41698</v>
      </c>
      <c r="N932">
        <f t="shared" si="11"/>
        <v>2000</v>
      </c>
    </row>
    <row r="933" spans="1:14" hidden="1">
      <c r="A933" s="232">
        <v>41698</v>
      </c>
      <c r="C933" t="s">
        <v>2017</v>
      </c>
      <c r="D933" s="1">
        <v>58135</v>
      </c>
      <c r="E933" s="1">
        <v>0</v>
      </c>
      <c r="F933">
        <v>732095.9</v>
      </c>
      <c r="G933" s="8" t="s">
        <v>1366</v>
      </c>
      <c r="K933" s="2"/>
      <c r="L933" s="232">
        <v>41698</v>
      </c>
      <c r="N933">
        <f t="shared" si="11"/>
        <v>58135</v>
      </c>
    </row>
    <row r="934" spans="1:14" hidden="1">
      <c r="A934" s="232">
        <v>41699</v>
      </c>
      <c r="B934" t="s">
        <v>1963</v>
      </c>
      <c r="C934" t="s">
        <v>2018</v>
      </c>
      <c r="D934" s="1">
        <v>7000</v>
      </c>
      <c r="E934" s="1">
        <v>0</v>
      </c>
      <c r="F934">
        <v>725095.9</v>
      </c>
      <c r="G934" s="8" t="s">
        <v>1361</v>
      </c>
      <c r="K934" s="2"/>
      <c r="L934" s="232">
        <v>41699</v>
      </c>
      <c r="N934">
        <f t="shared" si="11"/>
        <v>7000</v>
      </c>
    </row>
    <row r="935" spans="1:14" hidden="1">
      <c r="A935" s="232">
        <v>41702</v>
      </c>
      <c r="B935" t="s">
        <v>1914</v>
      </c>
      <c r="C935" t="s">
        <v>2019</v>
      </c>
      <c r="D935" s="1">
        <v>7399</v>
      </c>
      <c r="E935" s="1">
        <v>0</v>
      </c>
      <c r="F935">
        <v>717696.9</v>
      </c>
      <c r="K935" s="2"/>
      <c r="L935" s="232">
        <v>41702</v>
      </c>
      <c r="N935">
        <f t="shared" si="11"/>
        <v>7399</v>
      </c>
    </row>
    <row r="936" spans="1:14" hidden="1">
      <c r="A936" s="232">
        <v>41703</v>
      </c>
      <c r="B936" t="s">
        <v>2020</v>
      </c>
      <c r="C936" t="s">
        <v>2021</v>
      </c>
      <c r="D936" s="1">
        <v>0</v>
      </c>
      <c r="E936" s="1">
        <v>6316.97</v>
      </c>
      <c r="F936">
        <v>724013.87</v>
      </c>
      <c r="G936" s="8" t="s">
        <v>1380</v>
      </c>
      <c r="K936" s="2"/>
      <c r="L936" s="232">
        <v>41703</v>
      </c>
      <c r="N936">
        <f t="shared" si="11"/>
        <v>0</v>
      </c>
    </row>
    <row r="937" spans="1:14" hidden="1">
      <c r="A937" s="232">
        <v>41704</v>
      </c>
      <c r="B937" t="s">
        <v>1963</v>
      </c>
      <c r="C937" t="s">
        <v>2022</v>
      </c>
      <c r="D937" s="1">
        <v>10000</v>
      </c>
      <c r="E937" s="1">
        <v>0</v>
      </c>
      <c r="F937">
        <v>714013.87</v>
      </c>
      <c r="G937" s="8" t="s">
        <v>1361</v>
      </c>
      <c r="K937" s="2"/>
      <c r="L937" s="232">
        <v>41704</v>
      </c>
      <c r="N937">
        <f t="shared" si="11"/>
        <v>10000</v>
      </c>
    </row>
    <row r="938" spans="1:14" hidden="1">
      <c r="A938" s="232">
        <v>41704</v>
      </c>
      <c r="B938" t="s">
        <v>1914</v>
      </c>
      <c r="C938" t="s">
        <v>2023</v>
      </c>
      <c r="D938" s="1">
        <v>1110</v>
      </c>
      <c r="E938" s="1">
        <v>0</v>
      </c>
      <c r="F938">
        <v>712903.87</v>
      </c>
      <c r="K938" s="2"/>
      <c r="L938" s="232">
        <v>41704</v>
      </c>
      <c r="N938">
        <f t="shared" si="11"/>
        <v>1110</v>
      </c>
    </row>
    <row r="939" spans="1:14" hidden="1">
      <c r="A939" s="232">
        <v>41708</v>
      </c>
      <c r="B939" t="s">
        <v>1938</v>
      </c>
      <c r="C939" t="s">
        <v>2024</v>
      </c>
      <c r="D939" s="1">
        <v>2000</v>
      </c>
      <c r="E939" s="1">
        <v>0</v>
      </c>
      <c r="F939">
        <v>710903.87</v>
      </c>
      <c r="G939" s="8" t="s">
        <v>1372</v>
      </c>
      <c r="K939" s="2"/>
      <c r="L939" s="232">
        <v>41708</v>
      </c>
      <c r="N939">
        <f t="shared" si="11"/>
        <v>2000</v>
      </c>
    </row>
    <row r="940" spans="1:14" hidden="1">
      <c r="A940" s="232">
        <v>41718</v>
      </c>
      <c r="B940" t="s">
        <v>1914</v>
      </c>
      <c r="C940" t="s">
        <v>2025</v>
      </c>
      <c r="D940" s="1">
        <v>1008.5</v>
      </c>
      <c r="E940" s="1">
        <v>0</v>
      </c>
      <c r="F940">
        <v>709895.37</v>
      </c>
      <c r="K940" s="2"/>
      <c r="L940" s="232">
        <v>41718</v>
      </c>
      <c r="N940">
        <f t="shared" si="11"/>
        <v>1008.5</v>
      </c>
    </row>
    <row r="941" spans="1:14" hidden="1">
      <c r="A941" s="232">
        <v>41722</v>
      </c>
      <c r="B941" t="s">
        <v>1914</v>
      </c>
      <c r="C941" t="s">
        <v>2026</v>
      </c>
      <c r="D941" s="1">
        <v>150000</v>
      </c>
      <c r="E941" s="1">
        <v>0</v>
      </c>
      <c r="F941">
        <v>559895.37</v>
      </c>
      <c r="G941" s="8" t="s">
        <v>1363</v>
      </c>
      <c r="K941" s="2"/>
      <c r="L941" s="232">
        <v>41722</v>
      </c>
      <c r="N941">
        <f t="shared" si="11"/>
        <v>150000</v>
      </c>
    </row>
    <row r="942" spans="1:14" hidden="1">
      <c r="A942" s="232">
        <v>41722</v>
      </c>
      <c r="B942" t="s">
        <v>1914</v>
      </c>
      <c r="C942" t="s">
        <v>2027</v>
      </c>
      <c r="D942" s="1">
        <v>500</v>
      </c>
      <c r="E942" s="1">
        <v>0</v>
      </c>
      <c r="F942">
        <v>559395.37</v>
      </c>
      <c r="K942" s="2"/>
      <c r="L942" s="232">
        <v>41722</v>
      </c>
      <c r="N942">
        <f t="shared" si="11"/>
        <v>500</v>
      </c>
    </row>
    <row r="943" spans="1:14" hidden="1">
      <c r="A943" s="232">
        <v>41724</v>
      </c>
      <c r="B943" t="s">
        <v>1963</v>
      </c>
      <c r="C943" t="s">
        <v>2028</v>
      </c>
      <c r="D943" s="1">
        <v>5000</v>
      </c>
      <c r="E943" s="1">
        <v>0</v>
      </c>
      <c r="F943">
        <v>554395.37</v>
      </c>
      <c r="G943" s="8" t="s">
        <v>1361</v>
      </c>
      <c r="K943" s="2"/>
      <c r="L943" s="232">
        <v>41724</v>
      </c>
      <c r="N943">
        <f t="shared" si="11"/>
        <v>5000</v>
      </c>
    </row>
    <row r="944" spans="1:14" hidden="1">
      <c r="A944" s="232">
        <v>41724</v>
      </c>
      <c r="B944" t="s">
        <v>1914</v>
      </c>
      <c r="C944" t="s">
        <v>2029</v>
      </c>
      <c r="D944" s="1">
        <v>0</v>
      </c>
      <c r="E944" s="1">
        <v>167131</v>
      </c>
      <c r="F944">
        <v>721526.37</v>
      </c>
      <c r="G944" s="8" t="s">
        <v>1380</v>
      </c>
      <c r="K944" s="2"/>
      <c r="L944" s="232">
        <v>41724</v>
      </c>
      <c r="N944">
        <f t="shared" si="11"/>
        <v>0</v>
      </c>
    </row>
    <row r="945" spans="1:14" hidden="1">
      <c r="A945" s="232">
        <v>41725</v>
      </c>
      <c r="C945" t="s">
        <v>2030</v>
      </c>
      <c r="D945" s="1">
        <v>58135</v>
      </c>
      <c r="E945" s="1">
        <v>0</v>
      </c>
      <c r="F945">
        <v>663391.37</v>
      </c>
      <c r="G945" s="8" t="s">
        <v>1366</v>
      </c>
      <c r="K945" s="2"/>
      <c r="L945" s="232">
        <v>41725</v>
      </c>
      <c r="N945">
        <f t="shared" si="11"/>
        <v>58135</v>
      </c>
    </row>
    <row r="946" spans="1:14" hidden="1">
      <c r="A946" s="232">
        <v>41726</v>
      </c>
      <c r="B946" t="s">
        <v>1914</v>
      </c>
      <c r="C946" t="s">
        <v>2031</v>
      </c>
      <c r="D946" s="1">
        <v>885</v>
      </c>
      <c r="E946" s="1">
        <v>0</v>
      </c>
      <c r="F946">
        <v>662506.37</v>
      </c>
      <c r="K946" s="2"/>
      <c r="L946" s="232">
        <v>41726</v>
      </c>
      <c r="N946">
        <f t="shared" si="11"/>
        <v>885</v>
      </c>
    </row>
    <row r="947" spans="1:14" hidden="1">
      <c r="A947" s="232">
        <v>41726</v>
      </c>
      <c r="B947" t="s">
        <v>1938</v>
      </c>
      <c r="C947" t="s">
        <v>2032</v>
      </c>
      <c r="D947" s="1">
        <v>2000</v>
      </c>
      <c r="E947" s="1">
        <v>0</v>
      </c>
      <c r="F947">
        <v>660506.37</v>
      </c>
      <c r="G947" s="8" t="s">
        <v>1372</v>
      </c>
      <c r="K947" s="2"/>
      <c r="L947" s="232">
        <v>41726</v>
      </c>
      <c r="N947">
        <f t="shared" si="11"/>
        <v>2000</v>
      </c>
    </row>
    <row r="948" spans="1:14" hidden="1">
      <c r="A948" s="232">
        <v>41730</v>
      </c>
      <c r="C948" t="s">
        <v>1865</v>
      </c>
      <c r="D948" s="1">
        <v>0</v>
      </c>
      <c r="E948" s="1">
        <v>0</v>
      </c>
      <c r="F948">
        <v>660506.37</v>
      </c>
      <c r="K948" s="2"/>
      <c r="L948" s="232">
        <v>41730</v>
      </c>
      <c r="N948">
        <f t="shared" si="11"/>
        <v>0</v>
      </c>
    </row>
    <row r="949" spans="1:14" hidden="1">
      <c r="A949" s="232">
        <v>41733</v>
      </c>
      <c r="B949" t="s">
        <v>1914</v>
      </c>
      <c r="C949" t="s">
        <v>2033</v>
      </c>
      <c r="D949" s="1">
        <v>7507</v>
      </c>
      <c r="E949" s="1">
        <v>0</v>
      </c>
      <c r="F949">
        <v>652999.37</v>
      </c>
      <c r="K949" s="2"/>
      <c r="L949" s="232">
        <v>41733</v>
      </c>
      <c r="N949">
        <f t="shared" si="11"/>
        <v>7507</v>
      </c>
    </row>
    <row r="950" spans="1:14" hidden="1">
      <c r="A950" s="232">
        <v>41734</v>
      </c>
      <c r="B950" t="s">
        <v>1914</v>
      </c>
      <c r="C950" t="s">
        <v>2034</v>
      </c>
      <c r="D950" s="1">
        <v>1110</v>
      </c>
      <c r="E950" s="1">
        <v>0</v>
      </c>
      <c r="F950">
        <v>651889.37</v>
      </c>
      <c r="K950" s="2"/>
      <c r="L950" s="232">
        <v>41734</v>
      </c>
      <c r="N950">
        <f t="shared" si="11"/>
        <v>1110</v>
      </c>
    </row>
    <row r="951" spans="1:14" hidden="1">
      <c r="A951" s="232">
        <v>41739</v>
      </c>
      <c r="B951" t="s">
        <v>1938</v>
      </c>
      <c r="C951" t="s">
        <v>2035</v>
      </c>
      <c r="D951" s="1">
        <v>2000</v>
      </c>
      <c r="E951" s="1">
        <v>0</v>
      </c>
      <c r="F951">
        <v>649889.37</v>
      </c>
      <c r="G951" s="8" t="s">
        <v>1372</v>
      </c>
      <c r="K951" s="2"/>
      <c r="L951" s="232">
        <v>41739</v>
      </c>
      <c r="N951">
        <f t="shared" si="11"/>
        <v>2000</v>
      </c>
    </row>
    <row r="952" spans="1:14" hidden="1">
      <c r="A952" s="232">
        <v>41739</v>
      </c>
      <c r="B952" t="s">
        <v>1963</v>
      </c>
      <c r="C952" t="s">
        <v>2036</v>
      </c>
      <c r="D952" s="1">
        <v>10000</v>
      </c>
      <c r="E952" s="1">
        <v>0</v>
      </c>
      <c r="F952">
        <v>639889.37</v>
      </c>
      <c r="G952" s="8" t="s">
        <v>1361</v>
      </c>
      <c r="K952" s="2"/>
      <c r="L952" s="232">
        <v>41739</v>
      </c>
      <c r="N952">
        <f t="shared" si="11"/>
        <v>10000</v>
      </c>
    </row>
    <row r="953" spans="1:14" hidden="1">
      <c r="A953" s="232">
        <v>41751</v>
      </c>
      <c r="B953" t="s">
        <v>1914</v>
      </c>
      <c r="C953" t="s">
        <v>2037</v>
      </c>
      <c r="D953" s="1">
        <v>470</v>
      </c>
      <c r="E953" s="1">
        <v>0</v>
      </c>
      <c r="F953">
        <v>639419.37</v>
      </c>
      <c r="K953" s="2"/>
      <c r="L953" s="232">
        <v>41751</v>
      </c>
      <c r="N953">
        <f t="shared" si="11"/>
        <v>470</v>
      </c>
    </row>
    <row r="954" spans="1:14" hidden="1">
      <c r="A954" s="232">
        <v>41754</v>
      </c>
      <c r="B954" t="s">
        <v>1914</v>
      </c>
      <c r="C954" t="s">
        <v>2038</v>
      </c>
      <c r="D954" s="1">
        <v>1600</v>
      </c>
      <c r="E954" s="1">
        <v>0</v>
      </c>
      <c r="F954">
        <v>637819.37</v>
      </c>
      <c r="K954" s="2"/>
      <c r="L954" s="232">
        <v>41754</v>
      </c>
      <c r="N954">
        <f t="shared" si="11"/>
        <v>1600</v>
      </c>
    </row>
    <row r="955" spans="1:14" hidden="1">
      <c r="A955" s="232">
        <v>41757</v>
      </c>
      <c r="B955" t="s">
        <v>1938</v>
      </c>
      <c r="C955" t="s">
        <v>2039</v>
      </c>
      <c r="D955" s="1">
        <v>2000</v>
      </c>
      <c r="E955" s="1">
        <v>0</v>
      </c>
      <c r="F955">
        <v>635819.37</v>
      </c>
      <c r="G955" s="8" t="s">
        <v>1372</v>
      </c>
      <c r="K955" s="2"/>
      <c r="L955" s="232">
        <v>41757</v>
      </c>
      <c r="N955">
        <f t="shared" si="11"/>
        <v>2000</v>
      </c>
    </row>
    <row r="956" spans="1:14" hidden="1">
      <c r="A956" s="232">
        <v>41757</v>
      </c>
      <c r="C956" t="s">
        <v>2040</v>
      </c>
      <c r="D956" s="1">
        <v>58135</v>
      </c>
      <c r="E956" s="1">
        <v>0</v>
      </c>
      <c r="F956">
        <v>577684.37</v>
      </c>
      <c r="G956" s="8" t="s">
        <v>1366</v>
      </c>
      <c r="K956" s="2"/>
      <c r="L956" s="232">
        <v>41757</v>
      </c>
      <c r="N956">
        <f t="shared" si="11"/>
        <v>58135</v>
      </c>
    </row>
    <row r="957" spans="1:14" hidden="1">
      <c r="A957" s="232">
        <v>41757</v>
      </c>
      <c r="B957" t="s">
        <v>1914</v>
      </c>
      <c r="C957" t="s">
        <v>2041</v>
      </c>
      <c r="D957" s="1">
        <v>0</v>
      </c>
      <c r="E957" s="1">
        <v>765837</v>
      </c>
      <c r="F957">
        <v>1343521.37</v>
      </c>
      <c r="G957" s="8" t="s">
        <v>1380</v>
      </c>
      <c r="K957" s="2"/>
      <c r="L957" s="232">
        <v>41757</v>
      </c>
      <c r="N957">
        <f t="shared" si="11"/>
        <v>0</v>
      </c>
    </row>
    <row r="958" spans="1:14" hidden="1">
      <c r="A958" s="232">
        <v>41758</v>
      </c>
      <c r="B958" t="s">
        <v>1914</v>
      </c>
      <c r="C958" t="s">
        <v>2042</v>
      </c>
      <c r="D958" s="1">
        <v>1159</v>
      </c>
      <c r="E958" s="1">
        <v>0</v>
      </c>
      <c r="F958">
        <v>1342362.37</v>
      </c>
      <c r="K958" s="2"/>
      <c r="L958" s="232">
        <v>41758</v>
      </c>
      <c r="N958">
        <f t="shared" si="11"/>
        <v>1159</v>
      </c>
    </row>
    <row r="959" spans="1:14" hidden="1">
      <c r="A959" s="232">
        <v>41762</v>
      </c>
      <c r="C959" t="s">
        <v>2043</v>
      </c>
      <c r="D959" s="1">
        <v>0</v>
      </c>
      <c r="E959" s="1">
        <v>3120</v>
      </c>
      <c r="F959">
        <v>1345482.37</v>
      </c>
      <c r="G959" s="8" t="s">
        <v>1380</v>
      </c>
      <c r="K959" s="2"/>
      <c r="L959" s="232">
        <v>41762</v>
      </c>
      <c r="N959">
        <f t="shared" si="11"/>
        <v>0</v>
      </c>
    </row>
    <row r="960" spans="1:14" hidden="1">
      <c r="A960" s="232">
        <v>41765</v>
      </c>
      <c r="B960" t="s">
        <v>1914</v>
      </c>
      <c r="C960" t="s">
        <v>2044</v>
      </c>
      <c r="D960" s="1">
        <v>8300</v>
      </c>
      <c r="E960" s="1">
        <v>0</v>
      </c>
      <c r="F960">
        <v>1337182.3700000001</v>
      </c>
      <c r="K960" s="2"/>
      <c r="L960" s="232">
        <v>41765</v>
      </c>
      <c r="N960">
        <f t="shared" si="11"/>
        <v>8300</v>
      </c>
    </row>
    <row r="961" spans="1:14" hidden="1">
      <c r="A961" s="232">
        <v>41765</v>
      </c>
      <c r="B961" t="s">
        <v>1914</v>
      </c>
      <c r="C961" t="s">
        <v>2045</v>
      </c>
      <c r="D961" s="1">
        <v>422</v>
      </c>
      <c r="E961" s="1">
        <v>0</v>
      </c>
      <c r="F961">
        <v>1336760.3700000001</v>
      </c>
      <c r="K961" s="2"/>
      <c r="L961" s="232">
        <v>41765</v>
      </c>
      <c r="N961">
        <f t="shared" si="11"/>
        <v>422</v>
      </c>
    </row>
    <row r="962" spans="1:14" hidden="1">
      <c r="A962" s="232">
        <v>41768</v>
      </c>
      <c r="B962" t="s">
        <v>1914</v>
      </c>
      <c r="C962" t="s">
        <v>2046</v>
      </c>
      <c r="D962" s="1">
        <v>1110</v>
      </c>
      <c r="E962" s="1">
        <v>0</v>
      </c>
      <c r="F962">
        <v>1335650.3700000001</v>
      </c>
      <c r="K962" s="2"/>
      <c r="L962" s="232">
        <v>41768</v>
      </c>
      <c r="N962">
        <f t="shared" si="11"/>
        <v>1110</v>
      </c>
    </row>
    <row r="963" spans="1:14" hidden="1">
      <c r="A963" s="232">
        <v>41769</v>
      </c>
      <c r="B963" t="s">
        <v>1938</v>
      </c>
      <c r="C963" t="s">
        <v>2047</v>
      </c>
      <c r="D963" s="1">
        <v>2000</v>
      </c>
      <c r="E963" s="1">
        <v>0</v>
      </c>
      <c r="F963">
        <v>1333650.3700000001</v>
      </c>
      <c r="G963" s="8" t="s">
        <v>1372</v>
      </c>
      <c r="K963" s="2"/>
      <c r="L963" s="232">
        <v>41769</v>
      </c>
      <c r="N963">
        <f t="shared" si="11"/>
        <v>2000</v>
      </c>
    </row>
    <row r="964" spans="1:14" hidden="1">
      <c r="A964" s="232">
        <v>41775</v>
      </c>
      <c r="B964" t="s">
        <v>1963</v>
      </c>
      <c r="C964" t="s">
        <v>2048</v>
      </c>
      <c r="D964" s="1">
        <v>10000</v>
      </c>
      <c r="E964" s="1">
        <v>0</v>
      </c>
      <c r="F964">
        <v>1323650.3700000001</v>
      </c>
      <c r="G964" s="8" t="s">
        <v>1361</v>
      </c>
      <c r="K964" s="2"/>
      <c r="L964" s="232">
        <v>41775</v>
      </c>
      <c r="N964">
        <f t="shared" si="11"/>
        <v>10000</v>
      </c>
    </row>
    <row r="965" spans="1:14" hidden="1">
      <c r="A965" s="232">
        <v>41778</v>
      </c>
      <c r="B965" t="s">
        <v>1914</v>
      </c>
      <c r="C965" t="s">
        <v>2049</v>
      </c>
      <c r="D965" s="1">
        <v>270570</v>
      </c>
      <c r="E965" s="1">
        <v>0</v>
      </c>
      <c r="F965">
        <v>1053080.3700000001</v>
      </c>
      <c r="G965" s="8" t="s">
        <v>1370</v>
      </c>
      <c r="K965" s="2"/>
      <c r="L965" s="232">
        <v>41778</v>
      </c>
      <c r="N965">
        <f t="shared" si="11"/>
        <v>270570</v>
      </c>
    </row>
    <row r="966" spans="1:14" hidden="1">
      <c r="A966" s="232">
        <v>41782</v>
      </c>
      <c r="B966" t="s">
        <v>1914</v>
      </c>
      <c r="C966" t="s">
        <v>2050</v>
      </c>
      <c r="D966" s="1">
        <v>562</v>
      </c>
      <c r="E966" s="1">
        <v>0</v>
      </c>
      <c r="F966">
        <v>1052518.3700000001</v>
      </c>
      <c r="K966" s="2"/>
      <c r="L966" s="232">
        <v>41782</v>
      </c>
      <c r="N966">
        <f t="shared" si="11"/>
        <v>562</v>
      </c>
    </row>
    <row r="967" spans="1:14" hidden="1">
      <c r="A967" s="232">
        <v>41782</v>
      </c>
      <c r="B967" t="s">
        <v>1914</v>
      </c>
      <c r="C967" t="s">
        <v>2051</v>
      </c>
      <c r="D967" s="1">
        <v>562</v>
      </c>
      <c r="E967" s="1">
        <v>0</v>
      </c>
      <c r="F967">
        <v>1051956.3700000001</v>
      </c>
      <c r="K967" s="2"/>
      <c r="L967" s="232">
        <v>41782</v>
      </c>
      <c r="N967">
        <f t="shared" si="11"/>
        <v>562</v>
      </c>
    </row>
    <row r="968" spans="1:14" hidden="1">
      <c r="A968" s="232">
        <v>41782</v>
      </c>
      <c r="B968" t="s">
        <v>1914</v>
      </c>
      <c r="C968" t="s">
        <v>2052</v>
      </c>
      <c r="D968" s="1">
        <v>1500</v>
      </c>
      <c r="E968" s="1">
        <v>0</v>
      </c>
      <c r="F968">
        <v>1050456.3700000001</v>
      </c>
      <c r="K968" s="2"/>
      <c r="L968" s="232">
        <v>41782</v>
      </c>
      <c r="N968">
        <f t="shared" si="11"/>
        <v>1500</v>
      </c>
    </row>
    <row r="969" spans="1:14" hidden="1">
      <c r="A969" s="232">
        <v>41782</v>
      </c>
      <c r="B969" t="s">
        <v>1914</v>
      </c>
      <c r="C969" t="s">
        <v>2053</v>
      </c>
      <c r="D969" s="1">
        <v>1500</v>
      </c>
      <c r="E969" s="1">
        <v>0</v>
      </c>
      <c r="F969">
        <v>1048956.3700000001</v>
      </c>
      <c r="K969" s="2"/>
      <c r="L969" s="232">
        <v>41782</v>
      </c>
      <c r="N969">
        <f t="shared" si="11"/>
        <v>1500</v>
      </c>
    </row>
    <row r="970" spans="1:14" hidden="1">
      <c r="A970" s="232">
        <v>41782</v>
      </c>
      <c r="B970" t="s">
        <v>1914</v>
      </c>
      <c r="C970" t="s">
        <v>2054</v>
      </c>
      <c r="D970" s="1">
        <v>150000</v>
      </c>
      <c r="E970" s="1">
        <v>0</v>
      </c>
      <c r="F970">
        <v>898956.37</v>
      </c>
      <c r="G970" s="8" t="s">
        <v>1363</v>
      </c>
      <c r="K970" s="2"/>
      <c r="L970" s="232">
        <v>41782</v>
      </c>
      <c r="N970">
        <f t="shared" si="11"/>
        <v>150000</v>
      </c>
    </row>
    <row r="971" spans="1:14" hidden="1">
      <c r="A971" s="232">
        <v>41785</v>
      </c>
      <c r="B971" t="s">
        <v>1914</v>
      </c>
      <c r="C971" t="s">
        <v>2055</v>
      </c>
      <c r="D971" s="1">
        <v>0</v>
      </c>
      <c r="E971" s="1">
        <v>192028</v>
      </c>
      <c r="F971">
        <v>1090984.3700000001</v>
      </c>
      <c r="G971" s="8" t="s">
        <v>1380</v>
      </c>
      <c r="K971" s="2"/>
      <c r="L971" s="232">
        <v>41785</v>
      </c>
      <c r="N971">
        <f t="shared" ref="N971:N1034" si="12">D971*1</f>
        <v>0</v>
      </c>
    </row>
    <row r="972" spans="1:14" hidden="1">
      <c r="A972" s="232">
        <v>41785</v>
      </c>
      <c r="B972" t="s">
        <v>1963</v>
      </c>
      <c r="C972" t="s">
        <v>2056</v>
      </c>
      <c r="D972" s="1">
        <v>3000</v>
      </c>
      <c r="E972" s="1">
        <v>0</v>
      </c>
      <c r="F972">
        <v>1087984.3700000001</v>
      </c>
      <c r="G972" s="8" t="s">
        <v>1361</v>
      </c>
      <c r="K972" s="2"/>
      <c r="L972" s="232">
        <v>41785</v>
      </c>
      <c r="N972">
        <f t="shared" si="12"/>
        <v>3000</v>
      </c>
    </row>
    <row r="973" spans="1:14" hidden="1">
      <c r="A973" s="232">
        <v>41786</v>
      </c>
      <c r="C973" t="s">
        <v>2057</v>
      </c>
      <c r="D973" s="1">
        <v>58135</v>
      </c>
      <c r="E973" s="1">
        <v>0</v>
      </c>
      <c r="F973">
        <v>1029849.37</v>
      </c>
      <c r="G973" s="8" t="s">
        <v>1366</v>
      </c>
      <c r="K973" s="2"/>
      <c r="L973" s="232">
        <v>41786</v>
      </c>
      <c r="N973">
        <f t="shared" si="12"/>
        <v>58135</v>
      </c>
    </row>
    <row r="974" spans="1:14" hidden="1">
      <c r="A974" s="232">
        <v>41787</v>
      </c>
      <c r="B974" t="s">
        <v>1938</v>
      </c>
      <c r="C974" t="s">
        <v>2058</v>
      </c>
      <c r="D974" s="1">
        <v>2000</v>
      </c>
      <c r="E974" s="1">
        <v>0</v>
      </c>
      <c r="F974">
        <v>1027849.37</v>
      </c>
      <c r="G974" s="8" t="s">
        <v>1372</v>
      </c>
      <c r="K974" s="2"/>
      <c r="L974" s="232">
        <v>41787</v>
      </c>
      <c r="N974">
        <f t="shared" si="12"/>
        <v>2000</v>
      </c>
    </row>
    <row r="975" spans="1:14" hidden="1">
      <c r="A975" s="232">
        <v>41792</v>
      </c>
      <c r="B975" t="s">
        <v>1963</v>
      </c>
      <c r="C975" t="s">
        <v>2059</v>
      </c>
      <c r="D975" s="1">
        <v>10000</v>
      </c>
      <c r="E975" s="1">
        <v>0</v>
      </c>
      <c r="F975">
        <v>1017849.37</v>
      </c>
      <c r="G975" s="8" t="s">
        <v>1361</v>
      </c>
      <c r="K975" s="2"/>
      <c r="L975" s="232">
        <v>41792</v>
      </c>
      <c r="N975">
        <f t="shared" si="12"/>
        <v>10000</v>
      </c>
    </row>
    <row r="976" spans="1:14" hidden="1">
      <c r="A976" s="232">
        <v>41796</v>
      </c>
      <c r="B976" t="s">
        <v>1914</v>
      </c>
      <c r="C976" t="s">
        <v>2060</v>
      </c>
      <c r="D976" s="1">
        <v>6862</v>
      </c>
      <c r="E976" s="1">
        <v>0</v>
      </c>
      <c r="F976">
        <v>1010987.37</v>
      </c>
      <c r="K976" s="2"/>
      <c r="L976" s="232">
        <v>41796</v>
      </c>
      <c r="N976">
        <f t="shared" si="12"/>
        <v>6862</v>
      </c>
    </row>
    <row r="977" spans="1:14" hidden="1">
      <c r="A977" s="232">
        <v>41800</v>
      </c>
      <c r="B977" t="s">
        <v>1938</v>
      </c>
      <c r="C977" t="s">
        <v>2061</v>
      </c>
      <c r="D977" s="1">
        <v>2000</v>
      </c>
      <c r="E977" s="1">
        <v>0</v>
      </c>
      <c r="F977">
        <v>1008987.37</v>
      </c>
      <c r="G977" s="8" t="s">
        <v>1372</v>
      </c>
      <c r="K977" s="2"/>
      <c r="L977" s="232">
        <v>41800</v>
      </c>
      <c r="N977">
        <f t="shared" si="12"/>
        <v>2000</v>
      </c>
    </row>
    <row r="978" spans="1:14" hidden="1">
      <c r="A978" s="232">
        <v>41806</v>
      </c>
      <c r="B978" t="s">
        <v>1914</v>
      </c>
      <c r="C978" t="s">
        <v>2062</v>
      </c>
      <c r="D978" s="1">
        <v>1100</v>
      </c>
      <c r="E978" s="1">
        <v>0</v>
      </c>
      <c r="F978">
        <v>1007887.37</v>
      </c>
      <c r="K978" s="2"/>
      <c r="L978" s="232">
        <v>41806</v>
      </c>
      <c r="N978">
        <f t="shared" si="12"/>
        <v>1100</v>
      </c>
    </row>
    <row r="979" spans="1:14" hidden="1">
      <c r="A979" s="232">
        <v>41806</v>
      </c>
      <c r="B979" t="s">
        <v>2063</v>
      </c>
      <c r="C979" t="s">
        <v>2064</v>
      </c>
      <c r="D979" s="1">
        <v>3000</v>
      </c>
      <c r="E979" s="1">
        <v>0</v>
      </c>
      <c r="F979">
        <v>1004887.37</v>
      </c>
      <c r="G979" s="8" t="s">
        <v>1361</v>
      </c>
      <c r="K979" s="2"/>
      <c r="L979" s="232">
        <v>41806</v>
      </c>
      <c r="N979">
        <f t="shared" si="12"/>
        <v>3000</v>
      </c>
    </row>
    <row r="980" spans="1:14" hidden="1">
      <c r="A980" s="232">
        <v>41814</v>
      </c>
      <c r="B980" t="s">
        <v>1963</v>
      </c>
      <c r="C980" t="s">
        <v>2065</v>
      </c>
      <c r="D980" s="1">
        <v>4000</v>
      </c>
      <c r="E980" s="1">
        <v>0</v>
      </c>
      <c r="F980">
        <v>1000887.37</v>
      </c>
      <c r="G980" s="8" t="s">
        <v>1361</v>
      </c>
      <c r="K980" s="2"/>
      <c r="L980" s="232">
        <v>41814</v>
      </c>
      <c r="N980">
        <f t="shared" si="12"/>
        <v>4000</v>
      </c>
    </row>
    <row r="981" spans="1:14" hidden="1">
      <c r="A981" s="232">
        <v>41814</v>
      </c>
      <c r="B981" t="s">
        <v>1914</v>
      </c>
      <c r="C981" t="s">
        <v>2066</v>
      </c>
      <c r="D981" s="1">
        <v>1500</v>
      </c>
      <c r="E981" s="1">
        <v>0</v>
      </c>
      <c r="F981">
        <v>999387.37</v>
      </c>
      <c r="K981" s="2"/>
      <c r="L981" s="232">
        <v>41814</v>
      </c>
      <c r="N981">
        <f t="shared" si="12"/>
        <v>1500</v>
      </c>
    </row>
    <row r="982" spans="1:14" hidden="1">
      <c r="A982" s="232">
        <v>41816</v>
      </c>
      <c r="B982" t="s">
        <v>1914</v>
      </c>
      <c r="C982" t="s">
        <v>2067</v>
      </c>
      <c r="D982" s="1">
        <v>0</v>
      </c>
      <c r="E982" s="1">
        <v>184595</v>
      </c>
      <c r="F982">
        <v>1183982.3700000001</v>
      </c>
      <c r="G982" s="8" t="s">
        <v>1380</v>
      </c>
      <c r="K982" s="2"/>
      <c r="L982" s="232">
        <v>41816</v>
      </c>
      <c r="N982">
        <f t="shared" si="12"/>
        <v>0</v>
      </c>
    </row>
    <row r="983" spans="1:14" hidden="1">
      <c r="A983" s="232">
        <v>41817</v>
      </c>
      <c r="C983" t="s">
        <v>2068</v>
      </c>
      <c r="D983" s="1">
        <v>48134</v>
      </c>
      <c r="E983" s="1">
        <v>0</v>
      </c>
      <c r="F983">
        <v>1135848.3700000001</v>
      </c>
      <c r="G983" s="8" t="s">
        <v>1366</v>
      </c>
      <c r="K983" s="2"/>
      <c r="L983" s="232">
        <v>41817</v>
      </c>
      <c r="N983">
        <f t="shared" si="12"/>
        <v>48134</v>
      </c>
    </row>
    <row r="984" spans="1:14" hidden="1">
      <c r="A984" s="232">
        <v>41818</v>
      </c>
      <c r="B984" t="s">
        <v>1938</v>
      </c>
      <c r="C984" t="s">
        <v>2069</v>
      </c>
      <c r="D984" s="1">
        <v>2000</v>
      </c>
      <c r="E984" s="1">
        <v>0</v>
      </c>
      <c r="F984">
        <v>1133848.3700000001</v>
      </c>
      <c r="G984" s="8" t="s">
        <v>1372</v>
      </c>
      <c r="K984" s="2"/>
      <c r="L984" s="232">
        <v>41818</v>
      </c>
      <c r="N984">
        <f t="shared" si="12"/>
        <v>2000</v>
      </c>
    </row>
    <row r="985" spans="1:14" hidden="1">
      <c r="A985" s="232">
        <v>41818</v>
      </c>
      <c r="B985" t="s">
        <v>2070</v>
      </c>
      <c r="C985" t="s">
        <v>1818</v>
      </c>
      <c r="D985" s="1">
        <v>36518</v>
      </c>
      <c r="E985" s="1">
        <v>0</v>
      </c>
      <c r="F985">
        <v>1097330.3700000001</v>
      </c>
      <c r="K985" s="2"/>
      <c r="L985" s="232">
        <v>41818</v>
      </c>
      <c r="N985">
        <f t="shared" si="12"/>
        <v>36518</v>
      </c>
    </row>
    <row r="986" spans="1:14" hidden="1">
      <c r="A986" s="232">
        <v>41820</v>
      </c>
      <c r="C986" t="s">
        <v>2071</v>
      </c>
      <c r="D986" s="1">
        <v>0</v>
      </c>
      <c r="E986" s="1">
        <v>16435</v>
      </c>
      <c r="F986">
        <v>1113765.3700000001</v>
      </c>
      <c r="G986" s="8" t="s">
        <v>1368</v>
      </c>
      <c r="K986" s="2"/>
      <c r="L986" s="232">
        <v>41820</v>
      </c>
      <c r="N986">
        <f t="shared" si="12"/>
        <v>0</v>
      </c>
    </row>
    <row r="987" spans="1:14" hidden="1">
      <c r="A987" s="232">
        <v>41823</v>
      </c>
      <c r="B987" t="s">
        <v>1914</v>
      </c>
      <c r="C987" t="s">
        <v>2072</v>
      </c>
      <c r="D987" s="1">
        <v>8089</v>
      </c>
      <c r="E987" s="1">
        <v>0</v>
      </c>
      <c r="F987">
        <v>1105676.3700000001</v>
      </c>
      <c r="K987" s="2"/>
      <c r="L987" s="232">
        <v>41823</v>
      </c>
      <c r="N987">
        <f t="shared" si="12"/>
        <v>8089</v>
      </c>
    </row>
    <row r="988" spans="1:14" hidden="1">
      <c r="A988" s="232">
        <v>41824</v>
      </c>
      <c r="B988" t="s">
        <v>1963</v>
      </c>
      <c r="C988" t="s">
        <v>2073</v>
      </c>
      <c r="D988" s="1">
        <v>5000</v>
      </c>
      <c r="E988" s="1">
        <v>0</v>
      </c>
      <c r="F988">
        <v>1100676.3700000001</v>
      </c>
      <c r="G988" s="8" t="s">
        <v>1361</v>
      </c>
      <c r="K988" s="2"/>
      <c r="L988" s="232">
        <v>41824</v>
      </c>
      <c r="N988">
        <f t="shared" si="12"/>
        <v>5000</v>
      </c>
    </row>
    <row r="989" spans="1:14" hidden="1">
      <c r="A989" s="232">
        <v>41830</v>
      </c>
      <c r="B989" t="s">
        <v>1938</v>
      </c>
      <c r="C989" t="s">
        <v>2074</v>
      </c>
      <c r="D989" s="1">
        <v>2000</v>
      </c>
      <c r="E989" s="1">
        <v>0</v>
      </c>
      <c r="F989">
        <v>1098676.3700000001</v>
      </c>
      <c r="G989" s="8" t="s">
        <v>1372</v>
      </c>
      <c r="K989" s="2"/>
      <c r="L989" s="232">
        <v>41830</v>
      </c>
      <c r="N989">
        <f t="shared" si="12"/>
        <v>2000</v>
      </c>
    </row>
    <row r="990" spans="1:14" hidden="1">
      <c r="A990" s="232">
        <v>41830</v>
      </c>
      <c r="B990" t="s">
        <v>1914</v>
      </c>
      <c r="C990" t="s">
        <v>2075</v>
      </c>
      <c r="D990" s="1">
        <v>12610</v>
      </c>
      <c r="E990" s="1">
        <v>0</v>
      </c>
      <c r="F990">
        <v>1086066.3700000001</v>
      </c>
      <c r="K990" s="2"/>
      <c r="L990" s="232">
        <v>41830</v>
      </c>
      <c r="N990">
        <f t="shared" si="12"/>
        <v>12610</v>
      </c>
    </row>
    <row r="991" spans="1:14" hidden="1">
      <c r="A991" s="232">
        <v>41835</v>
      </c>
      <c r="B991" t="s">
        <v>1963</v>
      </c>
      <c r="C991" t="s">
        <v>2076</v>
      </c>
      <c r="D991" s="1">
        <v>5000</v>
      </c>
      <c r="E991" s="1">
        <v>0</v>
      </c>
      <c r="F991">
        <v>1081066.3700000001</v>
      </c>
      <c r="G991" s="8" t="s">
        <v>1361</v>
      </c>
      <c r="K991" s="2"/>
      <c r="L991" s="232">
        <v>41835</v>
      </c>
      <c r="N991">
        <f t="shared" si="12"/>
        <v>5000</v>
      </c>
    </row>
    <row r="992" spans="1:14" hidden="1">
      <c r="A992" s="232">
        <v>41842</v>
      </c>
      <c r="B992" t="s">
        <v>1914</v>
      </c>
      <c r="C992" t="s">
        <v>2077</v>
      </c>
      <c r="D992" s="1">
        <v>358</v>
      </c>
      <c r="E992" s="1">
        <v>0</v>
      </c>
      <c r="F992">
        <v>1080708.3700000001</v>
      </c>
      <c r="K992" s="2"/>
      <c r="L992" s="232">
        <v>41842</v>
      </c>
      <c r="N992">
        <f t="shared" si="12"/>
        <v>358</v>
      </c>
    </row>
    <row r="993" spans="1:14" hidden="1">
      <c r="A993" s="232">
        <v>41842</v>
      </c>
      <c r="B993" t="s">
        <v>1914</v>
      </c>
      <c r="C993" t="s">
        <v>2078</v>
      </c>
      <c r="D993" s="1">
        <v>300</v>
      </c>
      <c r="E993" s="1">
        <v>0</v>
      </c>
      <c r="F993">
        <v>1080408.3700000001</v>
      </c>
      <c r="K993" s="2"/>
      <c r="L993" s="232">
        <v>41842</v>
      </c>
      <c r="N993">
        <f t="shared" si="12"/>
        <v>300</v>
      </c>
    </row>
    <row r="994" spans="1:14" hidden="1">
      <c r="A994" s="232">
        <v>41848</v>
      </c>
      <c r="B994" t="s">
        <v>1938</v>
      </c>
      <c r="C994" t="s">
        <v>2079</v>
      </c>
      <c r="D994" s="1">
        <v>2000</v>
      </c>
      <c r="E994" s="1">
        <v>0</v>
      </c>
      <c r="F994">
        <v>1078408.3700000001</v>
      </c>
      <c r="G994" s="8" t="s">
        <v>1372</v>
      </c>
      <c r="K994" s="2"/>
      <c r="L994" s="232">
        <v>41848</v>
      </c>
      <c r="N994">
        <f t="shared" si="12"/>
        <v>2000</v>
      </c>
    </row>
    <row r="995" spans="1:14" hidden="1">
      <c r="A995" s="232">
        <v>41848</v>
      </c>
      <c r="C995" t="s">
        <v>2080</v>
      </c>
      <c r="D995" s="1">
        <v>48134</v>
      </c>
      <c r="E995" s="1">
        <v>0</v>
      </c>
      <c r="F995">
        <v>1030274.37</v>
      </c>
      <c r="G995" s="8" t="s">
        <v>1366</v>
      </c>
      <c r="K995" s="2"/>
      <c r="L995" s="232">
        <v>41848</v>
      </c>
      <c r="N995">
        <f t="shared" si="12"/>
        <v>48134</v>
      </c>
    </row>
    <row r="996" spans="1:14" hidden="1">
      <c r="A996" s="232">
        <v>41848</v>
      </c>
      <c r="B996" t="s">
        <v>1914</v>
      </c>
      <c r="C996" t="s">
        <v>2081</v>
      </c>
      <c r="D996" s="1">
        <v>0</v>
      </c>
      <c r="E996" s="1">
        <v>186595</v>
      </c>
      <c r="F996">
        <v>1216869.3700000001</v>
      </c>
      <c r="G996" s="8" t="s">
        <v>1380</v>
      </c>
      <c r="K996" s="2"/>
      <c r="L996" s="232">
        <v>41848</v>
      </c>
      <c r="N996">
        <f t="shared" si="12"/>
        <v>0</v>
      </c>
    </row>
    <row r="997" spans="1:14" hidden="1">
      <c r="A997" s="232">
        <v>41852</v>
      </c>
      <c r="B997" t="s">
        <v>1914</v>
      </c>
      <c r="C997" t="s">
        <v>2082</v>
      </c>
      <c r="D997" s="1">
        <v>950</v>
      </c>
      <c r="E997" s="1">
        <v>0</v>
      </c>
      <c r="F997">
        <v>1215919.3700000001</v>
      </c>
      <c r="K997" s="2"/>
      <c r="L997" s="232">
        <v>41852</v>
      </c>
      <c r="N997">
        <f t="shared" si="12"/>
        <v>950</v>
      </c>
    </row>
    <row r="998" spans="1:14" hidden="1">
      <c r="A998" s="232">
        <v>41856</v>
      </c>
      <c r="B998" t="s">
        <v>1914</v>
      </c>
      <c r="C998" t="s">
        <v>2083</v>
      </c>
      <c r="D998" s="1">
        <v>9707</v>
      </c>
      <c r="E998" s="1">
        <v>0</v>
      </c>
      <c r="F998">
        <v>1206212.3700000001</v>
      </c>
      <c r="K998" s="2"/>
      <c r="L998" s="232">
        <v>41856</v>
      </c>
      <c r="N998">
        <f t="shared" si="12"/>
        <v>9707</v>
      </c>
    </row>
    <row r="999" spans="1:14" hidden="1">
      <c r="A999" s="232">
        <v>41857</v>
      </c>
      <c r="B999" t="s">
        <v>2063</v>
      </c>
      <c r="C999" t="s">
        <v>2084</v>
      </c>
      <c r="D999" s="1">
        <v>5000</v>
      </c>
      <c r="E999" s="1">
        <v>0</v>
      </c>
      <c r="F999">
        <v>1201212.3700000001</v>
      </c>
      <c r="G999" s="8" t="s">
        <v>1361</v>
      </c>
      <c r="K999" s="2"/>
      <c r="L999" s="232">
        <v>41857</v>
      </c>
      <c r="N999">
        <f t="shared" si="12"/>
        <v>5000</v>
      </c>
    </row>
    <row r="1000" spans="1:14" hidden="1">
      <c r="A1000" s="232">
        <v>41862</v>
      </c>
      <c r="B1000" t="s">
        <v>1938</v>
      </c>
      <c r="C1000" t="s">
        <v>2085</v>
      </c>
      <c r="D1000" s="1">
        <v>2000</v>
      </c>
      <c r="E1000" s="1">
        <v>0</v>
      </c>
      <c r="F1000">
        <v>1199212.3700000001</v>
      </c>
      <c r="G1000" s="8" t="s">
        <v>1372</v>
      </c>
      <c r="K1000" s="2"/>
      <c r="L1000" s="232">
        <v>41862</v>
      </c>
      <c r="N1000">
        <f t="shared" si="12"/>
        <v>2000</v>
      </c>
    </row>
    <row r="1001" spans="1:14" hidden="1">
      <c r="A1001" s="232">
        <v>41871</v>
      </c>
      <c r="B1001" t="s">
        <v>1914</v>
      </c>
      <c r="C1001" t="s">
        <v>2086</v>
      </c>
      <c r="D1001" s="1">
        <v>972.46</v>
      </c>
      <c r="E1001" s="1">
        <v>0</v>
      </c>
      <c r="F1001">
        <v>1198239.9099999999</v>
      </c>
      <c r="K1001" s="2"/>
      <c r="L1001" s="232">
        <v>41871</v>
      </c>
      <c r="N1001">
        <f t="shared" si="12"/>
        <v>972.46</v>
      </c>
    </row>
    <row r="1002" spans="1:14" hidden="1">
      <c r="A1002" s="232">
        <v>41877</v>
      </c>
      <c r="B1002" t="s">
        <v>1963</v>
      </c>
      <c r="C1002" t="s">
        <v>2087</v>
      </c>
      <c r="D1002" s="1">
        <v>3000</v>
      </c>
      <c r="E1002" s="1">
        <v>0</v>
      </c>
      <c r="F1002">
        <v>1195239.9099999999</v>
      </c>
      <c r="G1002" s="8" t="s">
        <v>1361</v>
      </c>
      <c r="K1002" s="2"/>
      <c r="L1002" s="232">
        <v>41877</v>
      </c>
      <c r="N1002">
        <f t="shared" si="12"/>
        <v>3000</v>
      </c>
    </row>
    <row r="1003" spans="1:14" hidden="1">
      <c r="A1003" s="232">
        <v>41877</v>
      </c>
      <c r="C1003" t="s">
        <v>2088</v>
      </c>
      <c r="D1003" s="1">
        <v>0</v>
      </c>
      <c r="E1003" s="1">
        <v>191102</v>
      </c>
      <c r="F1003">
        <v>1386341.91</v>
      </c>
      <c r="G1003" s="8" t="s">
        <v>1380</v>
      </c>
      <c r="K1003" s="2"/>
      <c r="L1003" s="232">
        <v>41877</v>
      </c>
      <c r="N1003">
        <f t="shared" si="12"/>
        <v>0</v>
      </c>
    </row>
    <row r="1004" spans="1:14" hidden="1">
      <c r="A1004" s="232">
        <v>41879</v>
      </c>
      <c r="B1004" t="s">
        <v>1938</v>
      </c>
      <c r="C1004" t="s">
        <v>2089</v>
      </c>
      <c r="D1004" s="1">
        <v>2000</v>
      </c>
      <c r="E1004" s="1">
        <v>0</v>
      </c>
      <c r="F1004">
        <v>1384341.91</v>
      </c>
      <c r="G1004" s="8" t="s">
        <v>1372</v>
      </c>
      <c r="K1004" s="2"/>
      <c r="L1004" s="232">
        <v>41879</v>
      </c>
      <c r="N1004">
        <f t="shared" si="12"/>
        <v>2000</v>
      </c>
    </row>
    <row r="1005" spans="1:14" hidden="1">
      <c r="A1005" s="232">
        <v>41879</v>
      </c>
      <c r="C1005" t="s">
        <v>2090</v>
      </c>
      <c r="D1005" s="1">
        <v>48134</v>
      </c>
      <c r="E1005" s="1">
        <v>0</v>
      </c>
      <c r="F1005">
        <v>1336207.9099999999</v>
      </c>
      <c r="G1005" s="8" t="s">
        <v>1366</v>
      </c>
      <c r="K1005" s="2"/>
      <c r="L1005" s="232">
        <v>41879</v>
      </c>
      <c r="N1005">
        <f t="shared" si="12"/>
        <v>48134</v>
      </c>
    </row>
    <row r="1006" spans="1:14" hidden="1">
      <c r="A1006" s="232">
        <v>41884</v>
      </c>
      <c r="B1006" t="s">
        <v>1914</v>
      </c>
      <c r="C1006" t="s">
        <v>2091</v>
      </c>
      <c r="D1006" s="1">
        <v>2000</v>
      </c>
      <c r="E1006" s="1">
        <v>0</v>
      </c>
      <c r="F1006">
        <v>1334207.9099999999</v>
      </c>
      <c r="K1006" s="2"/>
      <c r="L1006" s="232">
        <v>41884</v>
      </c>
      <c r="N1006">
        <f t="shared" si="12"/>
        <v>2000</v>
      </c>
    </row>
    <row r="1007" spans="1:14" hidden="1">
      <c r="A1007" s="232">
        <v>41885</v>
      </c>
      <c r="B1007" t="s">
        <v>2063</v>
      </c>
      <c r="C1007" t="s">
        <v>2092</v>
      </c>
      <c r="D1007" s="1">
        <v>500</v>
      </c>
      <c r="E1007" s="1">
        <v>0</v>
      </c>
      <c r="F1007">
        <v>1333707.9099999999</v>
      </c>
      <c r="G1007" s="8" t="s">
        <v>1361</v>
      </c>
      <c r="K1007" s="2"/>
      <c r="L1007" s="232">
        <v>41885</v>
      </c>
      <c r="N1007">
        <f t="shared" si="12"/>
        <v>500</v>
      </c>
    </row>
    <row r="1008" spans="1:14" hidden="1">
      <c r="A1008" s="232">
        <v>41886</v>
      </c>
      <c r="B1008" t="s">
        <v>2093</v>
      </c>
      <c r="C1008" t="s">
        <v>2094</v>
      </c>
      <c r="D1008" s="1">
        <v>97000</v>
      </c>
      <c r="E1008" s="1">
        <v>0</v>
      </c>
      <c r="F1008">
        <v>1236707.9099999999</v>
      </c>
      <c r="K1008" s="2"/>
      <c r="L1008" s="232">
        <v>41886</v>
      </c>
      <c r="N1008">
        <f t="shared" si="12"/>
        <v>97000</v>
      </c>
    </row>
    <row r="1009" spans="1:14" hidden="1">
      <c r="A1009" s="232">
        <v>41887</v>
      </c>
      <c r="B1009" t="s">
        <v>1914</v>
      </c>
      <c r="C1009" t="s">
        <v>2095</v>
      </c>
      <c r="D1009" s="1">
        <v>8732</v>
      </c>
      <c r="E1009" s="1">
        <v>0</v>
      </c>
      <c r="F1009">
        <v>1227975.9099999999</v>
      </c>
      <c r="K1009" s="2"/>
      <c r="L1009" s="232">
        <v>41887</v>
      </c>
      <c r="N1009">
        <f t="shared" si="12"/>
        <v>8732</v>
      </c>
    </row>
    <row r="1010" spans="1:14" hidden="1">
      <c r="A1010" s="232">
        <v>41887</v>
      </c>
      <c r="C1010" t="s">
        <v>2096</v>
      </c>
      <c r="D1010" s="1">
        <v>0</v>
      </c>
      <c r="E1010" s="1">
        <v>830</v>
      </c>
      <c r="F1010">
        <v>1228805.9099999999</v>
      </c>
      <c r="K1010" s="2"/>
      <c r="L1010" s="232">
        <v>41887</v>
      </c>
      <c r="N1010">
        <f t="shared" si="12"/>
        <v>0</v>
      </c>
    </row>
    <row r="1011" spans="1:14" hidden="1">
      <c r="A1011" s="232">
        <v>41887</v>
      </c>
      <c r="C1011" t="s">
        <v>2010</v>
      </c>
      <c r="D1011" s="1">
        <v>0</v>
      </c>
      <c r="E1011" s="1">
        <v>4182</v>
      </c>
      <c r="F1011">
        <v>1232987.9099999999</v>
      </c>
      <c r="G1011" s="8" t="s">
        <v>1380</v>
      </c>
      <c r="K1011" s="2"/>
      <c r="L1011" s="232">
        <v>41887</v>
      </c>
      <c r="N1011">
        <f t="shared" si="12"/>
        <v>0</v>
      </c>
    </row>
    <row r="1012" spans="1:14" hidden="1">
      <c r="A1012" s="232">
        <v>41888</v>
      </c>
      <c r="B1012" t="s">
        <v>2097</v>
      </c>
      <c r="C1012" t="s">
        <v>2098</v>
      </c>
      <c r="D1012" s="1">
        <v>4400</v>
      </c>
      <c r="E1012" s="1">
        <v>0</v>
      </c>
      <c r="F1012">
        <v>1228587.9099999999</v>
      </c>
      <c r="K1012" s="2"/>
      <c r="L1012" s="232">
        <v>41888</v>
      </c>
      <c r="N1012">
        <f t="shared" si="12"/>
        <v>4400</v>
      </c>
    </row>
    <row r="1013" spans="1:14" hidden="1">
      <c r="A1013" s="232">
        <v>41891</v>
      </c>
      <c r="B1013" t="s">
        <v>1963</v>
      </c>
      <c r="C1013" t="s">
        <v>2099</v>
      </c>
      <c r="D1013" s="1">
        <v>10000</v>
      </c>
      <c r="E1013" s="1">
        <v>0</v>
      </c>
      <c r="F1013">
        <v>1218587.9099999999</v>
      </c>
      <c r="G1013" s="8" t="s">
        <v>1361</v>
      </c>
      <c r="K1013" s="2"/>
      <c r="L1013" s="232">
        <v>41891</v>
      </c>
      <c r="N1013">
        <f t="shared" si="12"/>
        <v>10000</v>
      </c>
    </row>
    <row r="1014" spans="1:14" hidden="1">
      <c r="A1014" s="232">
        <v>41892</v>
      </c>
      <c r="B1014" t="s">
        <v>1938</v>
      </c>
      <c r="C1014" t="s">
        <v>2100</v>
      </c>
      <c r="D1014" s="1">
        <v>2000</v>
      </c>
      <c r="E1014" s="1">
        <v>0</v>
      </c>
      <c r="F1014">
        <v>1216587.9099999999</v>
      </c>
      <c r="G1014" s="8" t="s">
        <v>1372</v>
      </c>
      <c r="K1014" s="2"/>
      <c r="L1014" s="232">
        <v>41892</v>
      </c>
      <c r="N1014">
        <f t="shared" si="12"/>
        <v>2000</v>
      </c>
    </row>
    <row r="1015" spans="1:14" hidden="1">
      <c r="A1015" s="232">
        <v>41897</v>
      </c>
      <c r="B1015" t="s">
        <v>1914</v>
      </c>
      <c r="C1015" t="s">
        <v>2101</v>
      </c>
      <c r="D1015" s="1">
        <v>400000</v>
      </c>
      <c r="E1015" s="1">
        <v>0</v>
      </c>
      <c r="F1015">
        <v>816587.91</v>
      </c>
      <c r="G1015" s="8" t="s">
        <v>1363</v>
      </c>
      <c r="K1015" s="2"/>
      <c r="L1015" s="232">
        <v>41897</v>
      </c>
      <c r="N1015">
        <f t="shared" si="12"/>
        <v>400000</v>
      </c>
    </row>
    <row r="1016" spans="1:14" hidden="1">
      <c r="A1016" s="232">
        <v>41901</v>
      </c>
      <c r="B1016" t="s">
        <v>2102</v>
      </c>
      <c r="C1016" t="s">
        <v>2103</v>
      </c>
      <c r="D1016" s="1">
        <v>120549</v>
      </c>
      <c r="E1016" s="1">
        <v>0</v>
      </c>
      <c r="F1016">
        <v>696038.91</v>
      </c>
      <c r="K1016" s="2"/>
      <c r="L1016" s="232">
        <v>41901</v>
      </c>
      <c r="N1016">
        <f t="shared" si="12"/>
        <v>120549</v>
      </c>
    </row>
    <row r="1017" spans="1:14" hidden="1">
      <c r="A1017" s="232">
        <v>41901</v>
      </c>
      <c r="B1017" t="s">
        <v>2063</v>
      </c>
      <c r="C1017" t="s">
        <v>2104</v>
      </c>
      <c r="D1017" s="1">
        <v>400</v>
      </c>
      <c r="E1017" s="1">
        <v>0</v>
      </c>
      <c r="F1017">
        <v>695638.91</v>
      </c>
      <c r="G1017" s="8" t="s">
        <v>1361</v>
      </c>
      <c r="K1017" s="2"/>
      <c r="L1017" s="232">
        <v>41901</v>
      </c>
      <c r="N1017">
        <f t="shared" si="12"/>
        <v>400</v>
      </c>
    </row>
    <row r="1018" spans="1:14" hidden="1">
      <c r="A1018" s="232">
        <v>41905</v>
      </c>
      <c r="C1018" t="s">
        <v>2105</v>
      </c>
      <c r="D1018" s="1">
        <v>0</v>
      </c>
      <c r="E1018" s="1">
        <v>2122.64</v>
      </c>
      <c r="F1018">
        <v>697761.55</v>
      </c>
      <c r="G1018" s="8" t="s">
        <v>1375</v>
      </c>
      <c r="K1018" s="2"/>
      <c r="L1018" s="232">
        <v>41905</v>
      </c>
      <c r="N1018">
        <f t="shared" si="12"/>
        <v>0</v>
      </c>
    </row>
    <row r="1019" spans="1:14" hidden="1">
      <c r="A1019" s="232">
        <v>41908</v>
      </c>
      <c r="C1019" t="s">
        <v>2106</v>
      </c>
      <c r="D1019" s="1">
        <v>0</v>
      </c>
      <c r="E1019" s="1">
        <v>191102</v>
      </c>
      <c r="F1019">
        <v>888863.55</v>
      </c>
      <c r="G1019" s="8" t="s">
        <v>1380</v>
      </c>
      <c r="K1019" s="2"/>
      <c r="L1019" s="232">
        <v>41908</v>
      </c>
      <c r="N1019">
        <f t="shared" si="12"/>
        <v>0</v>
      </c>
    </row>
    <row r="1020" spans="1:14" hidden="1">
      <c r="A1020" s="232">
        <v>41909</v>
      </c>
      <c r="C1020" t="s">
        <v>2107</v>
      </c>
      <c r="D1020" s="1">
        <v>48134</v>
      </c>
      <c r="E1020" s="1">
        <v>0</v>
      </c>
      <c r="F1020">
        <v>840729.55</v>
      </c>
      <c r="G1020" s="8" t="s">
        <v>1366</v>
      </c>
      <c r="K1020" s="2"/>
      <c r="L1020" s="232">
        <v>41909</v>
      </c>
      <c r="N1020">
        <f t="shared" si="12"/>
        <v>48134</v>
      </c>
    </row>
    <row r="1021" spans="1:14" hidden="1">
      <c r="A1021" s="232">
        <v>41911</v>
      </c>
      <c r="B1021" t="s">
        <v>1938</v>
      </c>
      <c r="C1021" t="s">
        <v>2108</v>
      </c>
      <c r="D1021" s="1">
        <v>2000</v>
      </c>
      <c r="E1021" s="1">
        <v>0</v>
      </c>
      <c r="F1021">
        <v>838729.55</v>
      </c>
      <c r="G1021" s="8" t="s">
        <v>1372</v>
      </c>
      <c r="K1021" s="2"/>
      <c r="L1021" s="232">
        <v>41911</v>
      </c>
      <c r="N1021">
        <f t="shared" si="12"/>
        <v>2000</v>
      </c>
    </row>
    <row r="1022" spans="1:14" hidden="1">
      <c r="A1022" s="232">
        <v>41916</v>
      </c>
      <c r="B1022" t="s">
        <v>1963</v>
      </c>
      <c r="C1022" t="s">
        <v>2109</v>
      </c>
      <c r="D1022" s="1">
        <v>10000</v>
      </c>
      <c r="E1022" s="1">
        <v>0</v>
      </c>
      <c r="F1022">
        <v>828729.55</v>
      </c>
      <c r="G1022" s="8" t="s">
        <v>1361</v>
      </c>
      <c r="K1022" s="2"/>
      <c r="L1022" s="232">
        <v>41916</v>
      </c>
      <c r="N1022">
        <f t="shared" si="12"/>
        <v>10000</v>
      </c>
    </row>
    <row r="1023" spans="1:14" hidden="1">
      <c r="A1023" s="232">
        <v>41918</v>
      </c>
      <c r="B1023" t="s">
        <v>1914</v>
      </c>
      <c r="C1023" t="s">
        <v>2110</v>
      </c>
      <c r="D1023" s="1">
        <v>7817</v>
      </c>
      <c r="E1023" s="1">
        <v>0</v>
      </c>
      <c r="F1023">
        <v>820912.55</v>
      </c>
      <c r="K1023" s="2"/>
      <c r="L1023" s="232">
        <v>41918</v>
      </c>
      <c r="N1023">
        <f t="shared" si="12"/>
        <v>7817</v>
      </c>
    </row>
    <row r="1024" spans="1:14" hidden="1">
      <c r="A1024" s="232">
        <v>41918</v>
      </c>
      <c r="B1024" t="s">
        <v>1914</v>
      </c>
      <c r="C1024" t="s">
        <v>2111</v>
      </c>
      <c r="D1024" s="1">
        <v>500</v>
      </c>
      <c r="E1024" s="1">
        <v>0</v>
      </c>
      <c r="F1024">
        <v>820412.55</v>
      </c>
      <c r="K1024" s="2"/>
      <c r="L1024" s="232">
        <v>41918</v>
      </c>
      <c r="N1024">
        <f t="shared" si="12"/>
        <v>500</v>
      </c>
    </row>
    <row r="1025" spans="1:14" hidden="1">
      <c r="A1025" s="232">
        <v>41922</v>
      </c>
      <c r="B1025" t="s">
        <v>1938</v>
      </c>
      <c r="C1025" t="s">
        <v>2112</v>
      </c>
      <c r="D1025" s="1">
        <v>2000</v>
      </c>
      <c r="E1025" s="1">
        <v>0</v>
      </c>
      <c r="F1025">
        <v>818412.55</v>
      </c>
      <c r="G1025" s="8" t="s">
        <v>1372</v>
      </c>
      <c r="K1025" s="2"/>
      <c r="L1025" s="232">
        <v>41922</v>
      </c>
      <c r="N1025">
        <f t="shared" si="12"/>
        <v>2000</v>
      </c>
    </row>
    <row r="1026" spans="1:14" hidden="1">
      <c r="A1026" s="232">
        <v>41933</v>
      </c>
      <c r="B1026" t="s">
        <v>1914</v>
      </c>
      <c r="C1026" t="s">
        <v>2113</v>
      </c>
      <c r="D1026" s="1">
        <v>800</v>
      </c>
      <c r="E1026" s="1">
        <v>0</v>
      </c>
      <c r="F1026">
        <v>817612.55</v>
      </c>
      <c r="K1026" s="2"/>
      <c r="L1026" s="232">
        <v>41933</v>
      </c>
      <c r="N1026">
        <f t="shared" si="12"/>
        <v>800</v>
      </c>
    </row>
    <row r="1027" spans="1:14" hidden="1">
      <c r="A1027" s="232">
        <v>41934</v>
      </c>
      <c r="C1027" t="s">
        <v>2114</v>
      </c>
      <c r="D1027" s="1">
        <v>0</v>
      </c>
      <c r="E1027" s="1">
        <v>187393</v>
      </c>
      <c r="F1027">
        <v>1005005.55</v>
      </c>
      <c r="G1027" s="8" t="s">
        <v>1380</v>
      </c>
      <c r="K1027" s="2"/>
      <c r="L1027" s="232">
        <v>41934</v>
      </c>
      <c r="N1027">
        <f t="shared" si="12"/>
        <v>0</v>
      </c>
    </row>
    <row r="1028" spans="1:14" hidden="1">
      <c r="A1028" s="232">
        <v>41937</v>
      </c>
      <c r="B1028" t="s">
        <v>1963</v>
      </c>
      <c r="C1028" t="s">
        <v>2115</v>
      </c>
      <c r="D1028" s="1">
        <v>10000</v>
      </c>
      <c r="E1028" s="1">
        <v>0</v>
      </c>
      <c r="F1028">
        <v>995005.55</v>
      </c>
      <c r="G1028" s="8" t="s">
        <v>1361</v>
      </c>
      <c r="K1028" s="2"/>
      <c r="L1028" s="232">
        <v>41937</v>
      </c>
      <c r="N1028">
        <f t="shared" si="12"/>
        <v>10000</v>
      </c>
    </row>
    <row r="1029" spans="1:14" hidden="1">
      <c r="A1029" s="232">
        <v>41939</v>
      </c>
      <c r="C1029" t="s">
        <v>2116</v>
      </c>
      <c r="D1029" s="1">
        <v>48134</v>
      </c>
      <c r="E1029" s="1">
        <v>0</v>
      </c>
      <c r="F1029">
        <v>946871.55</v>
      </c>
      <c r="G1029" s="8" t="s">
        <v>1366</v>
      </c>
      <c r="K1029" s="2"/>
      <c r="L1029" s="232">
        <v>41939</v>
      </c>
      <c r="N1029">
        <f t="shared" si="12"/>
        <v>48134</v>
      </c>
    </row>
    <row r="1030" spans="1:14" hidden="1">
      <c r="A1030" s="232">
        <v>41940</v>
      </c>
      <c r="B1030" t="s">
        <v>1938</v>
      </c>
      <c r="C1030" t="s">
        <v>2117</v>
      </c>
      <c r="D1030" s="1">
        <v>2000</v>
      </c>
      <c r="E1030" s="1">
        <v>0</v>
      </c>
      <c r="F1030">
        <v>944871.55</v>
      </c>
      <c r="G1030" s="8" t="s">
        <v>1372</v>
      </c>
      <c r="K1030" s="2"/>
      <c r="L1030" s="232">
        <v>41940</v>
      </c>
      <c r="N1030">
        <f t="shared" si="12"/>
        <v>2000</v>
      </c>
    </row>
    <row r="1031" spans="1:14" hidden="1">
      <c r="A1031" s="232">
        <v>41941</v>
      </c>
      <c r="B1031" t="s">
        <v>1914</v>
      </c>
      <c r="C1031" t="s">
        <v>2118</v>
      </c>
      <c r="D1031" s="1">
        <v>60</v>
      </c>
      <c r="E1031" s="1">
        <v>0</v>
      </c>
      <c r="F1031">
        <v>944811.55</v>
      </c>
      <c r="K1031" s="2"/>
      <c r="L1031" s="232">
        <v>41941</v>
      </c>
      <c r="N1031">
        <f t="shared" si="12"/>
        <v>60</v>
      </c>
    </row>
    <row r="1032" spans="1:14" hidden="1">
      <c r="A1032" s="232">
        <v>41948</v>
      </c>
      <c r="B1032" t="s">
        <v>1914</v>
      </c>
      <c r="C1032" t="s">
        <v>2119</v>
      </c>
      <c r="D1032" s="1">
        <v>9712</v>
      </c>
      <c r="E1032" s="1">
        <v>0</v>
      </c>
      <c r="F1032">
        <v>935099.55</v>
      </c>
      <c r="K1032" s="2"/>
      <c r="L1032" s="232">
        <v>41948</v>
      </c>
      <c r="N1032">
        <f t="shared" si="12"/>
        <v>9712</v>
      </c>
    </row>
    <row r="1033" spans="1:14" hidden="1">
      <c r="A1033" s="232">
        <v>41949</v>
      </c>
      <c r="B1033" t="s">
        <v>1914</v>
      </c>
      <c r="C1033" t="s">
        <v>2120</v>
      </c>
      <c r="D1033" s="1">
        <v>7817</v>
      </c>
      <c r="E1033" s="1">
        <v>0</v>
      </c>
      <c r="F1033">
        <v>927282.55</v>
      </c>
      <c r="K1033" s="2"/>
      <c r="L1033" s="232">
        <v>41949</v>
      </c>
      <c r="N1033">
        <f t="shared" si="12"/>
        <v>7817</v>
      </c>
    </row>
    <row r="1034" spans="1:14" hidden="1">
      <c r="A1034" s="232">
        <v>41951</v>
      </c>
      <c r="B1034" t="s">
        <v>1914</v>
      </c>
      <c r="C1034" t="s">
        <v>2121</v>
      </c>
      <c r="D1034" s="1">
        <v>728847</v>
      </c>
      <c r="E1034" s="1">
        <v>0</v>
      </c>
      <c r="F1034">
        <v>198435.55</v>
      </c>
      <c r="K1034" s="2"/>
      <c r="L1034" s="232">
        <v>41951</v>
      </c>
      <c r="N1034">
        <f t="shared" si="12"/>
        <v>728847</v>
      </c>
    </row>
    <row r="1035" spans="1:14" hidden="1">
      <c r="A1035" s="232">
        <v>41954</v>
      </c>
      <c r="B1035" t="s">
        <v>2122</v>
      </c>
      <c r="C1035" t="s">
        <v>2123</v>
      </c>
      <c r="D1035" s="1">
        <v>5000</v>
      </c>
      <c r="E1035" s="1">
        <v>0</v>
      </c>
      <c r="F1035">
        <v>193435.55</v>
      </c>
      <c r="K1035" s="2"/>
      <c r="L1035" s="232">
        <v>41954</v>
      </c>
      <c r="N1035">
        <f t="shared" ref="N1035:N1098" si="13">D1035*1</f>
        <v>5000</v>
      </c>
    </row>
    <row r="1036" spans="1:14" hidden="1">
      <c r="A1036" s="232">
        <v>41954</v>
      </c>
      <c r="B1036" t="s">
        <v>1938</v>
      </c>
      <c r="C1036" t="s">
        <v>2124</v>
      </c>
      <c r="D1036" s="1">
        <v>2000</v>
      </c>
      <c r="E1036" s="1">
        <v>0</v>
      </c>
      <c r="F1036">
        <v>191435.55</v>
      </c>
      <c r="G1036" s="8" t="s">
        <v>1372</v>
      </c>
      <c r="K1036" s="2"/>
      <c r="L1036" s="232">
        <v>41954</v>
      </c>
      <c r="N1036">
        <f t="shared" si="13"/>
        <v>2000</v>
      </c>
    </row>
    <row r="1037" spans="1:14" hidden="1">
      <c r="A1037" s="232">
        <v>41960</v>
      </c>
      <c r="B1037" t="s">
        <v>1963</v>
      </c>
      <c r="C1037" t="s">
        <v>2125</v>
      </c>
      <c r="D1037" s="1">
        <v>10000</v>
      </c>
      <c r="E1037" s="1">
        <v>0</v>
      </c>
      <c r="F1037">
        <v>181435.55</v>
      </c>
      <c r="G1037" s="8" t="s">
        <v>1361</v>
      </c>
      <c r="K1037" s="2"/>
      <c r="L1037" s="232">
        <v>41960</v>
      </c>
      <c r="N1037">
        <f t="shared" si="13"/>
        <v>10000</v>
      </c>
    </row>
    <row r="1038" spans="1:14" hidden="1">
      <c r="A1038" s="232">
        <v>41962</v>
      </c>
      <c r="C1038" t="s">
        <v>2043</v>
      </c>
      <c r="D1038" s="1">
        <v>0</v>
      </c>
      <c r="E1038" s="1">
        <v>3384</v>
      </c>
      <c r="F1038">
        <v>184819.55</v>
      </c>
      <c r="G1038" s="8" t="s">
        <v>1380</v>
      </c>
      <c r="K1038" s="2"/>
      <c r="L1038" s="232">
        <v>41962</v>
      </c>
      <c r="N1038">
        <f t="shared" si="13"/>
        <v>0</v>
      </c>
    </row>
    <row r="1039" spans="1:14" hidden="1">
      <c r="A1039" s="232">
        <v>41964</v>
      </c>
      <c r="B1039" t="s">
        <v>1914</v>
      </c>
      <c r="C1039" t="s">
        <v>2126</v>
      </c>
      <c r="D1039" s="1">
        <v>1020.34</v>
      </c>
      <c r="E1039" s="1">
        <v>0</v>
      </c>
      <c r="F1039">
        <v>183799.21</v>
      </c>
      <c r="K1039" s="2"/>
      <c r="L1039" s="232">
        <v>41964</v>
      </c>
      <c r="N1039">
        <f t="shared" si="13"/>
        <v>1020.34</v>
      </c>
    </row>
    <row r="1040" spans="1:14" hidden="1">
      <c r="A1040" s="232">
        <v>41964</v>
      </c>
      <c r="B1040" t="s">
        <v>1914</v>
      </c>
      <c r="C1040" t="s">
        <v>2127</v>
      </c>
      <c r="D1040" s="1">
        <v>41</v>
      </c>
      <c r="E1040" s="1">
        <v>0</v>
      </c>
      <c r="F1040">
        <v>183758.21</v>
      </c>
      <c r="K1040" s="2"/>
      <c r="L1040" s="232">
        <v>41964</v>
      </c>
      <c r="N1040">
        <f t="shared" si="13"/>
        <v>41</v>
      </c>
    </row>
    <row r="1041" spans="1:14" hidden="1">
      <c r="A1041" s="232">
        <v>41969</v>
      </c>
      <c r="C1041" t="s">
        <v>2128</v>
      </c>
      <c r="D1041" s="1">
        <v>0</v>
      </c>
      <c r="E1041" s="1">
        <v>225652</v>
      </c>
      <c r="F1041">
        <v>409410.21</v>
      </c>
      <c r="G1041" s="8" t="s">
        <v>1380</v>
      </c>
      <c r="K1041" s="2"/>
      <c r="L1041" s="232">
        <v>41969</v>
      </c>
      <c r="N1041">
        <f t="shared" si="13"/>
        <v>0</v>
      </c>
    </row>
    <row r="1042" spans="1:14" hidden="1">
      <c r="A1042" s="232">
        <v>41970</v>
      </c>
      <c r="C1042" t="s">
        <v>2129</v>
      </c>
      <c r="D1042" s="1">
        <v>48134</v>
      </c>
      <c r="E1042" s="1">
        <v>0</v>
      </c>
      <c r="F1042">
        <v>361276.21</v>
      </c>
      <c r="G1042" s="8" t="s">
        <v>1366</v>
      </c>
      <c r="K1042" s="2"/>
      <c r="L1042" s="232">
        <v>41970</v>
      </c>
      <c r="N1042">
        <f t="shared" si="13"/>
        <v>48134</v>
      </c>
    </row>
    <row r="1043" spans="1:14" hidden="1">
      <c r="A1043" s="232">
        <v>41971</v>
      </c>
      <c r="B1043" t="s">
        <v>1963</v>
      </c>
      <c r="C1043" t="s">
        <v>2130</v>
      </c>
      <c r="D1043" s="1">
        <v>10000</v>
      </c>
      <c r="E1043" s="1">
        <v>0</v>
      </c>
      <c r="F1043">
        <v>351276.21</v>
      </c>
      <c r="G1043" s="8" t="s">
        <v>1361</v>
      </c>
      <c r="K1043" s="2"/>
      <c r="L1043" s="232">
        <v>41971</v>
      </c>
      <c r="N1043">
        <f t="shared" si="13"/>
        <v>10000</v>
      </c>
    </row>
    <row r="1044" spans="1:14" hidden="1">
      <c r="A1044" s="232">
        <v>41971</v>
      </c>
      <c r="C1044" t="s">
        <v>2131</v>
      </c>
      <c r="D1044" s="1">
        <v>0</v>
      </c>
      <c r="E1044" s="1">
        <v>1411</v>
      </c>
      <c r="F1044">
        <v>352687.21</v>
      </c>
      <c r="G1044" s="8" t="s">
        <v>1380</v>
      </c>
      <c r="K1044" s="2"/>
      <c r="L1044" s="232">
        <v>41971</v>
      </c>
      <c r="N1044">
        <f t="shared" si="13"/>
        <v>0</v>
      </c>
    </row>
    <row r="1045" spans="1:14" hidden="1">
      <c r="A1045" s="232">
        <v>41971</v>
      </c>
      <c r="B1045" t="s">
        <v>1938</v>
      </c>
      <c r="C1045" t="s">
        <v>2132</v>
      </c>
      <c r="D1045" s="1">
        <v>2000</v>
      </c>
      <c r="E1045" s="1">
        <v>0</v>
      </c>
      <c r="F1045">
        <v>350687.21</v>
      </c>
      <c r="G1045" s="8" t="s">
        <v>1372</v>
      </c>
      <c r="K1045" s="2"/>
      <c r="L1045" s="232">
        <v>41971</v>
      </c>
      <c r="N1045">
        <f t="shared" si="13"/>
        <v>2000</v>
      </c>
    </row>
    <row r="1046" spans="1:14" hidden="1">
      <c r="A1046" s="232">
        <v>41975</v>
      </c>
      <c r="B1046" t="s">
        <v>1914</v>
      </c>
      <c r="C1046" t="s">
        <v>2133</v>
      </c>
      <c r="D1046" s="1">
        <v>30000</v>
      </c>
      <c r="E1046" s="1">
        <v>0</v>
      </c>
      <c r="F1046">
        <v>320687.21000000002</v>
      </c>
      <c r="K1046" s="2"/>
      <c r="L1046" s="232">
        <v>41975</v>
      </c>
      <c r="N1046">
        <f t="shared" si="13"/>
        <v>30000</v>
      </c>
    </row>
    <row r="1047" spans="1:14" hidden="1">
      <c r="A1047" s="232">
        <v>41976</v>
      </c>
      <c r="B1047" t="s">
        <v>1914</v>
      </c>
      <c r="C1047" t="s">
        <v>2134</v>
      </c>
      <c r="D1047" s="1">
        <v>2018</v>
      </c>
      <c r="E1047" s="1">
        <v>0</v>
      </c>
      <c r="F1047">
        <v>318669.21000000002</v>
      </c>
      <c r="K1047" s="2"/>
      <c r="L1047" s="232">
        <v>41976</v>
      </c>
      <c r="N1047">
        <f t="shared" si="13"/>
        <v>2018</v>
      </c>
    </row>
    <row r="1048" spans="1:14" hidden="1">
      <c r="A1048" s="232">
        <v>41983</v>
      </c>
      <c r="B1048" t="s">
        <v>1938</v>
      </c>
      <c r="C1048" t="s">
        <v>2135</v>
      </c>
      <c r="D1048" s="1">
        <v>2000</v>
      </c>
      <c r="E1048" s="1">
        <v>0</v>
      </c>
      <c r="F1048">
        <v>316669.21000000002</v>
      </c>
      <c r="G1048" s="8" t="s">
        <v>1372</v>
      </c>
      <c r="K1048" s="2"/>
      <c r="L1048" s="232">
        <v>41983</v>
      </c>
      <c r="N1048">
        <f t="shared" si="13"/>
        <v>2000</v>
      </c>
    </row>
    <row r="1049" spans="1:14" hidden="1">
      <c r="A1049" s="232">
        <v>41995</v>
      </c>
      <c r="B1049" t="s">
        <v>1963</v>
      </c>
      <c r="C1049" t="s">
        <v>2136</v>
      </c>
      <c r="D1049" s="1">
        <v>10000</v>
      </c>
      <c r="E1049" s="1">
        <v>0</v>
      </c>
      <c r="F1049">
        <v>306669.21000000002</v>
      </c>
      <c r="G1049" s="8" t="s">
        <v>1361</v>
      </c>
      <c r="K1049" s="2"/>
      <c r="L1049" s="232">
        <v>41995</v>
      </c>
      <c r="N1049">
        <f t="shared" si="13"/>
        <v>10000</v>
      </c>
    </row>
    <row r="1050" spans="1:14" hidden="1">
      <c r="A1050" s="232">
        <v>41995</v>
      </c>
      <c r="B1050" t="s">
        <v>1963</v>
      </c>
      <c r="C1050" t="s">
        <v>2136</v>
      </c>
      <c r="D1050" s="1">
        <v>10000</v>
      </c>
      <c r="E1050" s="1">
        <v>0</v>
      </c>
      <c r="F1050">
        <v>296669.21000000002</v>
      </c>
      <c r="G1050" s="8" t="s">
        <v>1361</v>
      </c>
      <c r="K1050" s="2"/>
      <c r="L1050" s="232">
        <v>41995</v>
      </c>
      <c r="N1050">
        <f t="shared" si="13"/>
        <v>10000</v>
      </c>
    </row>
    <row r="1051" spans="1:14" hidden="1">
      <c r="A1051" s="232">
        <v>41996</v>
      </c>
      <c r="B1051" t="s">
        <v>1914</v>
      </c>
      <c r="C1051" t="s">
        <v>2137</v>
      </c>
      <c r="D1051" s="1">
        <v>609</v>
      </c>
      <c r="E1051" s="1">
        <v>0</v>
      </c>
      <c r="F1051">
        <v>296060.21000000002</v>
      </c>
      <c r="K1051" s="2"/>
      <c r="L1051" s="232">
        <v>41996</v>
      </c>
      <c r="N1051">
        <f t="shared" si="13"/>
        <v>609</v>
      </c>
    </row>
    <row r="1052" spans="1:14" hidden="1">
      <c r="A1052" s="232">
        <v>41999</v>
      </c>
      <c r="C1052" t="s">
        <v>2138</v>
      </c>
      <c r="D1052" s="1">
        <v>0</v>
      </c>
      <c r="E1052" s="1">
        <v>204764</v>
      </c>
      <c r="F1052">
        <v>500824.21</v>
      </c>
      <c r="G1052" s="8" t="s">
        <v>1380</v>
      </c>
      <c r="K1052" s="2"/>
      <c r="L1052" s="232">
        <v>41999</v>
      </c>
      <c r="N1052">
        <f t="shared" si="13"/>
        <v>0</v>
      </c>
    </row>
    <row r="1053" spans="1:14" hidden="1">
      <c r="A1053" s="232">
        <v>42000</v>
      </c>
      <c r="C1053" t="s">
        <v>2139</v>
      </c>
      <c r="D1053" s="1">
        <v>48134</v>
      </c>
      <c r="E1053" s="1">
        <v>0</v>
      </c>
      <c r="F1053">
        <v>452690.21</v>
      </c>
      <c r="G1053" s="8" t="s">
        <v>1366</v>
      </c>
      <c r="K1053" s="2"/>
      <c r="L1053" s="232">
        <v>42000</v>
      </c>
      <c r="N1053">
        <f t="shared" si="13"/>
        <v>48134</v>
      </c>
    </row>
    <row r="1054" spans="1:14" hidden="1">
      <c r="A1054" s="232">
        <v>42002</v>
      </c>
      <c r="B1054" t="s">
        <v>1938</v>
      </c>
      <c r="C1054" t="s">
        <v>2140</v>
      </c>
      <c r="D1054" s="1">
        <v>2000</v>
      </c>
      <c r="E1054" s="1">
        <v>0</v>
      </c>
      <c r="F1054">
        <v>450690.21</v>
      </c>
      <c r="G1054" s="8" t="s">
        <v>1372</v>
      </c>
      <c r="K1054" s="2"/>
      <c r="L1054" s="232">
        <v>42002</v>
      </c>
      <c r="N1054">
        <f t="shared" si="13"/>
        <v>2000</v>
      </c>
    </row>
    <row r="1055" spans="1:14" hidden="1">
      <c r="A1055" s="232">
        <v>42004</v>
      </c>
      <c r="C1055" t="s">
        <v>2141</v>
      </c>
      <c r="D1055" s="1">
        <v>0</v>
      </c>
      <c r="E1055" s="1">
        <v>16702</v>
      </c>
      <c r="F1055">
        <v>467392.21</v>
      </c>
      <c r="G1055" s="8" t="s">
        <v>1368</v>
      </c>
      <c r="K1055" s="2"/>
      <c r="L1055" s="232">
        <v>42004</v>
      </c>
      <c r="N1055">
        <f t="shared" si="13"/>
        <v>0</v>
      </c>
    </row>
    <row r="1056" spans="1:14" hidden="1">
      <c r="A1056" s="232">
        <v>42009</v>
      </c>
      <c r="B1056" t="s">
        <v>1914</v>
      </c>
      <c r="C1056" t="s">
        <v>2142</v>
      </c>
      <c r="D1056" s="1">
        <v>30142</v>
      </c>
      <c r="E1056" s="1">
        <v>0</v>
      </c>
      <c r="F1056">
        <v>437250.21</v>
      </c>
      <c r="G1056" s="8" t="s">
        <v>1370</v>
      </c>
      <c r="K1056" s="2"/>
      <c r="L1056" s="232">
        <v>42009</v>
      </c>
      <c r="N1056">
        <f t="shared" si="13"/>
        <v>30142</v>
      </c>
    </row>
    <row r="1057" spans="1:14" hidden="1">
      <c r="A1057" s="232">
        <v>42009</v>
      </c>
      <c r="B1057" t="s">
        <v>1914</v>
      </c>
      <c r="C1057" t="s">
        <v>2143</v>
      </c>
      <c r="D1057" s="1">
        <v>6437</v>
      </c>
      <c r="E1057" s="1">
        <v>0</v>
      </c>
      <c r="F1057">
        <v>430813.21</v>
      </c>
      <c r="K1057" s="2"/>
      <c r="L1057" s="232">
        <v>42009</v>
      </c>
      <c r="N1057">
        <f t="shared" si="13"/>
        <v>6437</v>
      </c>
    </row>
    <row r="1058" spans="1:14" hidden="1">
      <c r="A1058" s="232">
        <v>42011</v>
      </c>
      <c r="B1058" t="s">
        <v>2063</v>
      </c>
      <c r="C1058" t="s">
        <v>2144</v>
      </c>
      <c r="D1058" s="1">
        <v>5000</v>
      </c>
      <c r="E1058" s="1">
        <v>0</v>
      </c>
      <c r="F1058">
        <v>425813.21</v>
      </c>
      <c r="G1058" s="8" t="s">
        <v>1361</v>
      </c>
      <c r="K1058" s="2"/>
      <c r="L1058" s="232">
        <v>42011</v>
      </c>
      <c r="N1058">
        <f t="shared" si="13"/>
        <v>5000</v>
      </c>
    </row>
    <row r="1059" spans="1:14" hidden="1">
      <c r="A1059" s="232">
        <v>42013</v>
      </c>
      <c r="B1059" t="s">
        <v>2063</v>
      </c>
      <c r="C1059" t="s">
        <v>2145</v>
      </c>
      <c r="D1059" s="1">
        <v>4000</v>
      </c>
      <c r="E1059" s="1">
        <v>0</v>
      </c>
      <c r="F1059">
        <v>421813.21</v>
      </c>
      <c r="G1059" s="8" t="s">
        <v>1361</v>
      </c>
      <c r="K1059" s="2"/>
      <c r="L1059" s="232">
        <v>42013</v>
      </c>
      <c r="N1059">
        <f t="shared" si="13"/>
        <v>4000</v>
      </c>
    </row>
    <row r="1060" spans="1:14" hidden="1">
      <c r="A1060" s="232">
        <v>42014</v>
      </c>
      <c r="B1060" t="s">
        <v>1938</v>
      </c>
      <c r="C1060" t="s">
        <v>2146</v>
      </c>
      <c r="D1060" s="1">
        <v>2000</v>
      </c>
      <c r="E1060" s="1">
        <v>0</v>
      </c>
      <c r="F1060">
        <v>419813.21</v>
      </c>
      <c r="G1060" s="8" t="s">
        <v>1372</v>
      </c>
      <c r="K1060" s="2"/>
      <c r="L1060" s="232">
        <v>42014</v>
      </c>
      <c r="N1060">
        <f t="shared" si="13"/>
        <v>2000</v>
      </c>
    </row>
    <row r="1061" spans="1:14" hidden="1">
      <c r="A1061" s="232">
        <v>42027</v>
      </c>
      <c r="B1061" t="s">
        <v>1914</v>
      </c>
      <c r="C1061" t="s">
        <v>2147</v>
      </c>
      <c r="D1061" s="1">
        <v>711</v>
      </c>
      <c r="E1061" s="1">
        <v>0</v>
      </c>
      <c r="F1061">
        <v>419102.21</v>
      </c>
      <c r="K1061" s="2"/>
      <c r="L1061" s="232">
        <v>42027</v>
      </c>
      <c r="N1061">
        <f t="shared" si="13"/>
        <v>711</v>
      </c>
    </row>
    <row r="1062" spans="1:14" hidden="1">
      <c r="A1062" s="232">
        <v>42027</v>
      </c>
      <c r="B1062" t="s">
        <v>1914</v>
      </c>
      <c r="C1062" t="s">
        <v>2148</v>
      </c>
      <c r="D1062" s="1">
        <v>1000</v>
      </c>
      <c r="E1062" s="1">
        <v>0</v>
      </c>
      <c r="F1062">
        <v>418102.21</v>
      </c>
      <c r="K1062" s="2"/>
      <c r="L1062" s="232">
        <v>42027</v>
      </c>
      <c r="N1062">
        <f t="shared" si="13"/>
        <v>1000</v>
      </c>
    </row>
    <row r="1063" spans="1:14" hidden="1">
      <c r="A1063" s="232">
        <v>42028</v>
      </c>
      <c r="C1063" t="s">
        <v>2149</v>
      </c>
      <c r="D1063" s="1">
        <v>40000</v>
      </c>
      <c r="E1063" s="1">
        <v>0</v>
      </c>
      <c r="F1063">
        <v>378102.21</v>
      </c>
      <c r="G1063" s="8" t="s">
        <v>1379</v>
      </c>
      <c r="K1063" s="2"/>
      <c r="L1063" s="232">
        <v>42028</v>
      </c>
      <c r="N1063">
        <f t="shared" si="13"/>
        <v>40000</v>
      </c>
    </row>
    <row r="1064" spans="1:14" hidden="1">
      <c r="A1064" s="232">
        <v>42031</v>
      </c>
      <c r="C1064" t="s">
        <v>2150</v>
      </c>
      <c r="D1064" s="1">
        <v>48134</v>
      </c>
      <c r="E1064" s="1">
        <v>0</v>
      </c>
      <c r="F1064">
        <v>329968.21000000002</v>
      </c>
      <c r="G1064" s="8" t="s">
        <v>1366</v>
      </c>
      <c r="K1064" s="2"/>
      <c r="L1064" s="232">
        <v>42031</v>
      </c>
      <c r="N1064">
        <f t="shared" si="13"/>
        <v>48134</v>
      </c>
    </row>
    <row r="1065" spans="1:14" hidden="1">
      <c r="A1065" s="232">
        <v>42032</v>
      </c>
      <c r="C1065" t="s">
        <v>2151</v>
      </c>
      <c r="D1065" s="1">
        <v>0</v>
      </c>
      <c r="E1065" s="1">
        <v>191102</v>
      </c>
      <c r="F1065">
        <v>521070.21</v>
      </c>
      <c r="G1065" s="8" t="s">
        <v>1380</v>
      </c>
      <c r="K1065" s="2"/>
      <c r="L1065" s="232">
        <v>42032</v>
      </c>
      <c r="N1065">
        <f t="shared" si="13"/>
        <v>0</v>
      </c>
    </row>
    <row r="1066" spans="1:14" hidden="1">
      <c r="A1066" s="232">
        <v>42032</v>
      </c>
      <c r="B1066" t="s">
        <v>1938</v>
      </c>
      <c r="C1066" t="s">
        <v>2152</v>
      </c>
      <c r="D1066" s="1">
        <v>2000</v>
      </c>
      <c r="E1066" s="1">
        <v>0</v>
      </c>
      <c r="F1066">
        <v>519070.21</v>
      </c>
      <c r="G1066" s="8" t="s">
        <v>1372</v>
      </c>
      <c r="K1066" s="2"/>
      <c r="L1066" s="232">
        <v>42032</v>
      </c>
      <c r="N1066">
        <f t="shared" si="13"/>
        <v>2000</v>
      </c>
    </row>
    <row r="1067" spans="1:14" hidden="1">
      <c r="A1067" s="232">
        <v>42034</v>
      </c>
      <c r="B1067" t="s">
        <v>2063</v>
      </c>
      <c r="C1067" t="s">
        <v>2153</v>
      </c>
      <c r="D1067" s="1">
        <v>5000</v>
      </c>
      <c r="E1067" s="1">
        <v>0</v>
      </c>
      <c r="F1067">
        <v>514070.21</v>
      </c>
      <c r="G1067" s="8" t="s">
        <v>1361</v>
      </c>
      <c r="K1067" s="2"/>
      <c r="L1067" s="232">
        <v>42034</v>
      </c>
      <c r="N1067">
        <f t="shared" si="13"/>
        <v>5000</v>
      </c>
    </row>
    <row r="1068" spans="1:14" hidden="1">
      <c r="A1068" s="232">
        <v>42037</v>
      </c>
      <c r="C1068" t="s">
        <v>2154</v>
      </c>
      <c r="D1068" s="1">
        <v>40000</v>
      </c>
      <c r="E1068" s="1">
        <v>0</v>
      </c>
      <c r="F1068">
        <v>474070.21</v>
      </c>
      <c r="G1068" s="8" t="s">
        <v>1379</v>
      </c>
      <c r="K1068" s="2"/>
      <c r="L1068" s="232">
        <v>42037</v>
      </c>
      <c r="N1068">
        <f t="shared" si="13"/>
        <v>40000</v>
      </c>
    </row>
    <row r="1069" spans="1:14" hidden="1">
      <c r="A1069" s="232">
        <v>42039</v>
      </c>
      <c r="C1069" t="s">
        <v>2155</v>
      </c>
      <c r="D1069" s="1">
        <v>25000</v>
      </c>
      <c r="E1069" s="1">
        <v>0</v>
      </c>
      <c r="F1069">
        <v>449070.21</v>
      </c>
      <c r="G1069" s="8" t="s">
        <v>1379</v>
      </c>
      <c r="K1069" s="2"/>
      <c r="L1069" s="232">
        <v>42039</v>
      </c>
      <c r="N1069">
        <f t="shared" si="13"/>
        <v>25000</v>
      </c>
    </row>
    <row r="1070" spans="1:14" hidden="1">
      <c r="A1070" s="232">
        <v>42044</v>
      </c>
      <c r="B1070" t="s">
        <v>2156</v>
      </c>
      <c r="C1070" t="s">
        <v>2157</v>
      </c>
      <c r="D1070" s="1">
        <v>6140</v>
      </c>
      <c r="E1070" s="1">
        <v>0</v>
      </c>
      <c r="F1070">
        <v>442930.21</v>
      </c>
      <c r="K1070" s="2"/>
      <c r="L1070" s="232">
        <v>42044</v>
      </c>
      <c r="N1070">
        <f t="shared" si="13"/>
        <v>6140</v>
      </c>
    </row>
    <row r="1071" spans="1:14" hidden="1">
      <c r="A1071" s="232">
        <v>42045</v>
      </c>
      <c r="B1071" t="s">
        <v>1938</v>
      </c>
      <c r="C1071" t="s">
        <v>2158</v>
      </c>
      <c r="D1071" s="1">
        <v>2000</v>
      </c>
      <c r="E1071" s="1">
        <v>0</v>
      </c>
      <c r="F1071">
        <v>440930.21</v>
      </c>
      <c r="G1071" s="8" t="s">
        <v>1372</v>
      </c>
      <c r="K1071" s="2"/>
      <c r="L1071" s="232">
        <v>42045</v>
      </c>
      <c r="N1071">
        <f t="shared" si="13"/>
        <v>2000</v>
      </c>
    </row>
    <row r="1072" spans="1:14" hidden="1">
      <c r="A1072" s="232">
        <v>42051</v>
      </c>
      <c r="B1072" t="s">
        <v>2159</v>
      </c>
      <c r="C1072" t="s">
        <v>2160</v>
      </c>
      <c r="D1072" s="1">
        <v>0</v>
      </c>
      <c r="E1072" s="1">
        <v>2383.5100000000002</v>
      </c>
      <c r="F1072">
        <v>443313.72</v>
      </c>
      <c r="G1072" s="8" t="s">
        <v>1380</v>
      </c>
      <c r="K1072" s="2"/>
      <c r="L1072" s="232">
        <v>42051</v>
      </c>
      <c r="N1072">
        <f t="shared" si="13"/>
        <v>0</v>
      </c>
    </row>
    <row r="1073" spans="1:14" hidden="1">
      <c r="A1073" s="232">
        <v>42051</v>
      </c>
      <c r="B1073" t="s">
        <v>2063</v>
      </c>
      <c r="C1073" t="s">
        <v>2161</v>
      </c>
      <c r="D1073" s="1">
        <v>5000</v>
      </c>
      <c r="E1073" s="1">
        <v>0</v>
      </c>
      <c r="F1073">
        <v>438313.72</v>
      </c>
      <c r="G1073" s="8" t="s">
        <v>1361</v>
      </c>
      <c r="K1073" s="2"/>
      <c r="L1073" s="232">
        <v>42051</v>
      </c>
      <c r="N1073">
        <f t="shared" si="13"/>
        <v>5000</v>
      </c>
    </row>
    <row r="1074" spans="1:14" hidden="1">
      <c r="A1074" s="232">
        <v>42054</v>
      </c>
      <c r="B1074" t="s">
        <v>2063</v>
      </c>
      <c r="C1074" t="s">
        <v>2162</v>
      </c>
      <c r="D1074" s="1">
        <v>7000</v>
      </c>
      <c r="E1074" s="1">
        <v>0</v>
      </c>
      <c r="F1074">
        <v>431313.72</v>
      </c>
      <c r="G1074" s="8" t="s">
        <v>1361</v>
      </c>
      <c r="K1074" s="2"/>
      <c r="L1074" s="232">
        <v>42054</v>
      </c>
      <c r="N1074">
        <f t="shared" si="13"/>
        <v>7000</v>
      </c>
    </row>
    <row r="1075" spans="1:14" hidden="1">
      <c r="A1075" s="232">
        <v>42058</v>
      </c>
      <c r="B1075" t="s">
        <v>1914</v>
      </c>
      <c r="C1075" t="s">
        <v>2163</v>
      </c>
      <c r="D1075" s="1">
        <v>1000</v>
      </c>
      <c r="E1075" s="1">
        <v>0</v>
      </c>
      <c r="F1075">
        <v>430313.72</v>
      </c>
      <c r="K1075" s="2"/>
      <c r="L1075" s="232">
        <v>42058</v>
      </c>
      <c r="N1075">
        <f t="shared" si="13"/>
        <v>1000</v>
      </c>
    </row>
    <row r="1076" spans="1:14" hidden="1">
      <c r="A1076" s="232">
        <v>42059</v>
      </c>
      <c r="B1076" t="s">
        <v>1963</v>
      </c>
      <c r="C1076" t="s">
        <v>2164</v>
      </c>
      <c r="D1076" s="1">
        <v>400</v>
      </c>
      <c r="E1076" s="1">
        <v>0</v>
      </c>
      <c r="F1076">
        <v>429913.72</v>
      </c>
      <c r="G1076" s="8" t="s">
        <v>1361</v>
      </c>
      <c r="K1076" s="2"/>
      <c r="L1076" s="232">
        <v>42059</v>
      </c>
      <c r="N1076">
        <f t="shared" si="13"/>
        <v>400</v>
      </c>
    </row>
    <row r="1077" spans="1:14" hidden="1">
      <c r="A1077" s="232">
        <v>42062</v>
      </c>
      <c r="C1077" t="s">
        <v>2165</v>
      </c>
      <c r="D1077" s="1">
        <v>0</v>
      </c>
      <c r="E1077" s="1">
        <v>191101</v>
      </c>
      <c r="F1077">
        <v>621014.72</v>
      </c>
      <c r="G1077" s="8" t="s">
        <v>1380</v>
      </c>
      <c r="K1077" s="2"/>
      <c r="L1077" s="232">
        <v>42062</v>
      </c>
      <c r="N1077">
        <f t="shared" si="13"/>
        <v>0</v>
      </c>
    </row>
    <row r="1078" spans="1:14" hidden="1">
      <c r="A1078" s="232">
        <v>42062</v>
      </c>
      <c r="C1078" t="s">
        <v>2166</v>
      </c>
      <c r="D1078" s="1">
        <v>48134</v>
      </c>
      <c r="E1078" s="1">
        <v>0</v>
      </c>
      <c r="F1078">
        <v>572880.72</v>
      </c>
      <c r="G1078" s="8" t="s">
        <v>1366</v>
      </c>
      <c r="K1078" s="2"/>
      <c r="L1078" s="232">
        <v>42062</v>
      </c>
      <c r="N1078">
        <f t="shared" si="13"/>
        <v>48134</v>
      </c>
    </row>
    <row r="1079" spans="1:14" hidden="1">
      <c r="A1079" s="232">
        <v>42063</v>
      </c>
      <c r="B1079" t="s">
        <v>1938</v>
      </c>
      <c r="C1079" t="s">
        <v>2167</v>
      </c>
      <c r="D1079" s="1">
        <v>2000</v>
      </c>
      <c r="E1079" s="1">
        <v>0</v>
      </c>
      <c r="F1079">
        <v>570880.72</v>
      </c>
      <c r="G1079" s="8" t="s">
        <v>1372</v>
      </c>
      <c r="K1079" s="2"/>
      <c r="L1079" s="232">
        <v>42063</v>
      </c>
      <c r="N1079">
        <f t="shared" si="13"/>
        <v>2000</v>
      </c>
    </row>
    <row r="1080" spans="1:14" hidden="1">
      <c r="A1080" s="232">
        <v>42065</v>
      </c>
      <c r="C1080" t="s">
        <v>2154</v>
      </c>
      <c r="D1080" s="1">
        <v>40000</v>
      </c>
      <c r="E1080" s="1">
        <v>0</v>
      </c>
      <c r="F1080">
        <v>530880.72</v>
      </c>
      <c r="G1080" s="8" t="s">
        <v>1379</v>
      </c>
      <c r="K1080" s="2"/>
      <c r="L1080" s="232">
        <v>42065</v>
      </c>
      <c r="N1080">
        <f t="shared" si="13"/>
        <v>40000</v>
      </c>
    </row>
    <row r="1081" spans="1:14" hidden="1">
      <c r="A1081" s="232">
        <v>42068</v>
      </c>
      <c r="C1081" t="s">
        <v>2168</v>
      </c>
      <c r="D1081" s="1">
        <v>0</v>
      </c>
      <c r="E1081" s="1">
        <v>3033</v>
      </c>
      <c r="F1081">
        <v>533913.72</v>
      </c>
      <c r="G1081" s="8" t="s">
        <v>1380</v>
      </c>
      <c r="K1081" s="2"/>
      <c r="L1081" s="232">
        <v>42068</v>
      </c>
      <c r="N1081">
        <f t="shared" si="13"/>
        <v>0</v>
      </c>
    </row>
    <row r="1082" spans="1:14" hidden="1">
      <c r="A1082" s="232">
        <v>42072</v>
      </c>
      <c r="B1082" t="s">
        <v>2159</v>
      </c>
      <c r="C1082" t="s">
        <v>2169</v>
      </c>
      <c r="D1082" s="1">
        <v>0</v>
      </c>
      <c r="E1082" s="1">
        <v>4041.1</v>
      </c>
      <c r="F1082">
        <v>537954.81999999995</v>
      </c>
      <c r="G1082" s="8" t="s">
        <v>1380</v>
      </c>
      <c r="K1082" s="2"/>
      <c r="L1082" s="232">
        <v>42072</v>
      </c>
      <c r="N1082">
        <f t="shared" si="13"/>
        <v>0</v>
      </c>
    </row>
    <row r="1083" spans="1:14" hidden="1">
      <c r="A1083" s="232">
        <v>42073</v>
      </c>
      <c r="B1083" t="s">
        <v>1938</v>
      </c>
      <c r="C1083" t="s">
        <v>2170</v>
      </c>
      <c r="D1083" s="1">
        <v>2000</v>
      </c>
      <c r="E1083" s="1">
        <v>0</v>
      </c>
      <c r="F1083">
        <v>535954.81999999995</v>
      </c>
      <c r="G1083" s="8" t="s">
        <v>1372</v>
      </c>
      <c r="K1083" s="2"/>
      <c r="L1083" s="232">
        <v>42073</v>
      </c>
      <c r="N1083">
        <f t="shared" si="13"/>
        <v>2000</v>
      </c>
    </row>
    <row r="1084" spans="1:14" hidden="1">
      <c r="A1084" s="232">
        <v>42079</v>
      </c>
      <c r="C1084" t="s">
        <v>2171</v>
      </c>
      <c r="D1084" s="1">
        <v>25000</v>
      </c>
      <c r="E1084" s="1">
        <v>0</v>
      </c>
      <c r="F1084">
        <v>510954.82</v>
      </c>
      <c r="G1084" s="8" t="s">
        <v>1379</v>
      </c>
      <c r="K1084" s="2"/>
      <c r="L1084" s="232">
        <v>42079</v>
      </c>
      <c r="N1084">
        <f t="shared" si="13"/>
        <v>25000</v>
      </c>
    </row>
    <row r="1085" spans="1:14" hidden="1">
      <c r="A1085" s="232">
        <v>42081</v>
      </c>
      <c r="B1085" t="s">
        <v>1963</v>
      </c>
      <c r="C1085" t="s">
        <v>2172</v>
      </c>
      <c r="D1085" s="1">
        <v>10000</v>
      </c>
      <c r="E1085" s="1">
        <v>0</v>
      </c>
      <c r="F1085">
        <v>500954.82</v>
      </c>
      <c r="G1085" s="8" t="s">
        <v>1361</v>
      </c>
      <c r="K1085" s="2"/>
      <c r="L1085" s="232">
        <v>42081</v>
      </c>
      <c r="N1085">
        <f t="shared" si="13"/>
        <v>10000</v>
      </c>
    </row>
    <row r="1086" spans="1:14" hidden="1">
      <c r="A1086" s="232">
        <v>42081</v>
      </c>
      <c r="B1086" t="s">
        <v>1963</v>
      </c>
      <c r="C1086" t="s">
        <v>2172</v>
      </c>
      <c r="D1086" s="1">
        <v>5000</v>
      </c>
      <c r="E1086" s="1">
        <v>0</v>
      </c>
      <c r="F1086">
        <v>495954.82</v>
      </c>
      <c r="G1086" s="8" t="s">
        <v>1361</v>
      </c>
      <c r="K1086" s="2"/>
      <c r="L1086" s="232">
        <v>42081</v>
      </c>
      <c r="N1086">
        <f t="shared" si="13"/>
        <v>5000</v>
      </c>
    </row>
    <row r="1087" spans="1:14" hidden="1">
      <c r="A1087" s="232">
        <v>42082</v>
      </c>
      <c r="C1087" t="s">
        <v>2173</v>
      </c>
      <c r="D1087" s="1">
        <v>0</v>
      </c>
      <c r="E1087" s="1">
        <v>478.18</v>
      </c>
      <c r="F1087">
        <v>496433</v>
      </c>
      <c r="G1087" s="8" t="s">
        <v>1375</v>
      </c>
      <c r="K1087" s="2"/>
      <c r="L1087" s="232">
        <v>42082</v>
      </c>
      <c r="N1087">
        <f t="shared" si="13"/>
        <v>0</v>
      </c>
    </row>
    <row r="1088" spans="1:14" hidden="1">
      <c r="A1088" s="232">
        <v>42086</v>
      </c>
      <c r="B1088" t="s">
        <v>1963</v>
      </c>
      <c r="C1088" t="s">
        <v>2174</v>
      </c>
      <c r="D1088" s="1">
        <v>10000</v>
      </c>
      <c r="E1088" s="1">
        <v>0</v>
      </c>
      <c r="F1088">
        <v>486433</v>
      </c>
      <c r="G1088" s="8" t="s">
        <v>1361</v>
      </c>
      <c r="K1088" s="2"/>
      <c r="L1088" s="232">
        <v>42086</v>
      </c>
      <c r="N1088">
        <f t="shared" si="13"/>
        <v>10000</v>
      </c>
    </row>
    <row r="1089" spans="1:14" hidden="1">
      <c r="A1089" s="232">
        <v>42087</v>
      </c>
      <c r="C1089" t="s">
        <v>2175</v>
      </c>
      <c r="D1089" s="1">
        <v>0</v>
      </c>
      <c r="E1089" s="1">
        <v>95349</v>
      </c>
      <c r="F1089">
        <v>581782</v>
      </c>
      <c r="G1089" s="8" t="s">
        <v>1380</v>
      </c>
      <c r="K1089" s="2"/>
      <c r="L1089" s="232">
        <v>42087</v>
      </c>
      <c r="N1089">
        <f t="shared" si="13"/>
        <v>0</v>
      </c>
    </row>
    <row r="1090" spans="1:14" hidden="1">
      <c r="A1090" s="232">
        <v>42088</v>
      </c>
      <c r="B1090" t="s">
        <v>1914</v>
      </c>
      <c r="C1090" t="s">
        <v>2176</v>
      </c>
      <c r="D1090" s="1">
        <v>1500</v>
      </c>
      <c r="E1090" s="1">
        <v>0</v>
      </c>
      <c r="F1090">
        <v>580282</v>
      </c>
      <c r="K1090" s="2"/>
      <c r="L1090" s="232">
        <v>42088</v>
      </c>
      <c r="N1090">
        <f t="shared" si="13"/>
        <v>1500</v>
      </c>
    </row>
    <row r="1091" spans="1:14" hidden="1">
      <c r="A1091" s="232">
        <v>42090</v>
      </c>
      <c r="C1091" t="s">
        <v>2177</v>
      </c>
      <c r="D1091" s="1">
        <v>48134</v>
      </c>
      <c r="E1091" s="1">
        <v>0</v>
      </c>
      <c r="F1091">
        <v>532148</v>
      </c>
      <c r="G1091" s="8" t="s">
        <v>1366</v>
      </c>
      <c r="K1091" s="2"/>
      <c r="L1091" s="232">
        <v>42090</v>
      </c>
      <c r="N1091">
        <f t="shared" si="13"/>
        <v>48134</v>
      </c>
    </row>
    <row r="1092" spans="1:14" hidden="1">
      <c r="A1092" s="232">
        <v>42091</v>
      </c>
      <c r="B1092" t="s">
        <v>1938</v>
      </c>
      <c r="C1092" t="s">
        <v>2178</v>
      </c>
      <c r="D1092" s="1">
        <v>2000</v>
      </c>
      <c r="E1092" s="1">
        <v>0</v>
      </c>
      <c r="F1092">
        <v>530148</v>
      </c>
      <c r="G1092" s="8" t="s">
        <v>1372</v>
      </c>
      <c r="K1092" s="2"/>
      <c r="L1092" s="232">
        <v>42091</v>
      </c>
      <c r="N1092">
        <f t="shared" si="13"/>
        <v>2000</v>
      </c>
    </row>
    <row r="1093" spans="1:14" hidden="1">
      <c r="A1093" s="232">
        <v>42093</v>
      </c>
      <c r="C1093" t="s">
        <v>2179</v>
      </c>
      <c r="D1093" s="1">
        <v>0</v>
      </c>
      <c r="E1093" s="1">
        <v>715997</v>
      </c>
      <c r="F1093">
        <v>1246145</v>
      </c>
      <c r="G1093" s="8" t="s">
        <v>1380</v>
      </c>
      <c r="K1093" s="2"/>
      <c r="L1093" s="232">
        <v>42093</v>
      </c>
      <c r="N1093">
        <f t="shared" si="13"/>
        <v>0</v>
      </c>
    </row>
    <row r="1094" spans="1:14" hidden="1">
      <c r="A1094" s="232">
        <v>42095</v>
      </c>
      <c r="C1094" t="s">
        <v>1865</v>
      </c>
      <c r="D1094" s="1">
        <v>0</v>
      </c>
      <c r="E1094" s="1">
        <v>0</v>
      </c>
      <c r="F1094">
        <v>1246145</v>
      </c>
      <c r="K1094" s="2"/>
      <c r="L1094" s="232">
        <v>42095</v>
      </c>
      <c r="N1094">
        <f t="shared" si="13"/>
        <v>0</v>
      </c>
    </row>
    <row r="1095" spans="1:14" hidden="1">
      <c r="A1095" s="232">
        <v>42096</v>
      </c>
      <c r="B1095" t="s">
        <v>1914</v>
      </c>
      <c r="C1095" t="s">
        <v>2180</v>
      </c>
      <c r="D1095" s="1">
        <v>300000</v>
      </c>
      <c r="E1095" s="1">
        <v>0</v>
      </c>
      <c r="F1095">
        <v>946145</v>
      </c>
      <c r="G1095" s="8" t="s">
        <v>1363</v>
      </c>
      <c r="K1095" s="2"/>
      <c r="L1095" s="232">
        <v>42096</v>
      </c>
      <c r="N1095">
        <f t="shared" si="13"/>
        <v>300000</v>
      </c>
    </row>
    <row r="1096" spans="1:14" hidden="1">
      <c r="A1096" s="232">
        <v>42096</v>
      </c>
      <c r="C1096" t="s">
        <v>2181</v>
      </c>
      <c r="D1096" s="1">
        <v>0</v>
      </c>
      <c r="E1096" s="1">
        <v>711.44</v>
      </c>
      <c r="F1096">
        <v>946856.44</v>
      </c>
      <c r="G1096" s="8" t="s">
        <v>1360</v>
      </c>
      <c r="K1096" s="2"/>
      <c r="L1096" s="232">
        <v>42096</v>
      </c>
      <c r="N1096">
        <f t="shared" si="13"/>
        <v>0</v>
      </c>
    </row>
    <row r="1097" spans="1:14" hidden="1">
      <c r="A1097" s="232">
        <v>42096</v>
      </c>
      <c r="C1097" t="s">
        <v>2154</v>
      </c>
      <c r="D1097" s="1">
        <v>40000</v>
      </c>
      <c r="E1097" s="1">
        <v>0</v>
      </c>
      <c r="F1097">
        <v>906856.44</v>
      </c>
      <c r="G1097" s="8" t="s">
        <v>1379</v>
      </c>
      <c r="K1097" s="2"/>
      <c r="L1097" s="232">
        <v>42096</v>
      </c>
      <c r="N1097">
        <f t="shared" si="13"/>
        <v>40000</v>
      </c>
    </row>
    <row r="1098" spans="1:14" hidden="1">
      <c r="A1098" s="232">
        <v>42103</v>
      </c>
      <c r="C1098" t="s">
        <v>2182</v>
      </c>
      <c r="D1098" s="1">
        <v>0</v>
      </c>
      <c r="E1098" s="1">
        <v>1211</v>
      </c>
      <c r="F1098">
        <v>908067.44</v>
      </c>
      <c r="G1098" s="8" t="s">
        <v>1380</v>
      </c>
      <c r="K1098" s="2"/>
      <c r="L1098" s="232">
        <v>42103</v>
      </c>
      <c r="N1098">
        <f t="shared" si="13"/>
        <v>0</v>
      </c>
    </row>
    <row r="1099" spans="1:14" hidden="1">
      <c r="A1099" s="232">
        <v>42104</v>
      </c>
      <c r="B1099" t="s">
        <v>1938</v>
      </c>
      <c r="C1099" t="s">
        <v>2183</v>
      </c>
      <c r="D1099" s="1">
        <v>2000</v>
      </c>
      <c r="E1099" s="1">
        <v>0</v>
      </c>
      <c r="F1099">
        <v>906067.44</v>
      </c>
      <c r="G1099" s="8" t="s">
        <v>1372</v>
      </c>
      <c r="K1099" s="2"/>
      <c r="L1099" s="232">
        <v>42104</v>
      </c>
      <c r="N1099">
        <f t="shared" ref="N1099:N1162" si="14">D1099*1</f>
        <v>2000</v>
      </c>
    </row>
    <row r="1100" spans="1:14" hidden="1">
      <c r="A1100" s="232">
        <v>42109</v>
      </c>
      <c r="C1100" t="s">
        <v>2171</v>
      </c>
      <c r="D1100" s="1">
        <v>25000</v>
      </c>
      <c r="E1100" s="1">
        <v>0</v>
      </c>
      <c r="F1100">
        <v>881067.44</v>
      </c>
      <c r="G1100" s="8" t="s">
        <v>1379</v>
      </c>
      <c r="K1100" s="2"/>
      <c r="L1100" s="232">
        <v>42109</v>
      </c>
      <c r="N1100">
        <f t="shared" si="14"/>
        <v>25000</v>
      </c>
    </row>
    <row r="1101" spans="1:14" hidden="1">
      <c r="A1101" s="232">
        <v>42118</v>
      </c>
      <c r="B1101" t="s">
        <v>1914</v>
      </c>
      <c r="C1101" t="s">
        <v>2184</v>
      </c>
      <c r="D1101" s="1">
        <v>1500</v>
      </c>
      <c r="E1101" s="1">
        <v>0</v>
      </c>
      <c r="F1101">
        <v>879567.44</v>
      </c>
      <c r="K1101" s="2"/>
      <c r="L1101" s="232">
        <v>42118</v>
      </c>
      <c r="N1101">
        <f t="shared" si="14"/>
        <v>1500</v>
      </c>
    </row>
    <row r="1102" spans="1:14" hidden="1">
      <c r="A1102" s="232">
        <v>42118</v>
      </c>
      <c r="B1102" t="s">
        <v>1914</v>
      </c>
      <c r="C1102" t="s">
        <v>2185</v>
      </c>
      <c r="D1102" s="1">
        <v>368.49</v>
      </c>
      <c r="E1102" s="1">
        <v>0</v>
      </c>
      <c r="F1102">
        <v>879198.95</v>
      </c>
      <c r="K1102" s="2"/>
      <c r="L1102" s="232">
        <v>42118</v>
      </c>
      <c r="N1102">
        <f t="shared" si="14"/>
        <v>368.49</v>
      </c>
    </row>
    <row r="1103" spans="1:14" hidden="1">
      <c r="A1103" s="232">
        <v>42121</v>
      </c>
      <c r="C1103" t="s">
        <v>2186</v>
      </c>
      <c r="D1103" s="1">
        <v>48134</v>
      </c>
      <c r="E1103" s="1">
        <v>0</v>
      </c>
      <c r="F1103">
        <v>831064.95</v>
      </c>
      <c r="G1103" s="8" t="s">
        <v>1366</v>
      </c>
      <c r="K1103" s="2"/>
      <c r="L1103" s="232">
        <v>42121</v>
      </c>
      <c r="N1103">
        <f t="shared" si="14"/>
        <v>48134</v>
      </c>
    </row>
    <row r="1104" spans="1:14" hidden="1">
      <c r="A1104" s="232">
        <v>42121</v>
      </c>
      <c r="C1104" t="s">
        <v>2187</v>
      </c>
      <c r="D1104" s="1">
        <v>0</v>
      </c>
      <c r="E1104" s="1">
        <v>285030</v>
      </c>
      <c r="F1104">
        <v>1116094.95</v>
      </c>
      <c r="G1104" s="8" t="s">
        <v>1380</v>
      </c>
      <c r="K1104" s="2"/>
      <c r="L1104" s="232">
        <v>42121</v>
      </c>
      <c r="N1104">
        <f t="shared" si="14"/>
        <v>0</v>
      </c>
    </row>
    <row r="1105" spans="1:14" hidden="1">
      <c r="A1105" s="232">
        <v>42122</v>
      </c>
      <c r="B1105" t="s">
        <v>1938</v>
      </c>
      <c r="C1105" t="s">
        <v>2188</v>
      </c>
      <c r="D1105" s="1">
        <v>2000</v>
      </c>
      <c r="E1105" s="1">
        <v>0</v>
      </c>
      <c r="F1105">
        <v>1114094.95</v>
      </c>
      <c r="G1105" s="8" t="s">
        <v>1372</v>
      </c>
      <c r="K1105" s="2"/>
      <c r="L1105" s="232">
        <v>42122</v>
      </c>
      <c r="N1105">
        <f t="shared" si="14"/>
        <v>2000</v>
      </c>
    </row>
    <row r="1106" spans="1:14" hidden="1">
      <c r="A1106" s="232">
        <v>42124</v>
      </c>
      <c r="B1106" t="s">
        <v>1963</v>
      </c>
      <c r="C1106" t="s">
        <v>2189</v>
      </c>
      <c r="D1106" s="1">
        <v>5000</v>
      </c>
      <c r="E1106" s="1">
        <v>0</v>
      </c>
      <c r="F1106">
        <v>1109094.95</v>
      </c>
      <c r="G1106" s="8" t="s">
        <v>1361</v>
      </c>
      <c r="K1106" s="2"/>
      <c r="L1106" s="232">
        <v>42124</v>
      </c>
      <c r="N1106">
        <f t="shared" si="14"/>
        <v>5000</v>
      </c>
    </row>
    <row r="1107" spans="1:14" hidden="1">
      <c r="A1107" s="232">
        <v>42126</v>
      </c>
      <c r="C1107" t="s">
        <v>2154</v>
      </c>
      <c r="D1107" s="1">
        <v>40000</v>
      </c>
      <c r="E1107" s="1">
        <v>0</v>
      </c>
      <c r="F1107">
        <v>1069094.95</v>
      </c>
      <c r="G1107" s="8" t="s">
        <v>1379</v>
      </c>
      <c r="K1107" s="2"/>
      <c r="L1107" s="232">
        <v>42126</v>
      </c>
      <c r="N1107">
        <f t="shared" si="14"/>
        <v>40000</v>
      </c>
    </row>
    <row r="1108" spans="1:14" hidden="1">
      <c r="A1108" s="232">
        <v>42130</v>
      </c>
      <c r="B1108" t="s">
        <v>1914</v>
      </c>
      <c r="C1108" t="s">
        <v>2190</v>
      </c>
      <c r="D1108" s="1">
        <v>270570</v>
      </c>
      <c r="E1108" s="1">
        <v>0</v>
      </c>
      <c r="F1108">
        <v>798524.95</v>
      </c>
      <c r="G1108" s="8" t="s">
        <v>1370</v>
      </c>
      <c r="K1108" s="2"/>
      <c r="L1108" s="232">
        <v>42130</v>
      </c>
      <c r="N1108">
        <f t="shared" si="14"/>
        <v>270570</v>
      </c>
    </row>
    <row r="1109" spans="1:14" hidden="1">
      <c r="A1109" s="232">
        <v>42132</v>
      </c>
      <c r="B1109" t="s">
        <v>1963</v>
      </c>
      <c r="C1109" t="s">
        <v>2191</v>
      </c>
      <c r="D1109" s="1">
        <v>10000</v>
      </c>
      <c r="E1109" s="1">
        <v>0</v>
      </c>
      <c r="F1109">
        <v>788524.95</v>
      </c>
      <c r="G1109" s="8" t="s">
        <v>1361</v>
      </c>
      <c r="K1109" s="2"/>
      <c r="L1109" s="232">
        <v>42132</v>
      </c>
      <c r="N1109">
        <f t="shared" si="14"/>
        <v>10000</v>
      </c>
    </row>
    <row r="1110" spans="1:14" hidden="1">
      <c r="A1110" s="232">
        <v>42135</v>
      </c>
      <c r="B1110" t="s">
        <v>1938</v>
      </c>
      <c r="C1110" t="s">
        <v>2192</v>
      </c>
      <c r="D1110" s="1">
        <v>2000</v>
      </c>
      <c r="E1110" s="1">
        <v>0</v>
      </c>
      <c r="F1110">
        <v>786524.95</v>
      </c>
      <c r="G1110" s="8" t="s">
        <v>1372</v>
      </c>
      <c r="K1110" s="2"/>
      <c r="L1110" s="232">
        <v>42135</v>
      </c>
      <c r="N1110">
        <f t="shared" si="14"/>
        <v>2000</v>
      </c>
    </row>
    <row r="1111" spans="1:14" hidden="1">
      <c r="A1111" s="232">
        <v>42139</v>
      </c>
      <c r="C1111" t="s">
        <v>2171</v>
      </c>
      <c r="D1111" s="1">
        <v>25000</v>
      </c>
      <c r="E1111" s="1">
        <v>0</v>
      </c>
      <c r="F1111">
        <v>761524.95</v>
      </c>
      <c r="G1111" s="8" t="s">
        <v>1379</v>
      </c>
      <c r="K1111" s="2"/>
      <c r="L1111" s="232">
        <v>42139</v>
      </c>
      <c r="N1111">
        <f t="shared" si="14"/>
        <v>25000</v>
      </c>
    </row>
    <row r="1112" spans="1:14" hidden="1">
      <c r="A1112" s="232">
        <v>42142</v>
      </c>
      <c r="B1112" t="s">
        <v>1963</v>
      </c>
      <c r="C1112" t="s">
        <v>2193</v>
      </c>
      <c r="D1112" s="1">
        <v>5000</v>
      </c>
      <c r="E1112" s="1">
        <v>0</v>
      </c>
      <c r="F1112">
        <v>756524.95</v>
      </c>
      <c r="G1112" s="8" t="s">
        <v>1361</v>
      </c>
      <c r="K1112" s="2"/>
      <c r="L1112" s="232">
        <v>42142</v>
      </c>
      <c r="N1112">
        <f t="shared" si="14"/>
        <v>5000</v>
      </c>
    </row>
    <row r="1113" spans="1:14" hidden="1">
      <c r="A1113" s="232">
        <v>42146</v>
      </c>
      <c r="B1113" t="s">
        <v>2063</v>
      </c>
      <c r="C1113" t="s">
        <v>2194</v>
      </c>
      <c r="D1113" s="1">
        <v>5000</v>
      </c>
      <c r="E1113" s="1">
        <v>0</v>
      </c>
      <c r="F1113">
        <v>751524.95</v>
      </c>
      <c r="G1113" s="8" t="s">
        <v>1361</v>
      </c>
      <c r="K1113" s="2"/>
      <c r="L1113" s="232">
        <v>42146</v>
      </c>
      <c r="N1113">
        <f t="shared" si="14"/>
        <v>5000</v>
      </c>
    </row>
    <row r="1114" spans="1:14" hidden="1">
      <c r="A1114" s="232">
        <v>42146</v>
      </c>
      <c r="B1114" t="s">
        <v>1963</v>
      </c>
      <c r="C1114" t="s">
        <v>2195</v>
      </c>
      <c r="D1114" s="1">
        <v>5000</v>
      </c>
      <c r="E1114" s="1">
        <v>0</v>
      </c>
      <c r="F1114">
        <v>746524.95</v>
      </c>
      <c r="G1114" s="8" t="s">
        <v>1361</v>
      </c>
      <c r="K1114" s="2"/>
      <c r="L1114" s="232">
        <v>42146</v>
      </c>
      <c r="N1114">
        <f t="shared" si="14"/>
        <v>5000</v>
      </c>
    </row>
    <row r="1115" spans="1:14" hidden="1">
      <c r="A1115" s="232">
        <v>42147</v>
      </c>
      <c r="B1115" t="s">
        <v>1963</v>
      </c>
      <c r="C1115" t="s">
        <v>2196</v>
      </c>
      <c r="D1115" s="1">
        <v>5000</v>
      </c>
      <c r="E1115" s="1">
        <v>0</v>
      </c>
      <c r="F1115">
        <v>741524.95</v>
      </c>
      <c r="G1115" s="8" t="s">
        <v>1361</v>
      </c>
      <c r="K1115" s="2"/>
      <c r="L1115" s="232">
        <v>42147</v>
      </c>
      <c r="N1115">
        <f t="shared" si="14"/>
        <v>5000</v>
      </c>
    </row>
    <row r="1116" spans="1:14" hidden="1">
      <c r="A1116" s="232">
        <v>42149</v>
      </c>
      <c r="B1116" t="s">
        <v>1914</v>
      </c>
      <c r="C1116" t="s">
        <v>2197</v>
      </c>
      <c r="D1116" s="1">
        <v>30</v>
      </c>
      <c r="E1116" s="1">
        <v>0</v>
      </c>
      <c r="F1116">
        <v>741494.95</v>
      </c>
      <c r="G1116" s="8" t="s">
        <v>1362</v>
      </c>
      <c r="K1116" s="2"/>
      <c r="L1116" s="232">
        <v>42149</v>
      </c>
      <c r="N1116">
        <f t="shared" si="14"/>
        <v>30</v>
      </c>
    </row>
    <row r="1117" spans="1:14" hidden="1">
      <c r="A1117" s="232">
        <v>42150</v>
      </c>
      <c r="C1117" t="s">
        <v>2198</v>
      </c>
      <c r="D1117" s="1">
        <v>0</v>
      </c>
      <c r="E1117" s="1">
        <v>202626</v>
      </c>
      <c r="F1117">
        <v>944120.95</v>
      </c>
      <c r="G1117" s="8" t="s">
        <v>1380</v>
      </c>
      <c r="K1117" s="2"/>
      <c r="L1117" s="232">
        <v>42150</v>
      </c>
      <c r="N1117">
        <f t="shared" si="14"/>
        <v>0</v>
      </c>
    </row>
    <row r="1118" spans="1:14" hidden="1">
      <c r="A1118" s="232">
        <v>42151</v>
      </c>
      <c r="C1118" t="s">
        <v>2199</v>
      </c>
      <c r="D1118" s="1">
        <v>48134</v>
      </c>
      <c r="E1118" s="1">
        <v>0</v>
      </c>
      <c r="F1118">
        <v>895986.95</v>
      </c>
      <c r="G1118" s="8" t="s">
        <v>1366</v>
      </c>
      <c r="K1118" s="2"/>
      <c r="L1118" s="232">
        <v>42151</v>
      </c>
      <c r="N1118">
        <f t="shared" si="14"/>
        <v>48134</v>
      </c>
    </row>
    <row r="1119" spans="1:14" hidden="1">
      <c r="A1119" s="232">
        <v>42152</v>
      </c>
      <c r="B1119" t="s">
        <v>1938</v>
      </c>
      <c r="C1119" t="s">
        <v>2200</v>
      </c>
      <c r="D1119" s="1">
        <v>2000</v>
      </c>
      <c r="E1119" s="1">
        <v>0</v>
      </c>
      <c r="F1119">
        <v>893986.95</v>
      </c>
      <c r="G1119" s="8" t="s">
        <v>1372</v>
      </c>
      <c r="K1119" s="2"/>
      <c r="L1119" s="232">
        <v>42152</v>
      </c>
      <c r="N1119">
        <f t="shared" si="14"/>
        <v>2000</v>
      </c>
    </row>
    <row r="1120" spans="1:14" hidden="1">
      <c r="A1120" s="232">
        <v>42156</v>
      </c>
      <c r="C1120" t="s">
        <v>2154</v>
      </c>
      <c r="D1120" s="1">
        <v>40000</v>
      </c>
      <c r="E1120" s="1">
        <v>0</v>
      </c>
      <c r="F1120">
        <v>853986.95</v>
      </c>
      <c r="G1120" s="8" t="s">
        <v>1379</v>
      </c>
      <c r="K1120" s="2"/>
      <c r="L1120" s="232">
        <v>42156</v>
      </c>
      <c r="N1120">
        <f t="shared" si="14"/>
        <v>40000</v>
      </c>
    </row>
    <row r="1121" spans="1:14" hidden="1">
      <c r="A1121" s="232">
        <v>42158</v>
      </c>
      <c r="C1121" t="s">
        <v>2201</v>
      </c>
      <c r="D1121" s="1">
        <v>0</v>
      </c>
      <c r="E1121" s="1">
        <v>2822</v>
      </c>
      <c r="F1121">
        <v>856808.95</v>
      </c>
      <c r="G1121" s="8" t="s">
        <v>1380</v>
      </c>
      <c r="K1121" s="2"/>
      <c r="L1121" s="232">
        <v>42158</v>
      </c>
      <c r="N1121">
        <f t="shared" si="14"/>
        <v>0</v>
      </c>
    </row>
    <row r="1122" spans="1:14" hidden="1">
      <c r="A1122" s="232">
        <v>42160</v>
      </c>
      <c r="B1122" t="s">
        <v>2063</v>
      </c>
      <c r="C1122" t="s">
        <v>2202</v>
      </c>
      <c r="D1122" s="1">
        <v>5000</v>
      </c>
      <c r="E1122" s="1">
        <v>0</v>
      </c>
      <c r="F1122">
        <v>851808.95</v>
      </c>
      <c r="G1122" s="8" t="s">
        <v>1361</v>
      </c>
      <c r="K1122" s="2"/>
      <c r="L1122" s="232">
        <v>42160</v>
      </c>
      <c r="N1122">
        <f t="shared" si="14"/>
        <v>5000</v>
      </c>
    </row>
    <row r="1123" spans="1:14" hidden="1">
      <c r="A1123" s="232">
        <v>42165</v>
      </c>
      <c r="B1123" t="s">
        <v>1938</v>
      </c>
      <c r="C1123" t="s">
        <v>2203</v>
      </c>
      <c r="D1123" s="1">
        <v>2000</v>
      </c>
      <c r="E1123" s="1">
        <v>0</v>
      </c>
      <c r="F1123">
        <v>849808.95</v>
      </c>
      <c r="G1123" s="8" t="s">
        <v>1372</v>
      </c>
      <c r="K1123" s="2"/>
      <c r="L1123" s="232">
        <v>42165</v>
      </c>
      <c r="N1123">
        <f t="shared" si="14"/>
        <v>2000</v>
      </c>
    </row>
    <row r="1124" spans="1:14" hidden="1">
      <c r="A1124" s="232">
        <v>42165</v>
      </c>
      <c r="B1124" t="s">
        <v>1963</v>
      </c>
      <c r="C1124" t="s">
        <v>2204</v>
      </c>
      <c r="D1124" s="1">
        <v>5000</v>
      </c>
      <c r="E1124" s="1">
        <v>0</v>
      </c>
      <c r="F1124">
        <v>844808.95</v>
      </c>
      <c r="G1124" s="8" t="s">
        <v>1361</v>
      </c>
      <c r="K1124" s="2"/>
      <c r="L1124" s="232">
        <v>42165</v>
      </c>
      <c r="N1124">
        <f t="shared" si="14"/>
        <v>5000</v>
      </c>
    </row>
    <row r="1125" spans="1:14" hidden="1">
      <c r="A1125" s="232">
        <v>42170</v>
      </c>
      <c r="C1125" t="s">
        <v>2171</v>
      </c>
      <c r="D1125" s="1">
        <v>25000</v>
      </c>
      <c r="E1125" s="1">
        <v>0</v>
      </c>
      <c r="F1125">
        <v>819808.95</v>
      </c>
      <c r="G1125" s="8" t="s">
        <v>1379</v>
      </c>
      <c r="K1125" s="2"/>
      <c r="L1125" s="232">
        <v>42170</v>
      </c>
      <c r="N1125">
        <f t="shared" si="14"/>
        <v>25000</v>
      </c>
    </row>
    <row r="1126" spans="1:14" hidden="1">
      <c r="A1126" s="232">
        <v>42181</v>
      </c>
      <c r="C1126" t="s">
        <v>2205</v>
      </c>
      <c r="D1126" s="1">
        <v>0</v>
      </c>
      <c r="E1126" s="1">
        <v>208626</v>
      </c>
      <c r="F1126">
        <v>1028434.95</v>
      </c>
      <c r="G1126" s="8" t="s">
        <v>1380</v>
      </c>
      <c r="K1126" s="2"/>
      <c r="L1126" s="232">
        <v>42181</v>
      </c>
      <c r="N1126">
        <f t="shared" si="14"/>
        <v>0</v>
      </c>
    </row>
    <row r="1127" spans="1:14" hidden="1">
      <c r="A1127" s="232">
        <v>42182</v>
      </c>
      <c r="C1127" t="s">
        <v>2206</v>
      </c>
      <c r="D1127" s="1">
        <v>48134</v>
      </c>
      <c r="E1127" s="1">
        <v>0</v>
      </c>
      <c r="F1127">
        <v>980300.95</v>
      </c>
      <c r="G1127" s="8" t="s">
        <v>1366</v>
      </c>
      <c r="K1127" s="2"/>
      <c r="L1127" s="232">
        <v>42182</v>
      </c>
      <c r="N1127">
        <f t="shared" si="14"/>
        <v>48134</v>
      </c>
    </row>
    <row r="1128" spans="1:14" hidden="1">
      <c r="A1128" s="232">
        <v>42184</v>
      </c>
      <c r="B1128" t="s">
        <v>1938</v>
      </c>
      <c r="C1128" t="s">
        <v>2207</v>
      </c>
      <c r="D1128" s="1">
        <v>2000</v>
      </c>
      <c r="E1128" s="1">
        <v>0</v>
      </c>
      <c r="F1128">
        <v>978300.95</v>
      </c>
      <c r="G1128" s="8" t="s">
        <v>1372</v>
      </c>
      <c r="K1128" s="2"/>
      <c r="L1128" s="232">
        <v>42184</v>
      </c>
      <c r="N1128">
        <f t="shared" si="14"/>
        <v>2000</v>
      </c>
    </row>
    <row r="1129" spans="1:14" hidden="1">
      <c r="A1129" s="232">
        <v>42185</v>
      </c>
      <c r="C1129" t="s">
        <v>2208</v>
      </c>
      <c r="D1129" s="1">
        <v>0</v>
      </c>
      <c r="E1129" s="1">
        <v>13535</v>
      </c>
      <c r="F1129">
        <v>991835.95</v>
      </c>
      <c r="G1129" s="8" t="s">
        <v>1368</v>
      </c>
      <c r="K1129" s="2"/>
      <c r="L1129" s="232">
        <v>42185</v>
      </c>
      <c r="N1129">
        <f t="shared" si="14"/>
        <v>0</v>
      </c>
    </row>
    <row r="1130" spans="1:14" hidden="1">
      <c r="A1130" s="232">
        <v>42186</v>
      </c>
      <c r="C1130" t="s">
        <v>2154</v>
      </c>
      <c r="D1130" s="1">
        <v>40000</v>
      </c>
      <c r="E1130" s="1">
        <v>0</v>
      </c>
      <c r="F1130">
        <v>951835.95</v>
      </c>
      <c r="G1130" s="8" t="s">
        <v>1379</v>
      </c>
      <c r="K1130" s="2"/>
      <c r="L1130" s="232">
        <v>42186</v>
      </c>
      <c r="N1130">
        <f t="shared" si="14"/>
        <v>40000</v>
      </c>
    </row>
    <row r="1131" spans="1:14" hidden="1">
      <c r="A1131" s="232">
        <v>42187</v>
      </c>
      <c r="B1131" t="s">
        <v>1914</v>
      </c>
      <c r="C1131" t="s">
        <v>2209</v>
      </c>
      <c r="D1131" s="1">
        <v>7510</v>
      </c>
      <c r="E1131" s="1">
        <v>0</v>
      </c>
      <c r="F1131">
        <v>944325.95</v>
      </c>
      <c r="K1131" s="2"/>
      <c r="L1131" s="232">
        <v>42187</v>
      </c>
      <c r="N1131">
        <f t="shared" si="14"/>
        <v>7510</v>
      </c>
    </row>
    <row r="1132" spans="1:14" hidden="1">
      <c r="A1132" s="232">
        <v>42187</v>
      </c>
      <c r="C1132" t="s">
        <v>2210</v>
      </c>
      <c r="D1132" s="1">
        <v>30000</v>
      </c>
      <c r="E1132" s="1">
        <v>0</v>
      </c>
      <c r="F1132">
        <v>914325.95</v>
      </c>
      <c r="G1132" s="8" t="s">
        <v>1379</v>
      </c>
      <c r="K1132" s="2"/>
      <c r="L1132" s="232">
        <v>42187</v>
      </c>
      <c r="N1132">
        <f t="shared" si="14"/>
        <v>30000</v>
      </c>
    </row>
    <row r="1133" spans="1:14" hidden="1">
      <c r="A1133" s="232">
        <v>42192</v>
      </c>
      <c r="B1133" t="s">
        <v>1963</v>
      </c>
      <c r="C1133" t="s">
        <v>2211</v>
      </c>
      <c r="D1133" s="1">
        <v>5000</v>
      </c>
      <c r="E1133" s="1">
        <v>0</v>
      </c>
      <c r="F1133">
        <v>909325.95</v>
      </c>
      <c r="G1133" s="8" t="s">
        <v>1361</v>
      </c>
      <c r="K1133" s="2"/>
      <c r="L1133" s="232">
        <v>42192</v>
      </c>
      <c r="N1133">
        <f t="shared" si="14"/>
        <v>5000</v>
      </c>
    </row>
    <row r="1134" spans="1:14" hidden="1">
      <c r="A1134" s="232">
        <v>42195</v>
      </c>
      <c r="B1134" t="s">
        <v>1938</v>
      </c>
      <c r="C1134" t="s">
        <v>2212</v>
      </c>
      <c r="D1134" s="1">
        <v>2000</v>
      </c>
      <c r="E1134" s="1">
        <v>0</v>
      </c>
      <c r="F1134">
        <v>907325.95</v>
      </c>
      <c r="G1134" s="8" t="s">
        <v>1372</v>
      </c>
      <c r="K1134" s="2"/>
      <c r="L1134" s="232">
        <v>42195</v>
      </c>
      <c r="N1134">
        <f t="shared" si="14"/>
        <v>2000</v>
      </c>
    </row>
    <row r="1135" spans="1:14" hidden="1">
      <c r="A1135" s="232">
        <v>42200</v>
      </c>
      <c r="C1135" t="s">
        <v>2171</v>
      </c>
      <c r="D1135" s="1">
        <v>25000</v>
      </c>
      <c r="E1135" s="1">
        <v>0</v>
      </c>
      <c r="F1135">
        <v>882325.95</v>
      </c>
      <c r="G1135" s="8" t="s">
        <v>1379</v>
      </c>
      <c r="K1135" s="2"/>
      <c r="L1135" s="232">
        <v>42200</v>
      </c>
      <c r="N1135">
        <f t="shared" si="14"/>
        <v>25000</v>
      </c>
    </row>
    <row r="1136" spans="1:14" hidden="1">
      <c r="A1136" s="232">
        <v>42209</v>
      </c>
      <c r="B1136" t="s">
        <v>2213</v>
      </c>
      <c r="C1136" t="s">
        <v>2214</v>
      </c>
      <c r="D1136" s="1">
        <v>0</v>
      </c>
      <c r="E1136" s="1">
        <v>251645.77</v>
      </c>
      <c r="F1136">
        <v>1133971.72</v>
      </c>
      <c r="G1136" s="8" t="s">
        <v>1380</v>
      </c>
      <c r="K1136" s="2"/>
      <c r="L1136" s="232">
        <v>42209</v>
      </c>
      <c r="N1136">
        <f t="shared" si="14"/>
        <v>0</v>
      </c>
    </row>
    <row r="1137" spans="1:14" hidden="1">
      <c r="A1137" s="232">
        <v>42209</v>
      </c>
      <c r="C1137" t="s">
        <v>2215</v>
      </c>
      <c r="D1137" s="1">
        <v>0</v>
      </c>
      <c r="E1137" s="1">
        <v>208626</v>
      </c>
      <c r="F1137">
        <v>1342597.72</v>
      </c>
      <c r="G1137" s="8" t="s">
        <v>1380</v>
      </c>
      <c r="K1137" s="2"/>
      <c r="L1137" s="232">
        <v>42209</v>
      </c>
      <c r="N1137">
        <f t="shared" si="14"/>
        <v>0</v>
      </c>
    </row>
    <row r="1138" spans="1:14" hidden="1">
      <c r="A1138" s="232">
        <v>42210</v>
      </c>
      <c r="B1138" t="s">
        <v>1914</v>
      </c>
      <c r="C1138" t="s">
        <v>2216</v>
      </c>
      <c r="D1138" s="1">
        <v>300000</v>
      </c>
      <c r="E1138" s="1">
        <v>0</v>
      </c>
      <c r="F1138">
        <v>1042597.72</v>
      </c>
      <c r="G1138" s="8" t="s">
        <v>1363</v>
      </c>
      <c r="K1138" s="2"/>
      <c r="L1138" s="232">
        <v>42210</v>
      </c>
      <c r="N1138">
        <f t="shared" si="14"/>
        <v>300000</v>
      </c>
    </row>
    <row r="1139" spans="1:14" hidden="1">
      <c r="A1139" s="232">
        <v>42212</v>
      </c>
      <c r="C1139" t="s">
        <v>2217</v>
      </c>
      <c r="D1139" s="1">
        <v>40000</v>
      </c>
      <c r="E1139" s="1">
        <v>0</v>
      </c>
      <c r="F1139">
        <v>1002597.72</v>
      </c>
      <c r="G1139" s="8" t="s">
        <v>1379</v>
      </c>
      <c r="K1139" s="2"/>
      <c r="L1139" s="232">
        <v>42212</v>
      </c>
      <c r="N1139">
        <f t="shared" si="14"/>
        <v>40000</v>
      </c>
    </row>
    <row r="1140" spans="1:14" hidden="1">
      <c r="A1140" s="232">
        <v>42212</v>
      </c>
      <c r="C1140" t="s">
        <v>2218</v>
      </c>
      <c r="D1140" s="1">
        <v>17730</v>
      </c>
      <c r="E1140" s="1">
        <v>0</v>
      </c>
      <c r="F1140">
        <v>984867.72</v>
      </c>
      <c r="G1140" s="8" t="s">
        <v>1366</v>
      </c>
      <c r="K1140" s="2"/>
      <c r="L1140" s="232">
        <v>42212</v>
      </c>
      <c r="N1140">
        <f t="shared" si="14"/>
        <v>17730</v>
      </c>
    </row>
    <row r="1141" spans="1:14" hidden="1">
      <c r="A1141" s="232">
        <v>42213</v>
      </c>
      <c r="B1141" t="s">
        <v>1938</v>
      </c>
      <c r="C1141" t="s">
        <v>2219</v>
      </c>
      <c r="D1141" s="1">
        <v>2000</v>
      </c>
      <c r="E1141" s="1">
        <v>0</v>
      </c>
      <c r="F1141">
        <v>982867.72</v>
      </c>
      <c r="G1141" s="8" t="s">
        <v>1372</v>
      </c>
      <c r="K1141" s="2"/>
      <c r="L1141" s="232">
        <v>42213</v>
      </c>
      <c r="N1141">
        <f t="shared" si="14"/>
        <v>2000</v>
      </c>
    </row>
    <row r="1142" spans="1:14" hidden="1">
      <c r="A1142" s="232">
        <v>42216</v>
      </c>
      <c r="B1142" t="s">
        <v>1963</v>
      </c>
      <c r="C1142" t="s">
        <v>2220</v>
      </c>
      <c r="D1142" s="1">
        <v>10000</v>
      </c>
      <c r="E1142" s="1">
        <v>0</v>
      </c>
      <c r="F1142">
        <v>972867.72</v>
      </c>
      <c r="G1142" s="8" t="s">
        <v>1361</v>
      </c>
      <c r="K1142" s="2"/>
      <c r="L1142" s="232">
        <v>42216</v>
      </c>
      <c r="N1142">
        <f t="shared" si="14"/>
        <v>10000</v>
      </c>
    </row>
    <row r="1143" spans="1:14" hidden="1">
      <c r="A1143" s="232">
        <v>42216</v>
      </c>
      <c r="B1143" t="s">
        <v>1963</v>
      </c>
      <c r="C1143" t="s">
        <v>2220</v>
      </c>
      <c r="D1143" s="1">
        <v>10000</v>
      </c>
      <c r="E1143" s="1">
        <v>0</v>
      </c>
      <c r="F1143">
        <v>962867.72</v>
      </c>
      <c r="G1143" s="8" t="s">
        <v>1361</v>
      </c>
      <c r="K1143" s="2"/>
      <c r="L1143" s="232">
        <v>42216</v>
      </c>
      <c r="N1143">
        <f t="shared" si="14"/>
        <v>10000</v>
      </c>
    </row>
    <row r="1144" spans="1:14" hidden="1">
      <c r="A1144" s="232">
        <v>42217</v>
      </c>
      <c r="C1144" t="s">
        <v>2154</v>
      </c>
      <c r="D1144" s="1">
        <v>40000</v>
      </c>
      <c r="E1144" s="1">
        <v>0</v>
      </c>
      <c r="F1144">
        <v>922867.72</v>
      </c>
      <c r="G1144" s="8" t="s">
        <v>1379</v>
      </c>
      <c r="K1144" s="2"/>
      <c r="L1144" s="232">
        <v>42217</v>
      </c>
      <c r="N1144">
        <f t="shared" si="14"/>
        <v>40000</v>
      </c>
    </row>
    <row r="1145" spans="1:14" hidden="1">
      <c r="A1145" s="232">
        <v>42219</v>
      </c>
      <c r="B1145" t="s">
        <v>1914</v>
      </c>
      <c r="C1145" t="s">
        <v>2221</v>
      </c>
      <c r="D1145" s="1">
        <v>30000</v>
      </c>
      <c r="E1145" s="1">
        <v>0</v>
      </c>
      <c r="F1145">
        <v>892867.72</v>
      </c>
      <c r="G1145" s="8" t="s">
        <v>1379</v>
      </c>
      <c r="K1145" s="2"/>
      <c r="L1145" s="232">
        <v>42219</v>
      </c>
      <c r="N1145">
        <f t="shared" si="14"/>
        <v>30000</v>
      </c>
    </row>
    <row r="1146" spans="1:14" hidden="1">
      <c r="A1146" s="232">
        <v>42219</v>
      </c>
      <c r="C1146" t="s">
        <v>2222</v>
      </c>
      <c r="D1146" s="1">
        <v>0</v>
      </c>
      <c r="E1146" s="1">
        <v>2226</v>
      </c>
      <c r="F1146">
        <v>895093.72</v>
      </c>
      <c r="G1146" s="8" t="s">
        <v>1380</v>
      </c>
      <c r="K1146" s="2"/>
      <c r="L1146" s="232">
        <v>42219</v>
      </c>
      <c r="N1146">
        <f t="shared" si="14"/>
        <v>0</v>
      </c>
    </row>
    <row r="1147" spans="1:14" hidden="1">
      <c r="A1147" s="232">
        <v>42220</v>
      </c>
      <c r="B1147" t="s">
        <v>1914</v>
      </c>
      <c r="C1147" t="s">
        <v>2223</v>
      </c>
      <c r="D1147" s="1">
        <v>8523</v>
      </c>
      <c r="E1147" s="1">
        <v>0</v>
      </c>
      <c r="F1147">
        <v>886570.72</v>
      </c>
      <c r="K1147" s="2"/>
      <c r="L1147" s="232">
        <v>42220</v>
      </c>
      <c r="N1147">
        <f t="shared" si="14"/>
        <v>8523</v>
      </c>
    </row>
    <row r="1148" spans="1:14" hidden="1">
      <c r="A1148" s="232">
        <v>42222</v>
      </c>
      <c r="B1148" t="s">
        <v>1914</v>
      </c>
      <c r="C1148" t="s">
        <v>2224</v>
      </c>
      <c r="D1148" s="1">
        <v>15505</v>
      </c>
      <c r="E1148" s="1">
        <v>0</v>
      </c>
      <c r="F1148">
        <v>871065.72</v>
      </c>
      <c r="K1148" s="2"/>
      <c r="L1148" s="232">
        <v>42222</v>
      </c>
      <c r="N1148">
        <f t="shared" si="14"/>
        <v>15505</v>
      </c>
    </row>
    <row r="1149" spans="1:14" hidden="1">
      <c r="A1149" s="232">
        <v>42226</v>
      </c>
      <c r="B1149" t="s">
        <v>1997</v>
      </c>
      <c r="C1149" t="s">
        <v>2225</v>
      </c>
      <c r="D1149" s="1">
        <v>9000</v>
      </c>
      <c r="E1149" s="1">
        <v>0</v>
      </c>
      <c r="F1149">
        <v>862065.72</v>
      </c>
      <c r="K1149" s="2"/>
      <c r="L1149" s="232">
        <v>42226</v>
      </c>
      <c r="N1149">
        <f t="shared" si="14"/>
        <v>9000</v>
      </c>
    </row>
    <row r="1150" spans="1:14" hidden="1">
      <c r="A1150" s="232">
        <v>42226</v>
      </c>
      <c r="B1150" t="s">
        <v>2226</v>
      </c>
      <c r="C1150" t="s">
        <v>2227</v>
      </c>
      <c r="D1150" s="1">
        <v>1000</v>
      </c>
      <c r="E1150" s="1">
        <v>0</v>
      </c>
      <c r="F1150">
        <v>861065.72</v>
      </c>
      <c r="K1150" s="2"/>
      <c r="L1150" s="232">
        <v>42226</v>
      </c>
      <c r="N1150">
        <f t="shared" si="14"/>
        <v>1000</v>
      </c>
    </row>
    <row r="1151" spans="1:14" hidden="1">
      <c r="A1151" s="232">
        <v>42226</v>
      </c>
      <c r="B1151" t="s">
        <v>1938</v>
      </c>
      <c r="C1151" t="s">
        <v>2228</v>
      </c>
      <c r="D1151" s="1">
        <v>2000</v>
      </c>
      <c r="E1151" s="1">
        <v>0</v>
      </c>
      <c r="F1151">
        <v>859065.72</v>
      </c>
      <c r="G1151" s="8" t="s">
        <v>1372</v>
      </c>
      <c r="K1151" s="2"/>
      <c r="L1151" s="232">
        <v>42226</v>
      </c>
      <c r="N1151">
        <f t="shared" si="14"/>
        <v>2000</v>
      </c>
    </row>
    <row r="1152" spans="1:14" hidden="1">
      <c r="A1152" s="232">
        <v>42229</v>
      </c>
      <c r="B1152" t="s">
        <v>2229</v>
      </c>
      <c r="C1152" t="s">
        <v>2230</v>
      </c>
      <c r="D1152" s="1">
        <v>100000</v>
      </c>
      <c r="E1152" s="1">
        <v>0</v>
      </c>
      <c r="F1152">
        <v>759065.72</v>
      </c>
      <c r="G1152" s="8" t="s">
        <v>1363</v>
      </c>
      <c r="K1152" s="2"/>
      <c r="L1152" s="232">
        <v>42229</v>
      </c>
      <c r="N1152">
        <f t="shared" si="14"/>
        <v>100000</v>
      </c>
    </row>
    <row r="1153" spans="1:14" hidden="1">
      <c r="A1153" s="232">
        <v>42233</v>
      </c>
      <c r="B1153" t="s">
        <v>1963</v>
      </c>
      <c r="C1153" t="s">
        <v>2231</v>
      </c>
      <c r="D1153" s="1">
        <v>6000</v>
      </c>
      <c r="E1153" s="1">
        <v>0</v>
      </c>
      <c r="F1153">
        <v>753065.72</v>
      </c>
      <c r="G1153" s="8" t="s">
        <v>1361</v>
      </c>
      <c r="K1153" s="2"/>
      <c r="L1153" s="232">
        <v>42233</v>
      </c>
      <c r="N1153">
        <f t="shared" si="14"/>
        <v>6000</v>
      </c>
    </row>
    <row r="1154" spans="1:14" hidden="1">
      <c r="A1154" s="232">
        <v>42233</v>
      </c>
      <c r="C1154" t="s">
        <v>2171</v>
      </c>
      <c r="D1154" s="1">
        <v>25000</v>
      </c>
      <c r="E1154" s="1">
        <v>0</v>
      </c>
      <c r="F1154">
        <v>728065.72</v>
      </c>
      <c r="G1154" s="8" t="s">
        <v>1379</v>
      </c>
      <c r="K1154" s="2"/>
      <c r="L1154" s="232">
        <v>42233</v>
      </c>
      <c r="N1154">
        <f t="shared" si="14"/>
        <v>25000</v>
      </c>
    </row>
    <row r="1155" spans="1:14" hidden="1">
      <c r="A1155" s="232">
        <v>42240</v>
      </c>
      <c r="B1155" t="s">
        <v>1997</v>
      </c>
      <c r="C1155" t="s">
        <v>2232</v>
      </c>
      <c r="D1155" s="1">
        <v>100</v>
      </c>
      <c r="E1155" s="1">
        <v>0</v>
      </c>
      <c r="F1155">
        <v>727965.72</v>
      </c>
      <c r="K1155" s="2"/>
      <c r="L1155" s="232">
        <v>42240</v>
      </c>
      <c r="N1155">
        <f t="shared" si="14"/>
        <v>100</v>
      </c>
    </row>
    <row r="1156" spans="1:14" hidden="1">
      <c r="A1156" s="232">
        <v>42241</v>
      </c>
      <c r="B1156" t="s">
        <v>1997</v>
      </c>
      <c r="C1156" t="s">
        <v>2233</v>
      </c>
      <c r="D1156" s="1">
        <v>100000</v>
      </c>
      <c r="E1156" s="1">
        <v>0</v>
      </c>
      <c r="F1156">
        <v>627965.72</v>
      </c>
      <c r="K1156" s="2"/>
      <c r="L1156" s="232">
        <v>42241</v>
      </c>
      <c r="N1156">
        <f t="shared" si="14"/>
        <v>100000</v>
      </c>
    </row>
    <row r="1157" spans="1:14" hidden="1">
      <c r="A1157" s="232">
        <v>42242</v>
      </c>
      <c r="C1157" t="s">
        <v>2234</v>
      </c>
      <c r="D1157" s="1">
        <v>0</v>
      </c>
      <c r="E1157" s="1">
        <v>208626</v>
      </c>
      <c r="F1157">
        <v>836591.72</v>
      </c>
      <c r="G1157" s="8" t="s">
        <v>1380</v>
      </c>
      <c r="K1157" s="2"/>
      <c r="L1157" s="232">
        <v>42242</v>
      </c>
      <c r="N1157">
        <f t="shared" si="14"/>
        <v>0</v>
      </c>
    </row>
    <row r="1158" spans="1:14" hidden="1">
      <c r="A1158" s="232">
        <v>42242</v>
      </c>
      <c r="B1158" t="s">
        <v>1997</v>
      </c>
      <c r="C1158" t="s">
        <v>2235</v>
      </c>
      <c r="D1158" s="1">
        <v>113900</v>
      </c>
      <c r="E1158" s="1">
        <v>0</v>
      </c>
      <c r="F1158">
        <v>722691.72</v>
      </c>
      <c r="K1158" s="2"/>
      <c r="L1158" s="232">
        <v>42242</v>
      </c>
      <c r="N1158">
        <f t="shared" si="14"/>
        <v>113900</v>
      </c>
    </row>
    <row r="1159" spans="1:14" hidden="1">
      <c r="A1159" s="232">
        <v>42243</v>
      </c>
      <c r="C1159" t="s">
        <v>2236</v>
      </c>
      <c r="D1159" s="1">
        <v>17730</v>
      </c>
      <c r="E1159" s="1">
        <v>0</v>
      </c>
      <c r="F1159">
        <v>704961.72</v>
      </c>
      <c r="G1159" s="8" t="s">
        <v>1366</v>
      </c>
      <c r="K1159" s="2"/>
      <c r="L1159" s="232">
        <v>42243</v>
      </c>
      <c r="N1159">
        <f t="shared" si="14"/>
        <v>17730</v>
      </c>
    </row>
    <row r="1160" spans="1:14" hidden="1">
      <c r="A1160" s="232">
        <v>42244</v>
      </c>
      <c r="B1160" t="s">
        <v>1938</v>
      </c>
      <c r="C1160" t="s">
        <v>2237</v>
      </c>
      <c r="D1160" s="1">
        <v>2000</v>
      </c>
      <c r="E1160" s="1">
        <v>0</v>
      </c>
      <c r="F1160">
        <v>702961.72</v>
      </c>
      <c r="G1160" s="8" t="s">
        <v>1372</v>
      </c>
      <c r="K1160" s="2"/>
      <c r="L1160" s="232">
        <v>42244</v>
      </c>
      <c r="N1160">
        <f t="shared" si="14"/>
        <v>2000</v>
      </c>
    </row>
    <row r="1161" spans="1:14" hidden="1">
      <c r="A1161" s="232">
        <v>42248</v>
      </c>
      <c r="C1161" t="s">
        <v>2154</v>
      </c>
      <c r="D1161" s="1">
        <v>40000</v>
      </c>
      <c r="E1161" s="1">
        <v>0</v>
      </c>
      <c r="F1161">
        <v>662961.72</v>
      </c>
      <c r="G1161" s="8" t="s">
        <v>1379</v>
      </c>
      <c r="K1161" s="2"/>
      <c r="L1161" s="232">
        <v>42248</v>
      </c>
      <c r="N1161">
        <f t="shared" si="14"/>
        <v>40000</v>
      </c>
    </row>
    <row r="1162" spans="1:14" hidden="1">
      <c r="A1162" s="232">
        <v>42249</v>
      </c>
      <c r="B1162" t="s">
        <v>1914</v>
      </c>
      <c r="C1162" t="s">
        <v>2238</v>
      </c>
      <c r="D1162" s="1">
        <v>8023</v>
      </c>
      <c r="E1162" s="1">
        <v>0</v>
      </c>
      <c r="F1162">
        <v>654938.72</v>
      </c>
      <c r="K1162" s="2"/>
      <c r="L1162" s="232">
        <v>42249</v>
      </c>
      <c r="N1162">
        <f t="shared" si="14"/>
        <v>8023</v>
      </c>
    </row>
    <row r="1163" spans="1:14" hidden="1">
      <c r="A1163" s="232">
        <v>42250</v>
      </c>
      <c r="B1163" t="s">
        <v>1914</v>
      </c>
      <c r="C1163" t="s">
        <v>2239</v>
      </c>
      <c r="D1163" s="1">
        <v>30000</v>
      </c>
      <c r="E1163" s="1">
        <v>0</v>
      </c>
      <c r="F1163">
        <v>624938.72</v>
      </c>
      <c r="G1163" s="8" t="s">
        <v>1379</v>
      </c>
      <c r="K1163" s="2"/>
      <c r="L1163" s="232">
        <v>42250</v>
      </c>
      <c r="N1163">
        <f t="shared" ref="N1163:N1226" si="15">D1163*1</f>
        <v>30000</v>
      </c>
    </row>
    <row r="1164" spans="1:14" hidden="1">
      <c r="A1164" s="232">
        <v>42257</v>
      </c>
      <c r="B1164" t="s">
        <v>1938</v>
      </c>
      <c r="C1164" t="s">
        <v>2240</v>
      </c>
      <c r="D1164" s="1">
        <v>2000</v>
      </c>
      <c r="E1164" s="1">
        <v>0</v>
      </c>
      <c r="F1164">
        <v>622938.72</v>
      </c>
      <c r="G1164" s="8" t="s">
        <v>1372</v>
      </c>
      <c r="K1164" s="2"/>
      <c r="L1164" s="232">
        <v>42257</v>
      </c>
      <c r="N1164">
        <f t="shared" si="15"/>
        <v>2000</v>
      </c>
    </row>
    <row r="1165" spans="1:14" hidden="1">
      <c r="A1165" s="232">
        <v>42262</v>
      </c>
      <c r="C1165" t="s">
        <v>2241</v>
      </c>
      <c r="D1165" s="1">
        <v>0</v>
      </c>
      <c r="E1165" s="1">
        <v>180572</v>
      </c>
      <c r="F1165">
        <v>803510.72</v>
      </c>
      <c r="K1165" s="2"/>
      <c r="L1165" s="232">
        <v>42262</v>
      </c>
      <c r="N1165">
        <f t="shared" si="15"/>
        <v>0</v>
      </c>
    </row>
    <row r="1166" spans="1:14" hidden="1">
      <c r="A1166" s="232">
        <v>42262</v>
      </c>
      <c r="C1166" t="s">
        <v>2171</v>
      </c>
      <c r="D1166" s="1">
        <v>25000</v>
      </c>
      <c r="E1166" s="1">
        <v>0</v>
      </c>
      <c r="F1166">
        <v>778510.72</v>
      </c>
      <c r="G1166" s="8" t="s">
        <v>1379</v>
      </c>
      <c r="K1166" s="2"/>
      <c r="L1166" s="232">
        <v>42262</v>
      </c>
      <c r="N1166">
        <f t="shared" si="15"/>
        <v>25000</v>
      </c>
    </row>
    <row r="1167" spans="1:14" hidden="1">
      <c r="A1167" s="232">
        <v>42270</v>
      </c>
      <c r="B1167" t="s">
        <v>2063</v>
      </c>
      <c r="C1167" t="s">
        <v>2242</v>
      </c>
      <c r="D1167" s="1">
        <v>5000</v>
      </c>
      <c r="E1167" s="1">
        <v>0</v>
      </c>
      <c r="F1167">
        <v>773510.72</v>
      </c>
      <c r="G1167" s="8" t="s">
        <v>1361</v>
      </c>
      <c r="K1167" s="2"/>
      <c r="L1167" s="232">
        <v>42270</v>
      </c>
      <c r="N1167">
        <f t="shared" si="15"/>
        <v>5000</v>
      </c>
    </row>
    <row r="1168" spans="1:14" hidden="1">
      <c r="A1168" s="232">
        <v>42272</v>
      </c>
      <c r="C1168" t="s">
        <v>2243</v>
      </c>
      <c r="D1168" s="1">
        <v>0</v>
      </c>
      <c r="E1168" s="1">
        <v>213980</v>
      </c>
      <c r="F1168">
        <v>987490.72</v>
      </c>
      <c r="G1168" s="8" t="s">
        <v>1380</v>
      </c>
      <c r="K1168" s="2"/>
      <c r="L1168" s="232">
        <v>42272</v>
      </c>
      <c r="N1168">
        <f t="shared" si="15"/>
        <v>0</v>
      </c>
    </row>
    <row r="1169" spans="1:14" hidden="1">
      <c r="A1169" s="232">
        <v>42275</v>
      </c>
      <c r="C1169" t="s">
        <v>2244</v>
      </c>
      <c r="D1169" s="1">
        <v>0</v>
      </c>
      <c r="E1169" s="1">
        <v>2830.19</v>
      </c>
      <c r="F1169">
        <v>990320.91</v>
      </c>
      <c r="G1169" s="8" t="s">
        <v>1375</v>
      </c>
      <c r="K1169" s="2"/>
      <c r="L1169" s="232">
        <v>42275</v>
      </c>
      <c r="N1169">
        <f t="shared" si="15"/>
        <v>0</v>
      </c>
    </row>
    <row r="1170" spans="1:14" hidden="1">
      <c r="A1170" s="232">
        <v>42275</v>
      </c>
      <c r="B1170" t="s">
        <v>1938</v>
      </c>
      <c r="C1170" t="s">
        <v>2245</v>
      </c>
      <c r="D1170" s="1">
        <v>2000</v>
      </c>
      <c r="E1170" s="1">
        <v>0</v>
      </c>
      <c r="F1170">
        <v>988320.91</v>
      </c>
      <c r="G1170" s="8" t="s">
        <v>1372</v>
      </c>
      <c r="K1170" s="2"/>
      <c r="L1170" s="232">
        <v>42275</v>
      </c>
      <c r="N1170">
        <f t="shared" si="15"/>
        <v>2000</v>
      </c>
    </row>
    <row r="1171" spans="1:14" hidden="1">
      <c r="A1171" s="232">
        <v>42275</v>
      </c>
      <c r="C1171" t="s">
        <v>2246</v>
      </c>
      <c r="D1171" s="1">
        <v>17730</v>
      </c>
      <c r="E1171" s="1">
        <v>0</v>
      </c>
      <c r="F1171">
        <v>970590.91</v>
      </c>
      <c r="G1171" s="8" t="s">
        <v>1366</v>
      </c>
      <c r="K1171" s="2"/>
      <c r="L1171" s="232">
        <v>42275</v>
      </c>
      <c r="N1171">
        <f t="shared" si="15"/>
        <v>17730</v>
      </c>
    </row>
    <row r="1172" spans="1:14" hidden="1">
      <c r="A1172" s="232">
        <v>42278</v>
      </c>
      <c r="C1172" t="s">
        <v>2154</v>
      </c>
      <c r="D1172" s="1">
        <v>40000</v>
      </c>
      <c r="E1172" s="1">
        <v>0</v>
      </c>
      <c r="F1172">
        <v>930590.91</v>
      </c>
      <c r="G1172" s="8" t="s">
        <v>1379</v>
      </c>
      <c r="K1172" s="2"/>
      <c r="L1172" s="232">
        <v>42278</v>
      </c>
      <c r="N1172">
        <f t="shared" si="15"/>
        <v>40000</v>
      </c>
    </row>
    <row r="1173" spans="1:14" hidden="1">
      <c r="A1173" s="232">
        <v>42280</v>
      </c>
      <c r="B1173" t="s">
        <v>1997</v>
      </c>
      <c r="C1173" t="s">
        <v>2247</v>
      </c>
      <c r="D1173" s="1">
        <v>8233</v>
      </c>
      <c r="E1173" s="1">
        <v>0</v>
      </c>
      <c r="F1173">
        <v>922357.91</v>
      </c>
      <c r="K1173" s="2"/>
      <c r="L1173" s="232">
        <v>42280</v>
      </c>
      <c r="N1173">
        <f t="shared" si="15"/>
        <v>8233</v>
      </c>
    </row>
    <row r="1174" spans="1:14" hidden="1">
      <c r="A1174" s="232">
        <v>42280</v>
      </c>
      <c r="B1174" t="s">
        <v>1914</v>
      </c>
      <c r="C1174" t="s">
        <v>2248</v>
      </c>
      <c r="D1174" s="1">
        <v>30000</v>
      </c>
      <c r="E1174" s="1">
        <v>0</v>
      </c>
      <c r="F1174">
        <v>892357.91</v>
      </c>
      <c r="G1174" s="8" t="s">
        <v>1379</v>
      </c>
      <c r="K1174" s="2"/>
      <c r="L1174" s="232">
        <v>42280</v>
      </c>
      <c r="N1174">
        <f t="shared" si="15"/>
        <v>30000</v>
      </c>
    </row>
    <row r="1175" spans="1:14" hidden="1">
      <c r="A1175" s="232">
        <v>42284</v>
      </c>
      <c r="B1175" t="s">
        <v>1963</v>
      </c>
      <c r="C1175" t="s">
        <v>2249</v>
      </c>
      <c r="D1175" s="1">
        <v>4000</v>
      </c>
      <c r="E1175" s="1">
        <v>0</v>
      </c>
      <c r="F1175">
        <v>888357.91</v>
      </c>
      <c r="G1175" s="8" t="s">
        <v>1361</v>
      </c>
      <c r="K1175" s="2"/>
      <c r="L1175" s="232">
        <v>42284</v>
      </c>
      <c r="N1175">
        <f t="shared" si="15"/>
        <v>4000</v>
      </c>
    </row>
    <row r="1176" spans="1:14" hidden="1">
      <c r="A1176" s="232">
        <v>42289</v>
      </c>
      <c r="B1176" t="s">
        <v>1938</v>
      </c>
      <c r="C1176" t="s">
        <v>2250</v>
      </c>
      <c r="D1176" s="1">
        <v>2000</v>
      </c>
      <c r="E1176" s="1">
        <v>0</v>
      </c>
      <c r="F1176">
        <v>886357.91</v>
      </c>
      <c r="G1176" s="8" t="s">
        <v>1372</v>
      </c>
      <c r="K1176" s="2"/>
      <c r="L1176" s="232">
        <v>42289</v>
      </c>
      <c r="N1176">
        <f t="shared" si="15"/>
        <v>2000</v>
      </c>
    </row>
    <row r="1177" spans="1:14" hidden="1">
      <c r="A1177" s="232">
        <v>42292</v>
      </c>
      <c r="C1177" t="s">
        <v>2171</v>
      </c>
      <c r="D1177" s="1">
        <v>25000</v>
      </c>
      <c r="E1177" s="1">
        <v>0</v>
      </c>
      <c r="F1177">
        <v>861357.91</v>
      </c>
      <c r="G1177" s="8" t="s">
        <v>1379</v>
      </c>
      <c r="K1177" s="2"/>
      <c r="L1177" s="232">
        <v>42292</v>
      </c>
      <c r="N1177">
        <f t="shared" si="15"/>
        <v>25000</v>
      </c>
    </row>
    <row r="1178" spans="1:14" hidden="1">
      <c r="A1178" s="232">
        <v>42297</v>
      </c>
      <c r="B1178" t="s">
        <v>1963</v>
      </c>
      <c r="C1178" t="s">
        <v>2251</v>
      </c>
      <c r="D1178" s="1">
        <v>5000</v>
      </c>
      <c r="E1178" s="1">
        <v>0</v>
      </c>
      <c r="F1178">
        <v>856357.91</v>
      </c>
      <c r="G1178" s="8" t="s">
        <v>1361</v>
      </c>
      <c r="K1178" s="2"/>
      <c r="L1178" s="232">
        <v>42297</v>
      </c>
      <c r="N1178">
        <f t="shared" si="15"/>
        <v>5000</v>
      </c>
    </row>
    <row r="1179" spans="1:14" hidden="1">
      <c r="A1179" s="232">
        <v>42297</v>
      </c>
      <c r="B1179" t="s">
        <v>1914</v>
      </c>
      <c r="C1179" t="s">
        <v>2252</v>
      </c>
      <c r="D1179" s="1">
        <v>561</v>
      </c>
      <c r="E1179" s="1">
        <v>0</v>
      </c>
      <c r="F1179">
        <v>855796.91</v>
      </c>
      <c r="K1179" s="2"/>
      <c r="L1179" s="232">
        <v>42297</v>
      </c>
      <c r="N1179">
        <f t="shared" si="15"/>
        <v>561</v>
      </c>
    </row>
    <row r="1180" spans="1:14" hidden="1">
      <c r="A1180" s="232">
        <v>42303</v>
      </c>
      <c r="C1180" t="s">
        <v>2253</v>
      </c>
      <c r="D1180" s="1">
        <v>0</v>
      </c>
      <c r="E1180" s="1">
        <v>211171</v>
      </c>
      <c r="F1180">
        <v>1066967.9099999999</v>
      </c>
      <c r="G1180" s="8" t="s">
        <v>1380</v>
      </c>
      <c r="K1180" s="2"/>
      <c r="L1180" s="232">
        <v>42303</v>
      </c>
      <c r="N1180">
        <f t="shared" si="15"/>
        <v>0</v>
      </c>
    </row>
    <row r="1181" spans="1:14" hidden="1">
      <c r="A1181" s="232">
        <v>42304</v>
      </c>
      <c r="C1181" t="s">
        <v>2254</v>
      </c>
      <c r="D1181" s="1">
        <v>17730</v>
      </c>
      <c r="E1181" s="1">
        <v>0</v>
      </c>
      <c r="F1181">
        <v>1049237.9099999999</v>
      </c>
      <c r="G1181" s="8" t="s">
        <v>1366</v>
      </c>
      <c r="K1181" s="2"/>
      <c r="L1181" s="232">
        <v>42304</v>
      </c>
      <c r="N1181">
        <f t="shared" si="15"/>
        <v>17730</v>
      </c>
    </row>
    <row r="1182" spans="1:14" hidden="1">
      <c r="A1182" s="232">
        <v>42305</v>
      </c>
      <c r="B1182" t="s">
        <v>1938</v>
      </c>
      <c r="C1182" t="s">
        <v>2255</v>
      </c>
      <c r="D1182" s="1">
        <v>2000</v>
      </c>
      <c r="E1182" s="1">
        <v>0</v>
      </c>
      <c r="F1182">
        <v>1047237.91</v>
      </c>
      <c r="G1182" s="8" t="s">
        <v>1372</v>
      </c>
      <c r="K1182" s="2"/>
      <c r="L1182" s="232">
        <v>42305</v>
      </c>
      <c r="N1182">
        <f t="shared" si="15"/>
        <v>2000</v>
      </c>
    </row>
    <row r="1183" spans="1:14" hidden="1">
      <c r="A1183" s="232">
        <v>42310</v>
      </c>
      <c r="C1183" t="s">
        <v>2154</v>
      </c>
      <c r="D1183" s="1">
        <v>40000</v>
      </c>
      <c r="E1183" s="1">
        <v>0</v>
      </c>
      <c r="F1183">
        <v>1007237.91</v>
      </c>
      <c r="G1183" s="8" t="s">
        <v>1379</v>
      </c>
      <c r="K1183" s="2"/>
      <c r="L1183" s="232">
        <v>42310</v>
      </c>
      <c r="N1183">
        <f t="shared" si="15"/>
        <v>40000</v>
      </c>
    </row>
    <row r="1184" spans="1:14" hidden="1">
      <c r="A1184" s="232">
        <v>42311</v>
      </c>
      <c r="B1184" t="s">
        <v>1914</v>
      </c>
      <c r="C1184" t="s">
        <v>2256</v>
      </c>
      <c r="D1184" s="1">
        <v>13093</v>
      </c>
      <c r="E1184" s="1">
        <v>0</v>
      </c>
      <c r="F1184">
        <v>994144.91</v>
      </c>
      <c r="K1184" s="2"/>
      <c r="L1184" s="232">
        <v>42311</v>
      </c>
      <c r="N1184">
        <f t="shared" si="15"/>
        <v>13093</v>
      </c>
    </row>
    <row r="1185" spans="1:14" hidden="1">
      <c r="A1185" s="232">
        <v>42311</v>
      </c>
      <c r="B1185" t="s">
        <v>1914</v>
      </c>
      <c r="C1185" t="s">
        <v>2257</v>
      </c>
      <c r="D1185" s="1">
        <v>105</v>
      </c>
      <c r="E1185" s="1">
        <v>0</v>
      </c>
      <c r="F1185">
        <v>994039.91</v>
      </c>
      <c r="K1185" s="2"/>
      <c r="L1185" s="232">
        <v>42311</v>
      </c>
      <c r="N1185">
        <f t="shared" si="15"/>
        <v>105</v>
      </c>
    </row>
    <row r="1186" spans="1:14" hidden="1">
      <c r="A1186" s="232">
        <v>42311</v>
      </c>
      <c r="B1186" t="s">
        <v>1914</v>
      </c>
      <c r="C1186" t="s">
        <v>2258</v>
      </c>
      <c r="D1186" s="1">
        <v>30000</v>
      </c>
      <c r="E1186" s="1">
        <v>0</v>
      </c>
      <c r="F1186">
        <v>964039.91</v>
      </c>
      <c r="G1186" s="8" t="s">
        <v>1379</v>
      </c>
      <c r="K1186" s="2"/>
      <c r="L1186" s="232">
        <v>42311</v>
      </c>
      <c r="N1186">
        <f t="shared" si="15"/>
        <v>30000</v>
      </c>
    </row>
    <row r="1187" spans="1:14" hidden="1">
      <c r="A1187" s="232">
        <v>42317</v>
      </c>
      <c r="B1187" t="s">
        <v>1963</v>
      </c>
      <c r="C1187" t="s">
        <v>2259</v>
      </c>
      <c r="D1187" s="1">
        <v>10000</v>
      </c>
      <c r="E1187" s="1">
        <v>0</v>
      </c>
      <c r="F1187">
        <v>954039.91</v>
      </c>
      <c r="G1187" s="8" t="s">
        <v>1361</v>
      </c>
      <c r="K1187" s="2"/>
      <c r="L1187" s="232">
        <v>42317</v>
      </c>
      <c r="N1187">
        <f t="shared" si="15"/>
        <v>10000</v>
      </c>
    </row>
    <row r="1188" spans="1:14" hidden="1">
      <c r="A1188" s="232">
        <v>42318</v>
      </c>
      <c r="B1188" t="s">
        <v>1938</v>
      </c>
      <c r="C1188" t="s">
        <v>2260</v>
      </c>
      <c r="D1188" s="1">
        <v>2000</v>
      </c>
      <c r="E1188" s="1">
        <v>0</v>
      </c>
      <c r="F1188">
        <v>952039.91</v>
      </c>
      <c r="G1188" s="8" t="s">
        <v>1372</v>
      </c>
      <c r="K1188" s="2"/>
      <c r="L1188" s="232">
        <v>42318</v>
      </c>
      <c r="N1188">
        <f t="shared" si="15"/>
        <v>2000</v>
      </c>
    </row>
    <row r="1189" spans="1:14" hidden="1">
      <c r="A1189" s="232">
        <v>42321</v>
      </c>
      <c r="B1189" t="s">
        <v>1963</v>
      </c>
      <c r="C1189" t="s">
        <v>2261</v>
      </c>
      <c r="D1189" s="1">
        <v>6000</v>
      </c>
      <c r="E1189" s="1">
        <v>0</v>
      </c>
      <c r="F1189">
        <v>946039.91</v>
      </c>
      <c r="G1189" s="8" t="s">
        <v>1361</v>
      </c>
      <c r="K1189" s="2"/>
      <c r="L1189" s="232">
        <v>42321</v>
      </c>
      <c r="N1189">
        <f t="shared" si="15"/>
        <v>6000</v>
      </c>
    </row>
    <row r="1190" spans="1:14" hidden="1">
      <c r="A1190" s="232">
        <v>42324</v>
      </c>
      <c r="B1190" t="s">
        <v>1914</v>
      </c>
      <c r="C1190" t="s">
        <v>2262</v>
      </c>
      <c r="D1190" s="1">
        <v>125000</v>
      </c>
      <c r="E1190" s="1">
        <v>0</v>
      </c>
      <c r="F1190">
        <v>821039.91</v>
      </c>
      <c r="K1190" s="2"/>
      <c r="L1190" s="232">
        <v>42324</v>
      </c>
      <c r="N1190">
        <f t="shared" si="15"/>
        <v>125000</v>
      </c>
    </row>
    <row r="1191" spans="1:14" hidden="1">
      <c r="A1191" s="232">
        <v>42324</v>
      </c>
      <c r="B1191" t="s">
        <v>1997</v>
      </c>
      <c r="C1191" t="s">
        <v>2263</v>
      </c>
      <c r="D1191" s="1">
        <v>125000</v>
      </c>
      <c r="E1191" s="1">
        <v>0</v>
      </c>
      <c r="F1191">
        <v>696039.91</v>
      </c>
      <c r="K1191" s="2"/>
      <c r="L1191" s="232">
        <v>42324</v>
      </c>
      <c r="N1191">
        <f t="shared" si="15"/>
        <v>125000</v>
      </c>
    </row>
    <row r="1192" spans="1:14" hidden="1">
      <c r="A1192" s="232">
        <v>42324</v>
      </c>
      <c r="C1192" t="s">
        <v>2171</v>
      </c>
      <c r="D1192" s="1">
        <v>25000</v>
      </c>
      <c r="E1192" s="1">
        <v>0</v>
      </c>
      <c r="F1192">
        <v>671039.91</v>
      </c>
      <c r="G1192" s="8" t="s">
        <v>1379</v>
      </c>
      <c r="K1192" s="2"/>
      <c r="L1192" s="232">
        <v>42324</v>
      </c>
      <c r="N1192">
        <f t="shared" si="15"/>
        <v>25000</v>
      </c>
    </row>
    <row r="1193" spans="1:14" hidden="1">
      <c r="A1193" s="232">
        <v>42328</v>
      </c>
      <c r="B1193" t="s">
        <v>1963</v>
      </c>
      <c r="C1193" t="s">
        <v>2264</v>
      </c>
      <c r="D1193" s="1">
        <v>7000</v>
      </c>
      <c r="E1193" s="1">
        <v>0</v>
      </c>
      <c r="F1193">
        <v>664039.91</v>
      </c>
      <c r="G1193" s="8" t="s">
        <v>1361</v>
      </c>
      <c r="K1193" s="2"/>
      <c r="L1193" s="232">
        <v>42328</v>
      </c>
      <c r="N1193">
        <f t="shared" si="15"/>
        <v>7000</v>
      </c>
    </row>
    <row r="1194" spans="1:14" hidden="1">
      <c r="A1194" s="232">
        <v>42331</v>
      </c>
      <c r="B1194" t="s">
        <v>1914</v>
      </c>
      <c r="C1194" t="s">
        <v>2265</v>
      </c>
      <c r="D1194" s="1">
        <v>6097.25</v>
      </c>
      <c r="E1194" s="1">
        <v>0</v>
      </c>
      <c r="F1194">
        <v>657942.66</v>
      </c>
      <c r="K1194" s="2"/>
      <c r="L1194" s="232">
        <v>42331</v>
      </c>
      <c r="N1194">
        <f t="shared" si="15"/>
        <v>6097.25</v>
      </c>
    </row>
    <row r="1195" spans="1:14" hidden="1">
      <c r="A1195" s="232">
        <v>42331</v>
      </c>
      <c r="B1195" t="s">
        <v>1914</v>
      </c>
      <c r="C1195" t="s">
        <v>2266</v>
      </c>
      <c r="D1195" s="1">
        <v>6097.25</v>
      </c>
      <c r="E1195" s="1">
        <v>0</v>
      </c>
      <c r="F1195">
        <v>651845.41</v>
      </c>
      <c r="K1195" s="2"/>
      <c r="L1195" s="232">
        <v>42331</v>
      </c>
      <c r="N1195">
        <f t="shared" si="15"/>
        <v>6097.25</v>
      </c>
    </row>
    <row r="1196" spans="1:14" hidden="1">
      <c r="A1196" s="232">
        <v>42334</v>
      </c>
      <c r="C1196" t="s">
        <v>2267</v>
      </c>
      <c r="D1196" s="1">
        <v>0</v>
      </c>
      <c r="E1196" s="1">
        <v>245122</v>
      </c>
      <c r="F1196">
        <v>896967.41</v>
      </c>
      <c r="G1196" s="8" t="s">
        <v>1380</v>
      </c>
      <c r="K1196" s="2"/>
      <c r="L1196" s="232">
        <v>42334</v>
      </c>
      <c r="N1196">
        <f t="shared" si="15"/>
        <v>0</v>
      </c>
    </row>
    <row r="1197" spans="1:14" hidden="1">
      <c r="A1197" s="232">
        <v>42338</v>
      </c>
      <c r="B1197" t="s">
        <v>1938</v>
      </c>
      <c r="C1197" t="s">
        <v>2268</v>
      </c>
      <c r="D1197" s="1">
        <v>2000</v>
      </c>
      <c r="E1197" s="1">
        <v>0</v>
      </c>
      <c r="F1197">
        <v>894967.41</v>
      </c>
      <c r="G1197" s="8" t="s">
        <v>1372</v>
      </c>
      <c r="K1197" s="2"/>
      <c r="L1197" s="232">
        <v>42338</v>
      </c>
      <c r="N1197">
        <f t="shared" si="15"/>
        <v>2000</v>
      </c>
    </row>
    <row r="1198" spans="1:14" hidden="1">
      <c r="A1198" s="232">
        <v>42339</v>
      </c>
      <c r="C1198" t="s">
        <v>2154</v>
      </c>
      <c r="D1198" s="1">
        <v>40000</v>
      </c>
      <c r="E1198" s="1">
        <v>0</v>
      </c>
      <c r="F1198">
        <v>854967.41</v>
      </c>
      <c r="G1198" s="8" t="s">
        <v>1379</v>
      </c>
      <c r="K1198" s="2"/>
      <c r="L1198" s="232">
        <v>42339</v>
      </c>
      <c r="N1198">
        <f t="shared" si="15"/>
        <v>40000</v>
      </c>
    </row>
    <row r="1199" spans="1:14" hidden="1">
      <c r="A1199" s="232">
        <v>42340</v>
      </c>
      <c r="B1199" t="s">
        <v>1914</v>
      </c>
      <c r="C1199" t="s">
        <v>2269</v>
      </c>
      <c r="D1199" s="1">
        <v>8269</v>
      </c>
      <c r="E1199" s="1">
        <v>0</v>
      </c>
      <c r="F1199">
        <v>846698.41</v>
      </c>
      <c r="K1199" s="2"/>
      <c r="L1199" s="232">
        <v>42340</v>
      </c>
      <c r="N1199">
        <f t="shared" si="15"/>
        <v>8269</v>
      </c>
    </row>
    <row r="1200" spans="1:14" hidden="1">
      <c r="A1200" s="232">
        <v>42341</v>
      </c>
      <c r="B1200" t="s">
        <v>1914</v>
      </c>
      <c r="C1200" t="s">
        <v>2270</v>
      </c>
      <c r="D1200" s="1">
        <v>30000</v>
      </c>
      <c r="E1200" s="1">
        <v>0</v>
      </c>
      <c r="F1200">
        <v>816698.41</v>
      </c>
      <c r="G1200" s="8" t="s">
        <v>1379</v>
      </c>
      <c r="K1200" s="2"/>
      <c r="L1200" s="232">
        <v>42341</v>
      </c>
      <c r="N1200">
        <f t="shared" si="15"/>
        <v>30000</v>
      </c>
    </row>
    <row r="1201" spans="1:14" hidden="1">
      <c r="A1201" s="232">
        <v>42343</v>
      </c>
      <c r="B1201" t="s">
        <v>1963</v>
      </c>
      <c r="C1201" t="s">
        <v>2271</v>
      </c>
      <c r="D1201" s="1">
        <v>8000</v>
      </c>
      <c r="E1201" s="1">
        <v>0</v>
      </c>
      <c r="F1201">
        <v>808698.41</v>
      </c>
      <c r="G1201" s="8" t="s">
        <v>1361</v>
      </c>
      <c r="K1201" s="2"/>
      <c r="L1201" s="232">
        <v>42343</v>
      </c>
      <c r="N1201">
        <f t="shared" si="15"/>
        <v>8000</v>
      </c>
    </row>
    <row r="1202" spans="1:14" hidden="1">
      <c r="A1202" s="232">
        <v>42345</v>
      </c>
      <c r="B1202" t="s">
        <v>1938</v>
      </c>
      <c r="C1202" t="s">
        <v>2272</v>
      </c>
      <c r="D1202" s="1">
        <v>0</v>
      </c>
      <c r="E1202" s="1">
        <v>26794.53</v>
      </c>
      <c r="F1202">
        <v>835492.94</v>
      </c>
      <c r="G1202" s="8" t="s">
        <v>1375</v>
      </c>
      <c r="K1202" s="2"/>
      <c r="L1202" s="232">
        <v>42345</v>
      </c>
      <c r="N1202">
        <f t="shared" si="15"/>
        <v>0</v>
      </c>
    </row>
    <row r="1203" spans="1:14" hidden="1">
      <c r="A1203" s="232">
        <v>42346</v>
      </c>
      <c r="B1203" t="s">
        <v>1938</v>
      </c>
      <c r="C1203" t="s">
        <v>2273</v>
      </c>
      <c r="D1203" s="1">
        <v>0</v>
      </c>
      <c r="E1203" s="1">
        <v>87874.33</v>
      </c>
      <c r="F1203">
        <v>923367.27</v>
      </c>
      <c r="G1203" s="8" t="s">
        <v>1375</v>
      </c>
      <c r="K1203" s="2"/>
      <c r="L1203" s="232">
        <v>42346</v>
      </c>
      <c r="N1203">
        <f t="shared" si="15"/>
        <v>0</v>
      </c>
    </row>
    <row r="1204" spans="1:14" hidden="1">
      <c r="A1204" s="232">
        <v>42348</v>
      </c>
      <c r="B1204" t="s">
        <v>1938</v>
      </c>
      <c r="C1204" t="s">
        <v>2274</v>
      </c>
      <c r="D1204" s="1">
        <v>2000</v>
      </c>
      <c r="E1204" s="1">
        <v>0</v>
      </c>
      <c r="F1204">
        <v>921367.27</v>
      </c>
      <c r="G1204" s="8" t="s">
        <v>1372</v>
      </c>
      <c r="K1204" s="2"/>
      <c r="L1204" s="232">
        <v>42348</v>
      </c>
      <c r="N1204">
        <f t="shared" si="15"/>
        <v>2000</v>
      </c>
    </row>
    <row r="1205" spans="1:14" hidden="1">
      <c r="A1205" s="232">
        <v>42348</v>
      </c>
      <c r="C1205" t="s">
        <v>2275</v>
      </c>
      <c r="D1205" s="1">
        <v>0</v>
      </c>
      <c r="E1205" s="1">
        <v>2028</v>
      </c>
      <c r="F1205">
        <v>923395.27</v>
      </c>
      <c r="G1205" s="8" t="s">
        <v>1380</v>
      </c>
      <c r="K1205" s="2"/>
      <c r="L1205" s="232">
        <v>42348</v>
      </c>
      <c r="N1205">
        <f t="shared" si="15"/>
        <v>0</v>
      </c>
    </row>
    <row r="1206" spans="1:14" hidden="1">
      <c r="A1206" s="232">
        <v>42353</v>
      </c>
      <c r="C1206" t="s">
        <v>2171</v>
      </c>
      <c r="D1206" s="1">
        <v>25000</v>
      </c>
      <c r="E1206" s="1">
        <v>0</v>
      </c>
      <c r="F1206">
        <v>898395.27</v>
      </c>
      <c r="G1206" s="8" t="s">
        <v>1379</v>
      </c>
      <c r="K1206" s="2"/>
      <c r="L1206" s="232">
        <v>42353</v>
      </c>
      <c r="N1206">
        <f t="shared" si="15"/>
        <v>25000</v>
      </c>
    </row>
    <row r="1207" spans="1:14" hidden="1">
      <c r="A1207" s="232">
        <v>42360</v>
      </c>
      <c r="B1207" t="s">
        <v>2063</v>
      </c>
      <c r="C1207" t="s">
        <v>2276</v>
      </c>
      <c r="D1207" s="1">
        <v>5000</v>
      </c>
      <c r="E1207" s="1">
        <v>0</v>
      </c>
      <c r="F1207">
        <v>893395.27</v>
      </c>
      <c r="G1207" s="8" t="s">
        <v>1361</v>
      </c>
      <c r="K1207" s="2"/>
      <c r="L1207" s="232">
        <v>42360</v>
      </c>
      <c r="N1207">
        <f t="shared" si="15"/>
        <v>5000</v>
      </c>
    </row>
    <row r="1208" spans="1:14" hidden="1">
      <c r="A1208" s="232">
        <v>42362</v>
      </c>
      <c r="C1208" t="s">
        <v>2277</v>
      </c>
      <c r="D1208" s="1">
        <v>0</v>
      </c>
      <c r="E1208" s="1">
        <v>238947</v>
      </c>
      <c r="F1208">
        <v>1132342.27</v>
      </c>
      <c r="G1208" s="8" t="s">
        <v>1380</v>
      </c>
      <c r="K1208" s="2"/>
      <c r="L1208" s="232">
        <v>42362</v>
      </c>
      <c r="N1208">
        <f t="shared" si="15"/>
        <v>0</v>
      </c>
    </row>
    <row r="1209" spans="1:14" hidden="1">
      <c r="A1209" s="232">
        <v>42366</v>
      </c>
      <c r="B1209" t="s">
        <v>1938</v>
      </c>
      <c r="C1209" t="s">
        <v>2278</v>
      </c>
      <c r="D1209" s="1">
        <v>2000</v>
      </c>
      <c r="E1209" s="1">
        <v>0</v>
      </c>
      <c r="F1209">
        <v>1130342.27</v>
      </c>
      <c r="G1209" s="8" t="s">
        <v>1372</v>
      </c>
      <c r="K1209" s="2"/>
      <c r="L1209" s="232">
        <v>42366</v>
      </c>
      <c r="N1209">
        <f t="shared" si="15"/>
        <v>2000</v>
      </c>
    </row>
    <row r="1210" spans="1:14" hidden="1">
      <c r="A1210" s="232">
        <v>42367</v>
      </c>
      <c r="C1210" t="s">
        <v>2279</v>
      </c>
      <c r="D1210" s="1">
        <v>0</v>
      </c>
      <c r="E1210" s="1">
        <v>1017</v>
      </c>
      <c r="F1210">
        <v>1131359.27</v>
      </c>
      <c r="G1210" s="8" t="s">
        <v>1380</v>
      </c>
      <c r="K1210" s="2"/>
      <c r="L1210" s="232">
        <v>42367</v>
      </c>
      <c r="N1210">
        <f t="shared" si="15"/>
        <v>0</v>
      </c>
    </row>
    <row r="1211" spans="1:14" hidden="1">
      <c r="A1211" s="232">
        <v>42369</v>
      </c>
      <c r="C1211" t="s">
        <v>2280</v>
      </c>
      <c r="D1211" s="1">
        <v>0</v>
      </c>
      <c r="E1211" s="1">
        <v>17370</v>
      </c>
      <c r="F1211">
        <v>1148729.27</v>
      </c>
      <c r="G1211" s="8" t="s">
        <v>1368</v>
      </c>
      <c r="K1211" s="2"/>
      <c r="L1211" s="232">
        <v>42369</v>
      </c>
      <c r="N1211">
        <f t="shared" si="15"/>
        <v>0</v>
      </c>
    </row>
    <row r="1212" spans="1:14" hidden="1">
      <c r="A1212" s="232">
        <v>42370</v>
      </c>
      <c r="C1212" t="s">
        <v>2154</v>
      </c>
      <c r="D1212" s="1">
        <v>40000</v>
      </c>
      <c r="E1212" s="1">
        <v>0</v>
      </c>
      <c r="F1212">
        <v>1108729.27</v>
      </c>
      <c r="G1212" s="8" t="s">
        <v>1379</v>
      </c>
      <c r="K1212" s="2"/>
      <c r="L1212" s="232">
        <v>42370</v>
      </c>
      <c r="N1212">
        <f t="shared" si="15"/>
        <v>40000</v>
      </c>
    </row>
    <row r="1213" spans="1:14" hidden="1">
      <c r="A1213" s="232">
        <v>42373</v>
      </c>
      <c r="B1213" t="s">
        <v>1914</v>
      </c>
      <c r="C1213" t="s">
        <v>2281</v>
      </c>
      <c r="D1213" s="1">
        <v>30000</v>
      </c>
      <c r="E1213" s="1">
        <v>0</v>
      </c>
      <c r="F1213">
        <v>1078729.27</v>
      </c>
      <c r="G1213" s="8" t="s">
        <v>1379</v>
      </c>
      <c r="K1213" s="2"/>
      <c r="L1213" s="232">
        <v>42373</v>
      </c>
      <c r="N1213">
        <f t="shared" si="15"/>
        <v>30000</v>
      </c>
    </row>
    <row r="1214" spans="1:14" hidden="1">
      <c r="A1214" s="232">
        <v>42373</v>
      </c>
      <c r="B1214" t="s">
        <v>1963</v>
      </c>
      <c r="C1214" t="s">
        <v>2282</v>
      </c>
      <c r="D1214" s="1">
        <v>4000</v>
      </c>
      <c r="E1214" s="1">
        <v>0</v>
      </c>
      <c r="F1214">
        <v>1074729.27</v>
      </c>
      <c r="G1214" s="8" t="s">
        <v>1361</v>
      </c>
      <c r="K1214" s="2"/>
      <c r="L1214" s="232">
        <v>42373</v>
      </c>
      <c r="N1214">
        <f t="shared" si="15"/>
        <v>4000</v>
      </c>
    </row>
    <row r="1215" spans="1:14" hidden="1">
      <c r="A1215" s="232">
        <v>42373</v>
      </c>
      <c r="B1215" t="s">
        <v>1963</v>
      </c>
      <c r="C1215" t="s">
        <v>2282</v>
      </c>
      <c r="D1215" s="1">
        <v>500</v>
      </c>
      <c r="E1215" s="1">
        <v>0</v>
      </c>
      <c r="F1215">
        <v>1074229.27</v>
      </c>
      <c r="G1215" s="8" t="s">
        <v>1361</v>
      </c>
      <c r="K1215" s="2"/>
      <c r="L1215" s="232">
        <v>42373</v>
      </c>
      <c r="N1215">
        <f t="shared" si="15"/>
        <v>500</v>
      </c>
    </row>
    <row r="1216" spans="1:14" hidden="1">
      <c r="A1216" s="232">
        <v>42373</v>
      </c>
      <c r="B1216" t="s">
        <v>1914</v>
      </c>
      <c r="C1216" t="s">
        <v>2283</v>
      </c>
      <c r="D1216" s="1">
        <v>300000</v>
      </c>
      <c r="E1216" s="1">
        <v>0</v>
      </c>
      <c r="F1216">
        <v>774229.27</v>
      </c>
      <c r="G1216" s="8" t="s">
        <v>1363</v>
      </c>
      <c r="K1216" s="2"/>
      <c r="L1216" s="232">
        <v>42373</v>
      </c>
      <c r="N1216">
        <f t="shared" si="15"/>
        <v>300000</v>
      </c>
    </row>
    <row r="1217" spans="1:14" hidden="1">
      <c r="A1217" s="232">
        <v>42373</v>
      </c>
      <c r="B1217" t="s">
        <v>1914</v>
      </c>
      <c r="C1217" t="s">
        <v>2284</v>
      </c>
      <c r="D1217" s="1">
        <v>30142</v>
      </c>
      <c r="E1217" s="1">
        <v>0</v>
      </c>
      <c r="F1217">
        <v>744087.27</v>
      </c>
      <c r="G1217" s="8" t="s">
        <v>1370</v>
      </c>
      <c r="K1217" s="2"/>
      <c r="L1217" s="232">
        <v>42373</v>
      </c>
      <c r="N1217">
        <f t="shared" si="15"/>
        <v>30142</v>
      </c>
    </row>
    <row r="1218" spans="1:14" hidden="1">
      <c r="A1218" s="232">
        <v>42376</v>
      </c>
      <c r="B1218" t="s">
        <v>1963</v>
      </c>
      <c r="C1218" t="s">
        <v>2285</v>
      </c>
      <c r="D1218" s="1">
        <v>5000</v>
      </c>
      <c r="E1218" s="1">
        <v>0</v>
      </c>
      <c r="F1218">
        <v>739087.27</v>
      </c>
      <c r="G1218" s="8" t="s">
        <v>1361</v>
      </c>
      <c r="K1218" s="2"/>
      <c r="L1218" s="232">
        <v>42376</v>
      </c>
      <c r="N1218">
        <f t="shared" si="15"/>
        <v>5000</v>
      </c>
    </row>
    <row r="1219" spans="1:14" hidden="1">
      <c r="A1219" s="232">
        <v>42380</v>
      </c>
      <c r="B1219" t="s">
        <v>1938</v>
      </c>
      <c r="C1219" t="s">
        <v>2286</v>
      </c>
      <c r="D1219" s="1">
        <v>2000</v>
      </c>
      <c r="E1219" s="1">
        <v>0</v>
      </c>
      <c r="F1219">
        <v>737087.27</v>
      </c>
      <c r="G1219" s="8" t="s">
        <v>1372</v>
      </c>
      <c r="K1219" s="2"/>
      <c r="L1219" s="232">
        <v>42380</v>
      </c>
      <c r="N1219">
        <f t="shared" si="15"/>
        <v>2000</v>
      </c>
    </row>
    <row r="1220" spans="1:14" hidden="1">
      <c r="A1220" s="232">
        <v>42381</v>
      </c>
      <c r="B1220" t="s">
        <v>2063</v>
      </c>
      <c r="C1220" t="s">
        <v>2287</v>
      </c>
      <c r="D1220" s="1">
        <v>4000</v>
      </c>
      <c r="E1220" s="1">
        <v>0</v>
      </c>
      <c r="F1220">
        <v>733087.27</v>
      </c>
      <c r="G1220" s="8" t="s">
        <v>1361</v>
      </c>
      <c r="K1220" s="2"/>
      <c r="L1220" s="232">
        <v>42381</v>
      </c>
      <c r="N1220">
        <f t="shared" si="15"/>
        <v>4000</v>
      </c>
    </row>
    <row r="1221" spans="1:14" hidden="1">
      <c r="A1221" s="232">
        <v>42384</v>
      </c>
      <c r="C1221" t="s">
        <v>2171</v>
      </c>
      <c r="D1221" s="1">
        <v>25000</v>
      </c>
      <c r="E1221" s="1">
        <v>0</v>
      </c>
      <c r="F1221">
        <v>708087.27</v>
      </c>
      <c r="G1221" s="8" t="s">
        <v>1379</v>
      </c>
      <c r="K1221" s="2"/>
      <c r="L1221" s="232">
        <v>42384</v>
      </c>
      <c r="N1221">
        <f t="shared" si="15"/>
        <v>25000</v>
      </c>
    </row>
    <row r="1222" spans="1:14" hidden="1">
      <c r="A1222" s="232">
        <v>42394</v>
      </c>
      <c r="C1222" t="s">
        <v>2288</v>
      </c>
      <c r="D1222" s="1">
        <v>0</v>
      </c>
      <c r="E1222" s="1">
        <v>238947</v>
      </c>
      <c r="F1222">
        <v>947034.27</v>
      </c>
      <c r="G1222" s="8" t="s">
        <v>1380</v>
      </c>
      <c r="K1222" s="2"/>
      <c r="L1222" s="232">
        <v>42394</v>
      </c>
      <c r="N1222">
        <f t="shared" si="15"/>
        <v>0</v>
      </c>
    </row>
    <row r="1223" spans="1:14" hidden="1">
      <c r="A1223" s="232">
        <v>42397</v>
      </c>
      <c r="B1223" t="s">
        <v>1938</v>
      </c>
      <c r="C1223" t="s">
        <v>2289</v>
      </c>
      <c r="D1223" s="1">
        <v>2000</v>
      </c>
      <c r="E1223" s="1">
        <v>0</v>
      </c>
      <c r="F1223">
        <v>945034.27</v>
      </c>
      <c r="G1223" s="8" t="s">
        <v>1372</v>
      </c>
      <c r="K1223" s="2"/>
      <c r="L1223" s="232">
        <v>42397</v>
      </c>
      <c r="N1223">
        <f t="shared" si="15"/>
        <v>2000</v>
      </c>
    </row>
    <row r="1224" spans="1:14" hidden="1">
      <c r="A1224" s="232">
        <v>42401</v>
      </c>
      <c r="C1224" t="s">
        <v>2154</v>
      </c>
      <c r="D1224" s="1">
        <v>40000</v>
      </c>
      <c r="E1224" s="1">
        <v>0</v>
      </c>
      <c r="F1224">
        <v>905034.27</v>
      </c>
      <c r="G1224" s="8" t="s">
        <v>1379</v>
      </c>
      <c r="K1224" s="2"/>
      <c r="L1224" s="232">
        <v>42401</v>
      </c>
      <c r="N1224">
        <f t="shared" si="15"/>
        <v>40000</v>
      </c>
    </row>
    <row r="1225" spans="1:14" hidden="1">
      <c r="A1225" s="232">
        <v>42403</v>
      </c>
      <c r="B1225" t="s">
        <v>1914</v>
      </c>
      <c r="C1225" t="s">
        <v>2290</v>
      </c>
      <c r="D1225" s="1">
        <v>30000</v>
      </c>
      <c r="E1225" s="1">
        <v>0</v>
      </c>
      <c r="F1225">
        <v>875034.27</v>
      </c>
      <c r="G1225" s="8" t="s">
        <v>1379</v>
      </c>
      <c r="K1225" s="2"/>
      <c r="L1225" s="232">
        <v>42403</v>
      </c>
      <c r="N1225">
        <f t="shared" si="15"/>
        <v>30000</v>
      </c>
    </row>
    <row r="1226" spans="1:14" hidden="1">
      <c r="A1226" s="232">
        <v>42403</v>
      </c>
      <c r="B1226" t="s">
        <v>1914</v>
      </c>
      <c r="C1226" t="s">
        <v>2291</v>
      </c>
      <c r="D1226" s="1">
        <v>7697</v>
      </c>
      <c r="E1226" s="1">
        <v>0</v>
      </c>
      <c r="F1226">
        <v>867337.27</v>
      </c>
      <c r="K1226" s="2"/>
      <c r="L1226" s="232">
        <v>42403</v>
      </c>
      <c r="N1226">
        <f t="shared" si="15"/>
        <v>7697</v>
      </c>
    </row>
    <row r="1227" spans="1:14" hidden="1">
      <c r="A1227" s="232">
        <v>42410</v>
      </c>
      <c r="B1227" t="s">
        <v>1938</v>
      </c>
      <c r="C1227" t="s">
        <v>2292</v>
      </c>
      <c r="D1227" s="1">
        <v>2000</v>
      </c>
      <c r="E1227" s="1">
        <v>0</v>
      </c>
      <c r="F1227">
        <v>865337.27</v>
      </c>
      <c r="G1227" s="8" t="s">
        <v>1372</v>
      </c>
      <c r="K1227" s="2"/>
      <c r="L1227" s="232">
        <v>42410</v>
      </c>
      <c r="N1227">
        <f t="shared" ref="N1227:N1290" si="16">D1227*1</f>
        <v>2000</v>
      </c>
    </row>
    <row r="1228" spans="1:14" hidden="1">
      <c r="A1228" s="232">
        <v>42415</v>
      </c>
      <c r="B1228" t="s">
        <v>1963</v>
      </c>
      <c r="C1228" t="s">
        <v>2293</v>
      </c>
      <c r="D1228" s="1">
        <v>5000</v>
      </c>
      <c r="E1228" s="1">
        <v>0</v>
      </c>
      <c r="F1228">
        <v>860337.27</v>
      </c>
      <c r="G1228" s="8" t="s">
        <v>1361</v>
      </c>
      <c r="K1228" s="2"/>
      <c r="L1228" s="232">
        <v>42415</v>
      </c>
      <c r="N1228">
        <f t="shared" si="16"/>
        <v>5000</v>
      </c>
    </row>
    <row r="1229" spans="1:14" hidden="1">
      <c r="A1229" s="232">
        <v>42415</v>
      </c>
      <c r="C1229" t="s">
        <v>2171</v>
      </c>
      <c r="D1229" s="1">
        <v>25000</v>
      </c>
      <c r="E1229" s="1">
        <v>0</v>
      </c>
      <c r="F1229">
        <v>835337.27</v>
      </c>
      <c r="G1229" s="8" t="s">
        <v>1379</v>
      </c>
      <c r="K1229" s="2"/>
      <c r="L1229" s="232">
        <v>42415</v>
      </c>
      <c r="N1229">
        <f t="shared" si="16"/>
        <v>25000</v>
      </c>
    </row>
    <row r="1230" spans="1:14" hidden="1">
      <c r="A1230" s="232">
        <v>42417</v>
      </c>
      <c r="B1230" t="s">
        <v>2294</v>
      </c>
      <c r="C1230" t="s">
        <v>2295</v>
      </c>
      <c r="D1230" s="1">
        <v>2000</v>
      </c>
      <c r="E1230" s="1">
        <v>0</v>
      </c>
      <c r="F1230">
        <v>833337.27</v>
      </c>
      <c r="K1230" s="2"/>
      <c r="L1230" s="232">
        <v>42417</v>
      </c>
      <c r="N1230">
        <f t="shared" si="16"/>
        <v>2000</v>
      </c>
    </row>
    <row r="1231" spans="1:14" hidden="1">
      <c r="A1231" s="232">
        <v>42425</v>
      </c>
      <c r="B1231" t="s">
        <v>1963</v>
      </c>
      <c r="C1231" t="s">
        <v>2296</v>
      </c>
      <c r="D1231" s="1">
        <v>5000</v>
      </c>
      <c r="E1231" s="1">
        <v>0</v>
      </c>
      <c r="F1231">
        <v>828337.27</v>
      </c>
      <c r="G1231" s="8" t="s">
        <v>1361</v>
      </c>
      <c r="K1231" s="2"/>
      <c r="L1231" s="232">
        <v>42425</v>
      </c>
      <c r="N1231">
        <f t="shared" si="16"/>
        <v>5000</v>
      </c>
    </row>
    <row r="1232" spans="1:14" hidden="1">
      <c r="A1232" s="232">
        <v>42426</v>
      </c>
      <c r="C1232" t="s">
        <v>2297</v>
      </c>
      <c r="D1232" s="1">
        <v>0</v>
      </c>
      <c r="E1232" s="1">
        <v>235784</v>
      </c>
      <c r="F1232">
        <v>1064121.27</v>
      </c>
      <c r="G1232" s="8" t="s">
        <v>1380</v>
      </c>
      <c r="K1232" s="2"/>
      <c r="L1232" s="232">
        <v>42426</v>
      </c>
      <c r="N1232">
        <f t="shared" si="16"/>
        <v>0</v>
      </c>
    </row>
    <row r="1233" spans="1:14" hidden="1">
      <c r="A1233" s="232">
        <v>42426</v>
      </c>
      <c r="B1233" t="s">
        <v>1963</v>
      </c>
      <c r="C1233" t="s">
        <v>2298</v>
      </c>
      <c r="D1233" s="1">
        <v>10000</v>
      </c>
      <c r="E1233" s="1">
        <v>0</v>
      </c>
      <c r="F1233">
        <v>1054121.27</v>
      </c>
      <c r="G1233" s="8" t="s">
        <v>1361</v>
      </c>
      <c r="K1233" s="2"/>
      <c r="L1233" s="232">
        <v>42426</v>
      </c>
      <c r="N1233">
        <f t="shared" si="16"/>
        <v>10000</v>
      </c>
    </row>
    <row r="1234" spans="1:14" hidden="1">
      <c r="A1234" s="232">
        <v>42429</v>
      </c>
      <c r="B1234" t="s">
        <v>1938</v>
      </c>
      <c r="C1234" t="s">
        <v>2299</v>
      </c>
      <c r="D1234" s="1">
        <v>2000</v>
      </c>
      <c r="E1234" s="1">
        <v>0</v>
      </c>
      <c r="F1234">
        <v>1052121.27</v>
      </c>
      <c r="G1234" s="8" t="s">
        <v>1372</v>
      </c>
      <c r="K1234" s="2"/>
      <c r="L1234" s="232">
        <v>42429</v>
      </c>
      <c r="N1234">
        <f t="shared" si="16"/>
        <v>2000</v>
      </c>
    </row>
    <row r="1235" spans="1:14" hidden="1">
      <c r="A1235" s="232">
        <v>42430</v>
      </c>
      <c r="C1235" t="s">
        <v>2154</v>
      </c>
      <c r="D1235" s="1">
        <v>40000</v>
      </c>
      <c r="E1235" s="1">
        <v>0</v>
      </c>
      <c r="F1235">
        <v>1012121.27</v>
      </c>
      <c r="G1235" s="8" t="s">
        <v>1379</v>
      </c>
      <c r="K1235" s="2"/>
      <c r="L1235" s="232">
        <v>42430</v>
      </c>
      <c r="N1235">
        <f t="shared" si="16"/>
        <v>40000</v>
      </c>
    </row>
    <row r="1236" spans="1:14" hidden="1">
      <c r="A1236" s="232">
        <v>42432</v>
      </c>
      <c r="B1236" t="s">
        <v>1914</v>
      </c>
      <c r="C1236" t="s">
        <v>2300</v>
      </c>
      <c r="D1236" s="1">
        <v>30000</v>
      </c>
      <c r="E1236" s="1">
        <v>0</v>
      </c>
      <c r="F1236">
        <v>982121.27</v>
      </c>
      <c r="G1236" s="8" t="s">
        <v>1379</v>
      </c>
      <c r="K1236" s="2"/>
      <c r="L1236" s="232">
        <v>42432</v>
      </c>
      <c r="N1236">
        <f t="shared" si="16"/>
        <v>30000</v>
      </c>
    </row>
    <row r="1237" spans="1:14" hidden="1">
      <c r="A1237" s="232">
        <v>42439</v>
      </c>
      <c r="B1237" t="s">
        <v>1938</v>
      </c>
      <c r="C1237" t="s">
        <v>2301</v>
      </c>
      <c r="D1237" s="1">
        <v>2000</v>
      </c>
      <c r="E1237" s="1">
        <v>0</v>
      </c>
      <c r="F1237">
        <v>980121.27</v>
      </c>
      <c r="G1237" s="8" t="s">
        <v>1372</v>
      </c>
      <c r="K1237" s="2"/>
      <c r="L1237" s="232">
        <v>42439</v>
      </c>
      <c r="N1237">
        <f t="shared" si="16"/>
        <v>2000</v>
      </c>
    </row>
    <row r="1238" spans="1:14" hidden="1">
      <c r="A1238" s="232">
        <v>42440</v>
      </c>
      <c r="C1238" t="s">
        <v>2302</v>
      </c>
      <c r="D1238" s="1">
        <v>0</v>
      </c>
      <c r="E1238" s="1">
        <v>2032</v>
      </c>
      <c r="F1238">
        <v>982153.27</v>
      </c>
      <c r="G1238" s="8" t="s">
        <v>1380</v>
      </c>
      <c r="K1238" s="2"/>
      <c r="L1238" s="232">
        <v>42440</v>
      </c>
      <c r="N1238">
        <f t="shared" si="16"/>
        <v>0</v>
      </c>
    </row>
    <row r="1239" spans="1:14" hidden="1">
      <c r="A1239" s="232">
        <v>42443</v>
      </c>
      <c r="B1239" t="s">
        <v>2063</v>
      </c>
      <c r="C1239" t="s">
        <v>2303</v>
      </c>
      <c r="D1239" s="1">
        <v>5000</v>
      </c>
      <c r="E1239" s="1">
        <v>0</v>
      </c>
      <c r="F1239">
        <v>977153.27</v>
      </c>
      <c r="G1239" s="8" t="s">
        <v>1361</v>
      </c>
      <c r="K1239" s="2"/>
      <c r="L1239" s="232">
        <v>42443</v>
      </c>
      <c r="N1239">
        <f t="shared" si="16"/>
        <v>5000</v>
      </c>
    </row>
    <row r="1240" spans="1:14" hidden="1">
      <c r="A1240" s="232">
        <v>42444</v>
      </c>
      <c r="C1240" t="s">
        <v>2171</v>
      </c>
      <c r="D1240" s="1">
        <v>25000</v>
      </c>
      <c r="E1240" s="1">
        <v>0</v>
      </c>
      <c r="F1240">
        <v>952153.27</v>
      </c>
      <c r="G1240" s="8" t="s">
        <v>1379</v>
      </c>
      <c r="K1240" s="2"/>
      <c r="L1240" s="232">
        <v>42444</v>
      </c>
      <c r="N1240">
        <f t="shared" si="16"/>
        <v>25000</v>
      </c>
    </row>
    <row r="1241" spans="1:14" hidden="1">
      <c r="A1241" s="232">
        <v>42457</v>
      </c>
      <c r="B1241" t="s">
        <v>1963</v>
      </c>
      <c r="C1241" t="s">
        <v>2304</v>
      </c>
      <c r="D1241" s="1">
        <v>5000</v>
      </c>
      <c r="E1241" s="1">
        <v>0</v>
      </c>
      <c r="F1241">
        <v>947153.27</v>
      </c>
      <c r="G1241" s="8" t="s">
        <v>1361</v>
      </c>
      <c r="K1241" s="2"/>
      <c r="L1241" s="232">
        <v>42457</v>
      </c>
      <c r="N1241">
        <f t="shared" si="16"/>
        <v>5000</v>
      </c>
    </row>
    <row r="1242" spans="1:14" hidden="1">
      <c r="A1242" s="232">
        <v>42457</v>
      </c>
      <c r="B1242" t="s">
        <v>1938</v>
      </c>
      <c r="C1242" t="s">
        <v>2305</v>
      </c>
      <c r="D1242" s="1">
        <v>2000</v>
      </c>
      <c r="E1242" s="1">
        <v>0</v>
      </c>
      <c r="F1242">
        <v>945153.27</v>
      </c>
      <c r="G1242" s="8" t="s">
        <v>1372</v>
      </c>
      <c r="K1242" s="2"/>
      <c r="L1242" s="232">
        <v>42457</v>
      </c>
      <c r="N1242">
        <f t="shared" si="16"/>
        <v>2000</v>
      </c>
    </row>
    <row r="1243" spans="1:14" hidden="1">
      <c r="A1243" s="232">
        <v>42457</v>
      </c>
      <c r="C1243" t="s">
        <v>2306</v>
      </c>
      <c r="D1243" s="1">
        <v>0</v>
      </c>
      <c r="E1243" s="1">
        <v>803838</v>
      </c>
      <c r="F1243">
        <v>1748991.27</v>
      </c>
      <c r="G1243" s="8" t="s">
        <v>1380</v>
      </c>
      <c r="K1243" s="2"/>
      <c r="L1243" s="232">
        <v>42457</v>
      </c>
      <c r="N1243">
        <f t="shared" si="16"/>
        <v>0</v>
      </c>
    </row>
    <row r="1244" spans="1:14" hidden="1">
      <c r="A1244" s="232">
        <v>42459</v>
      </c>
      <c r="C1244" t="s">
        <v>2307</v>
      </c>
      <c r="D1244" s="1">
        <v>0</v>
      </c>
      <c r="E1244" s="1">
        <v>8931</v>
      </c>
      <c r="F1244">
        <v>1757922.27</v>
      </c>
      <c r="G1244" s="8" t="s">
        <v>1368</v>
      </c>
      <c r="K1244" s="2"/>
      <c r="L1244" s="232">
        <v>42459</v>
      </c>
      <c r="N1244">
        <f t="shared" si="16"/>
        <v>0</v>
      </c>
    </row>
    <row r="1245" spans="1:14" hidden="1">
      <c r="A1245" s="232">
        <v>42461</v>
      </c>
      <c r="C1245" t="s">
        <v>1394</v>
      </c>
      <c r="D1245" s="1">
        <v>0</v>
      </c>
      <c r="E1245" s="1">
        <v>0</v>
      </c>
      <c r="F1245">
        <v>1757922.27</v>
      </c>
      <c r="K1245" s="2"/>
      <c r="L1245" s="232">
        <v>42461</v>
      </c>
      <c r="N1245">
        <f t="shared" si="16"/>
        <v>0</v>
      </c>
    </row>
    <row r="1246" spans="1:14" hidden="1">
      <c r="A1246" s="232">
        <v>42462</v>
      </c>
      <c r="B1246" t="s">
        <v>1914</v>
      </c>
      <c r="C1246" t="s">
        <v>2308</v>
      </c>
      <c r="D1246" s="1">
        <v>10130</v>
      </c>
      <c r="E1246" s="1">
        <v>0</v>
      </c>
      <c r="F1246">
        <v>1747792.27</v>
      </c>
      <c r="K1246" s="2"/>
      <c r="L1246" s="232">
        <v>42462</v>
      </c>
      <c r="N1246">
        <f t="shared" si="16"/>
        <v>10130</v>
      </c>
    </row>
    <row r="1247" spans="1:14" hidden="1">
      <c r="A1247" s="232">
        <v>42464</v>
      </c>
      <c r="B1247" t="s">
        <v>1914</v>
      </c>
      <c r="C1247" t="s">
        <v>2309</v>
      </c>
      <c r="D1247" s="1">
        <v>30000</v>
      </c>
      <c r="E1247" s="1">
        <v>0</v>
      </c>
      <c r="F1247">
        <v>1717792.27</v>
      </c>
      <c r="G1247" s="8" t="s">
        <v>1379</v>
      </c>
      <c r="K1247" s="2"/>
      <c r="L1247" s="232">
        <v>42464</v>
      </c>
      <c r="N1247">
        <f t="shared" si="16"/>
        <v>30000</v>
      </c>
    </row>
    <row r="1248" spans="1:14" hidden="1">
      <c r="A1248" s="232">
        <v>42464</v>
      </c>
      <c r="C1248" t="s">
        <v>2310</v>
      </c>
      <c r="D1248" s="1">
        <v>25000</v>
      </c>
      <c r="E1248" s="1">
        <v>0</v>
      </c>
      <c r="F1248">
        <v>1692792.27</v>
      </c>
      <c r="G1248" s="8" t="s">
        <v>1379</v>
      </c>
      <c r="K1248" s="2"/>
      <c r="L1248" s="232">
        <v>42464</v>
      </c>
      <c r="N1248">
        <f t="shared" si="16"/>
        <v>25000</v>
      </c>
    </row>
    <row r="1249" spans="1:14" hidden="1">
      <c r="A1249" s="232">
        <v>42464</v>
      </c>
      <c r="C1249" t="s">
        <v>2311</v>
      </c>
      <c r="D1249" s="1">
        <v>25000</v>
      </c>
      <c r="E1249" s="1">
        <v>0</v>
      </c>
      <c r="F1249">
        <v>1667792.27</v>
      </c>
      <c r="G1249" s="8" t="s">
        <v>1379</v>
      </c>
      <c r="K1249" s="2"/>
      <c r="L1249" s="232">
        <v>42464</v>
      </c>
      <c r="N1249">
        <f t="shared" si="16"/>
        <v>25000</v>
      </c>
    </row>
    <row r="1250" spans="1:14" hidden="1">
      <c r="A1250" s="232">
        <v>42466</v>
      </c>
      <c r="B1250" t="s">
        <v>1963</v>
      </c>
      <c r="C1250" t="s">
        <v>2312</v>
      </c>
      <c r="D1250" s="1">
        <v>5000</v>
      </c>
      <c r="E1250" s="1">
        <v>0</v>
      </c>
      <c r="F1250">
        <v>1662792.27</v>
      </c>
      <c r="G1250" s="8" t="s">
        <v>1361</v>
      </c>
      <c r="K1250" s="2"/>
      <c r="L1250" s="232">
        <v>42466</v>
      </c>
      <c r="N1250">
        <f t="shared" si="16"/>
        <v>5000</v>
      </c>
    </row>
    <row r="1251" spans="1:14" hidden="1">
      <c r="A1251" s="232">
        <v>42471</v>
      </c>
      <c r="C1251" t="s">
        <v>2313</v>
      </c>
      <c r="D1251" s="1">
        <v>25000</v>
      </c>
      <c r="E1251" s="1">
        <v>0</v>
      </c>
      <c r="F1251">
        <v>1637792.27</v>
      </c>
      <c r="G1251" s="8" t="s">
        <v>1379</v>
      </c>
      <c r="K1251" s="2"/>
      <c r="L1251" s="232">
        <v>42471</v>
      </c>
      <c r="N1251">
        <f t="shared" si="16"/>
        <v>25000</v>
      </c>
    </row>
    <row r="1252" spans="1:14" hidden="1">
      <c r="A1252" s="232">
        <v>42471</v>
      </c>
      <c r="C1252" t="s">
        <v>2314</v>
      </c>
      <c r="D1252" s="1">
        <v>25000</v>
      </c>
      <c r="E1252" s="1">
        <v>0</v>
      </c>
      <c r="F1252">
        <v>1612792.27</v>
      </c>
      <c r="G1252" s="8" t="s">
        <v>1379</v>
      </c>
      <c r="K1252" s="2"/>
      <c r="L1252" s="232">
        <v>42471</v>
      </c>
      <c r="N1252">
        <f t="shared" si="16"/>
        <v>25000</v>
      </c>
    </row>
    <row r="1253" spans="1:14" hidden="1">
      <c r="A1253" s="232">
        <v>42471</v>
      </c>
      <c r="C1253" t="s">
        <v>2315</v>
      </c>
      <c r="D1253" s="1">
        <v>25000</v>
      </c>
      <c r="E1253" s="1">
        <v>0</v>
      </c>
      <c r="F1253">
        <v>1587792.27</v>
      </c>
      <c r="G1253" s="8" t="s">
        <v>1379</v>
      </c>
      <c r="K1253" s="2"/>
      <c r="L1253" s="232">
        <v>42471</v>
      </c>
      <c r="N1253">
        <f t="shared" si="16"/>
        <v>25000</v>
      </c>
    </row>
    <row r="1254" spans="1:14" hidden="1">
      <c r="A1254" s="232">
        <v>42471</v>
      </c>
      <c r="C1254" t="s">
        <v>2316</v>
      </c>
      <c r="D1254" s="1">
        <v>25000</v>
      </c>
      <c r="E1254" s="1">
        <v>0</v>
      </c>
      <c r="F1254">
        <v>1562792.27</v>
      </c>
      <c r="G1254" s="8" t="s">
        <v>1379</v>
      </c>
      <c r="K1254" s="2"/>
      <c r="L1254" s="232">
        <v>42471</v>
      </c>
      <c r="N1254">
        <f t="shared" si="16"/>
        <v>25000</v>
      </c>
    </row>
    <row r="1255" spans="1:14" hidden="1">
      <c r="A1255" s="232">
        <v>42471</v>
      </c>
      <c r="B1255" t="s">
        <v>2063</v>
      </c>
      <c r="C1255" t="s">
        <v>2317</v>
      </c>
      <c r="D1255" s="1">
        <v>5000</v>
      </c>
      <c r="E1255" s="1">
        <v>0</v>
      </c>
      <c r="F1255">
        <v>1557792.27</v>
      </c>
      <c r="G1255" s="8" t="s">
        <v>1361</v>
      </c>
      <c r="K1255" s="2"/>
      <c r="L1255" s="232">
        <v>42471</v>
      </c>
      <c r="N1255">
        <f t="shared" si="16"/>
        <v>5000</v>
      </c>
    </row>
    <row r="1256" spans="1:14" hidden="1">
      <c r="A1256" s="232">
        <v>42471</v>
      </c>
      <c r="B1256" t="s">
        <v>1938</v>
      </c>
      <c r="C1256" t="s">
        <v>2318</v>
      </c>
      <c r="D1256" s="1">
        <v>2000</v>
      </c>
      <c r="E1256" s="1">
        <v>0</v>
      </c>
      <c r="F1256">
        <v>1555792.27</v>
      </c>
      <c r="G1256" s="8" t="s">
        <v>1372</v>
      </c>
      <c r="K1256" s="2"/>
      <c r="L1256" s="232">
        <v>42471</v>
      </c>
      <c r="N1256">
        <f t="shared" si="16"/>
        <v>2000</v>
      </c>
    </row>
    <row r="1257" spans="1:14" hidden="1">
      <c r="A1257" s="232">
        <v>42475</v>
      </c>
      <c r="B1257" t="s">
        <v>2063</v>
      </c>
      <c r="C1257" t="s">
        <v>2319</v>
      </c>
      <c r="D1257" s="1">
        <v>400</v>
      </c>
      <c r="E1257" s="1">
        <v>0</v>
      </c>
      <c r="F1257">
        <v>1555392.27</v>
      </c>
      <c r="G1257" s="8" t="s">
        <v>1361</v>
      </c>
      <c r="K1257" s="2"/>
      <c r="L1257" s="232">
        <v>42475</v>
      </c>
      <c r="N1257">
        <f t="shared" si="16"/>
        <v>400</v>
      </c>
    </row>
    <row r="1258" spans="1:14" hidden="1">
      <c r="A1258" s="232">
        <v>42475</v>
      </c>
      <c r="B1258" t="s">
        <v>2063</v>
      </c>
      <c r="C1258" t="s">
        <v>2319</v>
      </c>
      <c r="D1258" s="1">
        <v>400</v>
      </c>
      <c r="E1258" s="1">
        <v>0</v>
      </c>
      <c r="F1258">
        <v>1554992.27</v>
      </c>
      <c r="G1258" s="8" t="s">
        <v>1361</v>
      </c>
      <c r="K1258" s="2"/>
      <c r="L1258" s="232">
        <v>42475</v>
      </c>
      <c r="N1258">
        <f t="shared" si="16"/>
        <v>400</v>
      </c>
    </row>
    <row r="1259" spans="1:14" hidden="1">
      <c r="A1259" s="232">
        <v>42476</v>
      </c>
      <c r="C1259" t="s">
        <v>2171</v>
      </c>
      <c r="D1259" s="1">
        <v>25000</v>
      </c>
      <c r="E1259" s="1">
        <v>0</v>
      </c>
      <c r="F1259">
        <v>1529992.27</v>
      </c>
      <c r="G1259" s="8" t="s">
        <v>1379</v>
      </c>
      <c r="K1259" s="2"/>
      <c r="L1259" s="232">
        <v>42476</v>
      </c>
      <c r="N1259">
        <f t="shared" si="16"/>
        <v>25000</v>
      </c>
    </row>
    <row r="1260" spans="1:14" hidden="1">
      <c r="A1260" s="232">
        <v>42485</v>
      </c>
      <c r="B1260" t="s">
        <v>1914</v>
      </c>
      <c r="C1260" t="s">
        <v>2320</v>
      </c>
      <c r="D1260" s="1">
        <v>1500</v>
      </c>
      <c r="E1260" s="1">
        <v>0</v>
      </c>
      <c r="F1260">
        <v>1528492.27</v>
      </c>
      <c r="K1260" s="2"/>
      <c r="L1260" s="232">
        <v>42485</v>
      </c>
      <c r="N1260">
        <f t="shared" si="16"/>
        <v>1500</v>
      </c>
    </row>
    <row r="1261" spans="1:14" hidden="1">
      <c r="A1261" s="232">
        <v>42485</v>
      </c>
      <c r="C1261" t="s">
        <v>2321</v>
      </c>
      <c r="D1261" s="1">
        <v>0</v>
      </c>
      <c r="E1261" s="1">
        <v>633036</v>
      </c>
      <c r="F1261">
        <v>2161528.27</v>
      </c>
      <c r="G1261" s="8" t="s">
        <v>1379</v>
      </c>
      <c r="K1261" s="2"/>
      <c r="L1261" s="232">
        <v>42485</v>
      </c>
      <c r="N1261">
        <f t="shared" si="16"/>
        <v>0</v>
      </c>
    </row>
    <row r="1262" spans="1:14" hidden="1">
      <c r="A1262" s="232">
        <v>42486</v>
      </c>
      <c r="B1262" t="s">
        <v>1914</v>
      </c>
      <c r="C1262" t="s">
        <v>2322</v>
      </c>
      <c r="D1262" s="1">
        <v>270570</v>
      </c>
      <c r="E1262" s="1">
        <v>0</v>
      </c>
      <c r="F1262">
        <v>1890958.27</v>
      </c>
      <c r="G1262" s="8" t="s">
        <v>1370</v>
      </c>
      <c r="K1262" s="2"/>
      <c r="L1262" s="232">
        <v>42486</v>
      </c>
      <c r="N1262">
        <f t="shared" si="16"/>
        <v>270570</v>
      </c>
    </row>
    <row r="1263" spans="1:14" hidden="1">
      <c r="A1263" s="232">
        <v>42486</v>
      </c>
      <c r="C1263" t="s">
        <v>2323</v>
      </c>
      <c r="D1263" s="1">
        <v>0</v>
      </c>
      <c r="E1263" s="1">
        <v>326075</v>
      </c>
      <c r="F1263">
        <v>2217033.27</v>
      </c>
      <c r="G1263" s="8" t="s">
        <v>1380</v>
      </c>
      <c r="K1263" s="2"/>
      <c r="L1263" s="232">
        <v>42486</v>
      </c>
      <c r="N1263">
        <f t="shared" si="16"/>
        <v>0</v>
      </c>
    </row>
    <row r="1264" spans="1:14" hidden="1">
      <c r="A1264" s="232">
        <v>42487</v>
      </c>
      <c r="B1264" t="s">
        <v>2063</v>
      </c>
      <c r="C1264" t="s">
        <v>2324</v>
      </c>
      <c r="D1264" s="1">
        <v>12000</v>
      </c>
      <c r="E1264" s="1">
        <v>0</v>
      </c>
      <c r="F1264">
        <v>2205033.27</v>
      </c>
      <c r="G1264" s="8" t="s">
        <v>1361</v>
      </c>
      <c r="K1264" s="2"/>
      <c r="L1264" s="232">
        <v>42487</v>
      </c>
      <c r="N1264">
        <f t="shared" si="16"/>
        <v>12000</v>
      </c>
    </row>
    <row r="1265" spans="1:14" hidden="1">
      <c r="A1265" s="232">
        <v>42487</v>
      </c>
      <c r="B1265" t="s">
        <v>2063</v>
      </c>
      <c r="C1265" t="s">
        <v>2324</v>
      </c>
      <c r="D1265" s="1">
        <v>10000</v>
      </c>
      <c r="E1265" s="1">
        <v>0</v>
      </c>
      <c r="F1265">
        <v>2195033.27</v>
      </c>
      <c r="G1265" s="8" t="s">
        <v>1361</v>
      </c>
      <c r="K1265" s="2"/>
      <c r="L1265" s="232">
        <v>42487</v>
      </c>
      <c r="N1265">
        <f t="shared" si="16"/>
        <v>10000</v>
      </c>
    </row>
    <row r="1266" spans="1:14" hidden="1">
      <c r="A1266" s="232">
        <v>42488</v>
      </c>
      <c r="B1266" t="s">
        <v>1938</v>
      </c>
      <c r="C1266" t="s">
        <v>2325</v>
      </c>
      <c r="D1266" s="1">
        <v>2000</v>
      </c>
      <c r="E1266" s="1">
        <v>0</v>
      </c>
      <c r="F1266">
        <v>2193033.27</v>
      </c>
      <c r="G1266" s="8" t="s">
        <v>1372</v>
      </c>
      <c r="K1266" s="2"/>
      <c r="L1266" s="232">
        <v>42488</v>
      </c>
      <c r="N1266">
        <f t="shared" si="16"/>
        <v>2000</v>
      </c>
    </row>
    <row r="1267" spans="1:14" hidden="1">
      <c r="A1267" s="232">
        <v>42489</v>
      </c>
      <c r="B1267" t="s">
        <v>2063</v>
      </c>
      <c r="C1267" t="s">
        <v>2326</v>
      </c>
      <c r="D1267" s="1">
        <v>20000</v>
      </c>
      <c r="E1267" s="1">
        <v>0</v>
      </c>
      <c r="F1267">
        <v>2173033.27</v>
      </c>
      <c r="G1267" s="8" t="s">
        <v>1361</v>
      </c>
      <c r="K1267" s="2"/>
      <c r="L1267" s="232">
        <v>42489</v>
      </c>
      <c r="N1267">
        <f t="shared" si="16"/>
        <v>20000</v>
      </c>
    </row>
    <row r="1268" spans="1:14" hidden="1">
      <c r="A1268" s="232">
        <v>42490</v>
      </c>
      <c r="B1268" t="s">
        <v>2063</v>
      </c>
      <c r="C1268" t="s">
        <v>2327</v>
      </c>
      <c r="D1268" s="1">
        <v>20000</v>
      </c>
      <c r="E1268" s="1">
        <v>0</v>
      </c>
      <c r="F1268">
        <v>2153033.27</v>
      </c>
      <c r="G1268" s="8" t="s">
        <v>1361</v>
      </c>
      <c r="K1268" s="2"/>
      <c r="L1268" s="232">
        <v>42490</v>
      </c>
      <c r="N1268">
        <f t="shared" si="16"/>
        <v>20000</v>
      </c>
    </row>
    <row r="1269" spans="1:14" hidden="1">
      <c r="A1269" s="232">
        <v>42490</v>
      </c>
      <c r="B1269" t="s">
        <v>2063</v>
      </c>
      <c r="C1269" t="s">
        <v>2328</v>
      </c>
      <c r="D1269" s="1">
        <v>0</v>
      </c>
      <c r="E1269" s="1">
        <v>20000</v>
      </c>
      <c r="F1269">
        <v>2173033.27</v>
      </c>
      <c r="K1269" s="2"/>
      <c r="L1269" s="232">
        <v>42490</v>
      </c>
      <c r="N1269">
        <f t="shared" si="16"/>
        <v>0</v>
      </c>
    </row>
    <row r="1270" spans="1:14" hidden="1">
      <c r="A1270" s="232">
        <v>42490</v>
      </c>
      <c r="B1270" t="s">
        <v>1963</v>
      </c>
      <c r="C1270" t="s">
        <v>2329</v>
      </c>
      <c r="D1270" s="1">
        <v>10000</v>
      </c>
      <c r="E1270" s="1">
        <v>0</v>
      </c>
      <c r="F1270">
        <v>2163033.27</v>
      </c>
      <c r="G1270" s="8" t="s">
        <v>1361</v>
      </c>
      <c r="K1270" s="2"/>
      <c r="L1270" s="232">
        <v>42490</v>
      </c>
      <c r="N1270">
        <f t="shared" si="16"/>
        <v>10000</v>
      </c>
    </row>
    <row r="1271" spans="1:14" hidden="1">
      <c r="A1271" s="232">
        <v>42490</v>
      </c>
      <c r="B1271" t="s">
        <v>1963</v>
      </c>
      <c r="C1271" t="s">
        <v>2329</v>
      </c>
      <c r="D1271" s="1">
        <v>10000</v>
      </c>
      <c r="E1271" s="1">
        <v>0</v>
      </c>
      <c r="F1271">
        <v>2153033.27</v>
      </c>
      <c r="G1271" s="8" t="s">
        <v>1361</v>
      </c>
      <c r="K1271" s="2"/>
      <c r="L1271" s="232">
        <v>42490</v>
      </c>
      <c r="N1271">
        <f t="shared" si="16"/>
        <v>10000</v>
      </c>
    </row>
    <row r="1272" spans="1:14" hidden="1">
      <c r="A1272" s="232">
        <v>42492</v>
      </c>
      <c r="B1272" t="s">
        <v>1997</v>
      </c>
      <c r="C1272" t="s">
        <v>2330</v>
      </c>
      <c r="D1272" s="1">
        <v>8775.2000000000007</v>
      </c>
      <c r="E1272" s="1">
        <v>0</v>
      </c>
      <c r="F1272">
        <v>2144258.0699999998</v>
      </c>
      <c r="K1272" s="2"/>
      <c r="L1272" s="232">
        <v>42492</v>
      </c>
      <c r="N1272">
        <f t="shared" si="16"/>
        <v>8775.2000000000007</v>
      </c>
    </row>
    <row r="1273" spans="1:14" hidden="1">
      <c r="A1273" s="232">
        <v>42493</v>
      </c>
      <c r="B1273" t="s">
        <v>1914</v>
      </c>
      <c r="C1273" t="s">
        <v>2331</v>
      </c>
      <c r="D1273" s="1">
        <v>30000</v>
      </c>
      <c r="E1273" s="1">
        <v>0</v>
      </c>
      <c r="F1273">
        <v>2114258.0699999998</v>
      </c>
      <c r="G1273" s="8" t="s">
        <v>1379</v>
      </c>
      <c r="K1273" s="2"/>
      <c r="L1273" s="232">
        <v>42493</v>
      </c>
      <c r="N1273">
        <f t="shared" si="16"/>
        <v>30000</v>
      </c>
    </row>
    <row r="1274" spans="1:14" hidden="1">
      <c r="A1274" s="232">
        <v>42493</v>
      </c>
      <c r="B1274" t="s">
        <v>2063</v>
      </c>
      <c r="C1274" t="s">
        <v>2332</v>
      </c>
      <c r="D1274" s="1">
        <v>20000</v>
      </c>
      <c r="E1274" s="1">
        <v>0</v>
      </c>
      <c r="F1274">
        <v>2094258.07</v>
      </c>
      <c r="G1274" s="8" t="s">
        <v>1361</v>
      </c>
      <c r="K1274" s="2"/>
      <c r="L1274" s="232">
        <v>42493</v>
      </c>
      <c r="N1274">
        <f t="shared" si="16"/>
        <v>20000</v>
      </c>
    </row>
    <row r="1275" spans="1:14" hidden="1">
      <c r="A1275" s="232">
        <v>42495</v>
      </c>
      <c r="B1275" t="s">
        <v>1914</v>
      </c>
      <c r="C1275" t="s">
        <v>2333</v>
      </c>
      <c r="D1275" s="1">
        <v>25000</v>
      </c>
      <c r="E1275" s="1">
        <v>0</v>
      </c>
      <c r="F1275">
        <v>2069258.07</v>
      </c>
      <c r="G1275" s="8" t="s">
        <v>1379</v>
      </c>
      <c r="K1275" s="2"/>
      <c r="L1275" s="232">
        <v>42495</v>
      </c>
      <c r="N1275">
        <f t="shared" si="16"/>
        <v>25000</v>
      </c>
    </row>
    <row r="1276" spans="1:14" hidden="1">
      <c r="A1276" s="232">
        <v>42497</v>
      </c>
      <c r="B1276" t="s">
        <v>1963</v>
      </c>
      <c r="C1276" t="s">
        <v>2334</v>
      </c>
      <c r="D1276" s="1">
        <v>3000</v>
      </c>
      <c r="E1276" s="1">
        <v>0</v>
      </c>
      <c r="F1276">
        <v>2066258.07</v>
      </c>
      <c r="G1276" s="8" t="s">
        <v>1361</v>
      </c>
      <c r="K1276" s="2"/>
      <c r="L1276" s="232">
        <v>42497</v>
      </c>
      <c r="N1276">
        <f t="shared" si="16"/>
        <v>3000</v>
      </c>
    </row>
    <row r="1277" spans="1:14" hidden="1">
      <c r="A1277" s="232">
        <v>42500</v>
      </c>
      <c r="B1277" t="s">
        <v>1938</v>
      </c>
      <c r="C1277" t="s">
        <v>2335</v>
      </c>
      <c r="D1277" s="1">
        <v>2000</v>
      </c>
      <c r="E1277" s="1">
        <v>0</v>
      </c>
      <c r="F1277">
        <v>2064258.07</v>
      </c>
      <c r="G1277" s="8" t="s">
        <v>1372</v>
      </c>
      <c r="K1277" s="2"/>
      <c r="L1277" s="232">
        <v>42500</v>
      </c>
      <c r="N1277">
        <f t="shared" si="16"/>
        <v>2000</v>
      </c>
    </row>
    <row r="1278" spans="1:14" hidden="1">
      <c r="A1278" s="232">
        <v>42506</v>
      </c>
      <c r="C1278" t="s">
        <v>2336</v>
      </c>
      <c r="D1278" s="1">
        <v>0</v>
      </c>
      <c r="E1278" s="1">
        <v>395538</v>
      </c>
      <c r="F1278">
        <v>2459796.0699999998</v>
      </c>
      <c r="G1278" s="8" t="s">
        <v>1379</v>
      </c>
      <c r="K1278" s="2"/>
      <c r="L1278" s="232">
        <v>42506</v>
      </c>
      <c r="N1278">
        <f t="shared" si="16"/>
        <v>0</v>
      </c>
    </row>
    <row r="1279" spans="1:14" hidden="1">
      <c r="A1279" s="232">
        <v>42506</v>
      </c>
      <c r="C1279" t="s">
        <v>2337</v>
      </c>
      <c r="D1279" s="1">
        <v>25000</v>
      </c>
      <c r="E1279" s="1">
        <v>0</v>
      </c>
      <c r="F1279">
        <v>2434796.0699999998</v>
      </c>
      <c r="G1279" s="8" t="s">
        <v>1379</v>
      </c>
      <c r="K1279" s="2"/>
      <c r="L1279" s="232">
        <v>42506</v>
      </c>
      <c r="N1279">
        <f t="shared" si="16"/>
        <v>25000</v>
      </c>
    </row>
    <row r="1280" spans="1:14" hidden="1">
      <c r="A1280" s="232">
        <v>42507</v>
      </c>
      <c r="C1280" t="s">
        <v>2338</v>
      </c>
      <c r="D1280" s="1">
        <v>0</v>
      </c>
      <c r="E1280" s="1">
        <v>3065</v>
      </c>
      <c r="F1280">
        <v>2437861.0699999998</v>
      </c>
      <c r="G1280" s="8" t="s">
        <v>1380</v>
      </c>
      <c r="K1280" s="2"/>
      <c r="L1280" s="232">
        <v>42507</v>
      </c>
      <c r="N1280">
        <f t="shared" si="16"/>
        <v>0</v>
      </c>
    </row>
    <row r="1281" spans="1:14" hidden="1">
      <c r="A1281" s="232">
        <v>42510</v>
      </c>
      <c r="C1281" t="s">
        <v>2339</v>
      </c>
      <c r="D1281" s="1">
        <v>25000</v>
      </c>
      <c r="E1281" s="1">
        <v>0</v>
      </c>
      <c r="F1281">
        <v>2412861.0699999998</v>
      </c>
      <c r="G1281" s="8" t="s">
        <v>1379</v>
      </c>
      <c r="K1281" s="2"/>
      <c r="L1281" s="232">
        <v>42510</v>
      </c>
      <c r="N1281">
        <f t="shared" si="16"/>
        <v>25000</v>
      </c>
    </row>
    <row r="1282" spans="1:14" hidden="1">
      <c r="A1282" s="232">
        <v>42514</v>
      </c>
      <c r="B1282" t="s">
        <v>2063</v>
      </c>
      <c r="C1282" t="s">
        <v>2340</v>
      </c>
      <c r="D1282" s="1">
        <v>4000</v>
      </c>
      <c r="E1282" s="1">
        <v>0</v>
      </c>
      <c r="F1282">
        <v>2408861.0699999998</v>
      </c>
      <c r="G1282" s="8" t="s">
        <v>1361</v>
      </c>
      <c r="K1282" s="2"/>
      <c r="L1282" s="232">
        <v>42514</v>
      </c>
      <c r="N1282">
        <f t="shared" si="16"/>
        <v>4000</v>
      </c>
    </row>
    <row r="1283" spans="1:14" hidden="1">
      <c r="A1283" s="232">
        <v>42515</v>
      </c>
      <c r="C1283" t="s">
        <v>2341</v>
      </c>
      <c r="D1283" s="1">
        <v>25000</v>
      </c>
      <c r="E1283" s="1">
        <v>0</v>
      </c>
      <c r="F1283">
        <v>2383861.0699999998</v>
      </c>
      <c r="G1283" s="8" t="s">
        <v>1379</v>
      </c>
      <c r="K1283" s="2"/>
      <c r="L1283" s="232">
        <v>42515</v>
      </c>
      <c r="N1283">
        <f t="shared" si="16"/>
        <v>25000</v>
      </c>
    </row>
    <row r="1284" spans="1:14" hidden="1">
      <c r="A1284" s="232">
        <v>42516</v>
      </c>
      <c r="C1284" t="s">
        <v>2342</v>
      </c>
      <c r="D1284" s="1">
        <v>0</v>
      </c>
      <c r="E1284" s="1">
        <v>235420</v>
      </c>
      <c r="F1284">
        <v>2619281.0699999998</v>
      </c>
      <c r="G1284" s="8" t="s">
        <v>1380</v>
      </c>
      <c r="K1284" s="2"/>
      <c r="L1284" s="232">
        <v>42516</v>
      </c>
      <c r="N1284">
        <f t="shared" si="16"/>
        <v>0</v>
      </c>
    </row>
    <row r="1285" spans="1:14" hidden="1">
      <c r="A1285" s="232">
        <v>42517</v>
      </c>
      <c r="C1285" t="s">
        <v>2343</v>
      </c>
      <c r="D1285" s="1">
        <v>25000</v>
      </c>
      <c r="E1285" s="1">
        <v>0</v>
      </c>
      <c r="F1285">
        <v>2594281.0699999998</v>
      </c>
      <c r="G1285" s="8" t="s">
        <v>1379</v>
      </c>
      <c r="K1285" s="2"/>
      <c r="L1285" s="232">
        <v>42517</v>
      </c>
      <c r="N1285">
        <f t="shared" si="16"/>
        <v>25000</v>
      </c>
    </row>
    <row r="1286" spans="1:14" hidden="1">
      <c r="A1286" s="232">
        <v>42520</v>
      </c>
      <c r="B1286" t="s">
        <v>1938</v>
      </c>
      <c r="C1286" t="s">
        <v>2344</v>
      </c>
      <c r="D1286" s="1">
        <v>2000</v>
      </c>
      <c r="E1286" s="1">
        <v>0</v>
      </c>
      <c r="F1286">
        <v>2592281.0699999998</v>
      </c>
      <c r="G1286" s="8" t="s">
        <v>1372</v>
      </c>
      <c r="K1286" s="2"/>
      <c r="L1286" s="232">
        <v>42520</v>
      </c>
      <c r="N1286">
        <f t="shared" si="16"/>
        <v>2000</v>
      </c>
    </row>
    <row r="1287" spans="1:14" hidden="1">
      <c r="A1287" s="232">
        <v>42520</v>
      </c>
      <c r="B1287" t="s">
        <v>1914</v>
      </c>
      <c r="C1287" t="s">
        <v>2345</v>
      </c>
      <c r="D1287" s="1">
        <v>1540</v>
      </c>
      <c r="E1287" s="1">
        <v>0</v>
      </c>
      <c r="F1287">
        <v>2590741.0699999998</v>
      </c>
      <c r="K1287" s="2"/>
      <c r="L1287" s="232">
        <v>42520</v>
      </c>
      <c r="N1287">
        <f t="shared" si="16"/>
        <v>1540</v>
      </c>
    </row>
    <row r="1288" spans="1:14" hidden="1">
      <c r="A1288" s="232">
        <v>42523</v>
      </c>
      <c r="B1288" t="s">
        <v>1914</v>
      </c>
      <c r="C1288" t="s">
        <v>2346</v>
      </c>
      <c r="D1288" s="1">
        <v>7758</v>
      </c>
      <c r="E1288" s="1">
        <v>0</v>
      </c>
      <c r="F1288">
        <v>2582983.0699999998</v>
      </c>
      <c r="K1288" s="2"/>
      <c r="L1288" s="232">
        <v>42523</v>
      </c>
      <c r="N1288">
        <f t="shared" si="16"/>
        <v>7758</v>
      </c>
    </row>
    <row r="1289" spans="1:14" hidden="1">
      <c r="A1289" s="232">
        <v>42524</v>
      </c>
      <c r="B1289" t="s">
        <v>1914</v>
      </c>
      <c r="C1289" t="s">
        <v>2347</v>
      </c>
      <c r="D1289" s="1">
        <v>30000</v>
      </c>
      <c r="E1289" s="1">
        <v>0</v>
      </c>
      <c r="F1289">
        <v>2552983.0699999998</v>
      </c>
      <c r="G1289" s="8" t="s">
        <v>1379</v>
      </c>
      <c r="K1289" s="2"/>
      <c r="L1289" s="232">
        <v>42524</v>
      </c>
      <c r="N1289">
        <f t="shared" si="16"/>
        <v>30000</v>
      </c>
    </row>
    <row r="1290" spans="1:14" hidden="1">
      <c r="A1290" s="232">
        <v>42525</v>
      </c>
      <c r="B1290" t="s">
        <v>1963</v>
      </c>
      <c r="C1290" t="s">
        <v>2348</v>
      </c>
      <c r="D1290" s="1">
        <v>10000</v>
      </c>
      <c r="E1290" s="1">
        <v>0</v>
      </c>
      <c r="F1290">
        <v>2542983.0699999998</v>
      </c>
      <c r="G1290" s="8" t="s">
        <v>1361</v>
      </c>
      <c r="K1290" s="2"/>
      <c r="L1290" s="232">
        <v>42525</v>
      </c>
      <c r="N1290">
        <f t="shared" si="16"/>
        <v>10000</v>
      </c>
    </row>
    <row r="1291" spans="1:14" hidden="1">
      <c r="A1291" s="232">
        <v>42527</v>
      </c>
      <c r="B1291" t="s">
        <v>1914</v>
      </c>
      <c r="C1291" t="s">
        <v>2349</v>
      </c>
      <c r="D1291" s="1">
        <v>25000</v>
      </c>
      <c r="E1291" s="1">
        <v>0</v>
      </c>
      <c r="F1291">
        <v>2517983.0699999998</v>
      </c>
      <c r="G1291" s="8" t="s">
        <v>1379</v>
      </c>
      <c r="K1291" s="2"/>
      <c r="L1291" s="232">
        <v>42527</v>
      </c>
      <c r="N1291">
        <f t="shared" ref="N1291:N1354" si="17">D1291*1</f>
        <v>25000</v>
      </c>
    </row>
    <row r="1292" spans="1:14" hidden="1">
      <c r="A1292" s="232">
        <v>42531</v>
      </c>
      <c r="B1292" t="s">
        <v>1938</v>
      </c>
      <c r="C1292" t="s">
        <v>2350</v>
      </c>
      <c r="D1292" s="1">
        <v>2000</v>
      </c>
      <c r="E1292" s="1">
        <v>0</v>
      </c>
      <c r="F1292">
        <v>2515983.0699999998</v>
      </c>
      <c r="G1292" s="8" t="s">
        <v>1372</v>
      </c>
      <c r="K1292" s="2"/>
      <c r="L1292" s="232">
        <v>42531</v>
      </c>
      <c r="N1292">
        <f t="shared" si="17"/>
        <v>2000</v>
      </c>
    </row>
    <row r="1293" spans="1:14" hidden="1">
      <c r="A1293" s="232">
        <v>42536</v>
      </c>
      <c r="C1293" t="s">
        <v>2337</v>
      </c>
      <c r="D1293" s="1">
        <v>25000</v>
      </c>
      <c r="E1293" s="1">
        <v>0</v>
      </c>
      <c r="F1293">
        <v>2490983.0699999998</v>
      </c>
      <c r="G1293" s="8" t="s">
        <v>1379</v>
      </c>
      <c r="K1293" s="2"/>
      <c r="L1293" s="232">
        <v>42536</v>
      </c>
      <c r="N1293">
        <f t="shared" si="17"/>
        <v>25000</v>
      </c>
    </row>
    <row r="1294" spans="1:14" hidden="1">
      <c r="A1294" s="232">
        <v>42541</v>
      </c>
      <c r="C1294" t="s">
        <v>2339</v>
      </c>
      <c r="D1294" s="1">
        <v>25000</v>
      </c>
      <c r="E1294" s="1">
        <v>0</v>
      </c>
      <c r="F1294">
        <v>2465983.0699999998</v>
      </c>
      <c r="G1294" s="8" t="s">
        <v>1379</v>
      </c>
      <c r="K1294" s="2"/>
      <c r="L1294" s="232">
        <v>42541</v>
      </c>
      <c r="N1294">
        <f t="shared" si="17"/>
        <v>25000</v>
      </c>
    </row>
    <row r="1295" spans="1:14" hidden="1">
      <c r="A1295" s="232">
        <v>42545</v>
      </c>
      <c r="C1295" t="s">
        <v>2351</v>
      </c>
      <c r="D1295" s="1">
        <v>0</v>
      </c>
      <c r="E1295" s="1">
        <v>238420</v>
      </c>
      <c r="F1295">
        <v>2704403.07</v>
      </c>
      <c r="G1295" s="8" t="s">
        <v>1380</v>
      </c>
      <c r="K1295" s="2"/>
      <c r="L1295" s="232">
        <v>42545</v>
      </c>
      <c r="N1295">
        <f t="shared" si="17"/>
        <v>0</v>
      </c>
    </row>
    <row r="1296" spans="1:14" hidden="1">
      <c r="A1296" s="232">
        <v>42548</v>
      </c>
      <c r="C1296" t="s">
        <v>2341</v>
      </c>
      <c r="D1296" s="1">
        <v>25000</v>
      </c>
      <c r="E1296" s="1">
        <v>0</v>
      </c>
      <c r="F1296">
        <v>2679403.0699999998</v>
      </c>
      <c r="G1296" s="8" t="s">
        <v>1379</v>
      </c>
      <c r="K1296" s="2"/>
      <c r="L1296" s="232">
        <v>42548</v>
      </c>
      <c r="N1296">
        <f t="shared" si="17"/>
        <v>25000</v>
      </c>
    </row>
    <row r="1297" spans="1:14" hidden="1">
      <c r="A1297" s="232">
        <v>42548</v>
      </c>
      <c r="C1297" t="s">
        <v>2343</v>
      </c>
      <c r="D1297" s="1">
        <v>25000</v>
      </c>
      <c r="E1297" s="1">
        <v>0</v>
      </c>
      <c r="F1297">
        <v>2654403.0699999998</v>
      </c>
      <c r="G1297" s="8" t="s">
        <v>1379</v>
      </c>
      <c r="K1297" s="2"/>
      <c r="L1297" s="232">
        <v>42548</v>
      </c>
      <c r="N1297">
        <f t="shared" si="17"/>
        <v>25000</v>
      </c>
    </row>
    <row r="1298" spans="1:14" hidden="1">
      <c r="A1298" s="232">
        <v>42549</v>
      </c>
      <c r="B1298" t="s">
        <v>1938</v>
      </c>
      <c r="C1298" t="s">
        <v>2352</v>
      </c>
      <c r="D1298" s="1">
        <v>2000</v>
      </c>
      <c r="E1298" s="1">
        <v>0</v>
      </c>
      <c r="F1298">
        <v>2652403.0699999998</v>
      </c>
      <c r="G1298" s="8" t="s">
        <v>1372</v>
      </c>
      <c r="K1298" s="2"/>
      <c r="L1298" s="232">
        <v>42549</v>
      </c>
      <c r="N1298">
        <f t="shared" si="17"/>
        <v>2000</v>
      </c>
    </row>
    <row r="1299" spans="1:14" hidden="1">
      <c r="A1299" s="232">
        <v>42550</v>
      </c>
      <c r="C1299" t="s">
        <v>2353</v>
      </c>
      <c r="D1299" s="1">
        <v>0</v>
      </c>
      <c r="E1299" s="1">
        <v>21609</v>
      </c>
      <c r="F1299">
        <v>2674012.0699999998</v>
      </c>
      <c r="G1299" s="8" t="s">
        <v>1368</v>
      </c>
      <c r="K1299" s="2"/>
      <c r="L1299" s="232">
        <v>42550</v>
      </c>
      <c r="N1299">
        <f t="shared" si="17"/>
        <v>0</v>
      </c>
    </row>
    <row r="1300" spans="1:14" hidden="1">
      <c r="A1300" s="232">
        <v>42552</v>
      </c>
      <c r="C1300" t="s">
        <v>2354</v>
      </c>
      <c r="D1300" s="1">
        <v>0</v>
      </c>
      <c r="E1300" s="1">
        <v>1024</v>
      </c>
      <c r="F1300">
        <v>2675036.0699999998</v>
      </c>
      <c r="G1300" s="8" t="s">
        <v>1380</v>
      </c>
      <c r="K1300" s="2"/>
      <c r="L1300" s="232">
        <v>42552</v>
      </c>
      <c r="N1300">
        <f t="shared" si="17"/>
        <v>0</v>
      </c>
    </row>
    <row r="1301" spans="1:14" hidden="1">
      <c r="A1301" s="232">
        <v>42555</v>
      </c>
      <c r="B1301" t="s">
        <v>1914</v>
      </c>
      <c r="C1301" t="s">
        <v>2355</v>
      </c>
      <c r="D1301" s="1">
        <v>30000</v>
      </c>
      <c r="E1301" s="1">
        <v>0</v>
      </c>
      <c r="F1301">
        <v>2645036.0699999998</v>
      </c>
      <c r="G1301" s="8" t="s">
        <v>1379</v>
      </c>
      <c r="K1301" s="2"/>
      <c r="L1301" s="232">
        <v>42555</v>
      </c>
      <c r="N1301">
        <f t="shared" si="17"/>
        <v>30000</v>
      </c>
    </row>
    <row r="1302" spans="1:14" hidden="1">
      <c r="A1302" s="232">
        <v>42556</v>
      </c>
      <c r="B1302" t="s">
        <v>1914</v>
      </c>
      <c r="C1302" t="s">
        <v>2356</v>
      </c>
      <c r="D1302" s="1">
        <v>25000</v>
      </c>
      <c r="E1302" s="1">
        <v>0</v>
      </c>
      <c r="F1302">
        <v>2620036.0699999998</v>
      </c>
      <c r="G1302" s="8" t="s">
        <v>1379</v>
      </c>
      <c r="K1302" s="2"/>
      <c r="L1302" s="232">
        <v>42556</v>
      </c>
      <c r="N1302">
        <f t="shared" si="17"/>
        <v>25000</v>
      </c>
    </row>
    <row r="1303" spans="1:14" hidden="1">
      <c r="A1303" s="232">
        <v>42556</v>
      </c>
      <c r="B1303" t="s">
        <v>1914</v>
      </c>
      <c r="C1303" t="s">
        <v>2357</v>
      </c>
      <c r="D1303" s="1">
        <v>7737</v>
      </c>
      <c r="E1303" s="1">
        <v>0</v>
      </c>
      <c r="F1303">
        <v>2612299.0699999998</v>
      </c>
      <c r="K1303" s="2"/>
      <c r="L1303" s="232">
        <v>42556</v>
      </c>
      <c r="N1303">
        <f t="shared" si="17"/>
        <v>7737</v>
      </c>
    </row>
    <row r="1304" spans="1:14" hidden="1">
      <c r="A1304" s="232">
        <v>42558</v>
      </c>
      <c r="B1304" t="s">
        <v>1963</v>
      </c>
      <c r="C1304" t="s">
        <v>2358</v>
      </c>
      <c r="D1304" s="1">
        <v>10000</v>
      </c>
      <c r="E1304" s="1">
        <v>0</v>
      </c>
      <c r="F1304">
        <v>2602299.0699999998</v>
      </c>
      <c r="G1304" s="8" t="s">
        <v>1361</v>
      </c>
      <c r="K1304" s="2"/>
      <c r="L1304" s="232">
        <v>42558</v>
      </c>
      <c r="N1304">
        <f t="shared" si="17"/>
        <v>10000</v>
      </c>
    </row>
    <row r="1305" spans="1:14" hidden="1">
      <c r="A1305" s="232">
        <v>42562</v>
      </c>
      <c r="B1305" t="s">
        <v>1914</v>
      </c>
      <c r="C1305" t="s">
        <v>2359</v>
      </c>
      <c r="D1305" s="1">
        <v>10950</v>
      </c>
      <c r="E1305" s="1">
        <v>0</v>
      </c>
      <c r="F1305">
        <v>2591349.0699999998</v>
      </c>
      <c r="K1305" s="2"/>
      <c r="L1305" s="232">
        <v>42562</v>
      </c>
      <c r="N1305">
        <f t="shared" si="17"/>
        <v>10950</v>
      </c>
    </row>
    <row r="1306" spans="1:14" hidden="1">
      <c r="A1306" s="232">
        <v>42562</v>
      </c>
      <c r="B1306" t="s">
        <v>1938</v>
      </c>
      <c r="C1306" t="s">
        <v>2360</v>
      </c>
      <c r="D1306" s="1">
        <v>2000</v>
      </c>
      <c r="E1306" s="1">
        <v>0</v>
      </c>
      <c r="F1306">
        <v>2589349.0699999998</v>
      </c>
      <c r="G1306" s="8" t="s">
        <v>1372</v>
      </c>
      <c r="K1306" s="2"/>
      <c r="L1306" s="232">
        <v>42562</v>
      </c>
      <c r="N1306">
        <f t="shared" si="17"/>
        <v>2000</v>
      </c>
    </row>
    <row r="1307" spans="1:14" hidden="1">
      <c r="A1307" s="232">
        <v>42563</v>
      </c>
      <c r="C1307" t="s">
        <v>2361</v>
      </c>
      <c r="D1307" s="1">
        <v>0</v>
      </c>
      <c r="E1307" s="1">
        <v>4302</v>
      </c>
      <c r="F1307">
        <v>2593651.0699999998</v>
      </c>
      <c r="G1307" s="8" t="s">
        <v>1380</v>
      </c>
      <c r="K1307" s="2"/>
      <c r="L1307" s="232">
        <v>42563</v>
      </c>
      <c r="N1307">
        <f t="shared" si="17"/>
        <v>0</v>
      </c>
    </row>
    <row r="1308" spans="1:14" hidden="1">
      <c r="A1308" s="232">
        <v>42566</v>
      </c>
      <c r="C1308" t="s">
        <v>2337</v>
      </c>
      <c r="D1308" s="1">
        <v>25000</v>
      </c>
      <c r="E1308" s="1">
        <v>0</v>
      </c>
      <c r="F1308">
        <v>2568651.0699999998</v>
      </c>
      <c r="G1308" s="8" t="s">
        <v>1379</v>
      </c>
      <c r="K1308" s="2"/>
      <c r="L1308" s="232">
        <v>42566</v>
      </c>
      <c r="N1308">
        <f t="shared" si="17"/>
        <v>25000</v>
      </c>
    </row>
    <row r="1309" spans="1:14" hidden="1">
      <c r="A1309" s="232">
        <v>42569</v>
      </c>
      <c r="B1309" t="s">
        <v>1963</v>
      </c>
      <c r="C1309" t="s">
        <v>2362</v>
      </c>
      <c r="D1309" s="1">
        <v>5000</v>
      </c>
      <c r="E1309" s="1">
        <v>0</v>
      </c>
      <c r="F1309">
        <v>2563651.0699999998</v>
      </c>
      <c r="G1309" s="8" t="s">
        <v>1361</v>
      </c>
      <c r="K1309" s="2"/>
      <c r="L1309" s="232">
        <v>42569</v>
      </c>
      <c r="N1309">
        <f t="shared" si="17"/>
        <v>5000</v>
      </c>
    </row>
    <row r="1310" spans="1:14" hidden="1">
      <c r="A1310" s="232">
        <v>42571</v>
      </c>
      <c r="C1310" t="s">
        <v>2339</v>
      </c>
      <c r="D1310" s="1">
        <v>25000</v>
      </c>
      <c r="E1310" s="1">
        <v>0</v>
      </c>
      <c r="F1310">
        <v>2538651.0699999998</v>
      </c>
      <c r="G1310" s="8" t="s">
        <v>1379</v>
      </c>
      <c r="K1310" s="2"/>
      <c r="L1310" s="232">
        <v>42571</v>
      </c>
      <c r="N1310">
        <f t="shared" si="17"/>
        <v>25000</v>
      </c>
    </row>
    <row r="1311" spans="1:14" hidden="1">
      <c r="A1311" s="232">
        <v>42576</v>
      </c>
      <c r="C1311" t="s">
        <v>2341</v>
      </c>
      <c r="D1311" s="1">
        <v>25000</v>
      </c>
      <c r="E1311" s="1">
        <v>0</v>
      </c>
      <c r="F1311">
        <v>2513651.0699999998</v>
      </c>
      <c r="G1311" s="8" t="s">
        <v>1379</v>
      </c>
      <c r="K1311" s="2"/>
      <c r="L1311" s="232">
        <v>42576</v>
      </c>
      <c r="N1311">
        <f t="shared" si="17"/>
        <v>25000</v>
      </c>
    </row>
    <row r="1312" spans="1:14" hidden="1">
      <c r="A1312" s="232">
        <v>42577</v>
      </c>
      <c r="C1312" t="s">
        <v>2363</v>
      </c>
      <c r="D1312" s="1">
        <v>0</v>
      </c>
      <c r="E1312" s="1">
        <v>238420</v>
      </c>
      <c r="F1312">
        <v>2752071.07</v>
      </c>
      <c r="G1312" s="8" t="s">
        <v>1380</v>
      </c>
      <c r="K1312" s="2"/>
      <c r="L1312" s="232">
        <v>42577</v>
      </c>
      <c r="N1312">
        <f t="shared" si="17"/>
        <v>0</v>
      </c>
    </row>
    <row r="1313" spans="1:14" hidden="1">
      <c r="A1313" s="232">
        <v>42578</v>
      </c>
      <c r="C1313" t="s">
        <v>2343</v>
      </c>
      <c r="D1313" s="1">
        <v>25000</v>
      </c>
      <c r="E1313" s="1">
        <v>0</v>
      </c>
      <c r="F1313">
        <v>2727071.07</v>
      </c>
      <c r="G1313" s="8" t="s">
        <v>1379</v>
      </c>
      <c r="K1313" s="2"/>
      <c r="L1313" s="232">
        <v>42578</v>
      </c>
      <c r="N1313">
        <f t="shared" si="17"/>
        <v>25000</v>
      </c>
    </row>
    <row r="1314" spans="1:14" hidden="1">
      <c r="A1314" s="232">
        <v>42579</v>
      </c>
      <c r="B1314" t="s">
        <v>1938</v>
      </c>
      <c r="C1314" t="s">
        <v>2364</v>
      </c>
      <c r="D1314" s="1">
        <v>2000</v>
      </c>
      <c r="E1314" s="1">
        <v>0</v>
      </c>
      <c r="F1314">
        <v>2725071.07</v>
      </c>
      <c r="G1314" s="8" t="s">
        <v>1372</v>
      </c>
      <c r="K1314" s="2"/>
      <c r="L1314" s="232">
        <v>42579</v>
      </c>
      <c r="N1314">
        <f t="shared" si="17"/>
        <v>2000</v>
      </c>
    </row>
    <row r="1315" spans="1:14" hidden="1">
      <c r="A1315" s="232">
        <v>42584</v>
      </c>
      <c r="B1315" t="s">
        <v>1963</v>
      </c>
      <c r="C1315" t="s">
        <v>2365</v>
      </c>
      <c r="D1315" s="1">
        <v>4000</v>
      </c>
      <c r="E1315" s="1">
        <v>0</v>
      </c>
      <c r="F1315">
        <v>2721071.07</v>
      </c>
      <c r="G1315" s="8" t="s">
        <v>1361</v>
      </c>
      <c r="K1315" s="2"/>
      <c r="L1315" s="232">
        <v>42584</v>
      </c>
      <c r="N1315">
        <f t="shared" si="17"/>
        <v>4000</v>
      </c>
    </row>
    <row r="1316" spans="1:14" hidden="1">
      <c r="A1316" s="232">
        <v>42586</v>
      </c>
      <c r="C1316" t="s">
        <v>2366</v>
      </c>
      <c r="D1316" s="1">
        <v>0</v>
      </c>
      <c r="E1316" s="1">
        <v>1024</v>
      </c>
      <c r="F1316">
        <v>2722095.07</v>
      </c>
      <c r="G1316" s="8" t="s">
        <v>1380</v>
      </c>
      <c r="K1316" s="2"/>
      <c r="L1316" s="232">
        <v>42586</v>
      </c>
      <c r="N1316">
        <f t="shared" si="17"/>
        <v>0</v>
      </c>
    </row>
    <row r="1317" spans="1:14" hidden="1">
      <c r="A1317" s="232">
        <v>42587</v>
      </c>
      <c r="B1317" t="s">
        <v>1914</v>
      </c>
      <c r="C1317" t="s">
        <v>2367</v>
      </c>
      <c r="D1317" s="1">
        <v>25000</v>
      </c>
      <c r="E1317" s="1">
        <v>0</v>
      </c>
      <c r="F1317">
        <v>2697095.07</v>
      </c>
      <c r="G1317" s="8" t="s">
        <v>1379</v>
      </c>
      <c r="K1317" s="2"/>
      <c r="L1317" s="232">
        <v>42587</v>
      </c>
      <c r="N1317">
        <f t="shared" si="17"/>
        <v>25000</v>
      </c>
    </row>
    <row r="1318" spans="1:14" hidden="1">
      <c r="A1318" s="232">
        <v>42587</v>
      </c>
      <c r="B1318" t="s">
        <v>1914</v>
      </c>
      <c r="C1318" t="s">
        <v>2368</v>
      </c>
      <c r="D1318" s="1">
        <v>6047</v>
      </c>
      <c r="E1318" s="1">
        <v>0</v>
      </c>
      <c r="F1318">
        <v>2691048.07</v>
      </c>
      <c r="K1318" s="2"/>
      <c r="L1318" s="232">
        <v>42587</v>
      </c>
      <c r="N1318">
        <f t="shared" si="17"/>
        <v>6047</v>
      </c>
    </row>
    <row r="1319" spans="1:14" hidden="1">
      <c r="A1319" s="232">
        <v>42587</v>
      </c>
      <c r="B1319" t="s">
        <v>1963</v>
      </c>
      <c r="C1319" t="s">
        <v>2369</v>
      </c>
      <c r="D1319" s="1">
        <v>10000</v>
      </c>
      <c r="E1319" s="1">
        <v>0</v>
      </c>
      <c r="F1319">
        <v>2681048.0699999998</v>
      </c>
      <c r="G1319" s="8" t="s">
        <v>1361</v>
      </c>
      <c r="K1319" s="2"/>
      <c r="L1319" s="232">
        <v>42587</v>
      </c>
      <c r="N1319">
        <f t="shared" si="17"/>
        <v>10000</v>
      </c>
    </row>
    <row r="1320" spans="1:14" hidden="1">
      <c r="A1320" s="232">
        <v>42592</v>
      </c>
      <c r="B1320" t="s">
        <v>1938</v>
      </c>
      <c r="C1320" t="s">
        <v>2370</v>
      </c>
      <c r="D1320" s="1">
        <v>2000</v>
      </c>
      <c r="E1320" s="1">
        <v>0</v>
      </c>
      <c r="F1320">
        <v>2679048.0699999998</v>
      </c>
      <c r="G1320" s="8" t="s">
        <v>1372</v>
      </c>
      <c r="K1320" s="2"/>
      <c r="L1320" s="232">
        <v>42592</v>
      </c>
      <c r="N1320">
        <f t="shared" si="17"/>
        <v>2000</v>
      </c>
    </row>
    <row r="1321" spans="1:14" hidden="1">
      <c r="A1321" s="232">
        <v>42598</v>
      </c>
      <c r="C1321" t="s">
        <v>2337</v>
      </c>
      <c r="D1321" s="1">
        <v>25000</v>
      </c>
      <c r="E1321" s="1">
        <v>0</v>
      </c>
      <c r="F1321">
        <v>2654048.0699999998</v>
      </c>
      <c r="G1321" s="8" t="s">
        <v>1379</v>
      </c>
      <c r="K1321" s="2"/>
      <c r="L1321" s="232">
        <v>42598</v>
      </c>
      <c r="N1321">
        <f t="shared" si="17"/>
        <v>25000</v>
      </c>
    </row>
    <row r="1322" spans="1:14" hidden="1">
      <c r="A1322" s="232">
        <v>42600</v>
      </c>
      <c r="B1322" t="s">
        <v>2063</v>
      </c>
      <c r="C1322" t="s">
        <v>2371</v>
      </c>
      <c r="D1322" s="1">
        <v>3000</v>
      </c>
      <c r="E1322" s="1">
        <v>0</v>
      </c>
      <c r="F1322">
        <v>2651048.0699999998</v>
      </c>
      <c r="G1322" s="8" t="s">
        <v>1361</v>
      </c>
      <c r="K1322" s="2"/>
      <c r="L1322" s="232">
        <v>42600</v>
      </c>
      <c r="N1322">
        <f t="shared" si="17"/>
        <v>3000</v>
      </c>
    </row>
    <row r="1323" spans="1:14" hidden="1">
      <c r="A1323" s="232">
        <v>42602</v>
      </c>
      <c r="C1323" t="s">
        <v>2339</v>
      </c>
      <c r="D1323" s="1">
        <v>25000</v>
      </c>
      <c r="E1323" s="1">
        <v>0</v>
      </c>
      <c r="F1323">
        <v>2626048.0699999998</v>
      </c>
      <c r="G1323" s="8" t="s">
        <v>1379</v>
      </c>
      <c r="K1323" s="2"/>
      <c r="L1323" s="232">
        <v>42602</v>
      </c>
      <c r="N1323">
        <f t="shared" si="17"/>
        <v>25000</v>
      </c>
    </row>
    <row r="1324" spans="1:14" hidden="1">
      <c r="A1324" s="232">
        <v>42607</v>
      </c>
      <c r="C1324" t="s">
        <v>2372</v>
      </c>
      <c r="D1324" s="1">
        <v>25000</v>
      </c>
      <c r="E1324" s="1">
        <v>0</v>
      </c>
      <c r="F1324">
        <v>2601048.0699999998</v>
      </c>
      <c r="G1324" s="8" t="s">
        <v>1379</v>
      </c>
      <c r="K1324" s="2"/>
      <c r="L1324" s="232">
        <v>42607</v>
      </c>
      <c r="N1324">
        <f t="shared" si="17"/>
        <v>25000</v>
      </c>
    </row>
    <row r="1325" spans="1:14" hidden="1">
      <c r="A1325" s="232">
        <v>42607</v>
      </c>
      <c r="C1325" t="s">
        <v>2341</v>
      </c>
      <c r="D1325" s="1">
        <v>25000</v>
      </c>
      <c r="E1325" s="1">
        <v>0</v>
      </c>
      <c r="F1325">
        <v>2576048.0699999998</v>
      </c>
      <c r="G1325" s="8" t="s">
        <v>1379</v>
      </c>
      <c r="K1325" s="2"/>
      <c r="L1325" s="232">
        <v>42607</v>
      </c>
      <c r="N1325">
        <f t="shared" si="17"/>
        <v>25000</v>
      </c>
    </row>
    <row r="1326" spans="1:14" hidden="1">
      <c r="A1326" s="232">
        <v>42608</v>
      </c>
      <c r="C1326" t="s">
        <v>2373</v>
      </c>
      <c r="D1326" s="1">
        <v>0</v>
      </c>
      <c r="E1326" s="1">
        <v>238420</v>
      </c>
      <c r="F1326">
        <v>2814468.07</v>
      </c>
      <c r="G1326" s="8" t="s">
        <v>1380</v>
      </c>
      <c r="K1326" s="2"/>
      <c r="L1326" s="232">
        <v>42608</v>
      </c>
      <c r="N1326">
        <f t="shared" si="17"/>
        <v>0</v>
      </c>
    </row>
    <row r="1327" spans="1:14" hidden="1">
      <c r="A1327" s="232">
        <v>42611</v>
      </c>
      <c r="B1327" t="s">
        <v>1938</v>
      </c>
      <c r="C1327" t="s">
        <v>2374</v>
      </c>
      <c r="D1327" s="1">
        <v>2000</v>
      </c>
      <c r="E1327" s="1">
        <v>0</v>
      </c>
      <c r="F1327">
        <v>2812468.07</v>
      </c>
      <c r="G1327" s="8" t="s">
        <v>1372</v>
      </c>
      <c r="K1327" s="2"/>
      <c r="L1327" s="232">
        <v>42611</v>
      </c>
      <c r="N1327">
        <f t="shared" si="17"/>
        <v>2000</v>
      </c>
    </row>
    <row r="1328" spans="1:14" hidden="1">
      <c r="A1328" s="232">
        <v>42611</v>
      </c>
      <c r="C1328" t="s">
        <v>2343</v>
      </c>
      <c r="D1328" s="1">
        <v>25000</v>
      </c>
      <c r="E1328" s="1">
        <v>0</v>
      </c>
      <c r="F1328">
        <v>2787468.07</v>
      </c>
      <c r="G1328" s="8" t="s">
        <v>1379</v>
      </c>
      <c r="K1328" s="2"/>
      <c r="L1328" s="232">
        <v>42611</v>
      </c>
      <c r="N1328">
        <f t="shared" si="17"/>
        <v>25000</v>
      </c>
    </row>
    <row r="1329" spans="1:14" hidden="1">
      <c r="A1329" s="232">
        <v>42613</v>
      </c>
      <c r="B1329" t="s">
        <v>1938</v>
      </c>
      <c r="C1329" t="s">
        <v>2273</v>
      </c>
      <c r="D1329" s="1">
        <v>0</v>
      </c>
      <c r="E1329" s="1">
        <v>100000</v>
      </c>
      <c r="F1329">
        <v>2887468.07</v>
      </c>
      <c r="G1329" s="8" t="s">
        <v>1375</v>
      </c>
      <c r="K1329" s="2"/>
      <c r="L1329" s="232">
        <v>42613</v>
      </c>
      <c r="N1329">
        <f t="shared" si="17"/>
        <v>0</v>
      </c>
    </row>
    <row r="1330" spans="1:14" hidden="1">
      <c r="A1330" s="232">
        <v>42614</v>
      </c>
      <c r="C1330" t="s">
        <v>2375</v>
      </c>
      <c r="D1330" s="1">
        <v>25000</v>
      </c>
      <c r="E1330" s="1">
        <v>0</v>
      </c>
      <c r="F1330">
        <v>2862468.07</v>
      </c>
      <c r="G1330" s="8" t="s">
        <v>1379</v>
      </c>
      <c r="K1330" s="2"/>
      <c r="L1330" s="232">
        <v>42614</v>
      </c>
      <c r="N1330">
        <f t="shared" si="17"/>
        <v>25000</v>
      </c>
    </row>
    <row r="1331" spans="1:14" hidden="1">
      <c r="A1331" s="232">
        <v>42615</v>
      </c>
      <c r="B1331" t="s">
        <v>1914</v>
      </c>
      <c r="C1331" t="s">
        <v>2376</v>
      </c>
      <c r="D1331" s="1">
        <v>8555</v>
      </c>
      <c r="E1331" s="1">
        <v>0</v>
      </c>
      <c r="F1331">
        <v>2853913.07</v>
      </c>
      <c r="K1331" s="2"/>
      <c r="L1331" s="232">
        <v>42615</v>
      </c>
      <c r="N1331">
        <f t="shared" si="17"/>
        <v>8555</v>
      </c>
    </row>
    <row r="1332" spans="1:14" hidden="1">
      <c r="A1332" s="232">
        <v>42615</v>
      </c>
      <c r="B1332" t="s">
        <v>2063</v>
      </c>
      <c r="C1332" t="s">
        <v>2377</v>
      </c>
      <c r="D1332" s="1">
        <v>5000</v>
      </c>
      <c r="E1332" s="1">
        <v>0</v>
      </c>
      <c r="F1332">
        <v>2848913.07</v>
      </c>
      <c r="G1332" s="8" t="s">
        <v>1361</v>
      </c>
      <c r="K1332" s="2"/>
      <c r="L1332" s="232">
        <v>42615</v>
      </c>
      <c r="N1332">
        <f t="shared" si="17"/>
        <v>5000</v>
      </c>
    </row>
    <row r="1333" spans="1:14" hidden="1">
      <c r="A1333" s="232">
        <v>42618</v>
      </c>
      <c r="B1333" t="s">
        <v>1914</v>
      </c>
      <c r="C1333" t="s">
        <v>2378</v>
      </c>
      <c r="D1333" s="1">
        <v>25000</v>
      </c>
      <c r="E1333" s="1">
        <v>0</v>
      </c>
      <c r="F1333">
        <v>2823913.07</v>
      </c>
      <c r="G1333" s="8" t="s">
        <v>1379</v>
      </c>
      <c r="K1333" s="2"/>
      <c r="L1333" s="232">
        <v>42618</v>
      </c>
      <c r="N1333">
        <f t="shared" si="17"/>
        <v>25000</v>
      </c>
    </row>
    <row r="1334" spans="1:14" hidden="1">
      <c r="A1334" s="232">
        <v>42619</v>
      </c>
      <c r="C1334" t="s">
        <v>2379</v>
      </c>
      <c r="D1334" s="1">
        <v>0</v>
      </c>
      <c r="E1334" s="1">
        <v>1024</v>
      </c>
      <c r="F1334">
        <v>2824937.07</v>
      </c>
      <c r="G1334" s="8" t="s">
        <v>1380</v>
      </c>
      <c r="K1334" s="2"/>
      <c r="L1334" s="232">
        <v>42619</v>
      </c>
      <c r="N1334">
        <f t="shared" si="17"/>
        <v>0</v>
      </c>
    </row>
    <row r="1335" spans="1:14" hidden="1">
      <c r="A1335" s="232">
        <v>42625</v>
      </c>
      <c r="B1335" t="s">
        <v>1938</v>
      </c>
      <c r="C1335" t="s">
        <v>2380</v>
      </c>
      <c r="D1335" s="1">
        <v>2000</v>
      </c>
      <c r="E1335" s="1">
        <v>0</v>
      </c>
      <c r="F1335">
        <v>2822937.07</v>
      </c>
      <c r="G1335" s="8" t="s">
        <v>1372</v>
      </c>
      <c r="K1335" s="2"/>
      <c r="L1335" s="232">
        <v>42625</v>
      </c>
      <c r="N1335">
        <f t="shared" si="17"/>
        <v>2000</v>
      </c>
    </row>
    <row r="1336" spans="1:14" hidden="1">
      <c r="A1336" s="232">
        <v>42626</v>
      </c>
      <c r="B1336" t="s">
        <v>1914</v>
      </c>
      <c r="C1336" t="s">
        <v>2381</v>
      </c>
      <c r="D1336" s="1">
        <v>3824</v>
      </c>
      <c r="E1336" s="1">
        <v>0</v>
      </c>
      <c r="F1336">
        <v>2819113.07</v>
      </c>
      <c r="K1336" s="2"/>
      <c r="L1336" s="232">
        <v>42626</v>
      </c>
      <c r="N1336">
        <f t="shared" si="17"/>
        <v>3824</v>
      </c>
    </row>
    <row r="1337" spans="1:14" hidden="1">
      <c r="A1337" s="232">
        <v>42628</v>
      </c>
      <c r="C1337" t="s">
        <v>2337</v>
      </c>
      <c r="D1337" s="1">
        <v>25000</v>
      </c>
      <c r="E1337" s="1">
        <v>0</v>
      </c>
      <c r="F1337">
        <v>2794113.07</v>
      </c>
      <c r="G1337" s="8" t="s">
        <v>1379</v>
      </c>
      <c r="K1337" s="2"/>
      <c r="L1337" s="232">
        <v>42628</v>
      </c>
      <c r="N1337">
        <f t="shared" si="17"/>
        <v>25000</v>
      </c>
    </row>
    <row r="1338" spans="1:14" hidden="1">
      <c r="A1338" s="232">
        <v>42633</v>
      </c>
      <c r="C1338" t="s">
        <v>2339</v>
      </c>
      <c r="D1338" s="1">
        <v>25000</v>
      </c>
      <c r="E1338" s="1">
        <v>0</v>
      </c>
      <c r="F1338">
        <v>2769113.07</v>
      </c>
      <c r="G1338" s="8" t="s">
        <v>1379</v>
      </c>
      <c r="K1338" s="2"/>
      <c r="L1338" s="232">
        <v>42633</v>
      </c>
      <c r="N1338">
        <f t="shared" si="17"/>
        <v>25000</v>
      </c>
    </row>
    <row r="1339" spans="1:14" hidden="1">
      <c r="A1339" s="232">
        <v>42634</v>
      </c>
      <c r="B1339" t="s">
        <v>1963</v>
      </c>
      <c r="C1339" t="s">
        <v>2382</v>
      </c>
      <c r="D1339" s="1">
        <v>10000</v>
      </c>
      <c r="E1339" s="1">
        <v>0</v>
      </c>
      <c r="F1339">
        <v>2759113.07</v>
      </c>
      <c r="G1339" s="8" t="s">
        <v>1361</v>
      </c>
      <c r="K1339" s="2"/>
      <c r="L1339" s="232">
        <v>42634</v>
      </c>
      <c r="N1339">
        <f t="shared" si="17"/>
        <v>10000</v>
      </c>
    </row>
    <row r="1340" spans="1:14" hidden="1">
      <c r="A1340" s="232">
        <v>42634</v>
      </c>
      <c r="B1340" t="s">
        <v>1963</v>
      </c>
      <c r="C1340" t="s">
        <v>2382</v>
      </c>
      <c r="D1340" s="1">
        <v>10000</v>
      </c>
      <c r="E1340" s="1">
        <v>0</v>
      </c>
      <c r="F1340">
        <v>2749113.07</v>
      </c>
      <c r="G1340" s="8" t="s">
        <v>1361</v>
      </c>
      <c r="K1340" s="2"/>
      <c r="L1340" s="232">
        <v>42634</v>
      </c>
      <c r="N1340">
        <f t="shared" si="17"/>
        <v>10000</v>
      </c>
    </row>
    <row r="1341" spans="1:14" hidden="1">
      <c r="A1341" s="232">
        <v>42634</v>
      </c>
      <c r="B1341" t="s">
        <v>1963</v>
      </c>
      <c r="C1341" t="s">
        <v>2382</v>
      </c>
      <c r="D1341" s="1">
        <v>10000</v>
      </c>
      <c r="E1341" s="1">
        <v>0</v>
      </c>
      <c r="F1341">
        <v>2739113.07</v>
      </c>
      <c r="G1341" s="8" t="s">
        <v>1361</v>
      </c>
      <c r="K1341" s="2"/>
      <c r="L1341" s="232">
        <v>42634</v>
      </c>
      <c r="N1341">
        <f t="shared" si="17"/>
        <v>10000</v>
      </c>
    </row>
    <row r="1342" spans="1:14" hidden="1">
      <c r="A1342" s="232">
        <v>42639</v>
      </c>
      <c r="C1342" t="s">
        <v>2383</v>
      </c>
      <c r="D1342" s="1">
        <v>0</v>
      </c>
      <c r="E1342" s="1">
        <v>238420</v>
      </c>
      <c r="F1342">
        <v>2977533.07</v>
      </c>
      <c r="G1342" s="8" t="s">
        <v>1380</v>
      </c>
      <c r="K1342" s="2"/>
      <c r="L1342" s="232">
        <v>42639</v>
      </c>
      <c r="N1342">
        <f t="shared" si="17"/>
        <v>0</v>
      </c>
    </row>
    <row r="1343" spans="1:14" hidden="1">
      <c r="A1343" s="232">
        <v>42639</v>
      </c>
      <c r="C1343" t="s">
        <v>2341</v>
      </c>
      <c r="D1343" s="1">
        <v>25000</v>
      </c>
      <c r="E1343" s="1">
        <v>0</v>
      </c>
      <c r="F1343">
        <v>2952533.07</v>
      </c>
      <c r="G1343" s="8" t="s">
        <v>1379</v>
      </c>
      <c r="K1343" s="2"/>
      <c r="L1343" s="232">
        <v>42639</v>
      </c>
      <c r="N1343">
        <f t="shared" si="17"/>
        <v>25000</v>
      </c>
    </row>
    <row r="1344" spans="1:14" hidden="1">
      <c r="A1344" s="232">
        <v>42640</v>
      </c>
      <c r="C1344" t="s">
        <v>2384</v>
      </c>
      <c r="D1344" s="1">
        <v>0</v>
      </c>
      <c r="E1344" s="1">
        <v>1024</v>
      </c>
      <c r="F1344">
        <v>2953557.07</v>
      </c>
      <c r="G1344" s="8" t="s">
        <v>1380</v>
      </c>
      <c r="K1344" s="2"/>
      <c r="L1344" s="232">
        <v>42640</v>
      </c>
      <c r="N1344">
        <f t="shared" si="17"/>
        <v>0</v>
      </c>
    </row>
    <row r="1345" spans="1:14" hidden="1">
      <c r="A1345" s="232">
        <v>42640</v>
      </c>
      <c r="C1345" t="s">
        <v>2343</v>
      </c>
      <c r="D1345" s="1">
        <v>25000</v>
      </c>
      <c r="E1345" s="1">
        <v>0</v>
      </c>
      <c r="F1345">
        <v>2928557.07</v>
      </c>
      <c r="G1345" s="8" t="s">
        <v>1379</v>
      </c>
      <c r="K1345" s="2"/>
      <c r="L1345" s="232">
        <v>42640</v>
      </c>
      <c r="N1345">
        <f t="shared" si="17"/>
        <v>25000</v>
      </c>
    </row>
    <row r="1346" spans="1:14" hidden="1">
      <c r="A1346" s="232">
        <v>42641</v>
      </c>
      <c r="B1346" t="s">
        <v>1938</v>
      </c>
      <c r="C1346" t="s">
        <v>2385</v>
      </c>
      <c r="D1346" s="1">
        <v>2000</v>
      </c>
      <c r="E1346" s="1">
        <v>0</v>
      </c>
      <c r="F1346">
        <v>2926557.07</v>
      </c>
      <c r="G1346" s="8" t="s">
        <v>1372</v>
      </c>
      <c r="K1346" s="2"/>
      <c r="L1346" s="232">
        <v>42641</v>
      </c>
      <c r="N1346">
        <f t="shared" si="17"/>
        <v>2000</v>
      </c>
    </row>
    <row r="1347" spans="1:14" hidden="1">
      <c r="A1347" s="232">
        <v>42641</v>
      </c>
      <c r="B1347" t="s">
        <v>1914</v>
      </c>
      <c r="C1347" t="s">
        <v>2386</v>
      </c>
      <c r="D1347" s="1">
        <v>100</v>
      </c>
      <c r="E1347" s="1">
        <v>0</v>
      </c>
      <c r="F1347">
        <v>2926457.07</v>
      </c>
      <c r="K1347" s="2"/>
      <c r="L1347" s="232">
        <v>42641</v>
      </c>
      <c r="N1347">
        <f t="shared" si="17"/>
        <v>100</v>
      </c>
    </row>
    <row r="1348" spans="1:14" hidden="1">
      <c r="A1348" s="232">
        <v>42642</v>
      </c>
      <c r="C1348" t="s">
        <v>2387</v>
      </c>
      <c r="D1348" s="1">
        <v>0</v>
      </c>
      <c r="E1348" s="1">
        <v>27273</v>
      </c>
      <c r="F1348">
        <v>2953730.07</v>
      </c>
      <c r="G1348" s="8" t="s">
        <v>1368</v>
      </c>
      <c r="K1348" s="2"/>
      <c r="L1348" s="232">
        <v>42642</v>
      </c>
      <c r="N1348">
        <f t="shared" si="17"/>
        <v>0</v>
      </c>
    </row>
    <row r="1349" spans="1:14" hidden="1">
      <c r="A1349" s="232">
        <v>42644</v>
      </c>
      <c r="C1349" t="s">
        <v>2375</v>
      </c>
      <c r="D1349" s="1">
        <v>25000</v>
      </c>
      <c r="E1349" s="1">
        <v>0</v>
      </c>
      <c r="F1349">
        <v>2928730.07</v>
      </c>
      <c r="G1349" s="8" t="s">
        <v>1379</v>
      </c>
      <c r="K1349" s="2"/>
      <c r="L1349" s="232">
        <v>42644</v>
      </c>
      <c r="N1349">
        <f t="shared" si="17"/>
        <v>25000</v>
      </c>
    </row>
    <row r="1350" spans="1:14" hidden="1">
      <c r="A1350" s="232">
        <v>42646</v>
      </c>
      <c r="B1350" t="s">
        <v>1997</v>
      </c>
      <c r="C1350" t="s">
        <v>2388</v>
      </c>
      <c r="D1350" s="1">
        <v>8902</v>
      </c>
      <c r="E1350" s="1">
        <v>0</v>
      </c>
      <c r="F1350">
        <v>2919828.07</v>
      </c>
      <c r="K1350" s="2"/>
      <c r="L1350" s="232">
        <v>42646</v>
      </c>
      <c r="N1350">
        <f t="shared" si="17"/>
        <v>8902</v>
      </c>
    </row>
    <row r="1351" spans="1:14" hidden="1">
      <c r="A1351" s="232">
        <v>42646</v>
      </c>
      <c r="C1351" t="s">
        <v>2389</v>
      </c>
      <c r="D1351" s="1">
        <v>0</v>
      </c>
      <c r="E1351" s="1">
        <v>412105</v>
      </c>
      <c r="F1351">
        <v>3331933.07</v>
      </c>
      <c r="G1351" s="8" t="s">
        <v>1379</v>
      </c>
      <c r="K1351" s="2"/>
      <c r="L1351" s="232">
        <v>42646</v>
      </c>
      <c r="N1351">
        <f t="shared" si="17"/>
        <v>0</v>
      </c>
    </row>
    <row r="1352" spans="1:14" hidden="1">
      <c r="A1352" s="232">
        <v>42647</v>
      </c>
      <c r="B1352" t="s">
        <v>1914</v>
      </c>
      <c r="C1352" t="s">
        <v>2390</v>
      </c>
      <c r="D1352" s="1">
        <v>34900</v>
      </c>
      <c r="E1352" s="1">
        <v>0</v>
      </c>
      <c r="F1352">
        <v>3297033.07</v>
      </c>
      <c r="K1352" s="2"/>
      <c r="L1352" s="232">
        <v>42647</v>
      </c>
      <c r="N1352">
        <f t="shared" si="17"/>
        <v>34900</v>
      </c>
    </row>
    <row r="1353" spans="1:14" hidden="1">
      <c r="A1353" s="232">
        <v>42648</v>
      </c>
      <c r="B1353" t="s">
        <v>1914</v>
      </c>
      <c r="C1353" t="s">
        <v>2391</v>
      </c>
      <c r="D1353" s="1">
        <v>25000</v>
      </c>
      <c r="E1353" s="1">
        <v>0</v>
      </c>
      <c r="F1353">
        <v>3272033.07</v>
      </c>
      <c r="G1353" s="8" t="s">
        <v>1379</v>
      </c>
      <c r="K1353" s="2"/>
      <c r="L1353" s="232">
        <v>42648</v>
      </c>
      <c r="N1353">
        <f t="shared" si="17"/>
        <v>25000</v>
      </c>
    </row>
    <row r="1354" spans="1:14" hidden="1">
      <c r="A1354" s="232">
        <v>42653</v>
      </c>
      <c r="B1354" t="s">
        <v>1938</v>
      </c>
      <c r="C1354" t="s">
        <v>2392</v>
      </c>
      <c r="D1354" s="1">
        <v>2000</v>
      </c>
      <c r="E1354" s="1">
        <v>0</v>
      </c>
      <c r="F1354">
        <v>3270033.07</v>
      </c>
      <c r="G1354" s="8" t="s">
        <v>1372</v>
      </c>
      <c r="K1354" s="2"/>
      <c r="L1354" s="232">
        <v>42653</v>
      </c>
      <c r="N1354">
        <f t="shared" si="17"/>
        <v>2000</v>
      </c>
    </row>
    <row r="1355" spans="1:14" hidden="1">
      <c r="A1355" s="232">
        <v>42653</v>
      </c>
      <c r="B1355" t="s">
        <v>1963</v>
      </c>
      <c r="C1355" t="s">
        <v>2393</v>
      </c>
      <c r="D1355" s="1">
        <v>10000</v>
      </c>
      <c r="E1355" s="1">
        <v>0</v>
      </c>
      <c r="F1355">
        <v>3260033.07</v>
      </c>
      <c r="G1355" s="8" t="s">
        <v>1361</v>
      </c>
      <c r="K1355" s="2"/>
      <c r="L1355" s="232">
        <v>42653</v>
      </c>
      <c r="N1355">
        <f t="shared" ref="N1355:N1418" si="18">D1355*1</f>
        <v>10000</v>
      </c>
    </row>
    <row r="1356" spans="1:14" hidden="1">
      <c r="A1356" s="232">
        <v>42653</v>
      </c>
      <c r="B1356" t="s">
        <v>1963</v>
      </c>
      <c r="C1356" t="s">
        <v>2393</v>
      </c>
      <c r="D1356" s="1">
        <v>10000</v>
      </c>
      <c r="E1356" s="1">
        <v>0</v>
      </c>
      <c r="F1356">
        <v>3250033.07</v>
      </c>
      <c r="G1356" s="8" t="s">
        <v>1361</v>
      </c>
      <c r="K1356" s="2"/>
      <c r="L1356" s="232">
        <v>42653</v>
      </c>
      <c r="N1356">
        <f t="shared" si="18"/>
        <v>10000</v>
      </c>
    </row>
    <row r="1357" spans="1:14" hidden="1">
      <c r="A1357" s="232">
        <v>42658</v>
      </c>
      <c r="C1357" t="s">
        <v>2337</v>
      </c>
      <c r="D1357" s="1">
        <v>25000</v>
      </c>
      <c r="E1357" s="1">
        <v>0</v>
      </c>
      <c r="F1357">
        <v>3225033.07</v>
      </c>
      <c r="G1357" s="8" t="s">
        <v>1379</v>
      </c>
      <c r="K1357" s="2"/>
      <c r="L1357" s="232">
        <v>42658</v>
      </c>
      <c r="N1357">
        <f t="shared" si="18"/>
        <v>25000</v>
      </c>
    </row>
    <row r="1358" spans="1:14" hidden="1">
      <c r="A1358" s="232">
        <v>42660</v>
      </c>
      <c r="B1358" t="s">
        <v>2394</v>
      </c>
      <c r="C1358" t="s">
        <v>2395</v>
      </c>
      <c r="D1358" s="1">
        <v>25</v>
      </c>
      <c r="E1358" s="1">
        <v>0</v>
      </c>
      <c r="F1358">
        <v>3225008.07</v>
      </c>
      <c r="K1358" s="2"/>
      <c r="L1358" s="232">
        <v>42660</v>
      </c>
      <c r="N1358">
        <f t="shared" si="18"/>
        <v>25</v>
      </c>
    </row>
    <row r="1359" spans="1:14" hidden="1">
      <c r="A1359" s="232">
        <v>42660</v>
      </c>
      <c r="B1359" t="s">
        <v>2394</v>
      </c>
      <c r="C1359" t="s">
        <v>2396</v>
      </c>
      <c r="D1359" s="1">
        <v>0</v>
      </c>
      <c r="E1359" s="1">
        <v>25</v>
      </c>
      <c r="F1359">
        <v>3225033.07</v>
      </c>
      <c r="K1359" s="2"/>
      <c r="L1359" s="232">
        <v>42660</v>
      </c>
      <c r="N1359">
        <f t="shared" si="18"/>
        <v>0</v>
      </c>
    </row>
    <row r="1360" spans="1:14" hidden="1">
      <c r="A1360" s="232">
        <v>42661</v>
      </c>
      <c r="B1360" t="s">
        <v>1963</v>
      </c>
      <c r="C1360" t="s">
        <v>2397</v>
      </c>
      <c r="D1360" s="1">
        <v>10000</v>
      </c>
      <c r="E1360" s="1">
        <v>0</v>
      </c>
      <c r="F1360">
        <v>3215033.07</v>
      </c>
      <c r="G1360" s="8" t="s">
        <v>1361</v>
      </c>
      <c r="K1360" s="2"/>
      <c r="L1360" s="232">
        <v>42661</v>
      </c>
      <c r="N1360">
        <f t="shared" si="18"/>
        <v>10000</v>
      </c>
    </row>
    <row r="1361" spans="1:14" hidden="1">
      <c r="A1361" s="232">
        <v>42663</v>
      </c>
      <c r="C1361" t="s">
        <v>2339</v>
      </c>
      <c r="D1361" s="1">
        <v>25000</v>
      </c>
      <c r="E1361" s="1">
        <v>0</v>
      </c>
      <c r="F1361">
        <v>3190033.07</v>
      </c>
      <c r="G1361" s="8" t="s">
        <v>1379</v>
      </c>
      <c r="K1361" s="2"/>
      <c r="L1361" s="232">
        <v>42663</v>
      </c>
      <c r="N1361">
        <f t="shared" si="18"/>
        <v>25000</v>
      </c>
    </row>
    <row r="1362" spans="1:14" hidden="1">
      <c r="A1362" s="232">
        <v>42668</v>
      </c>
      <c r="C1362" t="s">
        <v>2341</v>
      </c>
      <c r="D1362" s="1">
        <v>25000</v>
      </c>
      <c r="E1362" s="1">
        <v>0</v>
      </c>
      <c r="F1362">
        <v>3165033.07</v>
      </c>
      <c r="G1362" s="8" t="s">
        <v>1379</v>
      </c>
      <c r="K1362" s="2"/>
      <c r="L1362" s="232">
        <v>42668</v>
      </c>
      <c r="N1362">
        <f t="shared" si="18"/>
        <v>25000</v>
      </c>
    </row>
    <row r="1363" spans="1:14" hidden="1">
      <c r="A1363" s="232">
        <v>42669</v>
      </c>
      <c r="C1363" t="s">
        <v>2398</v>
      </c>
      <c r="D1363" s="1">
        <v>0</v>
      </c>
      <c r="E1363" s="1">
        <v>239412</v>
      </c>
      <c r="F1363">
        <v>3404445.07</v>
      </c>
      <c r="G1363" s="8" t="s">
        <v>1380</v>
      </c>
      <c r="K1363" s="2"/>
      <c r="L1363" s="232">
        <v>42669</v>
      </c>
      <c r="N1363">
        <f t="shared" si="18"/>
        <v>0</v>
      </c>
    </row>
    <row r="1364" spans="1:14" hidden="1">
      <c r="A1364" s="232">
        <v>42670</v>
      </c>
      <c r="C1364" t="s">
        <v>2343</v>
      </c>
      <c r="D1364" s="1">
        <v>25000</v>
      </c>
      <c r="E1364" s="1">
        <v>0</v>
      </c>
      <c r="F1364">
        <v>3379445.07</v>
      </c>
      <c r="G1364" s="8" t="s">
        <v>1379</v>
      </c>
      <c r="K1364" s="2"/>
      <c r="L1364" s="232">
        <v>42670</v>
      </c>
      <c r="N1364">
        <f t="shared" si="18"/>
        <v>25000</v>
      </c>
    </row>
    <row r="1365" spans="1:14" hidden="1">
      <c r="A1365" s="232">
        <v>42671</v>
      </c>
      <c r="B1365" t="s">
        <v>1938</v>
      </c>
      <c r="C1365" t="s">
        <v>2399</v>
      </c>
      <c r="D1365" s="1">
        <v>2000</v>
      </c>
      <c r="E1365" s="1">
        <v>0</v>
      </c>
      <c r="F1365">
        <v>3377445.07</v>
      </c>
      <c r="G1365" s="8" t="s">
        <v>1372</v>
      </c>
      <c r="K1365" s="2"/>
      <c r="L1365" s="232">
        <v>42671</v>
      </c>
      <c r="N1365">
        <f t="shared" si="18"/>
        <v>2000</v>
      </c>
    </row>
    <row r="1366" spans="1:14" hidden="1">
      <c r="A1366" s="232">
        <v>42671</v>
      </c>
      <c r="C1366" t="s">
        <v>2400</v>
      </c>
      <c r="D1366" s="1">
        <v>0</v>
      </c>
      <c r="E1366" s="1">
        <v>1024</v>
      </c>
      <c r="F1366">
        <v>3378469.07</v>
      </c>
      <c r="G1366" s="8" t="s">
        <v>1380</v>
      </c>
      <c r="K1366" s="2"/>
      <c r="L1366" s="232">
        <v>42671</v>
      </c>
      <c r="N1366">
        <f t="shared" si="18"/>
        <v>0</v>
      </c>
    </row>
    <row r="1367" spans="1:14" hidden="1">
      <c r="A1367" s="232">
        <v>42675</v>
      </c>
      <c r="C1367" t="s">
        <v>2375</v>
      </c>
      <c r="D1367" s="1">
        <v>25000</v>
      </c>
      <c r="E1367" s="1">
        <v>0</v>
      </c>
      <c r="F1367">
        <v>3353469.07</v>
      </c>
      <c r="G1367" s="8" t="s">
        <v>1379</v>
      </c>
      <c r="K1367" s="2"/>
      <c r="L1367" s="232">
        <v>42675</v>
      </c>
      <c r="N1367">
        <f t="shared" si="18"/>
        <v>25000</v>
      </c>
    </row>
    <row r="1368" spans="1:14" hidden="1">
      <c r="A1368" s="232">
        <v>42676</v>
      </c>
      <c r="B1368" t="s">
        <v>1963</v>
      </c>
      <c r="C1368" t="s">
        <v>2401</v>
      </c>
      <c r="D1368" s="1">
        <v>5000</v>
      </c>
      <c r="E1368" s="1">
        <v>0</v>
      </c>
      <c r="F1368">
        <v>3348469.07</v>
      </c>
      <c r="G1368" s="8" t="s">
        <v>1361</v>
      </c>
      <c r="K1368" s="2"/>
      <c r="L1368" s="232">
        <v>42676</v>
      </c>
      <c r="N1368">
        <f t="shared" si="18"/>
        <v>5000</v>
      </c>
    </row>
    <row r="1369" spans="1:14" hidden="1">
      <c r="A1369" s="232">
        <v>42679</v>
      </c>
      <c r="B1369" t="s">
        <v>1914</v>
      </c>
      <c r="C1369" t="s">
        <v>2402</v>
      </c>
      <c r="D1369" s="1">
        <v>7749</v>
      </c>
      <c r="E1369" s="1">
        <v>0</v>
      </c>
      <c r="F1369">
        <v>3340720.07</v>
      </c>
      <c r="K1369" s="2"/>
      <c r="L1369" s="232">
        <v>42679</v>
      </c>
      <c r="N1369">
        <f t="shared" si="18"/>
        <v>7749</v>
      </c>
    </row>
    <row r="1370" spans="1:14" hidden="1">
      <c r="A1370" s="232">
        <v>42681</v>
      </c>
      <c r="B1370" t="s">
        <v>1914</v>
      </c>
      <c r="C1370" t="s">
        <v>2403</v>
      </c>
      <c r="D1370" s="1">
        <v>25000</v>
      </c>
      <c r="E1370" s="1">
        <v>0</v>
      </c>
      <c r="F1370">
        <v>3315720.07</v>
      </c>
      <c r="G1370" s="8" t="s">
        <v>1379</v>
      </c>
      <c r="K1370" s="2"/>
      <c r="L1370" s="232">
        <v>42681</v>
      </c>
      <c r="N1370">
        <f t="shared" si="18"/>
        <v>25000</v>
      </c>
    </row>
    <row r="1371" spans="1:14" hidden="1">
      <c r="A1371" s="232">
        <v>42684</v>
      </c>
      <c r="B1371" t="s">
        <v>1938</v>
      </c>
      <c r="C1371" t="s">
        <v>2404</v>
      </c>
      <c r="D1371" s="1">
        <v>2000</v>
      </c>
      <c r="E1371" s="1">
        <v>0</v>
      </c>
      <c r="F1371">
        <v>3313720.07</v>
      </c>
      <c r="G1371" s="8" t="s">
        <v>1372</v>
      </c>
      <c r="K1371" s="2"/>
      <c r="L1371" s="232">
        <v>42684</v>
      </c>
      <c r="N1371">
        <f t="shared" si="18"/>
        <v>2000</v>
      </c>
    </row>
    <row r="1372" spans="1:14" hidden="1">
      <c r="A1372" s="232">
        <v>42689</v>
      </c>
      <c r="C1372" t="s">
        <v>2337</v>
      </c>
      <c r="D1372" s="1">
        <v>25000</v>
      </c>
      <c r="E1372" s="1">
        <v>0</v>
      </c>
      <c r="F1372">
        <v>3288720.07</v>
      </c>
      <c r="G1372" s="8" t="s">
        <v>1379</v>
      </c>
      <c r="K1372" s="2"/>
      <c r="L1372" s="232">
        <v>42689</v>
      </c>
      <c r="N1372">
        <f t="shared" si="18"/>
        <v>25000</v>
      </c>
    </row>
    <row r="1373" spans="1:14" hidden="1">
      <c r="A1373" s="232">
        <v>42690</v>
      </c>
      <c r="B1373" t="s">
        <v>2063</v>
      </c>
      <c r="C1373" t="s">
        <v>2405</v>
      </c>
      <c r="D1373" s="1">
        <v>2000</v>
      </c>
      <c r="E1373" s="1">
        <v>0</v>
      </c>
      <c r="F1373">
        <v>3286720.07</v>
      </c>
      <c r="G1373" s="8" t="s">
        <v>1361</v>
      </c>
      <c r="K1373" s="2"/>
      <c r="L1373" s="232">
        <v>42690</v>
      </c>
      <c r="N1373">
        <f t="shared" si="18"/>
        <v>2000</v>
      </c>
    </row>
    <row r="1374" spans="1:14" hidden="1">
      <c r="A1374" s="232">
        <v>42690</v>
      </c>
      <c r="B1374" t="s">
        <v>2063</v>
      </c>
      <c r="C1374" t="s">
        <v>2405</v>
      </c>
      <c r="D1374" s="1">
        <v>500</v>
      </c>
      <c r="E1374" s="1">
        <v>0</v>
      </c>
      <c r="F1374">
        <v>3286220.07</v>
      </c>
      <c r="G1374" s="8" t="s">
        <v>1361</v>
      </c>
      <c r="K1374" s="2"/>
      <c r="L1374" s="232">
        <v>42690</v>
      </c>
      <c r="N1374">
        <f t="shared" si="18"/>
        <v>500</v>
      </c>
    </row>
    <row r="1375" spans="1:14" hidden="1">
      <c r="A1375" s="232">
        <v>42693</v>
      </c>
      <c r="C1375" t="s">
        <v>2406</v>
      </c>
      <c r="D1375" s="1">
        <v>0</v>
      </c>
      <c r="E1375" s="1">
        <v>17500</v>
      </c>
      <c r="F1375">
        <v>3303720.07</v>
      </c>
      <c r="G1375" s="8" t="s">
        <v>1363</v>
      </c>
      <c r="K1375" s="2"/>
      <c r="L1375" s="232">
        <v>42693</v>
      </c>
      <c r="N1375">
        <f t="shared" si="18"/>
        <v>0</v>
      </c>
    </row>
    <row r="1376" spans="1:14" hidden="1">
      <c r="A1376" s="232">
        <v>42695</v>
      </c>
      <c r="C1376" t="s">
        <v>2339</v>
      </c>
      <c r="D1376" s="1">
        <v>25000</v>
      </c>
      <c r="E1376" s="1">
        <v>0</v>
      </c>
      <c r="F1376">
        <v>3278720.07</v>
      </c>
      <c r="G1376" s="8" t="s">
        <v>1379</v>
      </c>
      <c r="K1376" s="2"/>
      <c r="L1376" s="232">
        <v>42695</v>
      </c>
      <c r="N1376">
        <f t="shared" si="18"/>
        <v>25000</v>
      </c>
    </row>
    <row r="1377" spans="1:14" hidden="1">
      <c r="A1377" s="232">
        <v>42696</v>
      </c>
      <c r="B1377" t="s">
        <v>1914</v>
      </c>
      <c r="C1377" t="s">
        <v>2407</v>
      </c>
      <c r="D1377" s="1">
        <v>1011</v>
      </c>
      <c r="E1377" s="1">
        <v>0</v>
      </c>
      <c r="F1377">
        <v>3277709.07</v>
      </c>
      <c r="K1377" s="2"/>
      <c r="L1377" s="232">
        <v>42696</v>
      </c>
      <c r="N1377">
        <f t="shared" si="18"/>
        <v>1011</v>
      </c>
    </row>
    <row r="1378" spans="1:14" hidden="1">
      <c r="A1378" s="232">
        <v>42698</v>
      </c>
      <c r="B1378" t="s">
        <v>2063</v>
      </c>
      <c r="C1378" t="s">
        <v>2408</v>
      </c>
      <c r="D1378" s="1">
        <v>2000</v>
      </c>
      <c r="E1378" s="1">
        <v>0</v>
      </c>
      <c r="F1378">
        <v>3275709.07</v>
      </c>
      <c r="G1378" s="8" t="s">
        <v>1361</v>
      </c>
      <c r="K1378" s="2"/>
      <c r="L1378" s="232">
        <v>42698</v>
      </c>
      <c r="N1378">
        <f t="shared" si="18"/>
        <v>2000</v>
      </c>
    </row>
    <row r="1379" spans="1:14" hidden="1">
      <c r="A1379" s="232">
        <v>42699</v>
      </c>
      <c r="C1379" t="s">
        <v>2409</v>
      </c>
      <c r="D1379" s="1">
        <v>0</v>
      </c>
      <c r="E1379" s="1">
        <v>243816</v>
      </c>
      <c r="F1379">
        <v>3519525.07</v>
      </c>
      <c r="G1379" s="8" t="s">
        <v>1380</v>
      </c>
      <c r="K1379" s="2"/>
      <c r="L1379" s="232">
        <v>42699</v>
      </c>
      <c r="N1379">
        <f t="shared" si="18"/>
        <v>0</v>
      </c>
    </row>
    <row r="1380" spans="1:14" hidden="1">
      <c r="A1380" s="232">
        <v>42699</v>
      </c>
      <c r="C1380" t="s">
        <v>2341</v>
      </c>
      <c r="D1380" s="1">
        <v>25000</v>
      </c>
      <c r="E1380" s="1">
        <v>0</v>
      </c>
      <c r="F1380">
        <v>3494525.07</v>
      </c>
      <c r="G1380" s="8" t="s">
        <v>1379</v>
      </c>
      <c r="K1380" s="2"/>
      <c r="L1380" s="232">
        <v>42699</v>
      </c>
      <c r="N1380">
        <f t="shared" si="18"/>
        <v>25000</v>
      </c>
    </row>
    <row r="1381" spans="1:14" hidden="1">
      <c r="A1381" s="232">
        <v>42702</v>
      </c>
      <c r="B1381" t="s">
        <v>1997</v>
      </c>
      <c r="C1381" t="s">
        <v>2410</v>
      </c>
      <c r="D1381" s="1">
        <v>500</v>
      </c>
      <c r="E1381" s="1">
        <v>0</v>
      </c>
      <c r="F1381">
        <v>3494025.07</v>
      </c>
      <c r="K1381" s="2"/>
      <c r="L1381" s="232">
        <v>42702</v>
      </c>
      <c r="N1381">
        <f t="shared" si="18"/>
        <v>500</v>
      </c>
    </row>
    <row r="1382" spans="1:14" hidden="1">
      <c r="A1382" s="232">
        <v>42702</v>
      </c>
      <c r="B1382" t="s">
        <v>1938</v>
      </c>
      <c r="C1382" t="s">
        <v>2411</v>
      </c>
      <c r="D1382" s="1">
        <v>2000</v>
      </c>
      <c r="E1382" s="1">
        <v>0</v>
      </c>
      <c r="F1382">
        <v>3492025.07</v>
      </c>
      <c r="G1382" s="8" t="s">
        <v>1372</v>
      </c>
      <c r="K1382" s="2"/>
      <c r="L1382" s="232">
        <v>42702</v>
      </c>
      <c r="N1382">
        <f t="shared" si="18"/>
        <v>2000</v>
      </c>
    </row>
    <row r="1383" spans="1:14" hidden="1">
      <c r="A1383" s="232">
        <v>42702</v>
      </c>
      <c r="C1383" t="s">
        <v>2343</v>
      </c>
      <c r="D1383" s="1">
        <v>25000</v>
      </c>
      <c r="E1383" s="1">
        <v>0</v>
      </c>
      <c r="F1383">
        <v>3467025.07</v>
      </c>
      <c r="G1383" s="8" t="s">
        <v>1379</v>
      </c>
      <c r="K1383" s="2"/>
      <c r="L1383" s="232">
        <v>42702</v>
      </c>
      <c r="N1383">
        <f t="shared" si="18"/>
        <v>25000</v>
      </c>
    </row>
    <row r="1384" spans="1:14" hidden="1">
      <c r="A1384" s="232">
        <v>42703</v>
      </c>
      <c r="C1384" t="s">
        <v>2412</v>
      </c>
      <c r="D1384" s="1">
        <v>0</v>
      </c>
      <c r="E1384" s="1">
        <v>4080</v>
      </c>
      <c r="F1384">
        <v>3471105.07</v>
      </c>
      <c r="G1384" s="8" t="s">
        <v>1380</v>
      </c>
      <c r="K1384" s="2"/>
      <c r="L1384" s="232">
        <v>42703</v>
      </c>
      <c r="N1384">
        <f t="shared" si="18"/>
        <v>0</v>
      </c>
    </row>
    <row r="1385" spans="1:14" hidden="1">
      <c r="A1385" s="232">
        <v>42703</v>
      </c>
      <c r="C1385" t="s">
        <v>2413</v>
      </c>
      <c r="D1385" s="1">
        <v>0</v>
      </c>
      <c r="E1385" s="1">
        <v>1024</v>
      </c>
      <c r="F1385">
        <v>3472129.07</v>
      </c>
      <c r="G1385" s="8" t="s">
        <v>1380</v>
      </c>
      <c r="K1385" s="2"/>
      <c r="L1385" s="232">
        <v>42703</v>
      </c>
      <c r="N1385">
        <f t="shared" si="18"/>
        <v>0</v>
      </c>
    </row>
    <row r="1386" spans="1:14" hidden="1">
      <c r="A1386" s="232">
        <v>42703</v>
      </c>
      <c r="C1386" t="s">
        <v>2414</v>
      </c>
      <c r="D1386" s="1">
        <v>0</v>
      </c>
      <c r="E1386" s="1">
        <v>2065</v>
      </c>
      <c r="F1386">
        <v>3474194.07</v>
      </c>
      <c r="G1386" s="8" t="s">
        <v>1380</v>
      </c>
      <c r="K1386" s="2"/>
      <c r="L1386" s="232">
        <v>42703</v>
      </c>
      <c r="N1386">
        <f t="shared" si="18"/>
        <v>0</v>
      </c>
    </row>
    <row r="1387" spans="1:14" hidden="1">
      <c r="A1387" s="232">
        <v>42704</v>
      </c>
      <c r="C1387" t="s">
        <v>2415</v>
      </c>
      <c r="D1387" s="1">
        <v>300000</v>
      </c>
      <c r="E1387" s="1">
        <v>0</v>
      </c>
      <c r="F1387">
        <v>3174194.07</v>
      </c>
      <c r="G1387" s="8" t="s">
        <v>1381</v>
      </c>
      <c r="K1387" s="2"/>
      <c r="L1387" s="232">
        <v>42704</v>
      </c>
      <c r="N1387">
        <f t="shared" si="18"/>
        <v>300000</v>
      </c>
    </row>
    <row r="1388" spans="1:14" hidden="1">
      <c r="A1388" s="232">
        <v>42705</v>
      </c>
      <c r="C1388" t="s">
        <v>2375</v>
      </c>
      <c r="D1388" s="1">
        <v>25000</v>
      </c>
      <c r="E1388" s="1">
        <v>0</v>
      </c>
      <c r="F1388">
        <v>3149194.07</v>
      </c>
      <c r="G1388" s="8" t="s">
        <v>1379</v>
      </c>
      <c r="K1388" s="2"/>
      <c r="L1388" s="232">
        <v>42705</v>
      </c>
      <c r="N1388">
        <f t="shared" si="18"/>
        <v>25000</v>
      </c>
    </row>
    <row r="1389" spans="1:14" hidden="1">
      <c r="A1389" s="232">
        <v>42706</v>
      </c>
      <c r="B1389" t="s">
        <v>1914</v>
      </c>
      <c r="C1389" t="s">
        <v>2416</v>
      </c>
      <c r="D1389" s="1">
        <v>2800</v>
      </c>
      <c r="E1389" s="1">
        <v>0</v>
      </c>
      <c r="F1389">
        <v>3146394.07</v>
      </c>
      <c r="K1389" s="2"/>
      <c r="L1389" s="232">
        <v>42706</v>
      </c>
      <c r="N1389">
        <f t="shared" si="18"/>
        <v>2800</v>
      </c>
    </row>
    <row r="1390" spans="1:14" hidden="1">
      <c r="A1390" s="232">
        <v>42709</v>
      </c>
      <c r="B1390" t="s">
        <v>1914</v>
      </c>
      <c r="C1390" t="s">
        <v>2417</v>
      </c>
      <c r="D1390" s="1">
        <v>25000</v>
      </c>
      <c r="E1390" s="1">
        <v>0</v>
      </c>
      <c r="F1390">
        <v>3121394.07</v>
      </c>
      <c r="G1390" s="8" t="s">
        <v>1379</v>
      </c>
      <c r="K1390" s="2"/>
      <c r="L1390" s="232">
        <v>42709</v>
      </c>
      <c r="N1390">
        <f t="shared" si="18"/>
        <v>25000</v>
      </c>
    </row>
    <row r="1391" spans="1:14" hidden="1">
      <c r="A1391" s="232">
        <v>42710</v>
      </c>
      <c r="B1391" t="s">
        <v>2063</v>
      </c>
      <c r="C1391" t="s">
        <v>2418</v>
      </c>
      <c r="D1391" s="1">
        <v>2000</v>
      </c>
      <c r="E1391" s="1">
        <v>0</v>
      </c>
      <c r="F1391">
        <v>3119394.07</v>
      </c>
      <c r="G1391" s="8" t="s">
        <v>1361</v>
      </c>
      <c r="K1391" s="2"/>
      <c r="L1391" s="232">
        <v>42710</v>
      </c>
      <c r="N1391">
        <f t="shared" si="18"/>
        <v>2000</v>
      </c>
    </row>
    <row r="1392" spans="1:14" hidden="1">
      <c r="A1392" s="232">
        <v>42717</v>
      </c>
      <c r="B1392" t="s">
        <v>1938</v>
      </c>
      <c r="C1392" t="s">
        <v>2419</v>
      </c>
      <c r="D1392" s="1">
        <v>2000</v>
      </c>
      <c r="E1392" s="1">
        <v>0</v>
      </c>
      <c r="F1392">
        <v>3117394.07</v>
      </c>
      <c r="G1392" s="8" t="s">
        <v>1372</v>
      </c>
      <c r="K1392" s="2"/>
      <c r="L1392" s="232">
        <v>42717</v>
      </c>
      <c r="N1392">
        <f t="shared" si="18"/>
        <v>2000</v>
      </c>
    </row>
    <row r="1393" spans="1:14" hidden="1">
      <c r="A1393" s="232">
        <v>42717</v>
      </c>
      <c r="B1393" t="s">
        <v>1963</v>
      </c>
      <c r="C1393" t="s">
        <v>2420</v>
      </c>
      <c r="D1393" s="1">
        <v>2000</v>
      </c>
      <c r="E1393" s="1">
        <v>0</v>
      </c>
      <c r="F1393">
        <v>3115394.07</v>
      </c>
      <c r="G1393" s="8" t="s">
        <v>1361</v>
      </c>
      <c r="K1393" s="2"/>
      <c r="L1393" s="232">
        <v>42717</v>
      </c>
      <c r="N1393">
        <f t="shared" si="18"/>
        <v>2000</v>
      </c>
    </row>
    <row r="1394" spans="1:14" hidden="1">
      <c r="A1394" s="232">
        <v>42718</v>
      </c>
      <c r="B1394" t="s">
        <v>1963</v>
      </c>
      <c r="C1394" t="s">
        <v>2421</v>
      </c>
      <c r="D1394" s="1">
        <v>2000</v>
      </c>
      <c r="E1394" s="1">
        <v>0</v>
      </c>
      <c r="F1394">
        <v>3113394.07</v>
      </c>
      <c r="G1394" s="8" t="s">
        <v>1361</v>
      </c>
      <c r="K1394" s="2"/>
      <c r="L1394" s="232">
        <v>42718</v>
      </c>
      <c r="N1394">
        <f t="shared" si="18"/>
        <v>2000</v>
      </c>
    </row>
    <row r="1395" spans="1:14" hidden="1">
      <c r="A1395" s="232">
        <v>42719</v>
      </c>
      <c r="C1395" t="s">
        <v>2337</v>
      </c>
      <c r="D1395" s="1">
        <v>25000</v>
      </c>
      <c r="E1395" s="1">
        <v>0</v>
      </c>
      <c r="F1395">
        <v>3088394.07</v>
      </c>
      <c r="G1395" s="8" t="s">
        <v>1379</v>
      </c>
      <c r="K1395" s="2"/>
      <c r="L1395" s="232">
        <v>42719</v>
      </c>
      <c r="N1395">
        <f t="shared" si="18"/>
        <v>25000</v>
      </c>
    </row>
    <row r="1396" spans="1:14" hidden="1">
      <c r="A1396" s="232">
        <v>42721</v>
      </c>
      <c r="C1396" t="s">
        <v>2406</v>
      </c>
      <c r="D1396" s="1">
        <v>0</v>
      </c>
      <c r="E1396" s="1">
        <v>1000</v>
      </c>
      <c r="F1396">
        <v>3089394.07</v>
      </c>
      <c r="K1396" s="2"/>
      <c r="L1396" s="232">
        <v>42721</v>
      </c>
      <c r="N1396">
        <f t="shared" si="18"/>
        <v>0</v>
      </c>
    </row>
    <row r="1397" spans="1:14" hidden="1">
      <c r="A1397" s="232">
        <v>42721</v>
      </c>
      <c r="B1397" t="s">
        <v>1963</v>
      </c>
      <c r="C1397" t="s">
        <v>2422</v>
      </c>
      <c r="D1397" s="1">
        <v>2000</v>
      </c>
      <c r="E1397" s="1">
        <v>0</v>
      </c>
      <c r="F1397">
        <v>3087394.07</v>
      </c>
      <c r="G1397" s="8" t="s">
        <v>1361</v>
      </c>
      <c r="K1397" s="2"/>
      <c r="L1397" s="232">
        <v>42721</v>
      </c>
      <c r="N1397">
        <f t="shared" si="18"/>
        <v>2000</v>
      </c>
    </row>
    <row r="1398" spans="1:14" hidden="1">
      <c r="A1398" s="232">
        <v>42724</v>
      </c>
      <c r="C1398" t="s">
        <v>2423</v>
      </c>
      <c r="D1398" s="1">
        <v>0</v>
      </c>
      <c r="E1398" s="1">
        <v>13680</v>
      </c>
      <c r="F1398">
        <v>3101074.07</v>
      </c>
      <c r="G1398" s="8" t="s">
        <v>1380</v>
      </c>
      <c r="K1398" s="2"/>
      <c r="L1398" s="232">
        <v>42724</v>
      </c>
      <c r="N1398">
        <f t="shared" si="18"/>
        <v>0</v>
      </c>
    </row>
    <row r="1399" spans="1:14" hidden="1">
      <c r="A1399" s="232">
        <v>42724</v>
      </c>
      <c r="C1399" t="s">
        <v>2339</v>
      </c>
      <c r="D1399" s="1">
        <v>25000</v>
      </c>
      <c r="E1399" s="1">
        <v>0</v>
      </c>
      <c r="F1399">
        <v>3076074.07</v>
      </c>
      <c r="G1399" s="8" t="s">
        <v>1379</v>
      </c>
      <c r="K1399" s="2"/>
      <c r="L1399" s="232">
        <v>42724</v>
      </c>
      <c r="N1399">
        <f t="shared" si="18"/>
        <v>25000</v>
      </c>
    </row>
    <row r="1400" spans="1:14" hidden="1">
      <c r="A1400" s="232">
        <v>42726</v>
      </c>
      <c r="B1400" t="s">
        <v>1914</v>
      </c>
      <c r="C1400" t="s">
        <v>2424</v>
      </c>
      <c r="D1400" s="1">
        <v>0</v>
      </c>
      <c r="E1400" s="1">
        <v>1187.5</v>
      </c>
      <c r="F1400">
        <v>3077261.57</v>
      </c>
      <c r="G1400" s="8" t="s">
        <v>1380</v>
      </c>
      <c r="K1400" s="2"/>
      <c r="L1400" s="232">
        <v>42726</v>
      </c>
      <c r="N1400">
        <f t="shared" si="18"/>
        <v>0</v>
      </c>
    </row>
    <row r="1401" spans="1:14" hidden="1">
      <c r="A1401" s="232">
        <v>42730</v>
      </c>
      <c r="C1401" t="s">
        <v>2425</v>
      </c>
      <c r="D1401" s="1">
        <v>0</v>
      </c>
      <c r="E1401" s="1">
        <v>283235</v>
      </c>
      <c r="F1401">
        <v>3360496.57</v>
      </c>
      <c r="G1401" s="8" t="s">
        <v>1380</v>
      </c>
      <c r="K1401" s="2"/>
      <c r="L1401" s="232">
        <v>42730</v>
      </c>
      <c r="N1401">
        <f t="shared" si="18"/>
        <v>0</v>
      </c>
    </row>
    <row r="1402" spans="1:14" hidden="1">
      <c r="A1402" s="232">
        <v>42730</v>
      </c>
      <c r="C1402" t="s">
        <v>2341</v>
      </c>
      <c r="D1402" s="1">
        <v>25000</v>
      </c>
      <c r="E1402" s="1">
        <v>0</v>
      </c>
      <c r="F1402">
        <v>3335496.57</v>
      </c>
      <c r="G1402" s="8" t="s">
        <v>1379</v>
      </c>
      <c r="K1402" s="2"/>
      <c r="L1402" s="232">
        <v>42730</v>
      </c>
      <c r="N1402">
        <f t="shared" si="18"/>
        <v>25000</v>
      </c>
    </row>
    <row r="1403" spans="1:14" hidden="1">
      <c r="A1403" s="232">
        <v>42731</v>
      </c>
      <c r="B1403" t="s">
        <v>2426</v>
      </c>
      <c r="C1403" t="s">
        <v>2427</v>
      </c>
      <c r="D1403" s="1">
        <v>4500</v>
      </c>
      <c r="E1403" s="1">
        <v>0</v>
      </c>
      <c r="F1403">
        <v>3330996.57</v>
      </c>
      <c r="K1403" s="2"/>
      <c r="L1403" s="232">
        <v>42731</v>
      </c>
      <c r="N1403">
        <f t="shared" si="18"/>
        <v>4500</v>
      </c>
    </row>
    <row r="1404" spans="1:14" hidden="1">
      <c r="A1404" s="232">
        <v>42731</v>
      </c>
      <c r="C1404" t="s">
        <v>2428</v>
      </c>
      <c r="D1404" s="1">
        <v>0</v>
      </c>
      <c r="E1404" s="1">
        <v>1024</v>
      </c>
      <c r="F1404">
        <v>3332020.57</v>
      </c>
      <c r="G1404" s="8" t="s">
        <v>1380</v>
      </c>
      <c r="K1404" s="2"/>
      <c r="L1404" s="232">
        <v>42731</v>
      </c>
      <c r="N1404">
        <f t="shared" si="18"/>
        <v>0</v>
      </c>
    </row>
    <row r="1405" spans="1:14" hidden="1">
      <c r="A1405" s="232">
        <v>42731</v>
      </c>
      <c r="C1405" t="s">
        <v>2343</v>
      </c>
      <c r="D1405" s="1">
        <v>25000</v>
      </c>
      <c r="E1405" s="1">
        <v>0</v>
      </c>
      <c r="F1405">
        <v>3307020.57</v>
      </c>
      <c r="G1405" s="8" t="s">
        <v>1379</v>
      </c>
      <c r="K1405" s="2"/>
      <c r="L1405" s="232">
        <v>42731</v>
      </c>
      <c r="N1405">
        <f t="shared" si="18"/>
        <v>25000</v>
      </c>
    </row>
    <row r="1406" spans="1:14" hidden="1">
      <c r="A1406" s="232">
        <v>42732</v>
      </c>
      <c r="B1406" t="s">
        <v>1938</v>
      </c>
      <c r="C1406" t="s">
        <v>2429</v>
      </c>
      <c r="D1406" s="1">
        <v>2000</v>
      </c>
      <c r="E1406" s="1">
        <v>0</v>
      </c>
      <c r="F1406">
        <v>3305020.57</v>
      </c>
      <c r="G1406" s="8" t="s">
        <v>1372</v>
      </c>
      <c r="K1406" s="2"/>
      <c r="L1406" s="232">
        <v>42732</v>
      </c>
      <c r="N1406">
        <f t="shared" si="18"/>
        <v>2000</v>
      </c>
    </row>
    <row r="1407" spans="1:14" hidden="1">
      <c r="A1407" s="232">
        <v>42732</v>
      </c>
      <c r="B1407" t="s">
        <v>1963</v>
      </c>
      <c r="C1407" t="s">
        <v>2430</v>
      </c>
      <c r="D1407" s="1">
        <v>2000</v>
      </c>
      <c r="E1407" s="1">
        <v>0</v>
      </c>
      <c r="F1407">
        <v>3303020.57</v>
      </c>
      <c r="G1407" s="8" t="s">
        <v>1361</v>
      </c>
      <c r="K1407" s="2"/>
      <c r="L1407" s="232">
        <v>42732</v>
      </c>
      <c r="N1407">
        <f t="shared" si="18"/>
        <v>2000</v>
      </c>
    </row>
    <row r="1408" spans="1:14" hidden="1">
      <c r="A1408" s="232">
        <v>42734</v>
      </c>
      <c r="C1408" t="s">
        <v>2431</v>
      </c>
      <c r="D1408" s="1">
        <v>0</v>
      </c>
      <c r="E1408" s="1">
        <v>32597</v>
      </c>
      <c r="F1408">
        <v>3335617.57</v>
      </c>
      <c r="G1408" s="8" t="s">
        <v>1368</v>
      </c>
      <c r="K1408" s="2"/>
      <c r="L1408" s="232">
        <v>42734</v>
      </c>
      <c r="N1408">
        <f t="shared" si="18"/>
        <v>0</v>
      </c>
    </row>
    <row r="1409" spans="1:14" hidden="1">
      <c r="A1409" s="232">
        <v>42735</v>
      </c>
      <c r="B1409" t="s">
        <v>1963</v>
      </c>
      <c r="C1409" t="s">
        <v>2432</v>
      </c>
      <c r="D1409" s="1">
        <v>2000</v>
      </c>
      <c r="E1409" s="1">
        <v>0</v>
      </c>
      <c r="F1409">
        <v>3333617.57</v>
      </c>
      <c r="G1409" s="8" t="s">
        <v>1361</v>
      </c>
      <c r="K1409" s="2"/>
      <c r="L1409" s="232">
        <v>42735</v>
      </c>
      <c r="N1409">
        <f t="shared" si="18"/>
        <v>2000</v>
      </c>
    </row>
    <row r="1410" spans="1:14" hidden="1">
      <c r="A1410" s="232">
        <v>42737</v>
      </c>
      <c r="B1410" t="s">
        <v>1914</v>
      </c>
      <c r="C1410" t="s">
        <v>2433</v>
      </c>
      <c r="D1410" s="1">
        <v>30142</v>
      </c>
      <c r="E1410" s="1">
        <v>0</v>
      </c>
      <c r="F1410">
        <v>3303475.57</v>
      </c>
      <c r="G1410" s="8" t="s">
        <v>1370</v>
      </c>
      <c r="K1410" s="2"/>
      <c r="L1410" s="232">
        <v>42737</v>
      </c>
      <c r="N1410">
        <f t="shared" si="18"/>
        <v>30142</v>
      </c>
    </row>
    <row r="1411" spans="1:14" hidden="1">
      <c r="A1411" s="232">
        <v>42737</v>
      </c>
      <c r="B1411" t="s">
        <v>1914</v>
      </c>
      <c r="C1411" t="s">
        <v>2434</v>
      </c>
      <c r="D1411" s="1">
        <v>7392</v>
      </c>
      <c r="E1411" s="1">
        <v>0</v>
      </c>
      <c r="F1411">
        <v>3296083.57</v>
      </c>
      <c r="K1411" s="2"/>
      <c r="L1411" s="232">
        <v>42737</v>
      </c>
      <c r="N1411">
        <f t="shared" si="18"/>
        <v>7392</v>
      </c>
    </row>
    <row r="1412" spans="1:14" hidden="1">
      <c r="A1412" s="232">
        <v>42737</v>
      </c>
      <c r="C1412" t="s">
        <v>2375</v>
      </c>
      <c r="D1412" s="1">
        <v>25000</v>
      </c>
      <c r="E1412" s="1">
        <v>0</v>
      </c>
      <c r="F1412">
        <v>3271083.57</v>
      </c>
      <c r="G1412" s="8" t="s">
        <v>1379</v>
      </c>
      <c r="K1412" s="2"/>
      <c r="L1412" s="232">
        <v>42737</v>
      </c>
      <c r="N1412">
        <f t="shared" si="18"/>
        <v>25000</v>
      </c>
    </row>
    <row r="1413" spans="1:14" hidden="1">
      <c r="A1413" s="232">
        <v>42740</v>
      </c>
      <c r="B1413" t="s">
        <v>1914</v>
      </c>
      <c r="C1413" t="s">
        <v>2435</v>
      </c>
      <c r="D1413" s="1">
        <v>25000</v>
      </c>
      <c r="E1413" s="1">
        <v>0</v>
      </c>
      <c r="F1413">
        <v>3246083.57</v>
      </c>
      <c r="G1413" s="8" t="s">
        <v>1379</v>
      </c>
      <c r="K1413" s="2"/>
      <c r="L1413" s="232">
        <v>42740</v>
      </c>
      <c r="N1413">
        <f t="shared" si="18"/>
        <v>25000</v>
      </c>
    </row>
    <row r="1414" spans="1:14" hidden="1">
      <c r="A1414" s="232">
        <v>42742</v>
      </c>
      <c r="B1414" t="s">
        <v>1914</v>
      </c>
      <c r="C1414" t="s">
        <v>2436</v>
      </c>
      <c r="D1414" s="1">
        <v>1000</v>
      </c>
      <c r="E1414" s="1">
        <v>0</v>
      </c>
      <c r="F1414">
        <v>3245083.57</v>
      </c>
      <c r="K1414" s="2"/>
      <c r="L1414" s="232">
        <v>42742</v>
      </c>
      <c r="N1414">
        <f t="shared" si="18"/>
        <v>1000</v>
      </c>
    </row>
    <row r="1415" spans="1:14" hidden="1">
      <c r="A1415" s="232">
        <v>42745</v>
      </c>
      <c r="B1415" t="s">
        <v>1938</v>
      </c>
      <c r="C1415" t="s">
        <v>2437</v>
      </c>
      <c r="D1415" s="1">
        <v>2000</v>
      </c>
      <c r="E1415" s="1">
        <v>0</v>
      </c>
      <c r="F1415">
        <v>3243083.57</v>
      </c>
      <c r="G1415" s="8" t="s">
        <v>1372</v>
      </c>
      <c r="K1415" s="2"/>
      <c r="L1415" s="232">
        <v>42745</v>
      </c>
      <c r="N1415">
        <f t="shared" si="18"/>
        <v>2000</v>
      </c>
    </row>
    <row r="1416" spans="1:14" hidden="1">
      <c r="A1416" s="232">
        <v>42751</v>
      </c>
      <c r="B1416" t="s">
        <v>2063</v>
      </c>
      <c r="C1416" t="s">
        <v>2438</v>
      </c>
      <c r="D1416" s="1">
        <v>2000</v>
      </c>
      <c r="E1416" s="1">
        <v>0</v>
      </c>
      <c r="F1416">
        <v>3241083.57</v>
      </c>
      <c r="G1416" s="8" t="s">
        <v>1361</v>
      </c>
      <c r="K1416" s="2"/>
      <c r="L1416" s="232">
        <v>42751</v>
      </c>
      <c r="N1416">
        <f t="shared" si="18"/>
        <v>2000</v>
      </c>
    </row>
    <row r="1417" spans="1:14" hidden="1">
      <c r="A1417" s="232">
        <v>42751</v>
      </c>
      <c r="C1417" t="s">
        <v>2337</v>
      </c>
      <c r="D1417" s="1">
        <v>25000</v>
      </c>
      <c r="E1417" s="1">
        <v>0</v>
      </c>
      <c r="F1417">
        <v>3216083.57</v>
      </c>
      <c r="G1417" s="8" t="s">
        <v>1379</v>
      </c>
      <c r="K1417" s="2"/>
      <c r="L1417" s="232">
        <v>42751</v>
      </c>
      <c r="N1417">
        <f t="shared" si="18"/>
        <v>25000</v>
      </c>
    </row>
    <row r="1418" spans="1:14" hidden="1">
      <c r="A1418" s="232">
        <v>42755</v>
      </c>
      <c r="C1418" t="s">
        <v>2339</v>
      </c>
      <c r="D1418" s="1">
        <v>25000</v>
      </c>
      <c r="E1418" s="1">
        <v>0</v>
      </c>
      <c r="F1418">
        <v>3191083.57</v>
      </c>
      <c r="G1418" s="8" t="s">
        <v>1379</v>
      </c>
      <c r="K1418" s="2"/>
      <c r="L1418" s="232">
        <v>42755</v>
      </c>
      <c r="N1418">
        <f t="shared" si="18"/>
        <v>25000</v>
      </c>
    </row>
    <row r="1419" spans="1:14" hidden="1">
      <c r="A1419" s="232">
        <v>42758</v>
      </c>
      <c r="B1419" t="s">
        <v>2063</v>
      </c>
      <c r="C1419" t="s">
        <v>2439</v>
      </c>
      <c r="D1419" s="1">
        <v>1500</v>
      </c>
      <c r="E1419" s="1">
        <v>0</v>
      </c>
      <c r="F1419">
        <v>3189583.57</v>
      </c>
      <c r="G1419" s="8" t="s">
        <v>1361</v>
      </c>
      <c r="K1419" s="2"/>
      <c r="L1419" s="232">
        <v>42758</v>
      </c>
      <c r="N1419">
        <f t="shared" ref="N1419:N1482" si="19">D1419*1</f>
        <v>1500</v>
      </c>
    </row>
    <row r="1420" spans="1:14" hidden="1">
      <c r="A1420" s="232">
        <v>42760</v>
      </c>
      <c r="C1420" t="s">
        <v>2440</v>
      </c>
      <c r="D1420" s="1">
        <v>0</v>
      </c>
      <c r="E1420" s="1">
        <v>244976</v>
      </c>
      <c r="F1420">
        <v>3434559.57</v>
      </c>
      <c r="G1420" s="8" t="s">
        <v>1380</v>
      </c>
      <c r="K1420" s="2"/>
      <c r="L1420" s="232">
        <v>42760</v>
      </c>
      <c r="N1420">
        <f t="shared" si="19"/>
        <v>0</v>
      </c>
    </row>
    <row r="1421" spans="1:14" hidden="1">
      <c r="A1421" s="232">
        <v>42760</v>
      </c>
      <c r="C1421" t="s">
        <v>2341</v>
      </c>
      <c r="D1421" s="1">
        <v>25000</v>
      </c>
      <c r="E1421" s="1">
        <v>0</v>
      </c>
      <c r="F1421">
        <v>3409559.57</v>
      </c>
      <c r="G1421" s="8" t="s">
        <v>1379</v>
      </c>
      <c r="K1421" s="2"/>
      <c r="L1421" s="232">
        <v>42760</v>
      </c>
      <c r="N1421">
        <f t="shared" si="19"/>
        <v>25000</v>
      </c>
    </row>
    <row r="1422" spans="1:14" hidden="1">
      <c r="A1422" s="232">
        <v>42762</v>
      </c>
      <c r="C1422" t="s">
        <v>2343</v>
      </c>
      <c r="D1422" s="1">
        <v>25000</v>
      </c>
      <c r="E1422" s="1">
        <v>0</v>
      </c>
      <c r="F1422">
        <v>3384559.57</v>
      </c>
      <c r="G1422" s="8" t="s">
        <v>1379</v>
      </c>
      <c r="K1422" s="2"/>
      <c r="L1422" s="232">
        <v>42762</v>
      </c>
      <c r="N1422">
        <f t="shared" si="19"/>
        <v>25000</v>
      </c>
    </row>
    <row r="1423" spans="1:14" hidden="1">
      <c r="A1423" s="232">
        <v>42765</v>
      </c>
      <c r="B1423" t="s">
        <v>1938</v>
      </c>
      <c r="C1423" t="s">
        <v>2441</v>
      </c>
      <c r="D1423" s="1">
        <v>2000</v>
      </c>
      <c r="E1423" s="1">
        <v>0</v>
      </c>
      <c r="F1423">
        <v>3382559.57</v>
      </c>
      <c r="G1423" s="8" t="s">
        <v>1372</v>
      </c>
      <c r="K1423" s="2"/>
      <c r="L1423" s="232">
        <v>42765</v>
      </c>
      <c r="N1423">
        <f t="shared" si="19"/>
        <v>2000</v>
      </c>
    </row>
    <row r="1424" spans="1:14" hidden="1">
      <c r="A1424" s="232">
        <v>42767</v>
      </c>
      <c r="C1424" t="s">
        <v>2375</v>
      </c>
      <c r="D1424" s="1">
        <v>25000</v>
      </c>
      <c r="E1424" s="1">
        <v>0</v>
      </c>
      <c r="F1424">
        <v>3357559.57</v>
      </c>
      <c r="G1424" s="8" t="s">
        <v>1379</v>
      </c>
      <c r="K1424" s="2"/>
      <c r="L1424" s="232">
        <v>42767</v>
      </c>
      <c r="N1424">
        <f t="shared" si="19"/>
        <v>25000</v>
      </c>
    </row>
    <row r="1425" spans="1:14" hidden="1">
      <c r="A1425" s="232">
        <v>42768</v>
      </c>
      <c r="B1425" t="s">
        <v>1914</v>
      </c>
      <c r="C1425" t="s">
        <v>2442</v>
      </c>
      <c r="D1425" s="1">
        <v>7110</v>
      </c>
      <c r="E1425" s="1">
        <v>0</v>
      </c>
      <c r="F1425">
        <v>3350449.57</v>
      </c>
      <c r="K1425" s="2"/>
      <c r="L1425" s="232">
        <v>42768</v>
      </c>
      <c r="N1425">
        <f t="shared" si="19"/>
        <v>7110</v>
      </c>
    </row>
    <row r="1426" spans="1:14" hidden="1">
      <c r="A1426" s="232">
        <v>42768</v>
      </c>
      <c r="B1426" t="s">
        <v>1914</v>
      </c>
      <c r="C1426" t="s">
        <v>2443</v>
      </c>
      <c r="D1426" s="1">
        <v>300000</v>
      </c>
      <c r="E1426" s="1">
        <v>0</v>
      </c>
      <c r="F1426">
        <v>3050449.57</v>
      </c>
      <c r="G1426" s="8" t="s">
        <v>1363</v>
      </c>
      <c r="K1426" s="2"/>
      <c r="L1426" s="232">
        <v>42768</v>
      </c>
      <c r="N1426">
        <f t="shared" si="19"/>
        <v>300000</v>
      </c>
    </row>
    <row r="1427" spans="1:14" hidden="1">
      <c r="A1427" s="232">
        <v>42772</v>
      </c>
      <c r="B1427" t="s">
        <v>1914</v>
      </c>
      <c r="C1427" t="s">
        <v>2444</v>
      </c>
      <c r="D1427" s="1">
        <v>25000</v>
      </c>
      <c r="E1427" s="1">
        <v>0</v>
      </c>
      <c r="F1427">
        <v>3025449.57</v>
      </c>
      <c r="G1427" s="8" t="s">
        <v>1379</v>
      </c>
      <c r="K1427" s="2"/>
      <c r="L1427" s="232">
        <v>42772</v>
      </c>
      <c r="N1427">
        <f t="shared" si="19"/>
        <v>25000</v>
      </c>
    </row>
    <row r="1428" spans="1:14" hidden="1">
      <c r="A1428" s="232">
        <v>42772</v>
      </c>
      <c r="B1428" t="s">
        <v>1963</v>
      </c>
      <c r="C1428" t="s">
        <v>2445</v>
      </c>
      <c r="D1428" s="1">
        <v>1500</v>
      </c>
      <c r="E1428" s="1">
        <v>0</v>
      </c>
      <c r="F1428">
        <v>3023949.57</v>
      </c>
      <c r="G1428" s="8" t="s">
        <v>1361</v>
      </c>
      <c r="K1428" s="2"/>
      <c r="L1428" s="232">
        <v>42772</v>
      </c>
      <c r="N1428">
        <f t="shared" si="19"/>
        <v>1500</v>
      </c>
    </row>
    <row r="1429" spans="1:14" hidden="1">
      <c r="A1429" s="232">
        <v>42772</v>
      </c>
      <c r="B1429" t="s">
        <v>1914</v>
      </c>
      <c r="C1429" t="s">
        <v>2446</v>
      </c>
      <c r="D1429" s="1">
        <v>200000</v>
      </c>
      <c r="E1429" s="1">
        <v>0</v>
      </c>
      <c r="F1429">
        <v>2823949.57</v>
      </c>
      <c r="G1429" s="8" t="s">
        <v>1372</v>
      </c>
      <c r="K1429" s="2"/>
      <c r="L1429" s="232">
        <v>42772</v>
      </c>
      <c r="N1429">
        <f t="shared" si="19"/>
        <v>200000</v>
      </c>
    </row>
    <row r="1430" spans="1:14" hidden="1">
      <c r="A1430" s="232">
        <v>42776</v>
      </c>
      <c r="B1430" t="s">
        <v>1938</v>
      </c>
      <c r="C1430" t="s">
        <v>2447</v>
      </c>
      <c r="D1430" s="1">
        <v>2000</v>
      </c>
      <c r="E1430" s="1">
        <v>0</v>
      </c>
      <c r="F1430">
        <v>2821949.57</v>
      </c>
      <c r="G1430" s="8" t="s">
        <v>1372</v>
      </c>
      <c r="K1430" s="2"/>
      <c r="L1430" s="232">
        <v>42776</v>
      </c>
      <c r="N1430">
        <f t="shared" si="19"/>
        <v>2000</v>
      </c>
    </row>
    <row r="1431" spans="1:14" hidden="1">
      <c r="A1431" s="232">
        <v>42776</v>
      </c>
      <c r="B1431" t="s">
        <v>1914</v>
      </c>
      <c r="C1431" t="s">
        <v>2448</v>
      </c>
      <c r="D1431" s="1">
        <v>300000</v>
      </c>
      <c r="E1431" s="1">
        <v>0</v>
      </c>
      <c r="F1431">
        <v>2521949.5699999998</v>
      </c>
      <c r="G1431" s="8" t="s">
        <v>1372</v>
      </c>
      <c r="K1431" s="2"/>
      <c r="L1431" s="232">
        <v>42776</v>
      </c>
      <c r="N1431">
        <f t="shared" si="19"/>
        <v>300000</v>
      </c>
    </row>
    <row r="1432" spans="1:14" hidden="1">
      <c r="A1432" s="232">
        <v>42781</v>
      </c>
      <c r="B1432" t="s">
        <v>1914</v>
      </c>
      <c r="C1432" t="s">
        <v>2449</v>
      </c>
      <c r="D1432" s="1">
        <v>5000</v>
      </c>
      <c r="E1432" s="1">
        <v>0</v>
      </c>
      <c r="F1432">
        <v>2516949.5699999998</v>
      </c>
      <c r="K1432" s="2"/>
      <c r="L1432" s="232">
        <v>42781</v>
      </c>
      <c r="N1432">
        <f t="shared" si="19"/>
        <v>5000</v>
      </c>
    </row>
    <row r="1433" spans="1:14" hidden="1">
      <c r="A1433" s="232">
        <v>42781</v>
      </c>
      <c r="C1433" t="s">
        <v>2337</v>
      </c>
      <c r="D1433" s="1">
        <v>25000</v>
      </c>
      <c r="E1433" s="1">
        <v>0</v>
      </c>
      <c r="F1433">
        <v>2491949.5699999998</v>
      </c>
      <c r="G1433" s="8" t="s">
        <v>1379</v>
      </c>
      <c r="K1433" s="2"/>
      <c r="L1433" s="232">
        <v>42781</v>
      </c>
      <c r="N1433">
        <f t="shared" si="19"/>
        <v>25000</v>
      </c>
    </row>
    <row r="1434" spans="1:14" hidden="1">
      <c r="A1434" s="232">
        <v>42786</v>
      </c>
      <c r="C1434" t="s">
        <v>2339</v>
      </c>
      <c r="D1434" s="1">
        <v>25000</v>
      </c>
      <c r="E1434" s="1">
        <v>0</v>
      </c>
      <c r="F1434">
        <v>2466949.5699999998</v>
      </c>
      <c r="G1434" s="8" t="s">
        <v>1379</v>
      </c>
      <c r="K1434" s="2"/>
      <c r="L1434" s="232">
        <v>42786</v>
      </c>
      <c r="N1434">
        <f t="shared" si="19"/>
        <v>25000</v>
      </c>
    </row>
    <row r="1435" spans="1:14" hidden="1">
      <c r="A1435" s="232">
        <v>42793</v>
      </c>
      <c r="C1435" t="s">
        <v>2450</v>
      </c>
      <c r="D1435" s="1">
        <v>0</v>
      </c>
      <c r="E1435" s="1">
        <v>218035</v>
      </c>
      <c r="F1435">
        <v>2684984.57</v>
      </c>
      <c r="G1435" s="8" t="s">
        <v>1380</v>
      </c>
      <c r="K1435" s="2"/>
      <c r="L1435" s="232">
        <v>42793</v>
      </c>
      <c r="N1435">
        <f t="shared" si="19"/>
        <v>0</v>
      </c>
    </row>
    <row r="1436" spans="1:14" hidden="1">
      <c r="A1436" s="232">
        <v>42793</v>
      </c>
      <c r="C1436" t="s">
        <v>2341</v>
      </c>
      <c r="D1436" s="1">
        <v>25000</v>
      </c>
      <c r="E1436" s="1">
        <v>0</v>
      </c>
      <c r="F1436">
        <v>2659984.5699999998</v>
      </c>
      <c r="G1436" s="8" t="s">
        <v>1379</v>
      </c>
      <c r="K1436" s="2"/>
      <c r="L1436" s="232">
        <v>42793</v>
      </c>
      <c r="N1436">
        <f t="shared" si="19"/>
        <v>25000</v>
      </c>
    </row>
    <row r="1437" spans="1:14" hidden="1">
      <c r="A1437" s="232">
        <v>42793</v>
      </c>
      <c r="C1437" t="s">
        <v>2343</v>
      </c>
      <c r="D1437" s="1">
        <v>25000</v>
      </c>
      <c r="E1437" s="1">
        <v>0</v>
      </c>
      <c r="F1437">
        <v>2634984.5699999998</v>
      </c>
      <c r="G1437" s="8" t="s">
        <v>1379</v>
      </c>
      <c r="K1437" s="2"/>
      <c r="L1437" s="232">
        <v>42793</v>
      </c>
      <c r="N1437">
        <f t="shared" si="19"/>
        <v>25000</v>
      </c>
    </row>
    <row r="1438" spans="1:14" hidden="1">
      <c r="A1438" s="232">
        <v>42794</v>
      </c>
      <c r="B1438" t="s">
        <v>1938</v>
      </c>
      <c r="C1438" t="s">
        <v>2451</v>
      </c>
      <c r="D1438" s="1">
        <v>2000</v>
      </c>
      <c r="E1438" s="1">
        <v>0</v>
      </c>
      <c r="F1438">
        <v>2632984.5699999998</v>
      </c>
      <c r="G1438" s="8" t="s">
        <v>1372</v>
      </c>
      <c r="K1438" s="2"/>
      <c r="L1438" s="232">
        <v>42794</v>
      </c>
      <c r="N1438">
        <f t="shared" si="19"/>
        <v>2000</v>
      </c>
    </row>
    <row r="1439" spans="1:14" hidden="1">
      <c r="A1439" s="232">
        <v>42795</v>
      </c>
      <c r="C1439" t="s">
        <v>2375</v>
      </c>
      <c r="D1439" s="1">
        <v>25000</v>
      </c>
      <c r="E1439" s="1">
        <v>0</v>
      </c>
      <c r="F1439">
        <v>2607984.5699999998</v>
      </c>
      <c r="G1439" s="8" t="s">
        <v>1379</v>
      </c>
      <c r="K1439" s="2"/>
      <c r="L1439" s="232">
        <v>42795</v>
      </c>
      <c r="N1439">
        <f t="shared" si="19"/>
        <v>25000</v>
      </c>
    </row>
    <row r="1440" spans="1:14" hidden="1">
      <c r="A1440" s="232">
        <v>42797</v>
      </c>
      <c r="B1440" t="s">
        <v>2063</v>
      </c>
      <c r="C1440" t="s">
        <v>2452</v>
      </c>
      <c r="D1440" s="1">
        <v>1000</v>
      </c>
      <c r="E1440" s="1">
        <v>0</v>
      </c>
      <c r="F1440">
        <v>2606984.5699999998</v>
      </c>
      <c r="G1440" s="8" t="s">
        <v>1361</v>
      </c>
      <c r="K1440" s="2"/>
      <c r="L1440" s="232">
        <v>42797</v>
      </c>
      <c r="N1440">
        <f t="shared" si="19"/>
        <v>1000</v>
      </c>
    </row>
    <row r="1441" spans="1:14" hidden="1">
      <c r="A1441" s="232">
        <v>42797</v>
      </c>
      <c r="B1441" t="s">
        <v>2063</v>
      </c>
      <c r="C1441" t="s">
        <v>2452</v>
      </c>
      <c r="D1441" s="1">
        <v>1900</v>
      </c>
      <c r="E1441" s="1">
        <v>0</v>
      </c>
      <c r="F1441">
        <v>2605084.5699999998</v>
      </c>
      <c r="G1441" s="8" t="s">
        <v>1361</v>
      </c>
      <c r="K1441" s="2"/>
      <c r="L1441" s="232">
        <v>42797</v>
      </c>
      <c r="N1441">
        <f t="shared" si="19"/>
        <v>1900</v>
      </c>
    </row>
    <row r="1442" spans="1:14" hidden="1">
      <c r="A1442" s="232">
        <v>42797</v>
      </c>
      <c r="B1442" t="s">
        <v>1914</v>
      </c>
      <c r="C1442" t="s">
        <v>2453</v>
      </c>
      <c r="D1442" s="1">
        <v>6954</v>
      </c>
      <c r="E1442" s="1">
        <v>0</v>
      </c>
      <c r="F1442">
        <v>2598130.5699999998</v>
      </c>
      <c r="K1442" s="2"/>
      <c r="L1442" s="232">
        <v>42797</v>
      </c>
      <c r="N1442">
        <f t="shared" si="19"/>
        <v>6954</v>
      </c>
    </row>
    <row r="1443" spans="1:14" hidden="1">
      <c r="A1443" s="232">
        <v>42800</v>
      </c>
      <c r="B1443" t="s">
        <v>1914</v>
      </c>
      <c r="C1443" t="s">
        <v>2454</v>
      </c>
      <c r="D1443" s="1">
        <v>25000</v>
      </c>
      <c r="E1443" s="1">
        <v>0</v>
      </c>
      <c r="F1443">
        <v>2573130.5699999998</v>
      </c>
      <c r="G1443" s="8" t="s">
        <v>1379</v>
      </c>
      <c r="K1443" s="2"/>
      <c r="L1443" s="232">
        <v>42800</v>
      </c>
      <c r="N1443">
        <f t="shared" si="19"/>
        <v>25000</v>
      </c>
    </row>
    <row r="1444" spans="1:14" hidden="1">
      <c r="A1444" s="232">
        <v>42800</v>
      </c>
      <c r="B1444" t="s">
        <v>1963</v>
      </c>
      <c r="C1444" t="s">
        <v>2455</v>
      </c>
      <c r="D1444" s="1">
        <v>400</v>
      </c>
      <c r="E1444" s="1">
        <v>0</v>
      </c>
      <c r="F1444">
        <v>2572730.5699999998</v>
      </c>
      <c r="G1444" s="8" t="s">
        <v>1361</v>
      </c>
      <c r="K1444" s="2"/>
      <c r="L1444" s="232">
        <v>42800</v>
      </c>
      <c r="N1444">
        <f t="shared" si="19"/>
        <v>400</v>
      </c>
    </row>
    <row r="1445" spans="1:14" hidden="1">
      <c r="A1445" s="232">
        <v>42802</v>
      </c>
      <c r="B1445" t="s">
        <v>2456</v>
      </c>
      <c r="C1445" t="s">
        <v>2457</v>
      </c>
      <c r="D1445" s="1">
        <v>100000</v>
      </c>
      <c r="E1445" s="1">
        <v>0</v>
      </c>
      <c r="F1445">
        <v>2472730.5699999998</v>
      </c>
      <c r="G1445" s="8" t="s">
        <v>1363</v>
      </c>
      <c r="K1445" s="2"/>
      <c r="L1445" s="232">
        <v>42802</v>
      </c>
      <c r="N1445">
        <f t="shared" si="19"/>
        <v>100000</v>
      </c>
    </row>
    <row r="1446" spans="1:14" hidden="1">
      <c r="A1446" s="232">
        <v>42803</v>
      </c>
      <c r="B1446" t="s">
        <v>2213</v>
      </c>
      <c r="C1446" t="s">
        <v>2458</v>
      </c>
      <c r="D1446" s="1">
        <v>0</v>
      </c>
      <c r="E1446" s="1">
        <v>9777.83</v>
      </c>
      <c r="F1446">
        <v>2482508.4</v>
      </c>
      <c r="G1446" s="8" t="s">
        <v>1380</v>
      </c>
      <c r="K1446" s="2"/>
      <c r="L1446" s="232">
        <v>42803</v>
      </c>
      <c r="N1446">
        <f t="shared" si="19"/>
        <v>0</v>
      </c>
    </row>
    <row r="1447" spans="1:14" hidden="1">
      <c r="A1447" s="232">
        <v>42804</v>
      </c>
      <c r="B1447" t="s">
        <v>1938</v>
      </c>
      <c r="C1447" t="s">
        <v>2459</v>
      </c>
      <c r="D1447" s="1">
        <v>2000</v>
      </c>
      <c r="E1447" s="1">
        <v>0</v>
      </c>
      <c r="F1447">
        <v>2480508.4</v>
      </c>
      <c r="G1447" s="8" t="s">
        <v>1372</v>
      </c>
      <c r="K1447" s="2"/>
      <c r="L1447" s="232">
        <v>42804</v>
      </c>
      <c r="N1447">
        <f t="shared" si="19"/>
        <v>2000</v>
      </c>
    </row>
    <row r="1448" spans="1:14" hidden="1">
      <c r="A1448" s="232">
        <v>42808</v>
      </c>
      <c r="B1448" t="s">
        <v>2063</v>
      </c>
      <c r="C1448" t="s">
        <v>2460</v>
      </c>
      <c r="D1448" s="1">
        <v>1900</v>
      </c>
      <c r="E1448" s="1">
        <v>0</v>
      </c>
      <c r="F1448">
        <v>2478608.4</v>
      </c>
      <c r="G1448" s="8" t="s">
        <v>1361</v>
      </c>
      <c r="K1448" s="2"/>
      <c r="L1448" s="232">
        <v>42808</v>
      </c>
      <c r="N1448">
        <f t="shared" si="19"/>
        <v>1900</v>
      </c>
    </row>
    <row r="1449" spans="1:14" hidden="1">
      <c r="A1449" s="232">
        <v>42809</v>
      </c>
      <c r="C1449" t="s">
        <v>2461</v>
      </c>
      <c r="D1449" s="1">
        <v>0</v>
      </c>
      <c r="E1449" s="1">
        <v>5000</v>
      </c>
      <c r="F1449">
        <v>2483608.4</v>
      </c>
      <c r="G1449" s="8" t="s">
        <v>1380</v>
      </c>
      <c r="K1449" s="2"/>
      <c r="L1449" s="232">
        <v>42809</v>
      </c>
      <c r="N1449">
        <f t="shared" si="19"/>
        <v>0</v>
      </c>
    </row>
    <row r="1450" spans="1:14" hidden="1">
      <c r="A1450" s="232">
        <v>42809</v>
      </c>
      <c r="C1450" t="s">
        <v>2337</v>
      </c>
      <c r="D1450" s="1">
        <v>25000</v>
      </c>
      <c r="E1450" s="1">
        <v>0</v>
      </c>
      <c r="F1450">
        <v>2458608.4</v>
      </c>
      <c r="G1450" s="8" t="s">
        <v>1379</v>
      </c>
      <c r="K1450" s="2"/>
      <c r="L1450" s="232">
        <v>42809</v>
      </c>
      <c r="N1450">
        <f t="shared" si="19"/>
        <v>25000</v>
      </c>
    </row>
    <row r="1451" spans="1:14" hidden="1">
      <c r="A1451" s="232">
        <v>42810</v>
      </c>
      <c r="B1451" t="s">
        <v>2063</v>
      </c>
      <c r="C1451" t="s">
        <v>2462</v>
      </c>
      <c r="D1451" s="1">
        <v>1200</v>
      </c>
      <c r="E1451" s="1">
        <v>0</v>
      </c>
      <c r="F1451">
        <v>2457408.4</v>
      </c>
      <c r="G1451" s="8" t="s">
        <v>1361</v>
      </c>
      <c r="K1451" s="2"/>
      <c r="L1451" s="232">
        <v>42810</v>
      </c>
      <c r="N1451">
        <f t="shared" si="19"/>
        <v>1200</v>
      </c>
    </row>
    <row r="1452" spans="1:14" hidden="1">
      <c r="A1452" s="232">
        <v>42812</v>
      </c>
      <c r="B1452" t="s">
        <v>2394</v>
      </c>
      <c r="C1452" t="s">
        <v>2463</v>
      </c>
      <c r="D1452" s="1">
        <v>232</v>
      </c>
      <c r="E1452" s="1">
        <v>0</v>
      </c>
      <c r="F1452">
        <v>2457176.4</v>
      </c>
      <c r="K1452" s="2"/>
      <c r="L1452" s="232">
        <v>42812</v>
      </c>
      <c r="N1452">
        <f t="shared" si="19"/>
        <v>232</v>
      </c>
    </row>
    <row r="1453" spans="1:14" hidden="1">
      <c r="A1453" s="232">
        <v>42814</v>
      </c>
      <c r="C1453" t="s">
        <v>2339</v>
      </c>
      <c r="D1453" s="1">
        <v>25000</v>
      </c>
      <c r="E1453" s="1">
        <v>0</v>
      </c>
      <c r="F1453">
        <v>2432176.4</v>
      </c>
      <c r="G1453" s="8" t="s">
        <v>1379</v>
      </c>
      <c r="K1453" s="2"/>
      <c r="L1453" s="232">
        <v>42814</v>
      </c>
      <c r="N1453">
        <f t="shared" si="19"/>
        <v>25000</v>
      </c>
    </row>
    <row r="1454" spans="1:14" hidden="1">
      <c r="A1454" s="232">
        <v>42818</v>
      </c>
      <c r="B1454" t="s">
        <v>2063</v>
      </c>
      <c r="C1454" t="s">
        <v>2464</v>
      </c>
      <c r="D1454" s="1">
        <v>3000</v>
      </c>
      <c r="E1454" s="1">
        <v>0</v>
      </c>
      <c r="F1454">
        <v>2429176.4</v>
      </c>
      <c r="G1454" s="8" t="s">
        <v>1361</v>
      </c>
      <c r="K1454" s="2"/>
      <c r="L1454" s="232">
        <v>42818</v>
      </c>
      <c r="N1454">
        <f t="shared" si="19"/>
        <v>3000</v>
      </c>
    </row>
    <row r="1455" spans="1:14" hidden="1">
      <c r="A1455" s="232">
        <v>42819</v>
      </c>
      <c r="C1455" t="s">
        <v>2341</v>
      </c>
      <c r="D1455" s="1">
        <v>25000</v>
      </c>
      <c r="E1455" s="1">
        <v>0</v>
      </c>
      <c r="F1455">
        <v>2404176.4</v>
      </c>
      <c r="G1455" s="8" t="s">
        <v>1379</v>
      </c>
      <c r="K1455" s="2"/>
      <c r="L1455" s="232">
        <v>42819</v>
      </c>
      <c r="N1455">
        <f t="shared" si="19"/>
        <v>25000</v>
      </c>
    </row>
    <row r="1456" spans="1:14" hidden="1">
      <c r="A1456" s="232">
        <v>42821</v>
      </c>
      <c r="B1456" t="s">
        <v>1914</v>
      </c>
      <c r="C1456" t="s">
        <v>2465</v>
      </c>
      <c r="D1456" s="1">
        <v>3777</v>
      </c>
      <c r="E1456" s="1">
        <v>0</v>
      </c>
      <c r="F1456">
        <v>2400399.4</v>
      </c>
      <c r="G1456" s="8" t="s">
        <v>1362</v>
      </c>
      <c r="K1456" s="2"/>
      <c r="L1456" s="232">
        <v>42821</v>
      </c>
      <c r="N1456">
        <f t="shared" si="19"/>
        <v>3777</v>
      </c>
    </row>
    <row r="1457" spans="1:14" hidden="1">
      <c r="A1457" s="232">
        <v>42821</v>
      </c>
      <c r="C1457" t="s">
        <v>2343</v>
      </c>
      <c r="D1457" s="1">
        <v>25000</v>
      </c>
      <c r="E1457" s="1">
        <v>0</v>
      </c>
      <c r="F1457">
        <v>2375399.4</v>
      </c>
      <c r="G1457" s="8" t="s">
        <v>1379</v>
      </c>
      <c r="K1457" s="2"/>
      <c r="L1457" s="232">
        <v>42821</v>
      </c>
      <c r="N1457">
        <f t="shared" si="19"/>
        <v>25000</v>
      </c>
    </row>
    <row r="1458" spans="1:14" hidden="1">
      <c r="A1458" s="232">
        <v>42822</v>
      </c>
      <c r="C1458" t="s">
        <v>2466</v>
      </c>
      <c r="D1458" s="1">
        <v>0</v>
      </c>
      <c r="E1458" s="1">
        <v>924293</v>
      </c>
      <c r="F1458">
        <v>3299692.4</v>
      </c>
      <c r="G1458" s="8" t="s">
        <v>1380</v>
      </c>
      <c r="K1458" s="2"/>
      <c r="L1458" s="232">
        <v>42822</v>
      </c>
      <c r="N1458">
        <f t="shared" si="19"/>
        <v>0</v>
      </c>
    </row>
    <row r="1459" spans="1:14" hidden="1">
      <c r="A1459" s="232">
        <v>42822</v>
      </c>
      <c r="B1459" t="s">
        <v>1938</v>
      </c>
      <c r="C1459" t="s">
        <v>2467</v>
      </c>
      <c r="D1459" s="1">
        <v>2000</v>
      </c>
      <c r="E1459" s="1">
        <v>0</v>
      </c>
      <c r="F1459">
        <v>3297692.4</v>
      </c>
      <c r="G1459" s="8" t="s">
        <v>1372</v>
      </c>
      <c r="K1459" s="2"/>
      <c r="L1459" s="232">
        <v>42822</v>
      </c>
      <c r="N1459">
        <f t="shared" si="19"/>
        <v>2000</v>
      </c>
    </row>
    <row r="1460" spans="1:14" hidden="1">
      <c r="A1460" s="232">
        <v>42823</v>
      </c>
      <c r="C1460" t="s">
        <v>2468</v>
      </c>
      <c r="D1460" s="1">
        <v>0</v>
      </c>
      <c r="E1460" s="1">
        <v>1647</v>
      </c>
      <c r="F1460">
        <v>3299339.4</v>
      </c>
      <c r="G1460" s="8" t="s">
        <v>1380</v>
      </c>
      <c r="K1460" s="2"/>
      <c r="L1460" s="232">
        <v>42823</v>
      </c>
      <c r="N1460">
        <f t="shared" si="19"/>
        <v>0</v>
      </c>
    </row>
    <row r="1461" spans="1:14" hidden="1">
      <c r="A1461" s="232">
        <v>42824</v>
      </c>
      <c r="B1461" t="s">
        <v>1914</v>
      </c>
      <c r="C1461" t="s">
        <v>2469</v>
      </c>
      <c r="D1461" s="1">
        <v>1000</v>
      </c>
      <c r="E1461" s="1">
        <v>0</v>
      </c>
      <c r="F1461">
        <v>3298339.4</v>
      </c>
      <c r="K1461" s="2"/>
      <c r="L1461" s="232">
        <v>42824</v>
      </c>
      <c r="N1461">
        <f t="shared" si="19"/>
        <v>1000</v>
      </c>
    </row>
    <row r="1462" spans="1:14" hidden="1">
      <c r="A1462" s="232">
        <v>42825</v>
      </c>
      <c r="C1462" t="s">
        <v>2470</v>
      </c>
      <c r="D1462" s="1">
        <v>0</v>
      </c>
      <c r="E1462" s="1">
        <v>28439</v>
      </c>
      <c r="F1462">
        <v>3326778.4</v>
      </c>
      <c r="G1462" s="8" t="s">
        <v>1368</v>
      </c>
      <c r="K1462" s="2"/>
      <c r="L1462" s="232">
        <v>42825</v>
      </c>
      <c r="N1462">
        <f t="shared" si="19"/>
        <v>0</v>
      </c>
    </row>
    <row r="1463" spans="1:14" hidden="1">
      <c r="A1463" s="232">
        <v>42826</v>
      </c>
      <c r="C1463" t="s">
        <v>1394</v>
      </c>
      <c r="D1463" s="1">
        <v>0</v>
      </c>
      <c r="E1463" s="1">
        <v>0</v>
      </c>
      <c r="F1463">
        <v>3326778.4</v>
      </c>
      <c r="K1463" s="2"/>
      <c r="L1463" s="232">
        <v>42826</v>
      </c>
      <c r="N1463">
        <f t="shared" si="19"/>
        <v>0</v>
      </c>
    </row>
    <row r="1464" spans="1:14" hidden="1">
      <c r="A1464" s="232">
        <v>42828</v>
      </c>
      <c r="B1464" t="s">
        <v>1997</v>
      </c>
      <c r="C1464" t="s">
        <v>2471</v>
      </c>
      <c r="D1464" s="1">
        <v>7662</v>
      </c>
      <c r="E1464" s="1">
        <v>0</v>
      </c>
      <c r="F1464">
        <v>3319116.4</v>
      </c>
      <c r="K1464" s="2"/>
      <c r="L1464" s="232">
        <v>42828</v>
      </c>
      <c r="N1464">
        <f t="shared" si="19"/>
        <v>7662</v>
      </c>
    </row>
    <row r="1465" spans="1:14" hidden="1">
      <c r="A1465" s="232">
        <v>42828</v>
      </c>
      <c r="C1465" t="s">
        <v>2375</v>
      </c>
      <c r="D1465" s="1">
        <v>25000</v>
      </c>
      <c r="E1465" s="1">
        <v>0</v>
      </c>
      <c r="F1465">
        <v>3294116.4</v>
      </c>
      <c r="G1465" s="8" t="s">
        <v>1379</v>
      </c>
      <c r="K1465" s="2"/>
      <c r="L1465" s="232">
        <v>42828</v>
      </c>
      <c r="N1465">
        <f t="shared" si="19"/>
        <v>25000</v>
      </c>
    </row>
    <row r="1466" spans="1:14" hidden="1">
      <c r="A1466" s="232">
        <v>42830</v>
      </c>
      <c r="B1466" t="s">
        <v>1914</v>
      </c>
      <c r="C1466" t="s">
        <v>2472</v>
      </c>
      <c r="D1466" s="1">
        <v>25000</v>
      </c>
      <c r="E1466" s="1">
        <v>0</v>
      </c>
      <c r="F1466">
        <v>3269116.4</v>
      </c>
      <c r="G1466" s="8" t="s">
        <v>1379</v>
      </c>
      <c r="K1466" s="2"/>
      <c r="L1466" s="232">
        <v>42830</v>
      </c>
      <c r="N1466">
        <f t="shared" si="19"/>
        <v>25000</v>
      </c>
    </row>
    <row r="1467" spans="1:14" hidden="1">
      <c r="A1467" s="232">
        <v>42832</v>
      </c>
      <c r="B1467" t="s">
        <v>1914</v>
      </c>
      <c r="C1467" t="s">
        <v>2473</v>
      </c>
      <c r="D1467" s="1">
        <v>300000</v>
      </c>
      <c r="E1467" s="1">
        <v>0</v>
      </c>
      <c r="F1467">
        <v>2969116.4</v>
      </c>
      <c r="G1467" s="8" t="s">
        <v>1372</v>
      </c>
      <c r="K1467" s="2"/>
      <c r="L1467" s="232">
        <v>42832</v>
      </c>
      <c r="N1467">
        <f t="shared" si="19"/>
        <v>300000</v>
      </c>
    </row>
    <row r="1468" spans="1:14" hidden="1">
      <c r="A1468" s="232">
        <v>42835</v>
      </c>
      <c r="B1468" t="s">
        <v>2063</v>
      </c>
      <c r="C1468" t="s">
        <v>2474</v>
      </c>
      <c r="D1468" s="1">
        <v>5000</v>
      </c>
      <c r="E1468" s="1">
        <v>0</v>
      </c>
      <c r="F1468">
        <v>2964116.4</v>
      </c>
      <c r="G1468" s="8" t="s">
        <v>1361</v>
      </c>
      <c r="K1468" s="2"/>
      <c r="L1468" s="232">
        <v>42835</v>
      </c>
      <c r="N1468">
        <f t="shared" si="19"/>
        <v>5000</v>
      </c>
    </row>
    <row r="1469" spans="1:14" hidden="1">
      <c r="A1469" s="232">
        <v>42835</v>
      </c>
      <c r="B1469" t="s">
        <v>1938</v>
      </c>
      <c r="C1469" t="s">
        <v>2475</v>
      </c>
      <c r="D1469" s="1">
        <v>2000</v>
      </c>
      <c r="E1469" s="1">
        <v>0</v>
      </c>
      <c r="F1469">
        <v>2962116.4</v>
      </c>
      <c r="G1469" s="8" t="s">
        <v>1372</v>
      </c>
      <c r="K1469" s="2"/>
      <c r="L1469" s="232">
        <v>42835</v>
      </c>
      <c r="N1469">
        <f t="shared" si="19"/>
        <v>2000</v>
      </c>
    </row>
    <row r="1470" spans="1:14" hidden="1">
      <c r="A1470" s="232">
        <v>42837</v>
      </c>
      <c r="B1470" t="s">
        <v>1914</v>
      </c>
      <c r="C1470" t="s">
        <v>2476</v>
      </c>
      <c r="D1470" s="1">
        <v>431571</v>
      </c>
      <c r="E1470" s="1">
        <v>0</v>
      </c>
      <c r="F1470">
        <v>2530545.4</v>
      </c>
      <c r="K1470" s="2"/>
      <c r="L1470" s="232">
        <v>42837</v>
      </c>
      <c r="N1470">
        <f t="shared" si="19"/>
        <v>431571</v>
      </c>
    </row>
    <row r="1471" spans="1:14" hidden="1">
      <c r="A1471" s="232">
        <v>42838</v>
      </c>
      <c r="B1471" t="s">
        <v>2063</v>
      </c>
      <c r="C1471" t="s">
        <v>2477</v>
      </c>
      <c r="D1471" s="1">
        <v>2000</v>
      </c>
      <c r="E1471" s="1">
        <v>0</v>
      </c>
      <c r="F1471">
        <v>2528545.4</v>
      </c>
      <c r="G1471" s="8" t="s">
        <v>1361</v>
      </c>
      <c r="K1471" s="2"/>
      <c r="L1471" s="232">
        <v>42838</v>
      </c>
      <c r="N1471">
        <f t="shared" si="19"/>
        <v>2000</v>
      </c>
    </row>
    <row r="1472" spans="1:14" hidden="1">
      <c r="A1472" s="232">
        <v>42840</v>
      </c>
      <c r="B1472" t="s">
        <v>1914</v>
      </c>
      <c r="C1472" t="s">
        <v>2478</v>
      </c>
      <c r="D1472" s="1">
        <v>118035</v>
      </c>
      <c r="E1472" s="1">
        <v>0</v>
      </c>
      <c r="F1472">
        <v>2410510.4</v>
      </c>
      <c r="K1472" s="2"/>
      <c r="L1472" s="232">
        <v>42840</v>
      </c>
      <c r="N1472">
        <f t="shared" si="19"/>
        <v>118035</v>
      </c>
    </row>
    <row r="1473" spans="1:14" hidden="1">
      <c r="A1473" s="232">
        <v>42840</v>
      </c>
      <c r="C1473" t="s">
        <v>2337</v>
      </c>
      <c r="D1473" s="1">
        <v>25000</v>
      </c>
      <c r="E1473" s="1">
        <v>0</v>
      </c>
      <c r="F1473">
        <v>2385510.3999999999</v>
      </c>
      <c r="G1473" s="8" t="s">
        <v>1379</v>
      </c>
      <c r="K1473" s="2"/>
      <c r="L1473" s="232">
        <v>42840</v>
      </c>
      <c r="N1473">
        <f t="shared" si="19"/>
        <v>25000</v>
      </c>
    </row>
    <row r="1474" spans="1:14" hidden="1">
      <c r="A1474" s="232">
        <v>42842</v>
      </c>
      <c r="B1474" t="s">
        <v>2063</v>
      </c>
      <c r="C1474" t="s">
        <v>2479</v>
      </c>
      <c r="D1474" s="1">
        <v>400</v>
      </c>
      <c r="E1474" s="1">
        <v>0</v>
      </c>
      <c r="F1474">
        <v>2385110.4</v>
      </c>
      <c r="G1474" s="8" t="s">
        <v>1361</v>
      </c>
      <c r="K1474" s="2"/>
      <c r="L1474" s="232">
        <v>42842</v>
      </c>
      <c r="N1474">
        <f t="shared" si="19"/>
        <v>400</v>
      </c>
    </row>
    <row r="1475" spans="1:14" hidden="1">
      <c r="A1475" s="232">
        <v>42842</v>
      </c>
      <c r="B1475" t="s">
        <v>2063</v>
      </c>
      <c r="C1475" t="s">
        <v>2479</v>
      </c>
      <c r="D1475" s="1">
        <v>400</v>
      </c>
      <c r="E1475" s="1">
        <v>0</v>
      </c>
      <c r="F1475">
        <v>2384710.4</v>
      </c>
      <c r="G1475" s="8" t="s">
        <v>1361</v>
      </c>
      <c r="K1475" s="2"/>
      <c r="L1475" s="232">
        <v>42842</v>
      </c>
      <c r="N1475">
        <f t="shared" si="19"/>
        <v>400</v>
      </c>
    </row>
    <row r="1476" spans="1:14" hidden="1">
      <c r="A1476" s="232">
        <v>42845</v>
      </c>
      <c r="C1476" t="s">
        <v>2339</v>
      </c>
      <c r="D1476" s="1">
        <v>25000</v>
      </c>
      <c r="E1476" s="1">
        <v>0</v>
      </c>
      <c r="F1476">
        <v>2359710.4</v>
      </c>
      <c r="G1476" s="8" t="s">
        <v>1379</v>
      </c>
      <c r="K1476" s="2"/>
      <c r="L1476" s="232">
        <v>42845</v>
      </c>
      <c r="N1476">
        <f t="shared" si="19"/>
        <v>25000</v>
      </c>
    </row>
    <row r="1477" spans="1:14" hidden="1">
      <c r="A1477" s="232">
        <v>42846</v>
      </c>
      <c r="C1477" t="s">
        <v>2480</v>
      </c>
      <c r="D1477" s="1">
        <v>0</v>
      </c>
      <c r="E1477" s="1">
        <v>77384</v>
      </c>
      <c r="F1477">
        <v>2437094.3999999999</v>
      </c>
      <c r="G1477" s="8" t="s">
        <v>1375</v>
      </c>
      <c r="K1477" s="2"/>
      <c r="L1477" s="232">
        <v>42846</v>
      </c>
      <c r="N1477">
        <f t="shared" si="19"/>
        <v>0</v>
      </c>
    </row>
    <row r="1478" spans="1:14" hidden="1">
      <c r="A1478" s="232">
        <v>42849</v>
      </c>
      <c r="B1478" t="s">
        <v>1914</v>
      </c>
      <c r="C1478" t="s">
        <v>2481</v>
      </c>
      <c r="D1478" s="1">
        <v>200000</v>
      </c>
      <c r="E1478" s="1">
        <v>0</v>
      </c>
      <c r="F1478">
        <v>2237094.4</v>
      </c>
      <c r="G1478" s="8" t="s">
        <v>1372</v>
      </c>
      <c r="K1478" s="2"/>
      <c r="L1478" s="232">
        <v>42849</v>
      </c>
      <c r="N1478">
        <f t="shared" si="19"/>
        <v>200000</v>
      </c>
    </row>
    <row r="1479" spans="1:14" hidden="1">
      <c r="A1479" s="232">
        <v>42850</v>
      </c>
      <c r="B1479" t="s">
        <v>2063</v>
      </c>
      <c r="C1479" t="s">
        <v>2482</v>
      </c>
      <c r="D1479" s="1">
        <v>1000</v>
      </c>
      <c r="E1479" s="1">
        <v>0</v>
      </c>
      <c r="F1479">
        <v>2236094.4</v>
      </c>
      <c r="G1479" s="8" t="s">
        <v>1361</v>
      </c>
      <c r="K1479" s="2"/>
      <c r="L1479" s="232">
        <v>42850</v>
      </c>
      <c r="N1479">
        <f t="shared" si="19"/>
        <v>1000</v>
      </c>
    </row>
    <row r="1480" spans="1:14" hidden="1">
      <c r="A1480" s="232">
        <v>42850</v>
      </c>
      <c r="C1480" t="s">
        <v>2341</v>
      </c>
      <c r="D1480" s="1">
        <v>25000</v>
      </c>
      <c r="E1480" s="1">
        <v>0</v>
      </c>
      <c r="F1480">
        <v>2211094.4</v>
      </c>
      <c r="G1480" s="8" t="s">
        <v>1379</v>
      </c>
      <c r="K1480" s="2"/>
      <c r="L1480" s="232">
        <v>42850</v>
      </c>
      <c r="N1480">
        <f t="shared" si="19"/>
        <v>25000</v>
      </c>
    </row>
    <row r="1481" spans="1:14" hidden="1">
      <c r="A1481" s="232">
        <v>42851</v>
      </c>
      <c r="C1481" t="s">
        <v>2483</v>
      </c>
      <c r="D1481" s="1">
        <v>0</v>
      </c>
      <c r="E1481" s="1">
        <v>270164</v>
      </c>
      <c r="F1481">
        <v>2481258.4</v>
      </c>
      <c r="G1481" s="8" t="s">
        <v>1380</v>
      </c>
      <c r="K1481" s="2"/>
      <c r="L1481" s="232">
        <v>42851</v>
      </c>
      <c r="N1481">
        <f t="shared" si="19"/>
        <v>0</v>
      </c>
    </row>
    <row r="1482" spans="1:14" hidden="1">
      <c r="A1482" s="232">
        <v>42852</v>
      </c>
      <c r="C1482" t="s">
        <v>2343</v>
      </c>
      <c r="D1482" s="1">
        <v>25000</v>
      </c>
      <c r="E1482" s="1">
        <v>0</v>
      </c>
      <c r="F1482">
        <v>2456258.4</v>
      </c>
      <c r="G1482" s="8" t="s">
        <v>1379</v>
      </c>
      <c r="K1482" s="2"/>
      <c r="L1482" s="232">
        <v>42852</v>
      </c>
      <c r="N1482">
        <f t="shared" si="19"/>
        <v>25000</v>
      </c>
    </row>
    <row r="1483" spans="1:14" hidden="1">
      <c r="A1483" s="232">
        <v>42853</v>
      </c>
      <c r="B1483" t="s">
        <v>1938</v>
      </c>
      <c r="C1483" t="s">
        <v>2484</v>
      </c>
      <c r="D1483" s="1">
        <v>2000</v>
      </c>
      <c r="E1483" s="1">
        <v>0</v>
      </c>
      <c r="F1483">
        <v>2454258.4</v>
      </c>
      <c r="G1483" s="8" t="s">
        <v>1372</v>
      </c>
      <c r="K1483" s="2"/>
      <c r="L1483" s="232">
        <v>42853</v>
      </c>
      <c r="N1483">
        <f t="shared" ref="N1483:N1546" si="20">D1483*1</f>
        <v>2000</v>
      </c>
    </row>
    <row r="1484" spans="1:14" hidden="1">
      <c r="A1484" s="232">
        <v>42856</v>
      </c>
      <c r="B1484" t="s">
        <v>1963</v>
      </c>
      <c r="C1484" t="s">
        <v>2485</v>
      </c>
      <c r="D1484" s="1">
        <v>400</v>
      </c>
      <c r="E1484" s="1">
        <v>0</v>
      </c>
      <c r="F1484">
        <v>2453858.4</v>
      </c>
      <c r="G1484" s="8" t="s">
        <v>1361</v>
      </c>
      <c r="K1484" s="2"/>
      <c r="L1484" s="232">
        <v>42856</v>
      </c>
      <c r="N1484">
        <f t="shared" si="20"/>
        <v>400</v>
      </c>
    </row>
    <row r="1485" spans="1:14" hidden="1">
      <c r="A1485" s="232">
        <v>42856</v>
      </c>
      <c r="B1485" t="s">
        <v>1963</v>
      </c>
      <c r="C1485" t="s">
        <v>2485</v>
      </c>
      <c r="D1485" s="1">
        <v>400</v>
      </c>
      <c r="E1485" s="1">
        <v>0</v>
      </c>
      <c r="F1485">
        <v>2453458.4</v>
      </c>
      <c r="G1485" s="8" t="s">
        <v>1361</v>
      </c>
      <c r="K1485" s="2"/>
      <c r="L1485" s="232">
        <v>42856</v>
      </c>
      <c r="N1485">
        <f t="shared" si="20"/>
        <v>400</v>
      </c>
    </row>
    <row r="1486" spans="1:14" hidden="1">
      <c r="A1486" s="232">
        <v>42856</v>
      </c>
      <c r="B1486" t="s">
        <v>2394</v>
      </c>
      <c r="C1486" t="s">
        <v>2486</v>
      </c>
      <c r="D1486" s="1">
        <v>25</v>
      </c>
      <c r="E1486" s="1">
        <v>0</v>
      </c>
      <c r="F1486">
        <v>2453433.4</v>
      </c>
      <c r="K1486" s="2"/>
      <c r="L1486" s="232">
        <v>42856</v>
      </c>
      <c r="N1486">
        <f t="shared" si="20"/>
        <v>25</v>
      </c>
    </row>
    <row r="1487" spans="1:14" hidden="1">
      <c r="A1487" s="232">
        <v>42857</v>
      </c>
      <c r="B1487" t="s">
        <v>2394</v>
      </c>
      <c r="C1487" t="s">
        <v>2487</v>
      </c>
      <c r="D1487" s="1">
        <v>0</v>
      </c>
      <c r="E1487" s="1">
        <v>25</v>
      </c>
      <c r="F1487">
        <v>2453458.4</v>
      </c>
      <c r="K1487" s="2"/>
      <c r="L1487" s="232">
        <v>42857</v>
      </c>
      <c r="N1487">
        <f t="shared" si="20"/>
        <v>0</v>
      </c>
    </row>
    <row r="1488" spans="1:14" hidden="1">
      <c r="A1488" s="232">
        <v>42857</v>
      </c>
      <c r="C1488" t="s">
        <v>2375</v>
      </c>
      <c r="D1488" s="1">
        <v>25000</v>
      </c>
      <c r="E1488" s="1">
        <v>0</v>
      </c>
      <c r="F1488">
        <v>2428458.4</v>
      </c>
      <c r="G1488" s="8" t="s">
        <v>1379</v>
      </c>
      <c r="K1488" s="2"/>
      <c r="L1488" s="232">
        <v>42857</v>
      </c>
      <c r="N1488">
        <f t="shared" si="20"/>
        <v>25000</v>
      </c>
    </row>
    <row r="1489" spans="1:14" hidden="1">
      <c r="A1489" s="232">
        <v>42859</v>
      </c>
      <c r="B1489" t="s">
        <v>1914</v>
      </c>
      <c r="C1489" t="s">
        <v>2488</v>
      </c>
      <c r="D1489" s="1">
        <v>170034</v>
      </c>
      <c r="E1489" s="1">
        <v>0</v>
      </c>
      <c r="F1489">
        <v>2258424.4</v>
      </c>
      <c r="K1489" s="2"/>
      <c r="L1489" s="232">
        <v>42859</v>
      </c>
      <c r="N1489">
        <f t="shared" si="20"/>
        <v>170034</v>
      </c>
    </row>
    <row r="1490" spans="1:14" hidden="1">
      <c r="A1490" s="232">
        <v>42859</v>
      </c>
      <c r="B1490" t="s">
        <v>1914</v>
      </c>
      <c r="C1490" t="s">
        <v>2489</v>
      </c>
      <c r="D1490" s="1">
        <v>10378</v>
      </c>
      <c r="E1490" s="1">
        <v>0</v>
      </c>
      <c r="F1490">
        <v>2248046.4</v>
      </c>
      <c r="K1490" s="2"/>
      <c r="L1490" s="232">
        <v>42859</v>
      </c>
      <c r="N1490">
        <f t="shared" si="20"/>
        <v>10378</v>
      </c>
    </row>
    <row r="1491" spans="1:14" hidden="1">
      <c r="A1491" s="232">
        <v>42859</v>
      </c>
      <c r="B1491" t="s">
        <v>1914</v>
      </c>
      <c r="C1491" t="s">
        <v>2490</v>
      </c>
      <c r="D1491" s="1">
        <v>270570</v>
      </c>
      <c r="E1491" s="1">
        <v>0</v>
      </c>
      <c r="F1491">
        <v>1977476.4</v>
      </c>
      <c r="G1491" s="8" t="s">
        <v>1370</v>
      </c>
      <c r="K1491" s="2"/>
      <c r="L1491" s="232">
        <v>42859</v>
      </c>
      <c r="N1491">
        <f t="shared" si="20"/>
        <v>270570</v>
      </c>
    </row>
    <row r="1492" spans="1:14" hidden="1">
      <c r="A1492" s="232">
        <v>42859</v>
      </c>
      <c r="B1492" t="s">
        <v>1914</v>
      </c>
      <c r="C1492" t="s">
        <v>2491</v>
      </c>
      <c r="D1492" s="1">
        <v>190941.47</v>
      </c>
      <c r="E1492" s="1">
        <v>0</v>
      </c>
      <c r="F1492">
        <v>1786534.93</v>
      </c>
      <c r="G1492" s="8" t="s">
        <v>1362</v>
      </c>
      <c r="K1492" s="2"/>
      <c r="L1492" s="232">
        <v>42859</v>
      </c>
      <c r="N1492">
        <f t="shared" si="20"/>
        <v>190941.47</v>
      </c>
    </row>
    <row r="1493" spans="1:14" hidden="1">
      <c r="A1493" s="232">
        <v>42860</v>
      </c>
      <c r="B1493" t="s">
        <v>1914</v>
      </c>
      <c r="C1493" t="s">
        <v>2492</v>
      </c>
      <c r="D1493" s="1">
        <v>25000</v>
      </c>
      <c r="E1493" s="1">
        <v>0</v>
      </c>
      <c r="F1493">
        <v>1761534.93</v>
      </c>
      <c r="G1493" s="8" t="s">
        <v>1379</v>
      </c>
      <c r="K1493" s="2"/>
      <c r="L1493" s="232">
        <v>42860</v>
      </c>
      <c r="N1493">
        <f t="shared" si="20"/>
        <v>25000</v>
      </c>
    </row>
    <row r="1494" spans="1:14" hidden="1">
      <c r="A1494" s="232">
        <v>42865</v>
      </c>
      <c r="B1494" t="s">
        <v>1938</v>
      </c>
      <c r="C1494" t="s">
        <v>2493</v>
      </c>
      <c r="D1494" s="1">
        <v>2000</v>
      </c>
      <c r="E1494" s="1">
        <v>0</v>
      </c>
      <c r="F1494">
        <v>1759534.93</v>
      </c>
      <c r="G1494" s="8" t="s">
        <v>1372</v>
      </c>
      <c r="K1494" s="2"/>
      <c r="L1494" s="232">
        <v>42865</v>
      </c>
      <c r="N1494">
        <f t="shared" si="20"/>
        <v>2000</v>
      </c>
    </row>
    <row r="1495" spans="1:14" hidden="1">
      <c r="A1495" s="232">
        <v>42870</v>
      </c>
      <c r="B1495" t="s">
        <v>2063</v>
      </c>
      <c r="C1495" t="s">
        <v>2494</v>
      </c>
      <c r="D1495" s="1">
        <v>5000</v>
      </c>
      <c r="E1495" s="1">
        <v>0</v>
      </c>
      <c r="F1495">
        <v>1754534.93</v>
      </c>
      <c r="G1495" s="8" t="s">
        <v>1361</v>
      </c>
      <c r="K1495" s="2"/>
      <c r="L1495" s="232">
        <v>42870</v>
      </c>
      <c r="N1495">
        <f t="shared" si="20"/>
        <v>5000</v>
      </c>
    </row>
    <row r="1496" spans="1:14" hidden="1">
      <c r="A1496" s="232">
        <v>42870</v>
      </c>
      <c r="C1496" t="s">
        <v>2337</v>
      </c>
      <c r="D1496" s="1">
        <v>25000</v>
      </c>
      <c r="E1496" s="1">
        <v>0</v>
      </c>
      <c r="F1496">
        <v>1729534.93</v>
      </c>
      <c r="G1496" s="8" t="s">
        <v>1379</v>
      </c>
      <c r="K1496" s="2"/>
      <c r="L1496" s="232">
        <v>42870</v>
      </c>
      <c r="N1496">
        <f t="shared" si="20"/>
        <v>25000</v>
      </c>
    </row>
    <row r="1497" spans="1:14" hidden="1">
      <c r="A1497" s="232">
        <v>42873</v>
      </c>
      <c r="B1497" t="s">
        <v>2063</v>
      </c>
      <c r="C1497" t="s">
        <v>2495</v>
      </c>
      <c r="D1497" s="1">
        <v>5000</v>
      </c>
      <c r="E1497" s="1">
        <v>0</v>
      </c>
      <c r="F1497">
        <v>1724534.93</v>
      </c>
      <c r="G1497" s="8" t="s">
        <v>1361</v>
      </c>
      <c r="K1497" s="2"/>
      <c r="L1497" s="232">
        <v>42873</v>
      </c>
      <c r="N1497">
        <f t="shared" si="20"/>
        <v>5000</v>
      </c>
    </row>
    <row r="1498" spans="1:14" hidden="1">
      <c r="A1498" s="232">
        <v>42875</v>
      </c>
      <c r="C1498" t="s">
        <v>2339</v>
      </c>
      <c r="D1498" s="1">
        <v>25000</v>
      </c>
      <c r="E1498" s="1">
        <v>0</v>
      </c>
      <c r="F1498">
        <v>1699534.93</v>
      </c>
      <c r="G1498" s="8" t="s">
        <v>1379</v>
      </c>
      <c r="K1498" s="2"/>
      <c r="L1498" s="232">
        <v>42875</v>
      </c>
      <c r="N1498">
        <f t="shared" si="20"/>
        <v>25000</v>
      </c>
    </row>
    <row r="1499" spans="1:14" hidden="1">
      <c r="A1499" s="232">
        <v>42878</v>
      </c>
      <c r="B1499" t="s">
        <v>1914</v>
      </c>
      <c r="C1499" t="s">
        <v>2496</v>
      </c>
      <c r="D1499" s="1">
        <v>620</v>
      </c>
      <c r="E1499" s="1">
        <v>0</v>
      </c>
      <c r="F1499">
        <v>1698914.93</v>
      </c>
      <c r="K1499" s="2"/>
      <c r="L1499" s="232">
        <v>42878</v>
      </c>
      <c r="N1499">
        <f t="shared" si="20"/>
        <v>620</v>
      </c>
    </row>
    <row r="1500" spans="1:14" hidden="1">
      <c r="A1500" s="232">
        <v>42880</v>
      </c>
      <c r="C1500" t="s">
        <v>2341</v>
      </c>
      <c r="D1500" s="1">
        <v>25000</v>
      </c>
      <c r="E1500" s="1">
        <v>0</v>
      </c>
      <c r="F1500">
        <v>1673914.93</v>
      </c>
      <c r="G1500" s="8" t="s">
        <v>1379</v>
      </c>
      <c r="K1500" s="2"/>
      <c r="L1500" s="232">
        <v>42880</v>
      </c>
      <c r="N1500">
        <f t="shared" si="20"/>
        <v>25000</v>
      </c>
    </row>
    <row r="1501" spans="1:14" hidden="1">
      <c r="A1501" s="232">
        <v>42881</v>
      </c>
      <c r="C1501" t="s">
        <v>2497</v>
      </c>
      <c r="D1501" s="1">
        <v>0</v>
      </c>
      <c r="E1501" s="1">
        <v>268437</v>
      </c>
      <c r="F1501">
        <v>1942351.93</v>
      </c>
      <c r="G1501" s="8" t="s">
        <v>1380</v>
      </c>
      <c r="K1501" s="2"/>
      <c r="L1501" s="232">
        <v>42881</v>
      </c>
      <c r="N1501">
        <f t="shared" si="20"/>
        <v>0</v>
      </c>
    </row>
    <row r="1502" spans="1:14" hidden="1">
      <c r="A1502" s="232">
        <v>42884</v>
      </c>
      <c r="B1502" t="s">
        <v>1938</v>
      </c>
      <c r="C1502" t="s">
        <v>2498</v>
      </c>
      <c r="D1502" s="1">
        <v>2000</v>
      </c>
      <c r="E1502" s="1">
        <v>0</v>
      </c>
      <c r="F1502">
        <v>1940351.93</v>
      </c>
      <c r="G1502" s="8" t="s">
        <v>1372</v>
      </c>
      <c r="K1502" s="2"/>
      <c r="L1502" s="232">
        <v>42884</v>
      </c>
      <c r="N1502">
        <f t="shared" si="20"/>
        <v>2000</v>
      </c>
    </row>
    <row r="1503" spans="1:14" hidden="1">
      <c r="A1503" s="232">
        <v>42884</v>
      </c>
      <c r="C1503" t="s">
        <v>2343</v>
      </c>
      <c r="D1503" s="1">
        <v>25000</v>
      </c>
      <c r="E1503" s="1">
        <v>0</v>
      </c>
      <c r="F1503">
        <v>1915351.93</v>
      </c>
      <c r="G1503" s="8" t="s">
        <v>1379</v>
      </c>
      <c r="K1503" s="2"/>
      <c r="L1503" s="232">
        <v>42884</v>
      </c>
      <c r="N1503">
        <f t="shared" si="20"/>
        <v>25000</v>
      </c>
    </row>
    <row r="1504" spans="1:14" hidden="1">
      <c r="A1504" s="232">
        <v>42887</v>
      </c>
      <c r="C1504" t="s">
        <v>2375</v>
      </c>
      <c r="D1504" s="1">
        <v>25000</v>
      </c>
      <c r="E1504" s="1">
        <v>0</v>
      </c>
      <c r="F1504">
        <v>1890351.93</v>
      </c>
      <c r="G1504" s="8" t="s">
        <v>1379</v>
      </c>
      <c r="K1504" s="2"/>
      <c r="L1504" s="232">
        <v>42887</v>
      </c>
      <c r="N1504">
        <f t="shared" si="20"/>
        <v>25000</v>
      </c>
    </row>
    <row r="1505" spans="1:14" hidden="1">
      <c r="A1505" s="232">
        <v>42889</v>
      </c>
      <c r="B1505" t="s">
        <v>1914</v>
      </c>
      <c r="C1505" t="s">
        <v>2499</v>
      </c>
      <c r="D1505" s="1">
        <v>9594</v>
      </c>
      <c r="E1505" s="1">
        <v>0</v>
      </c>
      <c r="F1505">
        <v>1880757.93</v>
      </c>
      <c r="G1505" s="8" t="s">
        <v>1362</v>
      </c>
      <c r="K1505" s="2"/>
      <c r="L1505" s="232">
        <v>42889</v>
      </c>
      <c r="N1505">
        <f t="shared" si="20"/>
        <v>9594</v>
      </c>
    </row>
    <row r="1506" spans="1:14" hidden="1">
      <c r="A1506" s="232">
        <v>42889</v>
      </c>
      <c r="B1506" t="s">
        <v>1914</v>
      </c>
      <c r="C1506" t="s">
        <v>2500</v>
      </c>
      <c r="D1506" s="1">
        <v>7456</v>
      </c>
      <c r="E1506" s="1">
        <v>0</v>
      </c>
      <c r="F1506">
        <v>1873301.93</v>
      </c>
      <c r="K1506" s="2"/>
      <c r="L1506" s="232">
        <v>42889</v>
      </c>
      <c r="N1506">
        <f t="shared" si="20"/>
        <v>7456</v>
      </c>
    </row>
    <row r="1507" spans="1:14" hidden="1">
      <c r="A1507" s="232">
        <v>42889</v>
      </c>
      <c r="B1507" t="s">
        <v>1963</v>
      </c>
      <c r="C1507" t="s">
        <v>2501</v>
      </c>
      <c r="D1507" s="1">
        <v>4000</v>
      </c>
      <c r="E1507" s="1">
        <v>0</v>
      </c>
      <c r="F1507">
        <v>1869301.93</v>
      </c>
      <c r="G1507" s="8" t="s">
        <v>1361</v>
      </c>
      <c r="K1507" s="2"/>
      <c r="L1507" s="232">
        <v>42889</v>
      </c>
      <c r="N1507">
        <f t="shared" si="20"/>
        <v>4000</v>
      </c>
    </row>
    <row r="1508" spans="1:14" hidden="1">
      <c r="A1508" s="232">
        <v>42891</v>
      </c>
      <c r="B1508" t="s">
        <v>1914</v>
      </c>
      <c r="C1508" t="s">
        <v>2502</v>
      </c>
      <c r="D1508" s="1">
        <v>25000</v>
      </c>
      <c r="E1508" s="1">
        <v>0</v>
      </c>
      <c r="F1508">
        <v>1844301.93</v>
      </c>
      <c r="G1508" s="8" t="s">
        <v>1379</v>
      </c>
      <c r="K1508" s="2"/>
      <c r="L1508" s="232">
        <v>42891</v>
      </c>
      <c r="N1508">
        <f t="shared" si="20"/>
        <v>25000</v>
      </c>
    </row>
    <row r="1509" spans="1:14" hidden="1">
      <c r="A1509" s="232">
        <v>42898</v>
      </c>
      <c r="B1509" t="s">
        <v>1938</v>
      </c>
      <c r="C1509" t="s">
        <v>2503</v>
      </c>
      <c r="D1509" s="1">
        <v>2000</v>
      </c>
      <c r="E1509" s="1">
        <v>0</v>
      </c>
      <c r="F1509">
        <v>1842301.93</v>
      </c>
      <c r="G1509" s="8" t="s">
        <v>1372</v>
      </c>
      <c r="K1509" s="2"/>
      <c r="L1509" s="232">
        <v>42898</v>
      </c>
      <c r="N1509">
        <f t="shared" si="20"/>
        <v>2000</v>
      </c>
    </row>
    <row r="1510" spans="1:14" hidden="1">
      <c r="A1510" s="232">
        <v>42901</v>
      </c>
      <c r="C1510" t="s">
        <v>2337</v>
      </c>
      <c r="D1510" s="1">
        <v>25000</v>
      </c>
      <c r="E1510" s="1">
        <v>0</v>
      </c>
      <c r="F1510">
        <v>1817301.93</v>
      </c>
      <c r="G1510" s="8" t="s">
        <v>1379</v>
      </c>
      <c r="K1510" s="2"/>
      <c r="L1510" s="232">
        <v>42901</v>
      </c>
      <c r="N1510">
        <f t="shared" si="20"/>
        <v>25000</v>
      </c>
    </row>
    <row r="1511" spans="1:14" hidden="1">
      <c r="A1511" s="232">
        <v>42902</v>
      </c>
      <c r="B1511" t="s">
        <v>2063</v>
      </c>
      <c r="C1511" t="s">
        <v>2504</v>
      </c>
      <c r="D1511" s="1">
        <v>5000</v>
      </c>
      <c r="E1511" s="1">
        <v>0</v>
      </c>
      <c r="F1511">
        <v>1812301.93</v>
      </c>
      <c r="G1511" s="8" t="s">
        <v>1361</v>
      </c>
      <c r="K1511" s="2"/>
      <c r="L1511" s="232">
        <v>42902</v>
      </c>
      <c r="N1511">
        <f t="shared" si="20"/>
        <v>5000</v>
      </c>
    </row>
    <row r="1512" spans="1:14" hidden="1">
      <c r="A1512" s="232">
        <v>42902</v>
      </c>
      <c r="B1512" t="s">
        <v>2063</v>
      </c>
      <c r="C1512" t="s">
        <v>2504</v>
      </c>
      <c r="D1512" s="1">
        <v>300</v>
      </c>
      <c r="E1512" s="1">
        <v>0</v>
      </c>
      <c r="F1512">
        <v>1812001.93</v>
      </c>
      <c r="G1512" s="8" t="s">
        <v>1361</v>
      </c>
      <c r="K1512" s="2"/>
      <c r="L1512" s="232">
        <v>42902</v>
      </c>
      <c r="N1512">
        <f t="shared" si="20"/>
        <v>300</v>
      </c>
    </row>
    <row r="1513" spans="1:14" hidden="1">
      <c r="A1513" s="232">
        <v>42906</v>
      </c>
      <c r="C1513" t="s">
        <v>2339</v>
      </c>
      <c r="D1513" s="1">
        <v>25000</v>
      </c>
      <c r="E1513" s="1">
        <v>0</v>
      </c>
      <c r="F1513">
        <v>1787001.93</v>
      </c>
      <c r="G1513" s="8" t="s">
        <v>1379</v>
      </c>
      <c r="K1513" s="2"/>
      <c r="L1513" s="232">
        <v>42906</v>
      </c>
      <c r="N1513">
        <f t="shared" si="20"/>
        <v>25000</v>
      </c>
    </row>
    <row r="1514" spans="1:14" hidden="1">
      <c r="A1514" s="232">
        <v>42913</v>
      </c>
      <c r="C1514" t="s">
        <v>2415</v>
      </c>
      <c r="D1514" s="1">
        <v>300000</v>
      </c>
      <c r="E1514" s="1">
        <v>0</v>
      </c>
      <c r="F1514">
        <v>1487001.93</v>
      </c>
      <c r="G1514" s="8" t="s">
        <v>1381</v>
      </c>
      <c r="K1514" s="2"/>
      <c r="L1514" s="232">
        <v>42913</v>
      </c>
      <c r="N1514">
        <f t="shared" si="20"/>
        <v>300000</v>
      </c>
    </row>
    <row r="1515" spans="1:14" hidden="1">
      <c r="A1515" s="232">
        <v>42913</v>
      </c>
      <c r="B1515" t="s">
        <v>1914</v>
      </c>
      <c r="C1515" t="s">
        <v>2505</v>
      </c>
      <c r="D1515" s="1">
        <v>200000</v>
      </c>
      <c r="E1515" s="1">
        <v>0</v>
      </c>
      <c r="F1515">
        <v>1287001.93</v>
      </c>
      <c r="G1515" s="8" t="s">
        <v>1372</v>
      </c>
      <c r="K1515" s="2"/>
      <c r="L1515" s="232">
        <v>42913</v>
      </c>
      <c r="N1515">
        <f t="shared" si="20"/>
        <v>200000</v>
      </c>
    </row>
    <row r="1516" spans="1:14" hidden="1">
      <c r="A1516" s="232">
        <v>42913</v>
      </c>
      <c r="C1516" t="s">
        <v>2506</v>
      </c>
      <c r="D1516" s="1">
        <v>0</v>
      </c>
      <c r="E1516" s="1">
        <v>268437</v>
      </c>
      <c r="F1516">
        <v>1555438.93</v>
      </c>
      <c r="G1516" s="8" t="s">
        <v>1380</v>
      </c>
      <c r="K1516" s="2"/>
      <c r="L1516" s="232">
        <v>42913</v>
      </c>
      <c r="N1516">
        <f t="shared" si="20"/>
        <v>0</v>
      </c>
    </row>
    <row r="1517" spans="1:14" hidden="1">
      <c r="A1517" s="232">
        <v>42913</v>
      </c>
      <c r="C1517" t="s">
        <v>2341</v>
      </c>
      <c r="D1517" s="1">
        <v>25000</v>
      </c>
      <c r="E1517" s="1">
        <v>0</v>
      </c>
      <c r="F1517">
        <v>1530438.93</v>
      </c>
      <c r="G1517" s="8" t="s">
        <v>1379</v>
      </c>
      <c r="K1517" s="2"/>
      <c r="L1517" s="232">
        <v>42913</v>
      </c>
      <c r="N1517">
        <f t="shared" si="20"/>
        <v>25000</v>
      </c>
    </row>
    <row r="1518" spans="1:14" hidden="1">
      <c r="A1518" s="232">
        <v>42913</v>
      </c>
      <c r="C1518" t="s">
        <v>2343</v>
      </c>
      <c r="D1518" s="1">
        <v>25000</v>
      </c>
      <c r="E1518" s="1">
        <v>0</v>
      </c>
      <c r="F1518">
        <v>1505438.93</v>
      </c>
      <c r="G1518" s="8" t="s">
        <v>1379</v>
      </c>
      <c r="K1518" s="2"/>
      <c r="L1518" s="232">
        <v>42913</v>
      </c>
      <c r="N1518">
        <f t="shared" si="20"/>
        <v>25000</v>
      </c>
    </row>
    <row r="1519" spans="1:14" hidden="1">
      <c r="A1519" s="232">
        <v>42914</v>
      </c>
      <c r="B1519" t="s">
        <v>1938</v>
      </c>
      <c r="C1519" t="s">
        <v>2507</v>
      </c>
      <c r="D1519" s="1">
        <v>2000</v>
      </c>
      <c r="E1519" s="1">
        <v>0</v>
      </c>
      <c r="F1519">
        <v>1503438.93</v>
      </c>
      <c r="G1519" s="8" t="s">
        <v>1372</v>
      </c>
      <c r="K1519" s="2"/>
      <c r="L1519" s="232">
        <v>42914</v>
      </c>
      <c r="N1519">
        <f t="shared" si="20"/>
        <v>2000</v>
      </c>
    </row>
    <row r="1520" spans="1:14" hidden="1">
      <c r="A1520" s="232">
        <v>42915</v>
      </c>
      <c r="C1520" t="s">
        <v>2508</v>
      </c>
      <c r="D1520" s="1">
        <v>0</v>
      </c>
      <c r="E1520" s="1">
        <v>20986</v>
      </c>
      <c r="F1520">
        <v>1524424.93</v>
      </c>
      <c r="G1520" s="8" t="s">
        <v>1368</v>
      </c>
      <c r="K1520" s="2"/>
      <c r="L1520" s="232">
        <v>42915</v>
      </c>
      <c r="N1520">
        <f t="shared" si="20"/>
        <v>0</v>
      </c>
    </row>
    <row r="1521" spans="1:14" hidden="1">
      <c r="A1521" s="232">
        <v>42917</v>
      </c>
      <c r="C1521" t="s">
        <v>2375</v>
      </c>
      <c r="D1521" s="1">
        <v>25000</v>
      </c>
      <c r="E1521" s="1">
        <v>0</v>
      </c>
      <c r="F1521">
        <v>1499424.93</v>
      </c>
      <c r="G1521" s="8" t="s">
        <v>1379</v>
      </c>
      <c r="K1521" s="2"/>
      <c r="L1521" s="232">
        <v>42917</v>
      </c>
      <c r="N1521">
        <f t="shared" si="20"/>
        <v>25000</v>
      </c>
    </row>
    <row r="1522" spans="1:14" hidden="1">
      <c r="A1522" s="232">
        <v>42919</v>
      </c>
      <c r="B1522" t="s">
        <v>1997</v>
      </c>
      <c r="C1522" t="s">
        <v>2509</v>
      </c>
      <c r="D1522" s="1">
        <v>6791</v>
      </c>
      <c r="E1522" s="1">
        <v>0</v>
      </c>
      <c r="F1522">
        <v>1492633.93</v>
      </c>
      <c r="K1522" s="2"/>
      <c r="L1522" s="232">
        <v>42919</v>
      </c>
      <c r="N1522">
        <f t="shared" si="20"/>
        <v>6791</v>
      </c>
    </row>
    <row r="1523" spans="1:14" hidden="1">
      <c r="A1523" s="232">
        <v>42920</v>
      </c>
      <c r="C1523" t="s">
        <v>2510</v>
      </c>
      <c r="D1523" s="1">
        <v>0</v>
      </c>
      <c r="E1523" s="1">
        <v>392826</v>
      </c>
      <c r="F1523">
        <v>1885459.93</v>
      </c>
      <c r="G1523" s="8" t="s">
        <v>1379</v>
      </c>
      <c r="K1523" s="2"/>
      <c r="L1523" s="232">
        <v>42920</v>
      </c>
      <c r="N1523">
        <f t="shared" si="20"/>
        <v>0</v>
      </c>
    </row>
    <row r="1524" spans="1:14" hidden="1">
      <c r="A1524" s="232">
        <v>42920</v>
      </c>
      <c r="C1524" t="s">
        <v>2511</v>
      </c>
      <c r="D1524" s="1">
        <v>0</v>
      </c>
      <c r="E1524" s="1">
        <v>27233</v>
      </c>
      <c r="F1524">
        <v>1912692.93</v>
      </c>
      <c r="G1524" s="8" t="s">
        <v>1379</v>
      </c>
      <c r="K1524" s="2"/>
      <c r="L1524" s="232">
        <v>42920</v>
      </c>
      <c r="N1524">
        <f t="shared" si="20"/>
        <v>0</v>
      </c>
    </row>
    <row r="1525" spans="1:14" hidden="1">
      <c r="A1525" s="232">
        <v>42922</v>
      </c>
      <c r="C1525" t="s">
        <v>2512</v>
      </c>
      <c r="D1525" s="1">
        <v>0</v>
      </c>
      <c r="E1525" s="1">
        <v>5138</v>
      </c>
      <c r="F1525">
        <v>1917830.93</v>
      </c>
      <c r="G1525" s="8" t="s">
        <v>1380</v>
      </c>
      <c r="K1525" s="2"/>
      <c r="L1525" s="232">
        <v>42922</v>
      </c>
      <c r="N1525">
        <f t="shared" si="20"/>
        <v>0</v>
      </c>
    </row>
    <row r="1526" spans="1:14" hidden="1">
      <c r="A1526" s="232">
        <v>42923</v>
      </c>
      <c r="B1526" t="s">
        <v>1914</v>
      </c>
      <c r="C1526" t="s">
        <v>2513</v>
      </c>
      <c r="D1526" s="1">
        <v>26193</v>
      </c>
      <c r="E1526" s="1">
        <v>0</v>
      </c>
      <c r="F1526">
        <v>1891637.93</v>
      </c>
      <c r="G1526" s="8" t="s">
        <v>1362</v>
      </c>
      <c r="K1526" s="2"/>
      <c r="L1526" s="232">
        <v>42923</v>
      </c>
      <c r="N1526">
        <f t="shared" si="20"/>
        <v>26193</v>
      </c>
    </row>
    <row r="1527" spans="1:14" hidden="1">
      <c r="A1527" s="232">
        <v>42926</v>
      </c>
      <c r="B1527" t="s">
        <v>1997</v>
      </c>
      <c r="C1527" t="s">
        <v>2514</v>
      </c>
      <c r="D1527" s="1">
        <v>1500</v>
      </c>
      <c r="E1527" s="1">
        <v>0</v>
      </c>
      <c r="F1527">
        <v>1890137.93</v>
      </c>
      <c r="K1527" s="2"/>
      <c r="L1527" s="232">
        <v>42926</v>
      </c>
      <c r="N1527">
        <f t="shared" si="20"/>
        <v>1500</v>
      </c>
    </row>
    <row r="1528" spans="1:14" hidden="1">
      <c r="A1528" s="232">
        <v>42926</v>
      </c>
      <c r="B1528" t="s">
        <v>1914</v>
      </c>
      <c r="C1528" t="s">
        <v>2515</v>
      </c>
      <c r="D1528" s="1">
        <v>0</v>
      </c>
      <c r="E1528" s="1">
        <v>6250</v>
      </c>
      <c r="F1528">
        <v>1896387.93</v>
      </c>
      <c r="K1528" s="2"/>
      <c r="L1528" s="232">
        <v>42926</v>
      </c>
      <c r="N1528">
        <f t="shared" si="20"/>
        <v>0</v>
      </c>
    </row>
    <row r="1529" spans="1:14" hidden="1">
      <c r="A1529" s="232">
        <v>42926</v>
      </c>
      <c r="B1529" t="s">
        <v>1938</v>
      </c>
      <c r="C1529" t="s">
        <v>2516</v>
      </c>
      <c r="D1529" s="1">
        <v>2000</v>
      </c>
      <c r="E1529" s="1">
        <v>0</v>
      </c>
      <c r="F1529">
        <v>1894387.93</v>
      </c>
      <c r="G1529" s="8" t="s">
        <v>1372</v>
      </c>
      <c r="K1529" s="2"/>
      <c r="L1529" s="232">
        <v>42926</v>
      </c>
      <c r="N1529">
        <f t="shared" si="20"/>
        <v>2000</v>
      </c>
    </row>
    <row r="1530" spans="1:14" hidden="1">
      <c r="A1530" s="232">
        <v>42929</v>
      </c>
      <c r="C1530" t="s">
        <v>2517</v>
      </c>
      <c r="D1530" s="1">
        <v>0</v>
      </c>
      <c r="E1530" s="1">
        <v>1647</v>
      </c>
      <c r="F1530">
        <v>1896034.93</v>
      </c>
      <c r="G1530" s="8" t="s">
        <v>1380</v>
      </c>
      <c r="K1530" s="2"/>
      <c r="L1530" s="232">
        <v>42929</v>
      </c>
      <c r="N1530">
        <f t="shared" si="20"/>
        <v>0</v>
      </c>
    </row>
    <row r="1531" spans="1:14" hidden="1">
      <c r="A1531" s="232">
        <v>42931</v>
      </c>
      <c r="C1531" t="s">
        <v>2518</v>
      </c>
      <c r="D1531" s="1">
        <v>0</v>
      </c>
      <c r="E1531" s="1">
        <v>391498</v>
      </c>
      <c r="F1531">
        <v>2287532.9300000002</v>
      </c>
      <c r="G1531" s="8" t="s">
        <v>1379</v>
      </c>
      <c r="K1531" s="2"/>
      <c r="L1531" s="232">
        <v>42931</v>
      </c>
      <c r="N1531">
        <f t="shared" si="20"/>
        <v>0</v>
      </c>
    </row>
    <row r="1532" spans="1:14" hidden="1">
      <c r="A1532" s="232">
        <v>42931</v>
      </c>
      <c r="B1532" t="s">
        <v>1914</v>
      </c>
      <c r="C1532" t="s">
        <v>2519</v>
      </c>
      <c r="D1532" s="1">
        <v>30320</v>
      </c>
      <c r="E1532" s="1">
        <v>0</v>
      </c>
      <c r="F1532">
        <v>2257212.9300000002</v>
      </c>
      <c r="K1532" s="2"/>
      <c r="L1532" s="232">
        <v>42931</v>
      </c>
      <c r="N1532">
        <f t="shared" si="20"/>
        <v>30320</v>
      </c>
    </row>
    <row r="1533" spans="1:14" hidden="1">
      <c r="A1533" s="232">
        <v>42931</v>
      </c>
      <c r="B1533" t="s">
        <v>1997</v>
      </c>
      <c r="C1533" t="s">
        <v>2520</v>
      </c>
      <c r="D1533" s="1">
        <v>1000</v>
      </c>
      <c r="E1533" s="1">
        <v>0</v>
      </c>
      <c r="F1533">
        <v>2256212.9300000002</v>
      </c>
      <c r="K1533" s="2"/>
      <c r="L1533" s="232">
        <v>42931</v>
      </c>
      <c r="N1533">
        <f t="shared" si="20"/>
        <v>1000</v>
      </c>
    </row>
    <row r="1534" spans="1:14" hidden="1">
      <c r="A1534" s="232">
        <v>42933</v>
      </c>
      <c r="B1534" t="s">
        <v>1938</v>
      </c>
      <c r="C1534" t="s">
        <v>2521</v>
      </c>
      <c r="D1534" s="1">
        <v>0</v>
      </c>
      <c r="E1534" s="1">
        <v>1955.19</v>
      </c>
      <c r="F1534">
        <v>2258168.12</v>
      </c>
      <c r="G1534" s="8" t="s">
        <v>1375</v>
      </c>
      <c r="K1534" s="2"/>
      <c r="L1534" s="232">
        <v>42933</v>
      </c>
      <c r="N1534">
        <f t="shared" si="20"/>
        <v>0</v>
      </c>
    </row>
    <row r="1535" spans="1:14" hidden="1">
      <c r="A1535" s="232">
        <v>42936</v>
      </c>
      <c r="C1535" t="s">
        <v>2522</v>
      </c>
      <c r="D1535" s="1">
        <v>0</v>
      </c>
      <c r="E1535" s="1">
        <v>392243</v>
      </c>
      <c r="F1535">
        <v>2650411.12</v>
      </c>
      <c r="G1535" s="8" t="s">
        <v>1379</v>
      </c>
      <c r="K1535" s="2"/>
      <c r="L1535" s="232">
        <v>42936</v>
      </c>
      <c r="N1535">
        <f t="shared" si="20"/>
        <v>0</v>
      </c>
    </row>
    <row r="1536" spans="1:14" hidden="1">
      <c r="A1536" s="232">
        <v>42941</v>
      </c>
      <c r="B1536" t="s">
        <v>1914</v>
      </c>
      <c r="C1536" t="s">
        <v>2523</v>
      </c>
      <c r="D1536" s="1">
        <v>1000</v>
      </c>
      <c r="E1536" s="1">
        <v>0</v>
      </c>
      <c r="F1536">
        <v>2649411.12</v>
      </c>
      <c r="K1536" s="2"/>
      <c r="L1536" s="232">
        <v>42941</v>
      </c>
      <c r="N1536">
        <f t="shared" si="20"/>
        <v>1000</v>
      </c>
    </row>
    <row r="1537" spans="1:14" hidden="1">
      <c r="A1537" s="232">
        <v>42942</v>
      </c>
      <c r="C1537" t="s">
        <v>2524</v>
      </c>
      <c r="D1537" s="1">
        <v>0</v>
      </c>
      <c r="E1537" s="1">
        <v>268437</v>
      </c>
      <c r="F1537">
        <v>2917848.12</v>
      </c>
      <c r="G1537" s="8" t="s">
        <v>1380</v>
      </c>
      <c r="K1537" s="2"/>
      <c r="L1537" s="232">
        <v>42942</v>
      </c>
      <c r="N1537">
        <f t="shared" si="20"/>
        <v>0</v>
      </c>
    </row>
    <row r="1538" spans="1:14" hidden="1">
      <c r="A1538" s="232">
        <v>42943</v>
      </c>
      <c r="C1538" t="s">
        <v>2525</v>
      </c>
      <c r="D1538" s="1">
        <v>0</v>
      </c>
      <c r="E1538" s="1">
        <v>392243</v>
      </c>
      <c r="F1538">
        <v>3310091.12</v>
      </c>
      <c r="G1538" s="8" t="s">
        <v>1379</v>
      </c>
      <c r="K1538" s="2"/>
      <c r="L1538" s="232">
        <v>42943</v>
      </c>
      <c r="N1538">
        <f t="shared" si="20"/>
        <v>0</v>
      </c>
    </row>
    <row r="1539" spans="1:14" hidden="1">
      <c r="A1539" s="232">
        <v>42943</v>
      </c>
      <c r="C1539" t="s">
        <v>2526</v>
      </c>
      <c r="D1539" s="1">
        <v>0</v>
      </c>
      <c r="E1539" s="1">
        <v>392244</v>
      </c>
      <c r="F1539">
        <v>3702335.12</v>
      </c>
      <c r="G1539" s="8" t="s">
        <v>1379</v>
      </c>
      <c r="K1539" s="2"/>
      <c r="L1539" s="232">
        <v>42943</v>
      </c>
      <c r="N1539">
        <f t="shared" si="20"/>
        <v>0</v>
      </c>
    </row>
    <row r="1540" spans="1:14" hidden="1">
      <c r="A1540" s="232">
        <v>42944</v>
      </c>
      <c r="B1540" t="s">
        <v>1938</v>
      </c>
      <c r="C1540" t="s">
        <v>2527</v>
      </c>
      <c r="D1540" s="1">
        <v>2000</v>
      </c>
      <c r="E1540" s="1">
        <v>0</v>
      </c>
      <c r="F1540">
        <v>3700335.12</v>
      </c>
      <c r="G1540" s="8" t="s">
        <v>1372</v>
      </c>
      <c r="K1540" s="2"/>
      <c r="L1540" s="232">
        <v>42944</v>
      </c>
      <c r="N1540">
        <f t="shared" si="20"/>
        <v>2000</v>
      </c>
    </row>
    <row r="1541" spans="1:14" hidden="1">
      <c r="A1541" s="232">
        <v>42948</v>
      </c>
      <c r="C1541" t="s">
        <v>2375</v>
      </c>
      <c r="D1541" s="1">
        <v>25000</v>
      </c>
      <c r="E1541" s="1">
        <v>0</v>
      </c>
      <c r="F1541">
        <v>3675335.12</v>
      </c>
      <c r="G1541" s="8" t="s">
        <v>1379</v>
      </c>
      <c r="K1541" s="2"/>
      <c r="L1541" s="232">
        <v>42948</v>
      </c>
      <c r="N1541">
        <f t="shared" si="20"/>
        <v>25000</v>
      </c>
    </row>
    <row r="1542" spans="1:14" hidden="1">
      <c r="A1542" s="232">
        <v>42949</v>
      </c>
      <c r="B1542" t="s">
        <v>1914</v>
      </c>
      <c r="C1542" t="s">
        <v>2528</v>
      </c>
      <c r="D1542" s="1">
        <v>18545.740000000002</v>
      </c>
      <c r="E1542" s="1">
        <v>0</v>
      </c>
      <c r="F1542">
        <v>3656789.38</v>
      </c>
      <c r="G1542" s="8" t="s">
        <v>1362</v>
      </c>
      <c r="K1542" s="2"/>
      <c r="L1542" s="232">
        <v>42949</v>
      </c>
      <c r="N1542">
        <f t="shared" si="20"/>
        <v>18545.740000000002</v>
      </c>
    </row>
    <row r="1543" spans="1:14" hidden="1">
      <c r="A1543" s="232">
        <v>42949</v>
      </c>
      <c r="B1543" t="s">
        <v>1997</v>
      </c>
      <c r="C1543" t="s">
        <v>2529</v>
      </c>
      <c r="D1543" s="1">
        <v>8531</v>
      </c>
      <c r="E1543" s="1">
        <v>0</v>
      </c>
      <c r="F1543">
        <v>3648258.38</v>
      </c>
      <c r="K1543" s="2"/>
      <c r="L1543" s="232">
        <v>42949</v>
      </c>
      <c r="N1543">
        <f t="shared" si="20"/>
        <v>8531</v>
      </c>
    </row>
    <row r="1544" spans="1:14" hidden="1">
      <c r="A1544" s="232">
        <v>42952</v>
      </c>
      <c r="B1544" t="s">
        <v>1963</v>
      </c>
      <c r="C1544" t="s">
        <v>2530</v>
      </c>
      <c r="D1544" s="1">
        <v>4000</v>
      </c>
      <c r="E1544" s="1">
        <v>0</v>
      </c>
      <c r="F1544">
        <v>3644258.38</v>
      </c>
      <c r="G1544" s="8" t="s">
        <v>1361</v>
      </c>
      <c r="K1544" s="2"/>
      <c r="L1544" s="232">
        <v>42952</v>
      </c>
      <c r="N1544">
        <f t="shared" si="20"/>
        <v>4000</v>
      </c>
    </row>
    <row r="1545" spans="1:14" hidden="1">
      <c r="A1545" s="232">
        <v>42954</v>
      </c>
      <c r="B1545" t="s">
        <v>1914</v>
      </c>
      <c r="C1545" t="s">
        <v>2531</v>
      </c>
      <c r="D1545" s="1">
        <v>400000</v>
      </c>
      <c r="E1545" s="1">
        <v>0</v>
      </c>
      <c r="F1545">
        <v>3244258.38</v>
      </c>
      <c r="G1545" s="8" t="s">
        <v>1372</v>
      </c>
      <c r="K1545" s="2"/>
      <c r="L1545" s="232">
        <v>42954</v>
      </c>
      <c r="N1545">
        <f t="shared" si="20"/>
        <v>400000</v>
      </c>
    </row>
    <row r="1546" spans="1:14" hidden="1">
      <c r="A1546" s="232">
        <v>42956</v>
      </c>
      <c r="B1546" t="s">
        <v>1938</v>
      </c>
      <c r="C1546" t="s">
        <v>2521</v>
      </c>
      <c r="D1546" s="1">
        <v>0</v>
      </c>
      <c r="E1546" s="1">
        <v>1955.19</v>
      </c>
      <c r="F1546">
        <v>3246213.57</v>
      </c>
      <c r="G1546" s="8" t="s">
        <v>1375</v>
      </c>
      <c r="K1546" s="2"/>
      <c r="L1546" s="232">
        <v>42956</v>
      </c>
      <c r="N1546">
        <f t="shared" si="20"/>
        <v>0</v>
      </c>
    </row>
    <row r="1547" spans="1:14" hidden="1">
      <c r="A1547" s="232">
        <v>42956</v>
      </c>
      <c r="B1547" t="s">
        <v>1914</v>
      </c>
      <c r="C1547" t="s">
        <v>2532</v>
      </c>
      <c r="D1547" s="1">
        <v>640</v>
      </c>
      <c r="E1547" s="1">
        <v>0</v>
      </c>
      <c r="F1547">
        <v>3245573.57</v>
      </c>
      <c r="K1547" s="2"/>
      <c r="L1547" s="232">
        <v>42956</v>
      </c>
      <c r="N1547">
        <f t="shared" ref="N1547:N1610" si="21">D1547*1</f>
        <v>640</v>
      </c>
    </row>
    <row r="1548" spans="1:14" hidden="1">
      <c r="A1548" s="232">
        <v>42957</v>
      </c>
      <c r="B1548" t="s">
        <v>1938</v>
      </c>
      <c r="C1548" t="s">
        <v>2533</v>
      </c>
      <c r="D1548" s="1">
        <v>2000</v>
      </c>
      <c r="E1548" s="1">
        <v>0</v>
      </c>
      <c r="F1548">
        <v>3243573.57</v>
      </c>
      <c r="G1548" s="8" t="s">
        <v>1372</v>
      </c>
      <c r="K1548" s="2"/>
      <c r="L1548" s="232">
        <v>42957</v>
      </c>
      <c r="N1548">
        <f t="shared" si="21"/>
        <v>2000</v>
      </c>
    </row>
    <row r="1549" spans="1:14" hidden="1">
      <c r="A1549" s="232">
        <v>42957</v>
      </c>
      <c r="B1549" t="s">
        <v>1914</v>
      </c>
      <c r="C1549" t="s">
        <v>2534</v>
      </c>
      <c r="D1549" s="1">
        <v>300000</v>
      </c>
      <c r="E1549" s="1">
        <v>0</v>
      </c>
      <c r="F1549">
        <v>2943573.57</v>
      </c>
      <c r="G1549" s="8" t="s">
        <v>1372</v>
      </c>
      <c r="K1549" s="2"/>
      <c r="L1549" s="232">
        <v>42957</v>
      </c>
      <c r="N1549">
        <f t="shared" si="21"/>
        <v>300000</v>
      </c>
    </row>
    <row r="1550" spans="1:14" hidden="1">
      <c r="A1550" s="232">
        <v>42968</v>
      </c>
      <c r="B1550" t="s">
        <v>2063</v>
      </c>
      <c r="C1550" t="s">
        <v>2535</v>
      </c>
      <c r="D1550" s="1">
        <v>5000</v>
      </c>
      <c r="E1550" s="1">
        <v>0</v>
      </c>
      <c r="F1550">
        <v>2938573.57</v>
      </c>
      <c r="G1550" s="8" t="s">
        <v>1361</v>
      </c>
      <c r="K1550" s="2"/>
      <c r="L1550" s="232">
        <v>42968</v>
      </c>
      <c r="N1550">
        <f t="shared" si="21"/>
        <v>5000</v>
      </c>
    </row>
    <row r="1551" spans="1:14" hidden="1">
      <c r="A1551" s="232">
        <v>42970</v>
      </c>
      <c r="B1551" t="s">
        <v>1938</v>
      </c>
      <c r="C1551" t="s">
        <v>2536</v>
      </c>
      <c r="D1551" s="1">
        <v>0</v>
      </c>
      <c r="E1551" s="1">
        <v>2634</v>
      </c>
      <c r="F1551">
        <v>2941207.57</v>
      </c>
      <c r="G1551" s="8" t="s">
        <v>1375</v>
      </c>
      <c r="K1551" s="2"/>
      <c r="L1551" s="232">
        <v>42970</v>
      </c>
      <c r="N1551">
        <f t="shared" si="21"/>
        <v>0</v>
      </c>
    </row>
    <row r="1552" spans="1:14" hidden="1">
      <c r="A1552" s="232">
        <v>42971</v>
      </c>
      <c r="C1552" t="s">
        <v>2537</v>
      </c>
      <c r="D1552" s="1">
        <v>0</v>
      </c>
      <c r="E1552" s="1">
        <v>268437</v>
      </c>
      <c r="F1552">
        <v>3209644.57</v>
      </c>
      <c r="G1552" s="8" t="s">
        <v>1380</v>
      </c>
      <c r="K1552" s="2"/>
      <c r="L1552" s="232">
        <v>42971</v>
      </c>
      <c r="N1552">
        <f t="shared" si="21"/>
        <v>0</v>
      </c>
    </row>
    <row r="1553" spans="1:14" hidden="1">
      <c r="A1553" s="232">
        <v>42975</v>
      </c>
      <c r="B1553" t="s">
        <v>1938</v>
      </c>
      <c r="C1553" t="s">
        <v>2538</v>
      </c>
      <c r="D1553" s="1">
        <v>2000</v>
      </c>
      <c r="E1553" s="1">
        <v>0</v>
      </c>
      <c r="F1553">
        <v>3207644.57</v>
      </c>
      <c r="G1553" s="8" t="s">
        <v>1372</v>
      </c>
      <c r="K1553" s="2"/>
      <c r="L1553" s="232">
        <v>42975</v>
      </c>
      <c r="N1553">
        <f t="shared" si="21"/>
        <v>2000</v>
      </c>
    </row>
    <row r="1554" spans="1:14" hidden="1">
      <c r="A1554" s="232">
        <v>42978</v>
      </c>
      <c r="B1554" t="s">
        <v>1914</v>
      </c>
      <c r="C1554" t="s">
        <v>2539</v>
      </c>
      <c r="D1554" s="1">
        <v>500000</v>
      </c>
      <c r="E1554" s="1">
        <v>0</v>
      </c>
      <c r="F1554">
        <v>2707644.57</v>
      </c>
      <c r="G1554" s="8" t="s">
        <v>1372</v>
      </c>
      <c r="K1554" s="2"/>
      <c r="L1554" s="232">
        <v>42978</v>
      </c>
      <c r="N1554">
        <f t="shared" si="21"/>
        <v>500000</v>
      </c>
    </row>
    <row r="1555" spans="1:14" hidden="1">
      <c r="A1555" s="232">
        <v>42979</v>
      </c>
      <c r="C1555" t="s">
        <v>2375</v>
      </c>
      <c r="D1555" s="1">
        <v>25000</v>
      </c>
      <c r="E1555" s="1">
        <v>0</v>
      </c>
      <c r="F1555">
        <v>2682644.5699999998</v>
      </c>
      <c r="G1555" s="8" t="s">
        <v>1379</v>
      </c>
      <c r="K1555" s="2"/>
      <c r="L1555" s="232">
        <v>42979</v>
      </c>
      <c r="N1555">
        <f t="shared" si="21"/>
        <v>25000</v>
      </c>
    </row>
    <row r="1556" spans="1:14" hidden="1">
      <c r="A1556" s="232">
        <v>42982</v>
      </c>
      <c r="B1556" t="s">
        <v>1997</v>
      </c>
      <c r="C1556" t="s">
        <v>2540</v>
      </c>
      <c r="D1556" s="1">
        <v>8445</v>
      </c>
      <c r="E1556" s="1">
        <v>0</v>
      </c>
      <c r="F1556">
        <v>2674199.5699999998</v>
      </c>
      <c r="K1556" s="2"/>
      <c r="L1556" s="232">
        <v>42982</v>
      </c>
      <c r="N1556">
        <f t="shared" si="21"/>
        <v>8445</v>
      </c>
    </row>
    <row r="1557" spans="1:14" hidden="1">
      <c r="A1557" s="232">
        <v>42983</v>
      </c>
      <c r="B1557" t="s">
        <v>1914</v>
      </c>
      <c r="C1557" t="s">
        <v>2541</v>
      </c>
      <c r="D1557" s="1">
        <v>18509.689999999999</v>
      </c>
      <c r="E1557" s="1">
        <v>0</v>
      </c>
      <c r="F1557">
        <v>2655689.88</v>
      </c>
      <c r="G1557" s="8" t="s">
        <v>1362</v>
      </c>
      <c r="K1557" s="2"/>
      <c r="L1557" s="232">
        <v>42983</v>
      </c>
      <c r="N1557">
        <f t="shared" si="21"/>
        <v>18509.689999999999</v>
      </c>
    </row>
    <row r="1558" spans="1:14" hidden="1">
      <c r="A1558" s="232">
        <v>42983</v>
      </c>
      <c r="B1558" t="s">
        <v>1938</v>
      </c>
      <c r="C1558" t="s">
        <v>2521</v>
      </c>
      <c r="D1558" s="1">
        <v>0</v>
      </c>
      <c r="E1558" s="1">
        <v>6784.17</v>
      </c>
      <c r="F1558">
        <v>2662474.0499999998</v>
      </c>
      <c r="G1558" s="8" t="s">
        <v>1375</v>
      </c>
      <c r="K1558" s="2"/>
      <c r="L1558" s="232">
        <v>42983</v>
      </c>
      <c r="N1558">
        <f t="shared" si="21"/>
        <v>0</v>
      </c>
    </row>
    <row r="1559" spans="1:14" hidden="1">
      <c r="A1559" s="232">
        <v>42985</v>
      </c>
      <c r="B1559" t="s">
        <v>2063</v>
      </c>
      <c r="C1559" t="s">
        <v>2542</v>
      </c>
      <c r="D1559" s="1">
        <v>3000</v>
      </c>
      <c r="E1559" s="1">
        <v>0</v>
      </c>
      <c r="F1559">
        <v>2659474.0499999998</v>
      </c>
      <c r="G1559" s="8" t="s">
        <v>1361</v>
      </c>
      <c r="K1559" s="2"/>
      <c r="L1559" s="232">
        <v>42985</v>
      </c>
      <c r="N1559">
        <f t="shared" si="21"/>
        <v>3000</v>
      </c>
    </row>
    <row r="1560" spans="1:14" hidden="1">
      <c r="A1560" s="232">
        <v>42989</v>
      </c>
      <c r="B1560" t="s">
        <v>1938</v>
      </c>
      <c r="C1560" t="s">
        <v>2543</v>
      </c>
      <c r="D1560" s="1">
        <v>2000</v>
      </c>
      <c r="E1560" s="1">
        <v>0</v>
      </c>
      <c r="F1560">
        <v>2657474.0499999998</v>
      </c>
      <c r="G1560" s="8" t="s">
        <v>1372</v>
      </c>
      <c r="K1560" s="2"/>
      <c r="L1560" s="232">
        <v>42989</v>
      </c>
      <c r="N1560">
        <f t="shared" si="21"/>
        <v>2000</v>
      </c>
    </row>
    <row r="1561" spans="1:14" hidden="1">
      <c r="A1561" s="232">
        <v>42998</v>
      </c>
      <c r="B1561" t="s">
        <v>1938</v>
      </c>
      <c r="C1561" t="s">
        <v>2536</v>
      </c>
      <c r="D1561" s="1">
        <v>0</v>
      </c>
      <c r="E1561" s="1">
        <v>2634</v>
      </c>
      <c r="F1561">
        <v>2660108.0499999998</v>
      </c>
      <c r="G1561" s="8" t="s">
        <v>1375</v>
      </c>
      <c r="K1561" s="2"/>
      <c r="L1561" s="232">
        <v>42998</v>
      </c>
      <c r="N1561">
        <f t="shared" si="21"/>
        <v>0</v>
      </c>
    </row>
    <row r="1562" spans="1:14" hidden="1">
      <c r="A1562" s="232">
        <v>43004</v>
      </c>
      <c r="C1562" t="s">
        <v>2544</v>
      </c>
      <c r="D1562" s="1">
        <v>0</v>
      </c>
      <c r="E1562" s="1">
        <v>268437</v>
      </c>
      <c r="F1562">
        <v>2928545.05</v>
      </c>
      <c r="G1562" s="8" t="s">
        <v>1380</v>
      </c>
      <c r="K1562" s="2"/>
      <c r="L1562" s="232">
        <v>43004</v>
      </c>
      <c r="N1562">
        <f t="shared" si="21"/>
        <v>0</v>
      </c>
    </row>
    <row r="1563" spans="1:14" hidden="1">
      <c r="A1563" s="232">
        <v>43006</v>
      </c>
      <c r="B1563" t="s">
        <v>1938</v>
      </c>
      <c r="C1563" t="s">
        <v>2545</v>
      </c>
      <c r="D1563" s="1">
        <v>2000</v>
      </c>
      <c r="E1563" s="1">
        <v>0</v>
      </c>
      <c r="F1563">
        <v>2926545.05</v>
      </c>
      <c r="G1563" s="8" t="s">
        <v>1372</v>
      </c>
      <c r="K1563" s="2"/>
      <c r="L1563" s="232">
        <v>43006</v>
      </c>
      <c r="N1563">
        <f t="shared" si="21"/>
        <v>2000</v>
      </c>
    </row>
    <row r="1564" spans="1:14" hidden="1">
      <c r="A1564" s="232">
        <v>43007</v>
      </c>
      <c r="B1564" t="s">
        <v>2063</v>
      </c>
      <c r="C1564" t="s">
        <v>2546</v>
      </c>
      <c r="D1564" s="1">
        <v>5000</v>
      </c>
      <c r="E1564" s="1">
        <v>0</v>
      </c>
      <c r="F1564">
        <v>2921545.05</v>
      </c>
      <c r="G1564" s="8" t="s">
        <v>1361</v>
      </c>
      <c r="K1564" s="2"/>
      <c r="L1564" s="232">
        <v>43007</v>
      </c>
      <c r="N1564">
        <f t="shared" si="21"/>
        <v>5000</v>
      </c>
    </row>
    <row r="1565" spans="1:14" hidden="1">
      <c r="A1565" s="232">
        <v>43007</v>
      </c>
      <c r="B1565" t="s">
        <v>2063</v>
      </c>
      <c r="C1565" t="s">
        <v>2546</v>
      </c>
      <c r="D1565" s="1">
        <v>1500</v>
      </c>
      <c r="E1565" s="1">
        <v>0</v>
      </c>
      <c r="F1565">
        <v>2920045.05</v>
      </c>
      <c r="G1565" s="8" t="s">
        <v>1361</v>
      </c>
      <c r="K1565" s="2"/>
      <c r="L1565" s="232">
        <v>43007</v>
      </c>
      <c r="N1565">
        <f t="shared" si="21"/>
        <v>1500</v>
      </c>
    </row>
    <row r="1566" spans="1:14" hidden="1">
      <c r="A1566" s="232">
        <v>43007</v>
      </c>
      <c r="B1566" t="s">
        <v>2063</v>
      </c>
      <c r="C1566" t="s">
        <v>2546</v>
      </c>
      <c r="D1566" s="1">
        <v>1700</v>
      </c>
      <c r="E1566" s="1">
        <v>0</v>
      </c>
      <c r="F1566">
        <v>2918345.05</v>
      </c>
      <c r="G1566" s="8" t="s">
        <v>1361</v>
      </c>
      <c r="K1566" s="2"/>
      <c r="L1566" s="232">
        <v>43007</v>
      </c>
      <c r="N1566">
        <f t="shared" si="21"/>
        <v>1700</v>
      </c>
    </row>
    <row r="1567" spans="1:14" hidden="1">
      <c r="A1567" s="232">
        <v>43008</v>
      </c>
      <c r="C1567" t="s">
        <v>2547</v>
      </c>
      <c r="D1567" s="1">
        <v>0</v>
      </c>
      <c r="E1567" s="1">
        <v>26141</v>
      </c>
      <c r="F1567">
        <v>2944486.05</v>
      </c>
      <c r="G1567" s="8" t="s">
        <v>1368</v>
      </c>
      <c r="K1567" s="2"/>
      <c r="L1567" s="232">
        <v>43008</v>
      </c>
      <c r="N1567">
        <f t="shared" si="21"/>
        <v>0</v>
      </c>
    </row>
    <row r="1568" spans="1:14" hidden="1">
      <c r="A1568" s="232">
        <v>43011</v>
      </c>
      <c r="C1568" t="s">
        <v>2375</v>
      </c>
      <c r="D1568" s="1">
        <v>25000</v>
      </c>
      <c r="E1568" s="1">
        <v>0</v>
      </c>
      <c r="F1568">
        <v>2919486.05</v>
      </c>
      <c r="G1568" s="8" t="s">
        <v>1379</v>
      </c>
      <c r="K1568" s="2"/>
      <c r="L1568" s="232">
        <v>43011</v>
      </c>
      <c r="N1568">
        <f t="shared" si="21"/>
        <v>25000</v>
      </c>
    </row>
    <row r="1569" spans="1:14" hidden="1">
      <c r="A1569" s="232">
        <v>43012</v>
      </c>
      <c r="B1569" t="s">
        <v>1963</v>
      </c>
      <c r="C1569" t="s">
        <v>2548</v>
      </c>
      <c r="D1569" s="1">
        <v>1400</v>
      </c>
      <c r="E1569" s="1">
        <v>0</v>
      </c>
      <c r="F1569">
        <v>2918086.05</v>
      </c>
      <c r="G1569" s="8" t="s">
        <v>1361</v>
      </c>
      <c r="K1569" s="2"/>
      <c r="L1569" s="232">
        <v>43012</v>
      </c>
      <c r="N1569">
        <f t="shared" si="21"/>
        <v>1400</v>
      </c>
    </row>
    <row r="1570" spans="1:14" hidden="1">
      <c r="A1570" s="232">
        <v>43012</v>
      </c>
      <c r="B1570" t="s">
        <v>1914</v>
      </c>
      <c r="C1570" t="s">
        <v>2549</v>
      </c>
      <c r="D1570" s="1">
        <v>160</v>
      </c>
      <c r="E1570" s="1">
        <v>0</v>
      </c>
      <c r="F1570">
        <v>2917926.05</v>
      </c>
      <c r="K1570" s="2"/>
      <c r="L1570" s="232">
        <v>43012</v>
      </c>
      <c r="N1570">
        <f t="shared" si="21"/>
        <v>160</v>
      </c>
    </row>
    <row r="1571" spans="1:14" hidden="1">
      <c r="A1571" s="232">
        <v>43012</v>
      </c>
      <c r="B1571" t="s">
        <v>1997</v>
      </c>
      <c r="C1571" t="s">
        <v>2550</v>
      </c>
      <c r="D1571" s="1">
        <v>9334</v>
      </c>
      <c r="E1571" s="1">
        <v>0</v>
      </c>
      <c r="F1571">
        <v>2908592.05</v>
      </c>
      <c r="K1571" s="2"/>
      <c r="L1571" s="232">
        <v>43012</v>
      </c>
      <c r="N1571">
        <f t="shared" si="21"/>
        <v>9334</v>
      </c>
    </row>
    <row r="1572" spans="1:14" hidden="1">
      <c r="A1572" s="232">
        <v>43012</v>
      </c>
      <c r="B1572" t="s">
        <v>1914</v>
      </c>
      <c r="C1572" t="s">
        <v>2551</v>
      </c>
      <c r="D1572" s="1">
        <v>500000</v>
      </c>
      <c r="E1572" s="1">
        <v>0</v>
      </c>
      <c r="F1572">
        <v>2408592.0499999998</v>
      </c>
      <c r="G1572" s="8" t="s">
        <v>1363</v>
      </c>
      <c r="K1572" s="2"/>
      <c r="L1572" s="232">
        <v>43012</v>
      </c>
      <c r="N1572">
        <f t="shared" si="21"/>
        <v>500000</v>
      </c>
    </row>
    <row r="1573" spans="1:14" hidden="1">
      <c r="A1573" s="232">
        <v>43014</v>
      </c>
      <c r="B1573" t="s">
        <v>1914</v>
      </c>
      <c r="C1573" t="s">
        <v>2552</v>
      </c>
      <c r="D1573" s="1">
        <v>923</v>
      </c>
      <c r="E1573" s="1">
        <v>0</v>
      </c>
      <c r="F1573">
        <v>2407669.0499999998</v>
      </c>
      <c r="K1573" s="2"/>
      <c r="L1573" s="232">
        <v>43014</v>
      </c>
      <c r="N1573">
        <f t="shared" si="21"/>
        <v>923</v>
      </c>
    </row>
    <row r="1574" spans="1:14" hidden="1">
      <c r="A1574" s="232">
        <v>43017</v>
      </c>
      <c r="B1574" t="s">
        <v>1914</v>
      </c>
      <c r="C1574" t="s">
        <v>2553</v>
      </c>
      <c r="D1574" s="1">
        <v>7740</v>
      </c>
      <c r="E1574" s="1">
        <v>0</v>
      </c>
      <c r="F1574">
        <v>2399929.0499999998</v>
      </c>
      <c r="G1574" s="8" t="s">
        <v>1362</v>
      </c>
      <c r="K1574" s="2"/>
      <c r="L1574" s="232">
        <v>43017</v>
      </c>
      <c r="N1574">
        <f t="shared" si="21"/>
        <v>7740</v>
      </c>
    </row>
    <row r="1575" spans="1:14" hidden="1">
      <c r="A1575" s="232">
        <v>43017</v>
      </c>
      <c r="B1575" t="s">
        <v>1938</v>
      </c>
      <c r="C1575" t="s">
        <v>2521</v>
      </c>
      <c r="D1575" s="1">
        <v>0</v>
      </c>
      <c r="E1575" s="1">
        <v>6784.17</v>
      </c>
      <c r="F1575">
        <v>2406713.2200000002</v>
      </c>
      <c r="G1575" s="8" t="s">
        <v>1375</v>
      </c>
      <c r="K1575" s="2"/>
      <c r="L1575" s="232">
        <v>43017</v>
      </c>
      <c r="N1575">
        <f t="shared" si="21"/>
        <v>0</v>
      </c>
    </row>
    <row r="1576" spans="1:14" hidden="1">
      <c r="A1576" s="232">
        <v>43018</v>
      </c>
      <c r="B1576" t="s">
        <v>1938</v>
      </c>
      <c r="C1576" t="s">
        <v>2554</v>
      </c>
      <c r="D1576" s="1">
        <v>2000</v>
      </c>
      <c r="E1576" s="1">
        <v>0</v>
      </c>
      <c r="F1576">
        <v>2404713.2200000002</v>
      </c>
      <c r="G1576" s="8" t="s">
        <v>1372</v>
      </c>
      <c r="K1576" s="2"/>
      <c r="L1576" s="232">
        <v>43018</v>
      </c>
      <c r="N1576">
        <f t="shared" si="21"/>
        <v>2000</v>
      </c>
    </row>
    <row r="1577" spans="1:14" hidden="1">
      <c r="A1577" s="232">
        <v>43019</v>
      </c>
      <c r="B1577" t="s">
        <v>1914</v>
      </c>
      <c r="C1577" t="s">
        <v>2555</v>
      </c>
      <c r="D1577" s="1">
        <v>1000</v>
      </c>
      <c r="E1577" s="1">
        <v>0</v>
      </c>
      <c r="F1577">
        <v>2403713.2200000002</v>
      </c>
      <c r="K1577" s="2"/>
      <c r="L1577" s="232">
        <v>43019</v>
      </c>
      <c r="N1577">
        <f t="shared" si="21"/>
        <v>1000</v>
      </c>
    </row>
    <row r="1578" spans="1:14" hidden="1">
      <c r="A1578" s="232">
        <v>43020</v>
      </c>
      <c r="C1578" t="s">
        <v>2556</v>
      </c>
      <c r="D1578" s="1">
        <v>0</v>
      </c>
      <c r="E1578" s="1">
        <v>1647</v>
      </c>
      <c r="F1578">
        <v>2405360.2200000002</v>
      </c>
      <c r="G1578" s="8" t="s">
        <v>1380</v>
      </c>
      <c r="K1578" s="2"/>
      <c r="L1578" s="232">
        <v>43020</v>
      </c>
      <c r="N1578">
        <f t="shared" si="21"/>
        <v>0</v>
      </c>
    </row>
    <row r="1579" spans="1:14" hidden="1">
      <c r="A1579" s="232">
        <v>43024</v>
      </c>
      <c r="B1579" t="s">
        <v>1997</v>
      </c>
      <c r="C1579" t="s">
        <v>2557</v>
      </c>
      <c r="D1579" s="1">
        <v>25000</v>
      </c>
      <c r="E1579" s="1">
        <v>0</v>
      </c>
      <c r="F1579">
        <v>2380360.2200000002</v>
      </c>
      <c r="K1579" s="2"/>
      <c r="L1579" s="232">
        <v>43024</v>
      </c>
      <c r="N1579">
        <f t="shared" si="21"/>
        <v>25000</v>
      </c>
    </row>
    <row r="1580" spans="1:14" hidden="1">
      <c r="A1580" s="232">
        <v>43024</v>
      </c>
      <c r="B1580" t="s">
        <v>1914</v>
      </c>
      <c r="C1580" t="s">
        <v>2558</v>
      </c>
      <c r="D1580" s="1">
        <v>944</v>
      </c>
      <c r="E1580" s="1">
        <v>0</v>
      </c>
      <c r="F1580">
        <v>2379416.2200000002</v>
      </c>
      <c r="K1580" s="2"/>
      <c r="L1580" s="232">
        <v>43024</v>
      </c>
      <c r="N1580">
        <f t="shared" si="21"/>
        <v>944</v>
      </c>
    </row>
    <row r="1581" spans="1:14" hidden="1">
      <c r="A1581" s="232">
        <v>43024</v>
      </c>
      <c r="B1581" t="s">
        <v>1914</v>
      </c>
      <c r="C1581" t="s">
        <v>2559</v>
      </c>
      <c r="D1581" s="1">
        <v>121</v>
      </c>
      <c r="E1581" s="1">
        <v>0</v>
      </c>
      <c r="F1581">
        <v>2379295.2200000002</v>
      </c>
      <c r="K1581" s="2"/>
      <c r="L1581" s="232">
        <v>43024</v>
      </c>
      <c r="N1581">
        <f t="shared" si="21"/>
        <v>121</v>
      </c>
    </row>
    <row r="1582" spans="1:14" hidden="1">
      <c r="A1582" s="232">
        <v>43024</v>
      </c>
      <c r="B1582" t="s">
        <v>1914</v>
      </c>
      <c r="C1582" t="s">
        <v>2560</v>
      </c>
      <c r="D1582" s="1">
        <v>880</v>
      </c>
      <c r="E1582" s="1">
        <v>0</v>
      </c>
      <c r="F1582">
        <v>2378415.2200000002</v>
      </c>
      <c r="K1582" s="2"/>
      <c r="L1582" s="232">
        <v>43024</v>
      </c>
      <c r="N1582">
        <f t="shared" si="21"/>
        <v>880</v>
      </c>
    </row>
    <row r="1583" spans="1:14" hidden="1">
      <c r="A1583" s="232">
        <v>43026</v>
      </c>
      <c r="B1583" t="s">
        <v>2063</v>
      </c>
      <c r="C1583" t="s">
        <v>2561</v>
      </c>
      <c r="D1583" s="1">
        <v>5000</v>
      </c>
      <c r="E1583" s="1">
        <v>0</v>
      </c>
      <c r="F1583">
        <v>2373415.2200000002</v>
      </c>
      <c r="G1583" s="8" t="s">
        <v>1361</v>
      </c>
      <c r="K1583" s="2"/>
      <c r="L1583" s="232">
        <v>43026</v>
      </c>
      <c r="N1583">
        <f t="shared" si="21"/>
        <v>5000</v>
      </c>
    </row>
    <row r="1584" spans="1:14" hidden="1">
      <c r="A1584" s="232">
        <v>43027</v>
      </c>
      <c r="B1584" t="s">
        <v>1914</v>
      </c>
      <c r="C1584" t="s">
        <v>2562</v>
      </c>
      <c r="D1584" s="1">
        <v>345</v>
      </c>
      <c r="E1584" s="1">
        <v>0</v>
      </c>
      <c r="F1584">
        <v>2373070.2200000002</v>
      </c>
      <c r="K1584" s="2"/>
      <c r="L1584" s="232">
        <v>43027</v>
      </c>
      <c r="N1584">
        <f t="shared" si="21"/>
        <v>345</v>
      </c>
    </row>
    <row r="1585" spans="1:14" hidden="1">
      <c r="A1585" s="232">
        <v>43028</v>
      </c>
      <c r="B1585" t="s">
        <v>1914</v>
      </c>
      <c r="C1585" t="s">
        <v>2563</v>
      </c>
      <c r="D1585" s="1">
        <v>2000</v>
      </c>
      <c r="E1585" s="1">
        <v>0</v>
      </c>
      <c r="F1585">
        <v>2371070.2200000002</v>
      </c>
      <c r="K1585" s="2"/>
      <c r="L1585" s="232">
        <v>43028</v>
      </c>
      <c r="N1585">
        <f t="shared" si="21"/>
        <v>2000</v>
      </c>
    </row>
    <row r="1586" spans="1:14" hidden="1">
      <c r="A1586" s="232">
        <v>43029</v>
      </c>
      <c r="B1586" t="s">
        <v>1914</v>
      </c>
      <c r="C1586" t="s">
        <v>2564</v>
      </c>
      <c r="D1586" s="1">
        <v>170</v>
      </c>
      <c r="E1586" s="1">
        <v>0</v>
      </c>
      <c r="F1586">
        <v>2370900.2200000002</v>
      </c>
      <c r="K1586" s="2"/>
      <c r="L1586" s="232">
        <v>43029</v>
      </c>
      <c r="N1586">
        <f t="shared" si="21"/>
        <v>170</v>
      </c>
    </row>
    <row r="1587" spans="1:14" hidden="1">
      <c r="A1587" s="232">
        <v>43031</v>
      </c>
      <c r="B1587" t="s">
        <v>1914</v>
      </c>
      <c r="C1587" t="s">
        <v>2565</v>
      </c>
      <c r="D1587" s="1">
        <v>390</v>
      </c>
      <c r="E1587" s="1">
        <v>0</v>
      </c>
      <c r="F1587">
        <v>2370510.2200000002</v>
      </c>
      <c r="K1587" s="2"/>
      <c r="L1587" s="232">
        <v>43031</v>
      </c>
      <c r="N1587">
        <f t="shared" si="21"/>
        <v>390</v>
      </c>
    </row>
    <row r="1588" spans="1:14" hidden="1">
      <c r="A1588" s="232">
        <v>43031</v>
      </c>
      <c r="B1588" t="s">
        <v>1938</v>
      </c>
      <c r="C1588" t="s">
        <v>2536</v>
      </c>
      <c r="D1588" s="1">
        <v>0</v>
      </c>
      <c r="E1588" s="1">
        <v>2634</v>
      </c>
      <c r="F1588">
        <v>2373144.2200000002</v>
      </c>
      <c r="G1588" s="8" t="s">
        <v>1375</v>
      </c>
      <c r="K1588" s="2"/>
      <c r="L1588" s="232">
        <v>43031</v>
      </c>
      <c r="N1588">
        <f t="shared" si="21"/>
        <v>0</v>
      </c>
    </row>
    <row r="1589" spans="1:14" hidden="1">
      <c r="A1589" s="232">
        <v>43034</v>
      </c>
      <c r="C1589" t="s">
        <v>2566</v>
      </c>
      <c r="D1589" s="1">
        <v>0</v>
      </c>
      <c r="E1589" s="1">
        <v>268437</v>
      </c>
      <c r="F1589">
        <v>2641581.2200000002</v>
      </c>
      <c r="G1589" s="8" t="s">
        <v>1380</v>
      </c>
      <c r="K1589" s="2"/>
      <c r="L1589" s="232">
        <v>43034</v>
      </c>
      <c r="N1589">
        <f t="shared" si="21"/>
        <v>0</v>
      </c>
    </row>
    <row r="1590" spans="1:14" hidden="1">
      <c r="A1590" s="232">
        <v>43035</v>
      </c>
      <c r="B1590" t="s">
        <v>1914</v>
      </c>
      <c r="C1590" t="s">
        <v>2567</v>
      </c>
      <c r="D1590" s="1">
        <v>500000</v>
      </c>
      <c r="E1590" s="1">
        <v>0</v>
      </c>
      <c r="F1590">
        <v>2141581.2200000002</v>
      </c>
      <c r="G1590" s="8" t="s">
        <v>1372</v>
      </c>
      <c r="K1590" s="2"/>
      <c r="L1590" s="232">
        <v>43035</v>
      </c>
      <c r="N1590">
        <f t="shared" si="21"/>
        <v>500000</v>
      </c>
    </row>
    <row r="1591" spans="1:14" hidden="1">
      <c r="A1591" s="232">
        <v>43038</v>
      </c>
      <c r="B1591" t="s">
        <v>1963</v>
      </c>
      <c r="C1591" t="s">
        <v>2568</v>
      </c>
      <c r="D1591" s="1">
        <v>3000</v>
      </c>
      <c r="E1591" s="1">
        <v>0</v>
      </c>
      <c r="F1591">
        <v>2138581.2200000002</v>
      </c>
      <c r="G1591" s="8" t="s">
        <v>1361</v>
      </c>
      <c r="K1591" s="2"/>
      <c r="L1591" s="232">
        <v>43038</v>
      </c>
      <c r="N1591">
        <f t="shared" si="21"/>
        <v>3000</v>
      </c>
    </row>
    <row r="1592" spans="1:14" hidden="1">
      <c r="A1592" s="232">
        <v>43038</v>
      </c>
      <c r="B1592" t="s">
        <v>1938</v>
      </c>
      <c r="C1592" t="s">
        <v>2569</v>
      </c>
      <c r="D1592" s="1">
        <v>2000</v>
      </c>
      <c r="E1592" s="1">
        <v>0</v>
      </c>
      <c r="F1592">
        <v>2136581.2200000002</v>
      </c>
      <c r="G1592" s="8" t="s">
        <v>1372</v>
      </c>
      <c r="K1592" s="2"/>
      <c r="L1592" s="232">
        <v>43038</v>
      </c>
      <c r="N1592">
        <f t="shared" si="21"/>
        <v>2000</v>
      </c>
    </row>
    <row r="1593" spans="1:14" hidden="1">
      <c r="A1593" s="232">
        <v>43042</v>
      </c>
      <c r="B1593" t="s">
        <v>1997</v>
      </c>
      <c r="C1593" t="s">
        <v>2570</v>
      </c>
      <c r="D1593" s="1">
        <v>9299</v>
      </c>
      <c r="E1593" s="1">
        <v>0</v>
      </c>
      <c r="F1593">
        <v>2127282.2200000002</v>
      </c>
      <c r="K1593" s="2"/>
      <c r="L1593" s="232">
        <v>43042</v>
      </c>
      <c r="N1593">
        <f t="shared" si="21"/>
        <v>9299</v>
      </c>
    </row>
    <row r="1594" spans="1:14" hidden="1">
      <c r="A1594" s="232">
        <v>43046</v>
      </c>
      <c r="B1594" t="s">
        <v>1914</v>
      </c>
      <c r="C1594" t="s">
        <v>2571</v>
      </c>
      <c r="D1594" s="1">
        <v>15327</v>
      </c>
      <c r="E1594" s="1">
        <v>0</v>
      </c>
      <c r="F1594">
        <v>2111955.2200000002</v>
      </c>
      <c r="G1594" s="8" t="s">
        <v>1362</v>
      </c>
      <c r="K1594" s="2"/>
      <c r="L1594" s="232">
        <v>43046</v>
      </c>
      <c r="N1594">
        <f t="shared" si="21"/>
        <v>15327</v>
      </c>
    </row>
    <row r="1595" spans="1:14" hidden="1">
      <c r="A1595" s="232">
        <v>43046</v>
      </c>
      <c r="B1595" t="s">
        <v>1938</v>
      </c>
      <c r="C1595" t="s">
        <v>2521</v>
      </c>
      <c r="D1595" s="1">
        <v>0</v>
      </c>
      <c r="E1595" s="1">
        <v>11399.55</v>
      </c>
      <c r="F1595">
        <v>2123354.77</v>
      </c>
      <c r="G1595" s="8" t="s">
        <v>1375</v>
      </c>
      <c r="K1595" s="2"/>
      <c r="L1595" s="232">
        <v>43046</v>
      </c>
      <c r="N1595">
        <f t="shared" si="21"/>
        <v>0</v>
      </c>
    </row>
    <row r="1596" spans="1:14" hidden="1">
      <c r="A1596" s="232">
        <v>43048</v>
      </c>
      <c r="C1596" t="s">
        <v>2572</v>
      </c>
      <c r="D1596" s="1">
        <v>0</v>
      </c>
      <c r="E1596" s="1">
        <v>11241</v>
      </c>
      <c r="F1596">
        <v>2134595.77</v>
      </c>
      <c r="G1596" s="8" t="s">
        <v>1380</v>
      </c>
      <c r="K1596" s="2"/>
      <c r="L1596" s="232">
        <v>43048</v>
      </c>
      <c r="N1596">
        <f t="shared" si="21"/>
        <v>0</v>
      </c>
    </row>
    <row r="1597" spans="1:14" hidden="1">
      <c r="A1597" s="232">
        <v>43049</v>
      </c>
      <c r="B1597" t="s">
        <v>1938</v>
      </c>
      <c r="C1597" t="s">
        <v>2573</v>
      </c>
      <c r="D1597" s="1">
        <v>2000</v>
      </c>
      <c r="E1597" s="1">
        <v>0</v>
      </c>
      <c r="F1597">
        <v>2132595.77</v>
      </c>
      <c r="G1597" s="8" t="s">
        <v>1372</v>
      </c>
      <c r="K1597" s="2"/>
      <c r="L1597" s="232">
        <v>43049</v>
      </c>
      <c r="N1597">
        <f t="shared" si="21"/>
        <v>2000</v>
      </c>
    </row>
    <row r="1598" spans="1:14" hidden="1">
      <c r="A1598" s="232">
        <v>43060</v>
      </c>
      <c r="B1598" t="s">
        <v>1938</v>
      </c>
      <c r="C1598" t="s">
        <v>2536</v>
      </c>
      <c r="D1598" s="1">
        <v>0</v>
      </c>
      <c r="E1598" s="1">
        <v>2634</v>
      </c>
      <c r="F1598">
        <v>2135229.77</v>
      </c>
      <c r="G1598" s="8" t="s">
        <v>1375</v>
      </c>
      <c r="K1598" s="2"/>
      <c r="L1598" s="232">
        <v>43060</v>
      </c>
      <c r="N1598">
        <f t="shared" si="21"/>
        <v>0</v>
      </c>
    </row>
    <row r="1599" spans="1:14" hidden="1">
      <c r="A1599" s="232">
        <v>43063</v>
      </c>
      <c r="C1599" t="s">
        <v>2574</v>
      </c>
      <c r="D1599" s="1">
        <v>0</v>
      </c>
      <c r="E1599" s="1">
        <v>268437</v>
      </c>
      <c r="F1599">
        <v>2403666.77</v>
      </c>
      <c r="G1599" s="8" t="s">
        <v>1380</v>
      </c>
      <c r="K1599" s="2"/>
      <c r="L1599" s="232">
        <v>43063</v>
      </c>
      <c r="N1599">
        <f t="shared" si="21"/>
        <v>0</v>
      </c>
    </row>
    <row r="1600" spans="1:14" hidden="1">
      <c r="A1600" s="232">
        <v>43066</v>
      </c>
      <c r="B1600" t="s">
        <v>1963</v>
      </c>
      <c r="C1600" t="s">
        <v>2575</v>
      </c>
      <c r="D1600" s="1">
        <v>3000</v>
      </c>
      <c r="E1600" s="1">
        <v>0</v>
      </c>
      <c r="F1600">
        <v>2400666.77</v>
      </c>
      <c r="G1600" s="8" t="s">
        <v>1361</v>
      </c>
      <c r="K1600" s="2"/>
      <c r="L1600" s="232">
        <v>43066</v>
      </c>
      <c r="N1600">
        <f t="shared" si="21"/>
        <v>3000</v>
      </c>
    </row>
    <row r="1601" spans="1:14" hidden="1">
      <c r="A1601" s="232">
        <v>43066</v>
      </c>
      <c r="C1601" t="s">
        <v>2576</v>
      </c>
      <c r="D1601" s="1">
        <v>0</v>
      </c>
      <c r="E1601" s="1">
        <v>392379</v>
      </c>
      <c r="F1601">
        <v>2793045.77</v>
      </c>
      <c r="G1601" s="8" t="s">
        <v>1379</v>
      </c>
      <c r="K1601" s="2"/>
      <c r="L1601" s="232">
        <v>43066</v>
      </c>
      <c r="N1601">
        <f t="shared" si="21"/>
        <v>0</v>
      </c>
    </row>
    <row r="1602" spans="1:14" hidden="1">
      <c r="A1602" s="232">
        <v>43067</v>
      </c>
      <c r="B1602" t="s">
        <v>1938</v>
      </c>
      <c r="C1602" t="s">
        <v>2577</v>
      </c>
      <c r="D1602" s="1">
        <v>2000</v>
      </c>
      <c r="E1602" s="1">
        <v>0</v>
      </c>
      <c r="F1602">
        <v>2791045.77</v>
      </c>
      <c r="G1602" s="8" t="s">
        <v>1372</v>
      </c>
      <c r="K1602" s="2"/>
      <c r="L1602" s="232">
        <v>43067</v>
      </c>
      <c r="N1602">
        <f t="shared" si="21"/>
        <v>2000</v>
      </c>
    </row>
    <row r="1603" spans="1:14" hidden="1">
      <c r="A1603" s="232">
        <v>43069</v>
      </c>
      <c r="B1603" t="s">
        <v>1914</v>
      </c>
      <c r="C1603" t="s">
        <v>2578</v>
      </c>
      <c r="D1603" s="1">
        <v>300000</v>
      </c>
      <c r="E1603" s="1">
        <v>0</v>
      </c>
      <c r="F1603">
        <v>2491045.77</v>
      </c>
      <c r="G1603" s="8" t="s">
        <v>1372</v>
      </c>
      <c r="K1603" s="2"/>
      <c r="L1603" s="232">
        <v>43069</v>
      </c>
      <c r="N1603">
        <f t="shared" si="21"/>
        <v>300000</v>
      </c>
    </row>
    <row r="1604" spans="1:14" hidden="1">
      <c r="A1604" s="232">
        <v>43069</v>
      </c>
      <c r="B1604" t="s">
        <v>1938</v>
      </c>
      <c r="C1604" t="s">
        <v>2579</v>
      </c>
      <c r="D1604" s="1">
        <v>300000</v>
      </c>
      <c r="E1604" s="1">
        <v>0</v>
      </c>
      <c r="F1604">
        <v>2191045.77</v>
      </c>
      <c r="G1604" s="8" t="s">
        <v>1381</v>
      </c>
      <c r="K1604" s="2"/>
      <c r="L1604" s="232">
        <v>43069</v>
      </c>
      <c r="N1604">
        <f t="shared" si="21"/>
        <v>300000</v>
      </c>
    </row>
    <row r="1605" spans="1:14" hidden="1">
      <c r="A1605" s="232">
        <v>43073</v>
      </c>
      <c r="B1605" t="s">
        <v>1997</v>
      </c>
      <c r="C1605" t="s">
        <v>2580</v>
      </c>
      <c r="D1605" s="1">
        <v>9512</v>
      </c>
      <c r="E1605" s="1">
        <v>0</v>
      </c>
      <c r="F1605">
        <v>2181533.77</v>
      </c>
      <c r="K1605" s="2"/>
      <c r="L1605" s="232">
        <v>43073</v>
      </c>
      <c r="N1605">
        <f t="shared" si="21"/>
        <v>9512</v>
      </c>
    </row>
    <row r="1606" spans="1:14" hidden="1">
      <c r="A1606" s="232">
        <v>43073</v>
      </c>
      <c r="B1606" t="s">
        <v>1914</v>
      </c>
      <c r="C1606" t="s">
        <v>2581</v>
      </c>
      <c r="D1606" s="1">
        <v>13446.51</v>
      </c>
      <c r="E1606" s="1">
        <v>0</v>
      </c>
      <c r="F1606">
        <v>2168087.2599999998</v>
      </c>
      <c r="G1606" s="8" t="s">
        <v>1362</v>
      </c>
      <c r="K1606" s="2"/>
      <c r="L1606" s="232">
        <v>43073</v>
      </c>
      <c r="N1606">
        <f t="shared" si="21"/>
        <v>13446.51</v>
      </c>
    </row>
    <row r="1607" spans="1:14" hidden="1">
      <c r="A1607" s="232">
        <v>43080</v>
      </c>
      <c r="B1607" t="s">
        <v>1914</v>
      </c>
      <c r="C1607" t="s">
        <v>2582</v>
      </c>
      <c r="D1607" s="1">
        <v>720</v>
      </c>
      <c r="E1607" s="1">
        <v>0</v>
      </c>
      <c r="F1607">
        <v>2167367.2599999998</v>
      </c>
      <c r="K1607" s="2"/>
      <c r="L1607" s="232">
        <v>43080</v>
      </c>
      <c r="N1607">
        <f t="shared" si="21"/>
        <v>720</v>
      </c>
    </row>
    <row r="1608" spans="1:14" hidden="1">
      <c r="A1608" s="232">
        <v>43080</v>
      </c>
      <c r="B1608" t="s">
        <v>1938</v>
      </c>
      <c r="C1608" t="s">
        <v>2583</v>
      </c>
      <c r="D1608" s="1">
        <v>2000</v>
      </c>
      <c r="E1608" s="1">
        <v>0</v>
      </c>
      <c r="F1608">
        <v>2165367.2599999998</v>
      </c>
      <c r="G1608" s="8" t="s">
        <v>1372</v>
      </c>
      <c r="K1608" s="2"/>
      <c r="L1608" s="232">
        <v>43080</v>
      </c>
      <c r="N1608">
        <f t="shared" si="21"/>
        <v>2000</v>
      </c>
    </row>
    <row r="1609" spans="1:14" hidden="1">
      <c r="A1609" s="232">
        <v>43080</v>
      </c>
      <c r="B1609" t="s">
        <v>1938</v>
      </c>
      <c r="C1609" t="s">
        <v>2521</v>
      </c>
      <c r="D1609" s="1">
        <v>0</v>
      </c>
      <c r="E1609" s="1">
        <v>11399.55</v>
      </c>
      <c r="F1609">
        <v>2176766.81</v>
      </c>
      <c r="G1609" s="8" t="s">
        <v>1375</v>
      </c>
      <c r="K1609" s="2"/>
      <c r="L1609" s="232">
        <v>43080</v>
      </c>
      <c r="N1609">
        <f t="shared" si="21"/>
        <v>0</v>
      </c>
    </row>
    <row r="1610" spans="1:14" hidden="1">
      <c r="A1610" s="232">
        <v>43089</v>
      </c>
      <c r="B1610" t="s">
        <v>1938</v>
      </c>
      <c r="C1610" t="s">
        <v>2536</v>
      </c>
      <c r="D1610" s="1">
        <v>0</v>
      </c>
      <c r="E1610" s="1">
        <v>2634</v>
      </c>
      <c r="F1610">
        <v>2179400.81</v>
      </c>
      <c r="G1610" s="8" t="s">
        <v>1375</v>
      </c>
      <c r="K1610" s="2"/>
      <c r="L1610" s="232">
        <v>43089</v>
      </c>
      <c r="N1610">
        <f t="shared" si="21"/>
        <v>0</v>
      </c>
    </row>
    <row r="1611" spans="1:14" hidden="1">
      <c r="A1611" s="232">
        <v>43095</v>
      </c>
      <c r="C1611" t="s">
        <v>2584</v>
      </c>
      <c r="D1611" s="1">
        <v>0</v>
      </c>
      <c r="E1611" s="1">
        <v>820</v>
      </c>
      <c r="F1611">
        <v>2180220.81</v>
      </c>
      <c r="G1611" s="8" t="s">
        <v>1380</v>
      </c>
      <c r="K1611" s="2"/>
      <c r="L1611" s="232">
        <v>43095</v>
      </c>
      <c r="N1611">
        <f t="shared" ref="N1611:N1674" si="22">D1611*1</f>
        <v>0</v>
      </c>
    </row>
    <row r="1612" spans="1:14" hidden="1">
      <c r="A1612" s="232">
        <v>43095</v>
      </c>
      <c r="C1612" t="s">
        <v>2585</v>
      </c>
      <c r="D1612" s="1">
        <v>0</v>
      </c>
      <c r="E1612" s="1">
        <v>302986</v>
      </c>
      <c r="F1612">
        <v>2483206.81</v>
      </c>
      <c r="G1612" s="8" t="s">
        <v>1380</v>
      </c>
      <c r="K1612" s="2"/>
      <c r="L1612" s="232">
        <v>43095</v>
      </c>
      <c r="N1612">
        <f t="shared" si="22"/>
        <v>0</v>
      </c>
    </row>
    <row r="1613" spans="1:14" hidden="1">
      <c r="A1613" s="232">
        <v>43097</v>
      </c>
      <c r="B1613" t="s">
        <v>1938</v>
      </c>
      <c r="C1613" t="s">
        <v>2586</v>
      </c>
      <c r="D1613" s="1">
        <v>2000</v>
      </c>
      <c r="E1613" s="1">
        <v>0</v>
      </c>
      <c r="F1613">
        <v>2481206.81</v>
      </c>
      <c r="G1613" s="8" t="s">
        <v>1372</v>
      </c>
      <c r="K1613" s="2"/>
      <c r="L1613" s="232">
        <v>43097</v>
      </c>
      <c r="N1613">
        <f t="shared" si="22"/>
        <v>2000</v>
      </c>
    </row>
    <row r="1614" spans="1:14" hidden="1">
      <c r="A1614" s="232">
        <v>43099</v>
      </c>
      <c r="C1614" t="s">
        <v>2587</v>
      </c>
      <c r="D1614" s="1">
        <v>0</v>
      </c>
      <c r="E1614" s="1">
        <v>20019</v>
      </c>
      <c r="F1614">
        <v>2501225.81</v>
      </c>
      <c r="G1614" s="8" t="s">
        <v>1368</v>
      </c>
      <c r="K1614" s="2"/>
      <c r="L1614" s="232">
        <v>43099</v>
      </c>
      <c r="N1614">
        <f t="shared" si="22"/>
        <v>0</v>
      </c>
    </row>
    <row r="1615" spans="1:14" hidden="1">
      <c r="A1615" s="232">
        <v>43102</v>
      </c>
      <c r="B1615" t="s">
        <v>1914</v>
      </c>
      <c r="C1615" t="s">
        <v>2588</v>
      </c>
      <c r="D1615" s="1">
        <v>6583.25</v>
      </c>
      <c r="E1615" s="1">
        <v>0</v>
      </c>
      <c r="F1615">
        <v>2494642.56</v>
      </c>
      <c r="G1615" s="8" t="s">
        <v>1362</v>
      </c>
      <c r="K1615" s="2"/>
      <c r="L1615" s="232">
        <v>43102</v>
      </c>
      <c r="N1615">
        <f t="shared" si="22"/>
        <v>6583.25</v>
      </c>
    </row>
    <row r="1616" spans="1:14" hidden="1">
      <c r="A1616" s="232">
        <v>43103</v>
      </c>
      <c r="B1616" t="s">
        <v>1997</v>
      </c>
      <c r="C1616" t="s">
        <v>2589</v>
      </c>
      <c r="D1616" s="1">
        <v>10003</v>
      </c>
      <c r="E1616" s="1">
        <v>0</v>
      </c>
      <c r="F1616">
        <v>2484639.56</v>
      </c>
      <c r="K1616" s="2"/>
      <c r="L1616" s="232">
        <v>43103</v>
      </c>
      <c r="N1616">
        <f t="shared" si="22"/>
        <v>10003</v>
      </c>
    </row>
    <row r="1617" spans="1:14" hidden="1">
      <c r="A1617" s="232">
        <v>43103</v>
      </c>
      <c r="B1617" t="s">
        <v>1914</v>
      </c>
      <c r="C1617" t="s">
        <v>2590</v>
      </c>
      <c r="D1617" s="1">
        <v>5622</v>
      </c>
      <c r="E1617" s="1">
        <v>0</v>
      </c>
      <c r="F1617">
        <v>2479017.56</v>
      </c>
      <c r="G1617" s="8" t="s">
        <v>1370</v>
      </c>
      <c r="K1617" s="2"/>
      <c r="L1617" s="232">
        <v>43103</v>
      </c>
      <c r="N1617">
        <f t="shared" si="22"/>
        <v>5622</v>
      </c>
    </row>
    <row r="1618" spans="1:14" hidden="1">
      <c r="A1618" s="232">
        <v>43108</v>
      </c>
      <c r="B1618" t="s">
        <v>1963</v>
      </c>
      <c r="C1618" t="s">
        <v>2591</v>
      </c>
      <c r="D1618" s="1">
        <v>400</v>
      </c>
      <c r="E1618" s="1">
        <v>0</v>
      </c>
      <c r="F1618">
        <v>2478617.56</v>
      </c>
      <c r="G1618" s="8" t="s">
        <v>1361</v>
      </c>
      <c r="K1618" s="2"/>
      <c r="L1618" s="232">
        <v>43108</v>
      </c>
      <c r="N1618">
        <f t="shared" si="22"/>
        <v>400</v>
      </c>
    </row>
    <row r="1619" spans="1:14" hidden="1">
      <c r="A1619" s="232">
        <v>43108</v>
      </c>
      <c r="B1619" t="s">
        <v>1963</v>
      </c>
      <c r="C1619" t="s">
        <v>2591</v>
      </c>
      <c r="D1619" s="1">
        <v>400</v>
      </c>
      <c r="E1619" s="1">
        <v>0</v>
      </c>
      <c r="F1619">
        <v>2478217.56</v>
      </c>
      <c r="G1619" s="8" t="s">
        <v>1361</v>
      </c>
      <c r="K1619" s="2"/>
      <c r="L1619" s="232">
        <v>43108</v>
      </c>
      <c r="N1619">
        <f t="shared" si="22"/>
        <v>400</v>
      </c>
    </row>
    <row r="1620" spans="1:14" hidden="1">
      <c r="A1620" s="232">
        <v>43109</v>
      </c>
      <c r="B1620" t="s">
        <v>1938</v>
      </c>
      <c r="C1620" t="s">
        <v>2521</v>
      </c>
      <c r="D1620" s="1">
        <v>0</v>
      </c>
      <c r="E1620" s="1">
        <v>11399.55</v>
      </c>
      <c r="F1620">
        <v>2489617.11</v>
      </c>
      <c r="G1620" s="8" t="s">
        <v>1375</v>
      </c>
      <c r="K1620" s="2"/>
      <c r="L1620" s="232">
        <v>43109</v>
      </c>
      <c r="N1620">
        <f t="shared" si="22"/>
        <v>0</v>
      </c>
    </row>
    <row r="1621" spans="1:14" hidden="1">
      <c r="A1621" s="232">
        <v>43110</v>
      </c>
      <c r="B1621" t="s">
        <v>1938</v>
      </c>
      <c r="C1621" t="s">
        <v>2592</v>
      </c>
      <c r="D1621" s="1">
        <v>2000</v>
      </c>
      <c r="E1621" s="1">
        <v>0</v>
      </c>
      <c r="F1621">
        <v>2487617.11</v>
      </c>
      <c r="G1621" s="8" t="s">
        <v>1372</v>
      </c>
      <c r="K1621" s="2"/>
      <c r="L1621" s="232">
        <v>43110</v>
      </c>
      <c r="N1621">
        <f t="shared" si="22"/>
        <v>2000</v>
      </c>
    </row>
    <row r="1622" spans="1:14" hidden="1">
      <c r="A1622" s="232">
        <v>43116</v>
      </c>
      <c r="B1622" t="s">
        <v>1914</v>
      </c>
      <c r="C1622" t="s">
        <v>2593</v>
      </c>
      <c r="D1622" s="1">
        <v>250000</v>
      </c>
      <c r="E1622" s="1">
        <v>0</v>
      </c>
      <c r="F1622">
        <v>2237617.11</v>
      </c>
      <c r="G1622" s="8" t="s">
        <v>1372</v>
      </c>
      <c r="K1622" s="2"/>
      <c r="L1622" s="232">
        <v>43116</v>
      </c>
      <c r="N1622">
        <f t="shared" si="22"/>
        <v>250000</v>
      </c>
    </row>
    <row r="1623" spans="1:14" hidden="1">
      <c r="A1623" s="232">
        <v>43116</v>
      </c>
      <c r="B1623" t="s">
        <v>1914</v>
      </c>
      <c r="C1623" t="s">
        <v>2594</v>
      </c>
      <c r="D1623" s="1">
        <v>250000</v>
      </c>
      <c r="E1623" s="1">
        <v>0</v>
      </c>
      <c r="F1623">
        <v>1987617.11</v>
      </c>
      <c r="G1623" s="8" t="s">
        <v>1372</v>
      </c>
      <c r="K1623" s="2"/>
      <c r="L1623" s="232">
        <v>43116</v>
      </c>
      <c r="N1623">
        <f t="shared" si="22"/>
        <v>250000</v>
      </c>
    </row>
    <row r="1624" spans="1:14" hidden="1">
      <c r="A1624" s="232">
        <v>43119</v>
      </c>
      <c r="B1624" t="s">
        <v>1938</v>
      </c>
      <c r="C1624" t="s">
        <v>2521</v>
      </c>
      <c r="D1624" s="1">
        <v>0</v>
      </c>
      <c r="E1624" s="1">
        <v>22500</v>
      </c>
      <c r="F1624">
        <v>2010117.11</v>
      </c>
      <c r="G1624" s="8" t="s">
        <v>1375</v>
      </c>
      <c r="K1624" s="2"/>
      <c r="L1624" s="232">
        <v>43119</v>
      </c>
      <c r="N1624">
        <f t="shared" si="22"/>
        <v>0</v>
      </c>
    </row>
    <row r="1625" spans="1:14" hidden="1">
      <c r="A1625" s="232">
        <v>43122</v>
      </c>
      <c r="B1625" t="s">
        <v>1938</v>
      </c>
      <c r="C1625" t="s">
        <v>2536</v>
      </c>
      <c r="D1625" s="1">
        <v>0</v>
      </c>
      <c r="E1625" s="1">
        <v>2634</v>
      </c>
      <c r="F1625">
        <v>2012751.11</v>
      </c>
      <c r="G1625" s="8" t="s">
        <v>1375</v>
      </c>
      <c r="K1625" s="2"/>
      <c r="L1625" s="232">
        <v>43122</v>
      </c>
      <c r="N1625">
        <f t="shared" si="22"/>
        <v>0</v>
      </c>
    </row>
    <row r="1626" spans="1:14" hidden="1">
      <c r="A1626" s="232">
        <v>43123</v>
      </c>
      <c r="C1626" t="s">
        <v>2595</v>
      </c>
      <c r="D1626" s="1">
        <v>0</v>
      </c>
      <c r="E1626" s="1">
        <v>200000</v>
      </c>
      <c r="F1626">
        <v>2212751.11</v>
      </c>
      <c r="K1626" s="2"/>
      <c r="L1626" s="232">
        <v>43123</v>
      </c>
      <c r="N1626">
        <f t="shared" si="22"/>
        <v>0</v>
      </c>
    </row>
    <row r="1627" spans="1:14" hidden="1">
      <c r="A1627" s="232">
        <v>43123</v>
      </c>
      <c r="C1627" t="s">
        <v>2596</v>
      </c>
      <c r="D1627" s="1">
        <v>200000</v>
      </c>
      <c r="E1627" s="1">
        <v>0</v>
      </c>
      <c r="F1627">
        <v>2012751.11</v>
      </c>
      <c r="K1627" s="2"/>
      <c r="L1627" s="232">
        <v>43123</v>
      </c>
      <c r="N1627">
        <f t="shared" si="22"/>
        <v>200000</v>
      </c>
    </row>
    <row r="1628" spans="1:14" hidden="1">
      <c r="A1628" s="232">
        <v>43124</v>
      </c>
      <c r="B1628" t="s">
        <v>2063</v>
      </c>
      <c r="C1628" t="s">
        <v>2597</v>
      </c>
      <c r="D1628" s="1">
        <v>20000</v>
      </c>
      <c r="E1628" s="1">
        <v>0</v>
      </c>
      <c r="F1628">
        <v>1992751.11</v>
      </c>
      <c r="G1628" s="8" t="s">
        <v>1361</v>
      </c>
      <c r="K1628" s="2"/>
      <c r="L1628" s="232">
        <v>43124</v>
      </c>
      <c r="N1628">
        <f t="shared" si="22"/>
        <v>20000</v>
      </c>
    </row>
    <row r="1629" spans="1:14" hidden="1">
      <c r="A1629" s="232">
        <v>43125</v>
      </c>
      <c r="C1629" t="s">
        <v>2598</v>
      </c>
      <c r="D1629" s="1">
        <v>0</v>
      </c>
      <c r="E1629" s="1">
        <v>268437</v>
      </c>
      <c r="F1629">
        <v>2261188.11</v>
      </c>
      <c r="G1629" s="8" t="s">
        <v>1380</v>
      </c>
      <c r="K1629" s="2"/>
      <c r="L1629" s="232">
        <v>43125</v>
      </c>
      <c r="N1629">
        <f t="shared" si="22"/>
        <v>0</v>
      </c>
    </row>
    <row r="1630" spans="1:14" hidden="1">
      <c r="A1630" s="232">
        <v>43129</v>
      </c>
      <c r="B1630" t="s">
        <v>1938</v>
      </c>
      <c r="C1630" t="s">
        <v>2599</v>
      </c>
      <c r="D1630" s="1">
        <v>2000</v>
      </c>
      <c r="E1630" s="1">
        <v>0</v>
      </c>
      <c r="F1630">
        <v>2259188.11</v>
      </c>
      <c r="G1630" s="8" t="s">
        <v>1372</v>
      </c>
      <c r="K1630" s="2"/>
      <c r="L1630" s="232">
        <v>43129</v>
      </c>
      <c r="N1630">
        <f t="shared" si="22"/>
        <v>2000</v>
      </c>
    </row>
    <row r="1631" spans="1:14" hidden="1">
      <c r="A1631" s="232">
        <v>43132</v>
      </c>
      <c r="C1631" t="s">
        <v>2600</v>
      </c>
      <c r="D1631" s="1">
        <v>0</v>
      </c>
      <c r="E1631" s="1">
        <v>6400</v>
      </c>
      <c r="F1631">
        <v>2265588.11</v>
      </c>
      <c r="G1631" s="8" t="s">
        <v>1380</v>
      </c>
      <c r="K1631" s="2"/>
      <c r="L1631" s="232">
        <v>43132</v>
      </c>
      <c r="N1631">
        <f t="shared" si="22"/>
        <v>0</v>
      </c>
    </row>
    <row r="1632" spans="1:14" hidden="1">
      <c r="A1632" s="232">
        <v>43134</v>
      </c>
      <c r="B1632" t="s">
        <v>1997</v>
      </c>
      <c r="C1632" t="s">
        <v>2601</v>
      </c>
      <c r="D1632" s="1">
        <v>8693</v>
      </c>
      <c r="E1632" s="1">
        <v>0</v>
      </c>
      <c r="F1632">
        <v>2256895.11</v>
      </c>
      <c r="K1632" s="2"/>
      <c r="L1632" s="232">
        <v>43134</v>
      </c>
      <c r="N1632">
        <f t="shared" si="22"/>
        <v>8693</v>
      </c>
    </row>
    <row r="1633" spans="1:14" hidden="1">
      <c r="A1633" s="232">
        <v>43134</v>
      </c>
      <c r="B1633" t="s">
        <v>1914</v>
      </c>
      <c r="C1633" t="s">
        <v>2602</v>
      </c>
      <c r="D1633" s="1">
        <v>120910.73</v>
      </c>
      <c r="E1633" s="1">
        <v>0</v>
      </c>
      <c r="F1633">
        <v>2135984.38</v>
      </c>
      <c r="G1633" s="8" t="s">
        <v>1362</v>
      </c>
      <c r="K1633" s="2"/>
      <c r="L1633" s="232">
        <v>43134</v>
      </c>
      <c r="N1633">
        <f t="shared" si="22"/>
        <v>120910.73</v>
      </c>
    </row>
    <row r="1634" spans="1:14" hidden="1">
      <c r="A1634" s="232">
        <v>43143</v>
      </c>
      <c r="B1634" t="s">
        <v>1938</v>
      </c>
      <c r="C1634" t="s">
        <v>2603</v>
      </c>
      <c r="D1634" s="1">
        <v>2000</v>
      </c>
      <c r="E1634" s="1">
        <v>0</v>
      </c>
      <c r="F1634">
        <v>2133984.38</v>
      </c>
      <c r="G1634" s="8" t="s">
        <v>1372</v>
      </c>
      <c r="K1634" s="2"/>
      <c r="L1634" s="232">
        <v>43143</v>
      </c>
      <c r="N1634">
        <f t="shared" si="22"/>
        <v>2000</v>
      </c>
    </row>
    <row r="1635" spans="1:14" hidden="1">
      <c r="A1635" s="232">
        <v>43143</v>
      </c>
      <c r="B1635" t="s">
        <v>1938</v>
      </c>
      <c r="C1635" t="s">
        <v>2604</v>
      </c>
      <c r="D1635" s="1">
        <v>0</v>
      </c>
      <c r="E1635" s="1">
        <v>11399.55</v>
      </c>
      <c r="F1635">
        <v>2145383.9300000002</v>
      </c>
      <c r="G1635" s="8" t="s">
        <v>1375</v>
      </c>
      <c r="K1635" s="2"/>
      <c r="L1635" s="232">
        <v>43143</v>
      </c>
      <c r="N1635">
        <f t="shared" si="22"/>
        <v>0</v>
      </c>
    </row>
    <row r="1636" spans="1:14" hidden="1">
      <c r="A1636" s="232">
        <v>43146</v>
      </c>
      <c r="C1636" t="s">
        <v>2605</v>
      </c>
      <c r="D1636" s="1">
        <v>0</v>
      </c>
      <c r="E1636" s="1">
        <v>5729</v>
      </c>
      <c r="F1636">
        <v>2151112.9300000002</v>
      </c>
      <c r="G1636" s="8" t="s">
        <v>1380</v>
      </c>
      <c r="K1636" s="2"/>
      <c r="L1636" s="232">
        <v>43146</v>
      </c>
      <c r="N1636">
        <f t="shared" si="22"/>
        <v>0</v>
      </c>
    </row>
    <row r="1637" spans="1:14" hidden="1">
      <c r="A1637" s="232">
        <v>43151</v>
      </c>
      <c r="B1637" t="s">
        <v>1938</v>
      </c>
      <c r="C1637" t="s">
        <v>2536</v>
      </c>
      <c r="D1637" s="1">
        <v>0</v>
      </c>
      <c r="E1637" s="1">
        <v>2634</v>
      </c>
      <c r="F1637">
        <v>2153746.9300000002</v>
      </c>
      <c r="G1637" s="8" t="s">
        <v>1375</v>
      </c>
      <c r="K1637" s="2"/>
      <c r="L1637" s="232">
        <v>43151</v>
      </c>
      <c r="N1637">
        <f t="shared" si="22"/>
        <v>0</v>
      </c>
    </row>
    <row r="1638" spans="1:14" hidden="1">
      <c r="A1638" s="232">
        <v>43151</v>
      </c>
      <c r="B1638" t="s">
        <v>1914</v>
      </c>
      <c r="C1638" t="s">
        <v>2606</v>
      </c>
      <c r="D1638" s="1">
        <v>0</v>
      </c>
      <c r="E1638" s="1">
        <v>4820</v>
      </c>
      <c r="F1638">
        <v>2158566.9300000002</v>
      </c>
      <c r="G1638" s="8" t="s">
        <v>1380</v>
      </c>
      <c r="K1638" s="2"/>
      <c r="L1638" s="232">
        <v>43151</v>
      </c>
      <c r="N1638">
        <f t="shared" si="22"/>
        <v>0</v>
      </c>
    </row>
    <row r="1639" spans="1:14" hidden="1">
      <c r="A1639" s="232">
        <v>43152</v>
      </c>
      <c r="B1639" t="s">
        <v>1914</v>
      </c>
      <c r="C1639" t="s">
        <v>2607</v>
      </c>
      <c r="D1639" s="1">
        <v>320000</v>
      </c>
      <c r="E1639" s="1">
        <v>0</v>
      </c>
      <c r="F1639">
        <v>1838566.93</v>
      </c>
      <c r="G1639" s="8" t="s">
        <v>1372</v>
      </c>
      <c r="K1639" s="2"/>
      <c r="L1639" s="232">
        <v>43152</v>
      </c>
      <c r="N1639">
        <f t="shared" si="22"/>
        <v>320000</v>
      </c>
    </row>
    <row r="1640" spans="1:14" hidden="1">
      <c r="A1640" s="232">
        <v>43154</v>
      </c>
      <c r="C1640" t="s">
        <v>2608</v>
      </c>
      <c r="D1640" s="1">
        <v>0</v>
      </c>
      <c r="E1640" s="1">
        <v>319703.83</v>
      </c>
      <c r="F1640">
        <v>2158270.7599999998</v>
      </c>
      <c r="G1640" s="8" t="s">
        <v>1375</v>
      </c>
      <c r="K1640" s="2"/>
      <c r="L1640" s="232">
        <v>43154</v>
      </c>
      <c r="N1640">
        <f t="shared" si="22"/>
        <v>0</v>
      </c>
    </row>
    <row r="1641" spans="1:14" hidden="1">
      <c r="A1641" s="232">
        <v>43158</v>
      </c>
      <c r="C1641" t="s">
        <v>2609</v>
      </c>
      <c r="D1641" s="1">
        <v>0</v>
      </c>
      <c r="E1641" s="1">
        <v>364996</v>
      </c>
      <c r="F1641">
        <v>2523266.7599999998</v>
      </c>
      <c r="G1641" s="8" t="s">
        <v>1380</v>
      </c>
      <c r="K1641" s="2"/>
      <c r="L1641" s="232">
        <v>43158</v>
      </c>
      <c r="N1641">
        <f t="shared" si="22"/>
        <v>0</v>
      </c>
    </row>
    <row r="1642" spans="1:14" hidden="1">
      <c r="A1642" s="232">
        <v>43159</v>
      </c>
      <c r="B1642" t="s">
        <v>1938</v>
      </c>
      <c r="C1642" t="s">
        <v>2610</v>
      </c>
      <c r="D1642" s="1">
        <v>2000</v>
      </c>
      <c r="E1642" s="1">
        <v>0</v>
      </c>
      <c r="F1642">
        <v>2521266.7599999998</v>
      </c>
      <c r="G1642" s="8" t="s">
        <v>1372</v>
      </c>
      <c r="K1642" s="2"/>
      <c r="L1642" s="232">
        <v>43159</v>
      </c>
      <c r="N1642">
        <f t="shared" si="22"/>
        <v>2000</v>
      </c>
    </row>
    <row r="1643" spans="1:14" hidden="1">
      <c r="A1643" s="232">
        <v>43161</v>
      </c>
      <c r="B1643" t="s">
        <v>1997</v>
      </c>
      <c r="C1643" t="s">
        <v>2611</v>
      </c>
      <c r="D1643" s="1">
        <v>8540</v>
      </c>
      <c r="E1643" s="1">
        <v>0</v>
      </c>
      <c r="F1643">
        <v>2512726.7599999998</v>
      </c>
      <c r="K1643" s="2"/>
      <c r="L1643" s="232">
        <v>43161</v>
      </c>
      <c r="N1643">
        <f t="shared" si="22"/>
        <v>8540</v>
      </c>
    </row>
    <row r="1644" spans="1:14" hidden="1">
      <c r="A1644" s="232">
        <v>43164</v>
      </c>
      <c r="B1644" t="s">
        <v>1963</v>
      </c>
      <c r="C1644" t="s">
        <v>2612</v>
      </c>
      <c r="D1644" s="1">
        <v>2000</v>
      </c>
      <c r="E1644" s="1">
        <v>0</v>
      </c>
      <c r="F1644">
        <v>2510726.7599999998</v>
      </c>
      <c r="G1644" s="8" t="s">
        <v>1361</v>
      </c>
      <c r="K1644" s="2"/>
      <c r="L1644" s="232">
        <v>43164</v>
      </c>
      <c r="N1644">
        <f t="shared" si="22"/>
        <v>2000</v>
      </c>
    </row>
    <row r="1645" spans="1:14" hidden="1">
      <c r="A1645" s="232">
        <v>43166</v>
      </c>
      <c r="B1645" t="s">
        <v>1914</v>
      </c>
      <c r="C1645" t="s">
        <v>2613</v>
      </c>
      <c r="D1645" s="1">
        <v>12124.01</v>
      </c>
      <c r="E1645" s="1">
        <v>0</v>
      </c>
      <c r="F1645">
        <v>2498602.75</v>
      </c>
      <c r="G1645" s="8" t="s">
        <v>1362</v>
      </c>
      <c r="K1645" s="2"/>
      <c r="L1645" s="232">
        <v>43166</v>
      </c>
      <c r="N1645">
        <f t="shared" si="22"/>
        <v>12124.01</v>
      </c>
    </row>
    <row r="1646" spans="1:14" hidden="1">
      <c r="A1646" s="232">
        <v>43168</v>
      </c>
      <c r="B1646" t="s">
        <v>2213</v>
      </c>
      <c r="C1646" t="s">
        <v>2614</v>
      </c>
      <c r="D1646" s="1">
        <v>0</v>
      </c>
      <c r="E1646" s="1">
        <v>10343.94</v>
      </c>
      <c r="F1646">
        <v>2508946.69</v>
      </c>
      <c r="G1646" s="8" t="s">
        <v>1380</v>
      </c>
      <c r="K1646" s="2"/>
      <c r="L1646" s="232">
        <v>43168</v>
      </c>
      <c r="N1646">
        <f t="shared" si="22"/>
        <v>0</v>
      </c>
    </row>
    <row r="1647" spans="1:14" hidden="1">
      <c r="A1647" s="232">
        <v>43171</v>
      </c>
      <c r="B1647" t="s">
        <v>1938</v>
      </c>
      <c r="C1647" t="s">
        <v>2615</v>
      </c>
      <c r="D1647" s="1">
        <v>2000</v>
      </c>
      <c r="E1647" s="1">
        <v>0</v>
      </c>
      <c r="F1647">
        <v>2506946.69</v>
      </c>
      <c r="G1647" s="8" t="s">
        <v>1372</v>
      </c>
      <c r="K1647" s="2"/>
      <c r="L1647" s="232">
        <v>43171</v>
      </c>
      <c r="N1647">
        <f t="shared" si="22"/>
        <v>2000</v>
      </c>
    </row>
    <row r="1648" spans="1:14" hidden="1">
      <c r="A1648" s="232">
        <v>43171</v>
      </c>
      <c r="B1648" t="s">
        <v>1938</v>
      </c>
      <c r="C1648" t="s">
        <v>2616</v>
      </c>
      <c r="D1648" s="1">
        <v>0</v>
      </c>
      <c r="E1648" s="1">
        <v>11399.55</v>
      </c>
      <c r="F1648">
        <v>2518346.2400000002</v>
      </c>
      <c r="G1648" s="8" t="s">
        <v>1375</v>
      </c>
      <c r="K1648" s="2"/>
      <c r="L1648" s="232">
        <v>43171</v>
      </c>
      <c r="N1648">
        <f t="shared" si="22"/>
        <v>0</v>
      </c>
    </row>
    <row r="1649" spans="1:14" hidden="1">
      <c r="A1649" s="232">
        <v>43172</v>
      </c>
      <c r="C1649" t="s">
        <v>2617</v>
      </c>
      <c r="D1649" s="1">
        <v>0</v>
      </c>
      <c r="E1649" s="1">
        <v>200000</v>
      </c>
      <c r="F1649">
        <v>2718346.24</v>
      </c>
      <c r="K1649" s="2"/>
      <c r="L1649" s="232">
        <v>43172</v>
      </c>
      <c r="N1649">
        <f t="shared" si="22"/>
        <v>0</v>
      </c>
    </row>
    <row r="1650" spans="1:14" hidden="1">
      <c r="A1650" s="232">
        <v>43178</v>
      </c>
      <c r="B1650" t="s">
        <v>1938</v>
      </c>
      <c r="C1650" t="s">
        <v>2536</v>
      </c>
      <c r="D1650" s="1">
        <v>0</v>
      </c>
      <c r="E1650" s="1">
        <v>2634</v>
      </c>
      <c r="F1650">
        <v>2720980.24</v>
      </c>
      <c r="G1650" s="8" t="s">
        <v>1375</v>
      </c>
      <c r="K1650" s="2"/>
      <c r="L1650" s="232">
        <v>43178</v>
      </c>
      <c r="N1650">
        <f t="shared" si="22"/>
        <v>0</v>
      </c>
    </row>
    <row r="1651" spans="1:14" hidden="1">
      <c r="A1651" s="232">
        <v>43181</v>
      </c>
      <c r="B1651" t="s">
        <v>1938</v>
      </c>
      <c r="C1651" t="s">
        <v>2618</v>
      </c>
      <c r="D1651" s="1">
        <v>0</v>
      </c>
      <c r="E1651" s="1">
        <v>15900</v>
      </c>
      <c r="F1651">
        <v>2736880.24</v>
      </c>
      <c r="G1651" s="8" t="s">
        <v>1375</v>
      </c>
      <c r="K1651" s="2"/>
      <c r="L1651" s="232">
        <v>43181</v>
      </c>
      <c r="N1651">
        <f t="shared" si="22"/>
        <v>0</v>
      </c>
    </row>
    <row r="1652" spans="1:14" hidden="1">
      <c r="A1652" s="232">
        <v>43186</v>
      </c>
      <c r="C1652" t="s">
        <v>2619</v>
      </c>
      <c r="D1652" s="1">
        <v>0</v>
      </c>
      <c r="E1652" s="1">
        <v>903492</v>
      </c>
      <c r="F1652">
        <v>3640372.24</v>
      </c>
      <c r="G1652" s="8" t="s">
        <v>1380</v>
      </c>
      <c r="K1652" s="2"/>
      <c r="L1652" s="232">
        <v>43186</v>
      </c>
      <c r="N1652">
        <f t="shared" si="22"/>
        <v>0</v>
      </c>
    </row>
    <row r="1653" spans="1:14" hidden="1">
      <c r="A1653" s="232">
        <v>43187</v>
      </c>
      <c r="B1653" t="s">
        <v>1938</v>
      </c>
      <c r="C1653" t="s">
        <v>2620</v>
      </c>
      <c r="D1653" s="1">
        <v>2000</v>
      </c>
      <c r="E1653" s="1">
        <v>0</v>
      </c>
      <c r="F1653">
        <v>3638372.24</v>
      </c>
      <c r="G1653" s="8" t="s">
        <v>1372</v>
      </c>
      <c r="K1653" s="2"/>
      <c r="L1653" s="232">
        <v>43187</v>
      </c>
      <c r="N1653">
        <f t="shared" si="22"/>
        <v>2000</v>
      </c>
    </row>
    <row r="1654" spans="1:14" hidden="1">
      <c r="A1654" s="232">
        <v>43189</v>
      </c>
      <c r="B1654" t="s">
        <v>1997</v>
      </c>
      <c r="C1654" t="s">
        <v>2621</v>
      </c>
      <c r="D1654" s="1">
        <v>200000</v>
      </c>
      <c r="E1654" s="1">
        <v>0</v>
      </c>
      <c r="F1654">
        <v>3438372.24</v>
      </c>
      <c r="G1654" s="8" t="s">
        <v>1363</v>
      </c>
      <c r="K1654" s="2"/>
      <c r="L1654" s="232">
        <v>43189</v>
      </c>
      <c r="N1654">
        <f t="shared" si="22"/>
        <v>200000</v>
      </c>
    </row>
    <row r="1655" spans="1:14" hidden="1">
      <c r="A1655" s="232">
        <v>43189</v>
      </c>
      <c r="C1655" t="s">
        <v>2622</v>
      </c>
      <c r="D1655" s="1">
        <v>0</v>
      </c>
      <c r="E1655" s="1">
        <v>20691</v>
      </c>
      <c r="F1655">
        <v>3459063.24</v>
      </c>
      <c r="G1655" s="8" t="s">
        <v>1368</v>
      </c>
      <c r="K1655" s="2"/>
      <c r="L1655" s="232">
        <v>43189</v>
      </c>
      <c r="N1655">
        <f t="shared" si="22"/>
        <v>0</v>
      </c>
    </row>
    <row r="1656" spans="1:14" hidden="1">
      <c r="A1656" s="232">
        <v>43191</v>
      </c>
      <c r="C1656" t="s">
        <v>1394</v>
      </c>
      <c r="D1656" s="1">
        <v>0</v>
      </c>
      <c r="E1656" s="1">
        <v>0</v>
      </c>
      <c r="F1656">
        <v>3459063.24</v>
      </c>
      <c r="K1656" s="2"/>
      <c r="L1656" s="232">
        <v>43191</v>
      </c>
      <c r="N1656">
        <f t="shared" si="22"/>
        <v>0</v>
      </c>
    </row>
    <row r="1657" spans="1:14" hidden="1">
      <c r="A1657" s="232">
        <v>43193</v>
      </c>
      <c r="B1657" t="s">
        <v>1997</v>
      </c>
      <c r="C1657" t="s">
        <v>2623</v>
      </c>
      <c r="D1657" s="1">
        <v>200000</v>
      </c>
      <c r="E1657" s="1">
        <v>0</v>
      </c>
      <c r="F1657">
        <v>3259063.24</v>
      </c>
      <c r="G1657" s="8" t="s">
        <v>1363</v>
      </c>
      <c r="K1657" s="2"/>
      <c r="L1657" s="232">
        <v>43193</v>
      </c>
      <c r="N1657">
        <f t="shared" si="22"/>
        <v>200000</v>
      </c>
    </row>
    <row r="1658" spans="1:14" hidden="1">
      <c r="A1658" s="232">
        <v>43195</v>
      </c>
      <c r="C1658" t="s">
        <v>2624</v>
      </c>
      <c r="D1658" s="1">
        <v>0</v>
      </c>
      <c r="E1658" s="1">
        <v>2725.5</v>
      </c>
      <c r="F1658">
        <v>3261788.74</v>
      </c>
      <c r="G1658" s="8" t="s">
        <v>1380</v>
      </c>
      <c r="K1658" s="2"/>
      <c r="L1658" s="232">
        <v>43195</v>
      </c>
      <c r="N1658">
        <f t="shared" si="22"/>
        <v>0</v>
      </c>
    </row>
    <row r="1659" spans="1:14" hidden="1">
      <c r="A1659" s="232">
        <v>43196</v>
      </c>
      <c r="B1659" t="s">
        <v>1914</v>
      </c>
      <c r="C1659" t="s">
        <v>2625</v>
      </c>
      <c r="D1659" s="1">
        <v>3023.65</v>
      </c>
      <c r="E1659" s="1">
        <v>0</v>
      </c>
      <c r="F1659">
        <v>3258765.09</v>
      </c>
      <c r="G1659" s="8" t="s">
        <v>1362</v>
      </c>
      <c r="K1659" s="2"/>
      <c r="L1659" s="232">
        <v>43196</v>
      </c>
      <c r="N1659">
        <f t="shared" si="22"/>
        <v>3023.65</v>
      </c>
    </row>
    <row r="1660" spans="1:14" hidden="1">
      <c r="A1660" s="232">
        <v>43196</v>
      </c>
      <c r="B1660" t="s">
        <v>1997</v>
      </c>
      <c r="C1660" t="s">
        <v>2626</v>
      </c>
      <c r="D1660" s="1">
        <v>1500</v>
      </c>
      <c r="E1660" s="1">
        <v>0</v>
      </c>
      <c r="F1660">
        <v>3257265.09</v>
      </c>
      <c r="K1660" s="2"/>
      <c r="L1660" s="232">
        <v>43196</v>
      </c>
      <c r="N1660">
        <f t="shared" si="22"/>
        <v>1500</v>
      </c>
    </row>
    <row r="1661" spans="1:14" hidden="1">
      <c r="A1661" s="232">
        <v>43197</v>
      </c>
      <c r="B1661" t="s">
        <v>1963</v>
      </c>
      <c r="C1661" t="s">
        <v>2627</v>
      </c>
      <c r="D1661" s="1">
        <v>10000</v>
      </c>
      <c r="E1661" s="1">
        <v>0</v>
      </c>
      <c r="F1661">
        <v>3247265.09</v>
      </c>
      <c r="G1661" s="8" t="s">
        <v>1361</v>
      </c>
      <c r="K1661" s="2"/>
      <c r="L1661" s="232">
        <v>43197</v>
      </c>
      <c r="N1661">
        <f t="shared" si="22"/>
        <v>10000</v>
      </c>
    </row>
    <row r="1662" spans="1:14" hidden="1">
      <c r="A1662" s="232">
        <v>43199</v>
      </c>
      <c r="B1662" t="s">
        <v>1938</v>
      </c>
      <c r="C1662" t="s">
        <v>2628</v>
      </c>
      <c r="D1662" s="1">
        <v>0</v>
      </c>
      <c r="E1662" s="1">
        <v>10093.35</v>
      </c>
      <c r="F1662">
        <v>3257358.44</v>
      </c>
      <c r="G1662" s="8" t="s">
        <v>1375</v>
      </c>
      <c r="K1662" s="2"/>
      <c r="L1662" s="232">
        <v>43199</v>
      </c>
      <c r="N1662">
        <f t="shared" si="22"/>
        <v>0</v>
      </c>
    </row>
    <row r="1663" spans="1:14" hidden="1">
      <c r="A1663" s="232">
        <v>43200</v>
      </c>
      <c r="B1663" t="s">
        <v>1938</v>
      </c>
      <c r="C1663" t="s">
        <v>2629</v>
      </c>
      <c r="D1663" s="1">
        <v>2000</v>
      </c>
      <c r="E1663" s="1">
        <v>0</v>
      </c>
      <c r="F1663">
        <v>3255358.44</v>
      </c>
      <c r="G1663" s="8" t="s">
        <v>1372</v>
      </c>
      <c r="K1663" s="2"/>
      <c r="L1663" s="232">
        <v>43200</v>
      </c>
      <c r="N1663">
        <f t="shared" si="22"/>
        <v>2000</v>
      </c>
    </row>
    <row r="1664" spans="1:14" hidden="1">
      <c r="A1664" s="232">
        <v>43201</v>
      </c>
      <c r="B1664" t="s">
        <v>1997</v>
      </c>
      <c r="C1664" t="s">
        <v>2630</v>
      </c>
      <c r="D1664" s="1">
        <v>9866</v>
      </c>
      <c r="E1664" s="1">
        <v>0</v>
      </c>
      <c r="F1664">
        <v>3245492.44</v>
      </c>
      <c r="K1664" s="2"/>
      <c r="L1664" s="232">
        <v>43201</v>
      </c>
      <c r="N1664">
        <f t="shared" si="22"/>
        <v>9866</v>
      </c>
    </row>
    <row r="1665" spans="1:14" hidden="1">
      <c r="A1665" s="232">
        <v>43209</v>
      </c>
      <c r="B1665" t="s">
        <v>1938</v>
      </c>
      <c r="C1665" t="s">
        <v>2536</v>
      </c>
      <c r="D1665" s="1">
        <v>0</v>
      </c>
      <c r="E1665" s="1">
        <v>2332</v>
      </c>
      <c r="F1665">
        <v>3247824.44</v>
      </c>
      <c r="G1665" s="8" t="s">
        <v>1375</v>
      </c>
      <c r="K1665" s="2"/>
      <c r="L1665" s="232">
        <v>43209</v>
      </c>
      <c r="N1665">
        <f t="shared" si="22"/>
        <v>0</v>
      </c>
    </row>
    <row r="1666" spans="1:14" hidden="1">
      <c r="A1666" s="232">
        <v>43209</v>
      </c>
      <c r="B1666" t="s">
        <v>2063</v>
      </c>
      <c r="C1666" t="s">
        <v>2631</v>
      </c>
      <c r="D1666" s="1">
        <v>5000</v>
      </c>
      <c r="E1666" s="1">
        <v>0</v>
      </c>
      <c r="F1666">
        <v>3242824.44</v>
      </c>
      <c r="G1666" s="8" t="s">
        <v>1361</v>
      </c>
      <c r="K1666" s="2"/>
      <c r="L1666" s="232">
        <v>43209</v>
      </c>
      <c r="N1666">
        <f t="shared" si="22"/>
        <v>5000</v>
      </c>
    </row>
    <row r="1667" spans="1:14" hidden="1">
      <c r="A1667" s="232">
        <v>43209</v>
      </c>
      <c r="B1667" t="s">
        <v>2063</v>
      </c>
      <c r="C1667" t="s">
        <v>2631</v>
      </c>
      <c r="D1667" s="1">
        <v>5000</v>
      </c>
      <c r="E1667" s="1">
        <v>0</v>
      </c>
      <c r="F1667">
        <v>3237824.44</v>
      </c>
      <c r="G1667" s="8" t="s">
        <v>1361</v>
      </c>
      <c r="K1667" s="2"/>
      <c r="L1667" s="232">
        <v>43209</v>
      </c>
      <c r="N1667">
        <f t="shared" si="22"/>
        <v>5000</v>
      </c>
    </row>
    <row r="1668" spans="1:14" hidden="1">
      <c r="A1668" s="232">
        <v>43216</v>
      </c>
      <c r="C1668" t="s">
        <v>2632</v>
      </c>
      <c r="D1668" s="1">
        <v>0</v>
      </c>
      <c r="E1668" s="1">
        <v>303782</v>
      </c>
      <c r="F1668">
        <v>3541606.44</v>
      </c>
      <c r="G1668" s="8" t="s">
        <v>1380</v>
      </c>
      <c r="K1668" s="2"/>
      <c r="L1668" s="232">
        <v>43216</v>
      </c>
      <c r="N1668">
        <f t="shared" si="22"/>
        <v>0</v>
      </c>
    </row>
    <row r="1669" spans="1:14" hidden="1">
      <c r="A1669" s="232">
        <v>43220</v>
      </c>
      <c r="B1669" t="s">
        <v>1938</v>
      </c>
      <c r="C1669" t="s">
        <v>2633</v>
      </c>
      <c r="D1669" s="1">
        <v>2000</v>
      </c>
      <c r="E1669" s="1">
        <v>0</v>
      </c>
      <c r="F1669">
        <v>3539606.44</v>
      </c>
      <c r="G1669" s="8" t="s">
        <v>1372</v>
      </c>
      <c r="K1669" s="2"/>
      <c r="L1669" s="232">
        <v>43220</v>
      </c>
      <c r="N1669">
        <f t="shared" si="22"/>
        <v>2000</v>
      </c>
    </row>
    <row r="1670" spans="1:14" hidden="1">
      <c r="A1670" s="232">
        <v>43222</v>
      </c>
      <c r="B1670" t="s">
        <v>1914</v>
      </c>
      <c r="C1670" t="s">
        <v>2634</v>
      </c>
      <c r="D1670" s="1">
        <v>38771.699999999997</v>
      </c>
      <c r="E1670" s="1">
        <v>0</v>
      </c>
      <c r="F1670">
        <v>3500834.74</v>
      </c>
      <c r="G1670" s="8" t="s">
        <v>1362</v>
      </c>
      <c r="K1670" s="2"/>
      <c r="L1670" s="232">
        <v>43222</v>
      </c>
      <c r="N1670">
        <f t="shared" si="22"/>
        <v>38771.699999999997</v>
      </c>
    </row>
    <row r="1671" spans="1:14" hidden="1">
      <c r="A1671" s="232">
        <v>43222</v>
      </c>
      <c r="B1671" t="s">
        <v>1997</v>
      </c>
      <c r="C1671" t="s">
        <v>2635</v>
      </c>
      <c r="D1671" s="1">
        <v>9688</v>
      </c>
      <c r="E1671" s="1">
        <v>0</v>
      </c>
      <c r="F1671">
        <v>3491146.74</v>
      </c>
      <c r="K1671" s="2"/>
      <c r="L1671" s="232">
        <v>43222</v>
      </c>
      <c r="N1671">
        <f t="shared" si="22"/>
        <v>9688</v>
      </c>
    </row>
    <row r="1672" spans="1:14" hidden="1">
      <c r="A1672" s="232">
        <v>43223</v>
      </c>
      <c r="B1672" t="s">
        <v>2063</v>
      </c>
      <c r="C1672" t="s">
        <v>2636</v>
      </c>
      <c r="D1672" s="1">
        <v>8000</v>
      </c>
      <c r="E1672" s="1">
        <v>0</v>
      </c>
      <c r="F1672">
        <v>3483146.74</v>
      </c>
      <c r="G1672" s="8" t="s">
        <v>1361</v>
      </c>
      <c r="K1672" s="2"/>
      <c r="L1672" s="232">
        <v>43223</v>
      </c>
      <c r="N1672">
        <f t="shared" si="22"/>
        <v>8000</v>
      </c>
    </row>
    <row r="1673" spans="1:14" hidden="1">
      <c r="A1673" s="232">
        <v>43229</v>
      </c>
      <c r="B1673" t="s">
        <v>1938</v>
      </c>
      <c r="C1673" t="s">
        <v>2637</v>
      </c>
      <c r="D1673" s="1">
        <v>0</v>
      </c>
      <c r="E1673" s="1">
        <v>9670.6200000000008</v>
      </c>
      <c r="F1673">
        <v>3492817.36</v>
      </c>
      <c r="G1673" s="8" t="s">
        <v>1375</v>
      </c>
      <c r="K1673" s="2"/>
      <c r="L1673" s="232">
        <v>43229</v>
      </c>
      <c r="N1673">
        <f t="shared" si="22"/>
        <v>0</v>
      </c>
    </row>
    <row r="1674" spans="1:14" hidden="1">
      <c r="A1674" s="232">
        <v>43230</v>
      </c>
      <c r="B1674" t="s">
        <v>1938</v>
      </c>
      <c r="C1674" t="s">
        <v>2638</v>
      </c>
      <c r="D1674" s="1">
        <v>2000</v>
      </c>
      <c r="E1674" s="1">
        <v>0</v>
      </c>
      <c r="F1674">
        <v>3490817.36</v>
      </c>
      <c r="G1674" s="8" t="s">
        <v>1372</v>
      </c>
      <c r="K1674" s="2"/>
      <c r="L1674" s="232">
        <v>43230</v>
      </c>
      <c r="N1674">
        <f t="shared" si="22"/>
        <v>2000</v>
      </c>
    </row>
    <row r="1675" spans="1:14" hidden="1">
      <c r="A1675" s="232">
        <v>43238</v>
      </c>
      <c r="B1675" t="s">
        <v>1938</v>
      </c>
      <c r="C1675" t="s">
        <v>2536</v>
      </c>
      <c r="D1675" s="1">
        <v>0</v>
      </c>
      <c r="E1675" s="1">
        <v>2332</v>
      </c>
      <c r="F1675">
        <v>3493149.36</v>
      </c>
      <c r="G1675" s="8" t="s">
        <v>1375</v>
      </c>
      <c r="K1675" s="2"/>
      <c r="L1675" s="232">
        <v>43238</v>
      </c>
      <c r="N1675">
        <f t="shared" ref="N1675:N1738" si="23">D1675*1</f>
        <v>0</v>
      </c>
    </row>
    <row r="1676" spans="1:14" hidden="1">
      <c r="A1676" s="232">
        <v>43238</v>
      </c>
      <c r="B1676" t="s">
        <v>2063</v>
      </c>
      <c r="C1676" t="s">
        <v>2639</v>
      </c>
      <c r="D1676" s="1">
        <v>5000</v>
      </c>
      <c r="E1676" s="1">
        <v>0</v>
      </c>
      <c r="F1676">
        <v>3488149.36</v>
      </c>
      <c r="G1676" s="8" t="s">
        <v>1361</v>
      </c>
      <c r="K1676" s="2"/>
      <c r="L1676" s="232">
        <v>43238</v>
      </c>
      <c r="N1676">
        <f t="shared" si="23"/>
        <v>5000</v>
      </c>
    </row>
    <row r="1677" spans="1:14" hidden="1">
      <c r="A1677" s="232">
        <v>43238</v>
      </c>
      <c r="B1677" t="s">
        <v>1914</v>
      </c>
      <c r="C1677" t="s">
        <v>2640</v>
      </c>
      <c r="D1677" s="1">
        <v>270570</v>
      </c>
      <c r="E1677" s="1">
        <v>0</v>
      </c>
      <c r="F1677">
        <v>3217579.36</v>
      </c>
      <c r="G1677" s="8" t="s">
        <v>1370</v>
      </c>
      <c r="K1677" s="2"/>
      <c r="L1677" s="232">
        <v>43238</v>
      </c>
      <c r="N1677">
        <f t="shared" si="23"/>
        <v>270570</v>
      </c>
    </row>
    <row r="1678" spans="1:14" hidden="1">
      <c r="A1678" s="232">
        <v>43238</v>
      </c>
      <c r="B1678" t="s">
        <v>1997</v>
      </c>
      <c r="C1678" t="s">
        <v>2641</v>
      </c>
      <c r="D1678" s="1">
        <v>2800</v>
      </c>
      <c r="E1678" s="1">
        <v>0</v>
      </c>
      <c r="F1678">
        <v>3214779.36</v>
      </c>
      <c r="K1678" s="2"/>
      <c r="L1678" s="232">
        <v>43238</v>
      </c>
      <c r="N1678">
        <f t="shared" si="23"/>
        <v>2800</v>
      </c>
    </row>
    <row r="1679" spans="1:14" hidden="1">
      <c r="A1679" s="232">
        <v>43244</v>
      </c>
      <c r="B1679" t="s">
        <v>1914</v>
      </c>
      <c r="C1679" t="s">
        <v>2642</v>
      </c>
      <c r="D1679" s="1">
        <v>500000</v>
      </c>
      <c r="E1679" s="1">
        <v>0</v>
      </c>
      <c r="F1679">
        <v>2714779.36</v>
      </c>
      <c r="G1679" s="8" t="s">
        <v>1372</v>
      </c>
      <c r="K1679" s="2"/>
      <c r="L1679" s="232">
        <v>43244</v>
      </c>
      <c r="N1679">
        <f t="shared" si="23"/>
        <v>500000</v>
      </c>
    </row>
    <row r="1680" spans="1:14" hidden="1">
      <c r="A1680" s="232">
        <v>43244</v>
      </c>
      <c r="B1680" t="s">
        <v>1914</v>
      </c>
      <c r="C1680" t="s">
        <v>2643</v>
      </c>
      <c r="D1680" s="1">
        <v>500000</v>
      </c>
      <c r="E1680" s="1">
        <v>0</v>
      </c>
      <c r="F1680">
        <v>2214779.36</v>
      </c>
      <c r="G1680" s="8" t="s">
        <v>1372</v>
      </c>
      <c r="K1680" s="2"/>
      <c r="L1680" s="232">
        <v>43244</v>
      </c>
      <c r="N1680">
        <f t="shared" si="23"/>
        <v>500000</v>
      </c>
    </row>
    <row r="1681" spans="1:14" hidden="1">
      <c r="A1681" s="232">
        <v>43245</v>
      </c>
      <c r="C1681" t="s">
        <v>2644</v>
      </c>
      <c r="D1681" s="1">
        <v>0</v>
      </c>
      <c r="E1681" s="1">
        <v>293434</v>
      </c>
      <c r="F1681">
        <v>2508213.36</v>
      </c>
      <c r="G1681" s="8" t="s">
        <v>1380</v>
      </c>
      <c r="K1681" s="2"/>
      <c r="L1681" s="232">
        <v>43245</v>
      </c>
      <c r="N1681">
        <f t="shared" si="23"/>
        <v>0</v>
      </c>
    </row>
    <row r="1682" spans="1:14" hidden="1">
      <c r="A1682" s="232">
        <v>43248</v>
      </c>
      <c r="B1682" t="s">
        <v>1938</v>
      </c>
      <c r="C1682" t="s">
        <v>2645</v>
      </c>
      <c r="D1682" s="1">
        <v>2000</v>
      </c>
      <c r="E1682" s="1">
        <v>0</v>
      </c>
      <c r="F1682">
        <v>2506213.36</v>
      </c>
      <c r="G1682" s="8" t="s">
        <v>1372</v>
      </c>
      <c r="K1682" s="2"/>
      <c r="L1682" s="232">
        <v>43248</v>
      </c>
      <c r="N1682">
        <f t="shared" si="23"/>
        <v>2000</v>
      </c>
    </row>
    <row r="1683" spans="1:14" hidden="1">
      <c r="A1683" s="232">
        <v>43253</v>
      </c>
      <c r="B1683" t="s">
        <v>1997</v>
      </c>
      <c r="C1683" t="s">
        <v>2646</v>
      </c>
      <c r="D1683" s="1">
        <v>11115</v>
      </c>
      <c r="E1683" s="1">
        <v>0</v>
      </c>
      <c r="F1683">
        <v>2495098.36</v>
      </c>
      <c r="K1683" s="2"/>
      <c r="L1683" s="232">
        <v>43253</v>
      </c>
      <c r="N1683">
        <f t="shared" si="23"/>
        <v>11115</v>
      </c>
    </row>
    <row r="1684" spans="1:14" hidden="1">
      <c r="A1684" s="232">
        <v>43253</v>
      </c>
      <c r="B1684" t="s">
        <v>1914</v>
      </c>
      <c r="C1684" t="s">
        <v>2647</v>
      </c>
      <c r="D1684" s="1">
        <v>1810</v>
      </c>
      <c r="E1684" s="1">
        <v>0</v>
      </c>
      <c r="F1684">
        <v>2493288.36</v>
      </c>
      <c r="G1684" s="8" t="s">
        <v>1362</v>
      </c>
      <c r="K1684" s="2"/>
      <c r="L1684" s="232">
        <v>43253</v>
      </c>
      <c r="N1684">
        <f t="shared" si="23"/>
        <v>1810</v>
      </c>
    </row>
    <row r="1685" spans="1:14" hidden="1">
      <c r="A1685" s="232">
        <v>43255</v>
      </c>
      <c r="B1685" t="s">
        <v>2063</v>
      </c>
      <c r="C1685" t="s">
        <v>2648</v>
      </c>
      <c r="D1685" s="1">
        <v>5000</v>
      </c>
      <c r="E1685" s="1">
        <v>0</v>
      </c>
      <c r="F1685">
        <v>2488288.36</v>
      </c>
      <c r="G1685" s="8" t="s">
        <v>1361</v>
      </c>
      <c r="K1685" s="2"/>
      <c r="L1685" s="232">
        <v>43255</v>
      </c>
      <c r="N1685">
        <f t="shared" si="23"/>
        <v>5000</v>
      </c>
    </row>
    <row r="1686" spans="1:14" hidden="1">
      <c r="A1686" s="232">
        <v>43256</v>
      </c>
      <c r="B1686" t="s">
        <v>2063</v>
      </c>
      <c r="C1686" t="s">
        <v>2649</v>
      </c>
      <c r="D1686" s="1">
        <v>5000</v>
      </c>
      <c r="E1686" s="1">
        <v>0</v>
      </c>
      <c r="F1686">
        <v>2483288.36</v>
      </c>
      <c r="G1686" s="8" t="s">
        <v>1361</v>
      </c>
      <c r="K1686" s="2"/>
      <c r="L1686" s="232">
        <v>43256</v>
      </c>
      <c r="N1686">
        <f t="shared" si="23"/>
        <v>5000</v>
      </c>
    </row>
    <row r="1687" spans="1:14" hidden="1">
      <c r="A1687" s="232">
        <v>43262</v>
      </c>
      <c r="B1687" t="s">
        <v>1938</v>
      </c>
      <c r="C1687" t="s">
        <v>2650</v>
      </c>
      <c r="D1687" s="1">
        <v>2000</v>
      </c>
      <c r="E1687" s="1">
        <v>0</v>
      </c>
      <c r="F1687">
        <v>2481288.36</v>
      </c>
      <c r="G1687" s="8" t="s">
        <v>1372</v>
      </c>
      <c r="K1687" s="2"/>
      <c r="L1687" s="232">
        <v>43262</v>
      </c>
      <c r="N1687">
        <f t="shared" si="23"/>
        <v>2000</v>
      </c>
    </row>
    <row r="1688" spans="1:14" hidden="1">
      <c r="A1688" s="232">
        <v>43262</v>
      </c>
      <c r="B1688" t="s">
        <v>1938</v>
      </c>
      <c r="C1688" t="s">
        <v>2651</v>
      </c>
      <c r="D1688" s="1">
        <v>0</v>
      </c>
      <c r="E1688" s="1">
        <v>9670.6200000000008</v>
      </c>
      <c r="F1688">
        <v>2490958.98</v>
      </c>
      <c r="G1688" s="8" t="s">
        <v>1375</v>
      </c>
      <c r="K1688" s="2"/>
      <c r="L1688" s="232">
        <v>43262</v>
      </c>
      <c r="N1688">
        <f t="shared" si="23"/>
        <v>0</v>
      </c>
    </row>
    <row r="1689" spans="1:14" hidden="1">
      <c r="A1689" s="232">
        <v>43271</v>
      </c>
      <c r="B1689" t="s">
        <v>1938</v>
      </c>
      <c r="C1689" t="s">
        <v>2536</v>
      </c>
      <c r="D1689" s="1">
        <v>0</v>
      </c>
      <c r="E1689" s="1">
        <v>2332</v>
      </c>
      <c r="F1689">
        <v>2493290.98</v>
      </c>
      <c r="G1689" s="8" t="s">
        <v>1375</v>
      </c>
      <c r="K1689" s="2"/>
      <c r="L1689" s="232">
        <v>43271</v>
      </c>
      <c r="N1689">
        <f t="shared" si="23"/>
        <v>0</v>
      </c>
    </row>
    <row r="1690" spans="1:14" hidden="1">
      <c r="A1690" s="232">
        <v>43272</v>
      </c>
      <c r="B1690" t="s">
        <v>1914</v>
      </c>
      <c r="C1690" t="s">
        <v>2652</v>
      </c>
      <c r="D1690" s="1">
        <v>2000</v>
      </c>
      <c r="E1690" s="1">
        <v>0</v>
      </c>
      <c r="F1690">
        <v>2491290.98</v>
      </c>
      <c r="K1690" s="2"/>
      <c r="L1690" s="232">
        <v>43272</v>
      </c>
      <c r="N1690">
        <f t="shared" si="23"/>
        <v>2000</v>
      </c>
    </row>
    <row r="1691" spans="1:14" hidden="1">
      <c r="A1691" s="232">
        <v>43277</v>
      </c>
      <c r="C1691" t="s">
        <v>2653</v>
      </c>
      <c r="D1691" s="1">
        <v>0</v>
      </c>
      <c r="E1691" s="1">
        <v>299800</v>
      </c>
      <c r="F1691">
        <v>2791090.98</v>
      </c>
      <c r="G1691" s="8" t="s">
        <v>1380</v>
      </c>
      <c r="K1691" s="2"/>
      <c r="L1691" s="232">
        <v>43277</v>
      </c>
      <c r="N1691">
        <f t="shared" si="23"/>
        <v>0</v>
      </c>
    </row>
    <row r="1692" spans="1:14" hidden="1">
      <c r="A1692" s="232">
        <v>43279</v>
      </c>
      <c r="B1692" t="s">
        <v>1938</v>
      </c>
      <c r="C1692" t="s">
        <v>2654</v>
      </c>
      <c r="D1692" s="1">
        <v>2000</v>
      </c>
      <c r="E1692" s="1">
        <v>0</v>
      </c>
      <c r="F1692">
        <v>2789090.98</v>
      </c>
      <c r="G1692" s="8" t="s">
        <v>1372</v>
      </c>
      <c r="K1692" s="2"/>
      <c r="L1692" s="232">
        <v>43279</v>
      </c>
      <c r="N1692">
        <f t="shared" si="23"/>
        <v>2000</v>
      </c>
    </row>
    <row r="1693" spans="1:14" hidden="1">
      <c r="A1693" s="232">
        <v>43279</v>
      </c>
      <c r="B1693" t="s">
        <v>1938</v>
      </c>
      <c r="C1693" t="s">
        <v>2655</v>
      </c>
      <c r="D1693" s="1">
        <v>300000</v>
      </c>
      <c r="E1693" s="1">
        <v>0</v>
      </c>
      <c r="F1693">
        <v>2489090.98</v>
      </c>
      <c r="G1693" s="8" t="s">
        <v>1381</v>
      </c>
      <c r="K1693" s="2"/>
      <c r="L1693" s="232">
        <v>43279</v>
      </c>
      <c r="N1693">
        <f t="shared" si="23"/>
        <v>300000</v>
      </c>
    </row>
    <row r="1694" spans="1:14" hidden="1">
      <c r="A1694" s="232">
        <v>43280</v>
      </c>
      <c r="B1694" t="s">
        <v>1914</v>
      </c>
      <c r="C1694" t="s">
        <v>2656</v>
      </c>
      <c r="D1694" s="1">
        <v>69649.27</v>
      </c>
      <c r="E1694" s="1">
        <v>0</v>
      </c>
      <c r="F1694">
        <v>2419441.71</v>
      </c>
      <c r="G1694" s="8" t="s">
        <v>1362</v>
      </c>
      <c r="K1694" s="2"/>
      <c r="L1694" s="232">
        <v>43280</v>
      </c>
      <c r="N1694">
        <f t="shared" si="23"/>
        <v>69649.27</v>
      </c>
    </row>
    <row r="1695" spans="1:14" hidden="1">
      <c r="A1695" s="232">
        <v>43281</v>
      </c>
      <c r="C1695" t="s">
        <v>2657</v>
      </c>
      <c r="D1695" s="1">
        <v>0</v>
      </c>
      <c r="E1695" s="1">
        <v>26577</v>
      </c>
      <c r="F1695">
        <v>2446018.71</v>
      </c>
      <c r="G1695" s="8" t="s">
        <v>1368</v>
      </c>
      <c r="K1695" s="2"/>
      <c r="L1695" s="232">
        <v>43281</v>
      </c>
      <c r="N1695">
        <f t="shared" si="23"/>
        <v>0</v>
      </c>
    </row>
    <row r="1696" spans="1:14" hidden="1">
      <c r="A1696" s="232">
        <v>43285</v>
      </c>
      <c r="B1696" t="s">
        <v>1997</v>
      </c>
      <c r="C1696" t="s">
        <v>2658</v>
      </c>
      <c r="D1696" s="1">
        <v>9303</v>
      </c>
      <c r="E1696" s="1">
        <v>0</v>
      </c>
      <c r="F1696">
        <v>2436715.71</v>
      </c>
      <c r="K1696" s="2"/>
      <c r="L1696" s="232">
        <v>43285</v>
      </c>
      <c r="N1696">
        <f t="shared" si="23"/>
        <v>9303</v>
      </c>
    </row>
    <row r="1697" spans="1:14" hidden="1">
      <c r="A1697" s="232">
        <v>43286</v>
      </c>
      <c r="B1697" t="s">
        <v>1914</v>
      </c>
      <c r="C1697" t="s">
        <v>2659</v>
      </c>
      <c r="D1697" s="1">
        <v>2460.81</v>
      </c>
      <c r="E1697" s="1">
        <v>0</v>
      </c>
      <c r="F1697">
        <v>2434254.9</v>
      </c>
      <c r="G1697" s="8" t="s">
        <v>1362</v>
      </c>
      <c r="K1697" s="2"/>
      <c r="L1697" s="232">
        <v>43286</v>
      </c>
      <c r="N1697">
        <f t="shared" si="23"/>
        <v>2460.81</v>
      </c>
    </row>
    <row r="1698" spans="1:14" hidden="1">
      <c r="A1698" s="232">
        <v>43286</v>
      </c>
      <c r="C1698" t="s">
        <v>2660</v>
      </c>
      <c r="D1698" s="1">
        <v>0</v>
      </c>
      <c r="E1698" s="1">
        <v>68823</v>
      </c>
      <c r="F1698">
        <v>2503077.9</v>
      </c>
      <c r="G1698" s="8" t="s">
        <v>1380</v>
      </c>
      <c r="K1698" s="2"/>
      <c r="L1698" s="232">
        <v>43286</v>
      </c>
      <c r="N1698">
        <f t="shared" si="23"/>
        <v>0</v>
      </c>
    </row>
    <row r="1699" spans="1:14" hidden="1">
      <c r="A1699" s="232">
        <v>43287</v>
      </c>
      <c r="B1699" t="s">
        <v>2063</v>
      </c>
      <c r="C1699" t="s">
        <v>2661</v>
      </c>
      <c r="D1699" s="1">
        <v>5000</v>
      </c>
      <c r="E1699" s="1">
        <v>0</v>
      </c>
      <c r="F1699">
        <v>2498077.9</v>
      </c>
      <c r="G1699" s="8" t="s">
        <v>1361</v>
      </c>
      <c r="K1699" s="2"/>
      <c r="L1699" s="232">
        <v>43287</v>
      </c>
      <c r="N1699">
        <f t="shared" si="23"/>
        <v>5000</v>
      </c>
    </row>
    <row r="1700" spans="1:14" hidden="1">
      <c r="A1700" s="232">
        <v>43288</v>
      </c>
      <c r="B1700" t="s">
        <v>1997</v>
      </c>
      <c r="C1700" t="s">
        <v>2662</v>
      </c>
      <c r="D1700" s="1">
        <v>1180</v>
      </c>
      <c r="E1700" s="1">
        <v>0</v>
      </c>
      <c r="F1700">
        <v>2496897.9</v>
      </c>
      <c r="K1700" s="2"/>
      <c r="L1700" s="232">
        <v>43288</v>
      </c>
      <c r="N1700">
        <f t="shared" si="23"/>
        <v>1180</v>
      </c>
    </row>
    <row r="1701" spans="1:14" hidden="1">
      <c r="A1701" s="232">
        <v>43290</v>
      </c>
      <c r="B1701" t="s">
        <v>1914</v>
      </c>
      <c r="C1701" t="s">
        <v>2663</v>
      </c>
      <c r="D1701" s="1">
        <v>300000</v>
      </c>
      <c r="E1701" s="1">
        <v>0</v>
      </c>
      <c r="F1701">
        <v>2196897.9</v>
      </c>
      <c r="G1701" s="8" t="s">
        <v>1372</v>
      </c>
      <c r="K1701" s="2"/>
      <c r="L1701" s="232">
        <v>43290</v>
      </c>
      <c r="N1701">
        <f t="shared" si="23"/>
        <v>300000</v>
      </c>
    </row>
    <row r="1702" spans="1:14" hidden="1">
      <c r="A1702" s="232">
        <v>43290</v>
      </c>
      <c r="B1702" t="s">
        <v>1938</v>
      </c>
      <c r="C1702" t="s">
        <v>2664</v>
      </c>
      <c r="D1702" s="1">
        <v>0</v>
      </c>
      <c r="E1702" s="1">
        <v>9670.6200000000008</v>
      </c>
      <c r="F1702">
        <v>2206568.52</v>
      </c>
      <c r="G1702" s="8" t="s">
        <v>1375</v>
      </c>
      <c r="K1702" s="2"/>
      <c r="L1702" s="232">
        <v>43290</v>
      </c>
      <c r="N1702">
        <f t="shared" si="23"/>
        <v>0</v>
      </c>
    </row>
    <row r="1703" spans="1:14" hidden="1">
      <c r="A1703" s="232">
        <v>43291</v>
      </c>
      <c r="B1703" t="s">
        <v>1938</v>
      </c>
      <c r="C1703" t="s">
        <v>2665</v>
      </c>
      <c r="D1703" s="1">
        <v>2000</v>
      </c>
      <c r="E1703" s="1">
        <v>0</v>
      </c>
      <c r="F1703">
        <v>2204568.52</v>
      </c>
      <c r="G1703" s="8" t="s">
        <v>1372</v>
      </c>
      <c r="K1703" s="2"/>
      <c r="L1703" s="232">
        <v>43291</v>
      </c>
      <c r="N1703">
        <f t="shared" si="23"/>
        <v>2000</v>
      </c>
    </row>
    <row r="1704" spans="1:14" hidden="1">
      <c r="A1704" s="232">
        <v>43291</v>
      </c>
      <c r="C1704" t="s">
        <v>2666</v>
      </c>
      <c r="D1704" s="1">
        <v>0</v>
      </c>
      <c r="E1704" s="1">
        <v>2009</v>
      </c>
      <c r="F1704">
        <v>2206577.52</v>
      </c>
      <c r="G1704" s="8" t="s">
        <v>1380</v>
      </c>
      <c r="K1704" s="2"/>
      <c r="L1704" s="232">
        <v>43291</v>
      </c>
      <c r="N1704">
        <f t="shared" si="23"/>
        <v>0</v>
      </c>
    </row>
    <row r="1705" spans="1:14" hidden="1">
      <c r="A1705" s="232">
        <v>43293</v>
      </c>
      <c r="B1705" t="s">
        <v>1914</v>
      </c>
      <c r="C1705" t="s">
        <v>2667</v>
      </c>
      <c r="D1705" s="1">
        <v>37270</v>
      </c>
      <c r="E1705" s="1">
        <v>0</v>
      </c>
      <c r="F1705">
        <v>2169307.52</v>
      </c>
      <c r="K1705" s="2"/>
      <c r="L1705" s="232">
        <v>43293</v>
      </c>
      <c r="N1705">
        <f t="shared" si="23"/>
        <v>37270</v>
      </c>
    </row>
    <row r="1706" spans="1:14" hidden="1">
      <c r="A1706" s="232">
        <v>43299</v>
      </c>
      <c r="B1706" t="s">
        <v>2063</v>
      </c>
      <c r="C1706" t="s">
        <v>2668</v>
      </c>
      <c r="D1706" s="1">
        <v>5000</v>
      </c>
      <c r="E1706" s="1">
        <v>0</v>
      </c>
      <c r="F1706">
        <v>2164307.52</v>
      </c>
      <c r="G1706" s="8" t="s">
        <v>1361</v>
      </c>
      <c r="K1706" s="2"/>
      <c r="L1706" s="232">
        <v>43299</v>
      </c>
      <c r="N1706">
        <f t="shared" si="23"/>
        <v>5000</v>
      </c>
    </row>
    <row r="1707" spans="1:14" hidden="1">
      <c r="A1707" s="232">
        <v>43300</v>
      </c>
      <c r="C1707" t="s">
        <v>2669</v>
      </c>
      <c r="D1707" s="1">
        <v>11200</v>
      </c>
      <c r="E1707" s="1">
        <v>0</v>
      </c>
      <c r="F1707">
        <v>2153107.52</v>
      </c>
      <c r="K1707" s="2"/>
      <c r="L1707" s="232">
        <v>43300</v>
      </c>
      <c r="N1707">
        <f t="shared" si="23"/>
        <v>11200</v>
      </c>
    </row>
    <row r="1708" spans="1:14" hidden="1">
      <c r="A1708" s="232">
        <v>43301</v>
      </c>
      <c r="C1708" t="s">
        <v>2670</v>
      </c>
      <c r="D1708" s="1">
        <v>400000</v>
      </c>
      <c r="E1708" s="1">
        <v>0</v>
      </c>
      <c r="F1708">
        <v>1753107.52</v>
      </c>
      <c r="G1708" s="8" t="s">
        <v>1381</v>
      </c>
      <c r="K1708" s="2"/>
      <c r="L1708" s="232">
        <v>43301</v>
      </c>
      <c r="N1708">
        <f t="shared" si="23"/>
        <v>400000</v>
      </c>
    </row>
    <row r="1709" spans="1:14" hidden="1">
      <c r="A1709" s="232">
        <v>43301</v>
      </c>
      <c r="B1709" t="s">
        <v>1938</v>
      </c>
      <c r="C1709" t="s">
        <v>2536</v>
      </c>
      <c r="D1709" s="1">
        <v>0</v>
      </c>
      <c r="E1709" s="1">
        <v>2332</v>
      </c>
      <c r="F1709">
        <v>1755439.52</v>
      </c>
      <c r="G1709" s="8" t="s">
        <v>1375</v>
      </c>
      <c r="K1709" s="2"/>
      <c r="L1709" s="232">
        <v>43301</v>
      </c>
      <c r="N1709">
        <f t="shared" si="23"/>
        <v>0</v>
      </c>
    </row>
    <row r="1710" spans="1:14" hidden="1">
      <c r="A1710" s="232">
        <v>43307</v>
      </c>
      <c r="C1710" t="s">
        <v>2671</v>
      </c>
      <c r="D1710" s="1">
        <v>0</v>
      </c>
      <c r="E1710" s="1">
        <v>299800</v>
      </c>
      <c r="F1710">
        <v>2055239.52</v>
      </c>
      <c r="G1710" s="8" t="s">
        <v>1380</v>
      </c>
      <c r="K1710" s="2"/>
      <c r="L1710" s="232">
        <v>43307</v>
      </c>
      <c r="N1710">
        <f t="shared" si="23"/>
        <v>0</v>
      </c>
    </row>
    <row r="1711" spans="1:14" hidden="1">
      <c r="A1711" s="232">
        <v>43308</v>
      </c>
      <c r="B1711" t="s">
        <v>2063</v>
      </c>
      <c r="C1711" t="s">
        <v>2672</v>
      </c>
      <c r="D1711" s="1">
        <v>5000</v>
      </c>
      <c r="E1711" s="1">
        <v>0</v>
      </c>
      <c r="F1711">
        <v>2050239.52</v>
      </c>
      <c r="G1711" s="8" t="s">
        <v>1361</v>
      </c>
      <c r="K1711" s="2"/>
      <c r="L1711" s="232">
        <v>43308</v>
      </c>
      <c r="N1711">
        <f t="shared" si="23"/>
        <v>5000</v>
      </c>
    </row>
    <row r="1712" spans="1:14" hidden="1">
      <c r="A1712" s="232">
        <v>43311</v>
      </c>
      <c r="B1712" t="s">
        <v>1997</v>
      </c>
      <c r="C1712" t="s">
        <v>2673</v>
      </c>
      <c r="D1712" s="1">
        <v>48000</v>
      </c>
      <c r="E1712" s="1">
        <v>0</v>
      </c>
      <c r="F1712">
        <v>2002239.52</v>
      </c>
      <c r="K1712" s="2"/>
      <c r="L1712" s="232">
        <v>43311</v>
      </c>
      <c r="N1712">
        <f t="shared" si="23"/>
        <v>48000</v>
      </c>
    </row>
    <row r="1713" spans="1:14" hidden="1">
      <c r="A1713" s="232">
        <v>43311</v>
      </c>
      <c r="B1713" t="s">
        <v>1938</v>
      </c>
      <c r="C1713" t="s">
        <v>2674</v>
      </c>
      <c r="D1713" s="1">
        <v>2000</v>
      </c>
      <c r="E1713" s="1">
        <v>0</v>
      </c>
      <c r="F1713">
        <v>2000239.52</v>
      </c>
      <c r="G1713" s="8" t="s">
        <v>1372</v>
      </c>
      <c r="K1713" s="2"/>
      <c r="L1713" s="232">
        <v>43311</v>
      </c>
      <c r="N1713">
        <f t="shared" si="23"/>
        <v>2000</v>
      </c>
    </row>
    <row r="1714" spans="1:14" hidden="1">
      <c r="A1714" s="232">
        <v>43314</v>
      </c>
      <c r="B1714" t="s">
        <v>1997</v>
      </c>
      <c r="C1714" t="s">
        <v>2675</v>
      </c>
      <c r="D1714" s="1">
        <v>8692</v>
      </c>
      <c r="E1714" s="1">
        <v>0</v>
      </c>
      <c r="F1714">
        <v>1991547.52</v>
      </c>
      <c r="K1714" s="2"/>
      <c r="L1714" s="232">
        <v>43314</v>
      </c>
      <c r="N1714">
        <f t="shared" si="23"/>
        <v>8692</v>
      </c>
    </row>
    <row r="1715" spans="1:14" hidden="1">
      <c r="A1715" s="232">
        <v>43314</v>
      </c>
      <c r="C1715" t="s">
        <v>2676</v>
      </c>
      <c r="D1715" s="1">
        <v>3964.23</v>
      </c>
      <c r="E1715" s="1">
        <v>0</v>
      </c>
      <c r="F1715">
        <v>1987583.29</v>
      </c>
      <c r="G1715" s="8" t="s">
        <v>1362</v>
      </c>
      <c r="K1715" s="2"/>
      <c r="L1715" s="232">
        <v>43314</v>
      </c>
      <c r="N1715">
        <f t="shared" si="23"/>
        <v>3964.23</v>
      </c>
    </row>
    <row r="1716" spans="1:14" hidden="1">
      <c r="A1716" s="232">
        <v>43315</v>
      </c>
      <c r="B1716" t="s">
        <v>2063</v>
      </c>
      <c r="C1716" t="s">
        <v>2677</v>
      </c>
      <c r="D1716" s="1">
        <v>5000</v>
      </c>
      <c r="E1716" s="1">
        <v>0</v>
      </c>
      <c r="F1716">
        <v>1982583.29</v>
      </c>
      <c r="G1716" s="8" t="s">
        <v>1361</v>
      </c>
      <c r="K1716" s="2"/>
      <c r="L1716" s="232">
        <v>43315</v>
      </c>
      <c r="N1716">
        <f t="shared" si="23"/>
        <v>5000</v>
      </c>
    </row>
    <row r="1717" spans="1:14" hidden="1">
      <c r="A1717" s="232">
        <v>43318</v>
      </c>
      <c r="B1717" t="s">
        <v>1997</v>
      </c>
      <c r="C1717" t="s">
        <v>2678</v>
      </c>
      <c r="D1717" s="1">
        <v>2500</v>
      </c>
      <c r="E1717" s="1">
        <v>0</v>
      </c>
      <c r="F1717">
        <v>1980083.29</v>
      </c>
      <c r="K1717" s="2"/>
      <c r="L1717" s="232">
        <v>43318</v>
      </c>
      <c r="N1717">
        <f t="shared" si="23"/>
        <v>2500</v>
      </c>
    </row>
    <row r="1718" spans="1:14" hidden="1">
      <c r="A1718" s="232">
        <v>43319</v>
      </c>
      <c r="B1718" t="s">
        <v>2063</v>
      </c>
      <c r="C1718" t="s">
        <v>2679</v>
      </c>
      <c r="D1718" s="1">
        <v>5000</v>
      </c>
      <c r="E1718" s="1">
        <v>0</v>
      </c>
      <c r="F1718">
        <v>1975083.29</v>
      </c>
      <c r="G1718" s="8" t="s">
        <v>1361</v>
      </c>
      <c r="K1718" s="2"/>
      <c r="L1718" s="232">
        <v>43319</v>
      </c>
      <c r="N1718">
        <f t="shared" si="23"/>
        <v>5000</v>
      </c>
    </row>
    <row r="1719" spans="1:14" hidden="1">
      <c r="A1719" s="232">
        <v>43321</v>
      </c>
      <c r="C1719" t="s">
        <v>2680</v>
      </c>
      <c r="D1719" s="1">
        <v>11200</v>
      </c>
      <c r="E1719" s="1">
        <v>0</v>
      </c>
      <c r="F1719">
        <v>1963883.29</v>
      </c>
      <c r="K1719" s="2"/>
      <c r="L1719" s="232">
        <v>43321</v>
      </c>
      <c r="N1719">
        <f t="shared" si="23"/>
        <v>11200</v>
      </c>
    </row>
    <row r="1720" spans="1:14" hidden="1">
      <c r="A1720" s="232">
        <v>43322</v>
      </c>
      <c r="B1720" t="s">
        <v>1938</v>
      </c>
      <c r="C1720" t="s">
        <v>2681</v>
      </c>
      <c r="D1720" s="1">
        <v>2000</v>
      </c>
      <c r="E1720" s="1">
        <v>0</v>
      </c>
      <c r="F1720">
        <v>1961883.29</v>
      </c>
      <c r="G1720" s="8" t="s">
        <v>1372</v>
      </c>
      <c r="K1720" s="2"/>
      <c r="L1720" s="232">
        <v>43322</v>
      </c>
      <c r="N1720">
        <f t="shared" si="23"/>
        <v>2000</v>
      </c>
    </row>
    <row r="1721" spans="1:14" hidden="1">
      <c r="A1721" s="232">
        <v>43325</v>
      </c>
      <c r="B1721" t="s">
        <v>1938</v>
      </c>
      <c r="C1721" t="s">
        <v>2682</v>
      </c>
      <c r="D1721" s="1">
        <v>0</v>
      </c>
      <c r="E1721" s="1">
        <v>9670.6200000000008</v>
      </c>
      <c r="F1721">
        <v>1971553.91</v>
      </c>
      <c r="G1721" s="8" t="s">
        <v>1375</v>
      </c>
      <c r="K1721" s="2"/>
      <c r="L1721" s="232">
        <v>43325</v>
      </c>
      <c r="N1721">
        <f t="shared" si="23"/>
        <v>0</v>
      </c>
    </row>
    <row r="1722" spans="1:14" hidden="1">
      <c r="A1722" s="232">
        <v>43326</v>
      </c>
      <c r="B1722" t="s">
        <v>1997</v>
      </c>
      <c r="C1722" t="s">
        <v>2683</v>
      </c>
      <c r="D1722" s="1">
        <v>16000</v>
      </c>
      <c r="E1722" s="1">
        <v>0</v>
      </c>
      <c r="F1722">
        <v>1955553.91</v>
      </c>
      <c r="K1722" s="2"/>
      <c r="L1722" s="232">
        <v>43326</v>
      </c>
      <c r="N1722">
        <f t="shared" si="23"/>
        <v>16000</v>
      </c>
    </row>
    <row r="1723" spans="1:14" hidden="1">
      <c r="A1723" s="232">
        <v>43333</v>
      </c>
      <c r="B1723" t="s">
        <v>1938</v>
      </c>
      <c r="C1723" t="s">
        <v>2536</v>
      </c>
      <c r="D1723" s="1">
        <v>0</v>
      </c>
      <c r="E1723" s="1">
        <v>2332</v>
      </c>
      <c r="F1723">
        <v>1957885.91</v>
      </c>
      <c r="G1723" s="8" t="s">
        <v>1375</v>
      </c>
      <c r="K1723" s="2"/>
      <c r="L1723" s="232">
        <v>43333</v>
      </c>
      <c r="N1723">
        <f t="shared" si="23"/>
        <v>0</v>
      </c>
    </row>
    <row r="1724" spans="1:14" hidden="1">
      <c r="A1724" s="232">
        <v>43333</v>
      </c>
      <c r="C1724" t="s">
        <v>2684</v>
      </c>
      <c r="D1724" s="1">
        <v>0</v>
      </c>
      <c r="E1724" s="1">
        <v>5867.49</v>
      </c>
      <c r="F1724">
        <v>1963753.4</v>
      </c>
      <c r="G1724" s="8" t="s">
        <v>1380</v>
      </c>
      <c r="K1724" s="2"/>
      <c r="L1724" s="232">
        <v>43333</v>
      </c>
      <c r="N1724">
        <f t="shared" si="23"/>
        <v>0</v>
      </c>
    </row>
    <row r="1725" spans="1:14" hidden="1">
      <c r="A1725" s="232">
        <v>43334</v>
      </c>
      <c r="B1725" t="s">
        <v>2063</v>
      </c>
      <c r="C1725" t="s">
        <v>2685</v>
      </c>
      <c r="D1725" s="1">
        <v>5000</v>
      </c>
      <c r="E1725" s="1">
        <v>0</v>
      </c>
      <c r="F1725">
        <v>1958753.4</v>
      </c>
      <c r="G1725" s="8" t="s">
        <v>1361</v>
      </c>
      <c r="K1725" s="2"/>
      <c r="L1725" s="232">
        <v>43334</v>
      </c>
      <c r="N1725">
        <f t="shared" si="23"/>
        <v>5000</v>
      </c>
    </row>
    <row r="1726" spans="1:14" hidden="1">
      <c r="A1726" s="232">
        <v>43336</v>
      </c>
      <c r="C1726" t="s">
        <v>2686</v>
      </c>
      <c r="D1726" s="1">
        <v>0</v>
      </c>
      <c r="E1726" s="1">
        <v>299800</v>
      </c>
      <c r="F1726">
        <v>2258553.4</v>
      </c>
      <c r="G1726" s="8" t="s">
        <v>1380</v>
      </c>
      <c r="K1726" s="2"/>
      <c r="L1726" s="232">
        <v>43336</v>
      </c>
      <c r="N1726">
        <f t="shared" si="23"/>
        <v>0</v>
      </c>
    </row>
    <row r="1727" spans="1:14" hidden="1">
      <c r="A1727" s="232">
        <v>43340</v>
      </c>
      <c r="B1727" t="s">
        <v>1938</v>
      </c>
      <c r="C1727" t="s">
        <v>2687</v>
      </c>
      <c r="D1727" s="1">
        <v>2000</v>
      </c>
      <c r="E1727" s="1">
        <v>0</v>
      </c>
      <c r="F1727">
        <v>2256553.4</v>
      </c>
      <c r="G1727" s="8" t="s">
        <v>1372</v>
      </c>
      <c r="K1727" s="2"/>
      <c r="L1727" s="232">
        <v>43340</v>
      </c>
      <c r="N1727">
        <f t="shared" si="23"/>
        <v>2000</v>
      </c>
    </row>
    <row r="1728" spans="1:14" hidden="1">
      <c r="A1728" s="232">
        <v>43346</v>
      </c>
      <c r="B1728" t="s">
        <v>1997</v>
      </c>
      <c r="C1728" t="s">
        <v>2688</v>
      </c>
      <c r="D1728" s="1">
        <v>8266</v>
      </c>
      <c r="E1728" s="1">
        <v>0</v>
      </c>
      <c r="F1728">
        <v>2248287.4</v>
      </c>
      <c r="K1728" s="2"/>
      <c r="L1728" s="232">
        <v>43346</v>
      </c>
      <c r="N1728">
        <f t="shared" si="23"/>
        <v>8266</v>
      </c>
    </row>
    <row r="1729" spans="1:14" hidden="1">
      <c r="A1729" s="232">
        <v>43346</v>
      </c>
      <c r="C1729" t="s">
        <v>2689</v>
      </c>
      <c r="D1729" s="1">
        <v>27262.47</v>
      </c>
      <c r="E1729" s="1">
        <v>0</v>
      </c>
      <c r="F1729">
        <v>2221024.9300000002</v>
      </c>
      <c r="G1729" s="8" t="s">
        <v>1362</v>
      </c>
      <c r="K1729" s="2"/>
      <c r="L1729" s="232">
        <v>43346</v>
      </c>
      <c r="N1729">
        <f t="shared" si="23"/>
        <v>27262.47</v>
      </c>
    </row>
    <row r="1730" spans="1:14" hidden="1">
      <c r="A1730" s="232">
        <v>43353</v>
      </c>
      <c r="B1730" t="s">
        <v>1997</v>
      </c>
      <c r="C1730" t="s">
        <v>2690</v>
      </c>
      <c r="D1730" s="1">
        <v>2600</v>
      </c>
      <c r="E1730" s="1">
        <v>0</v>
      </c>
      <c r="F1730">
        <v>2218424.9300000002</v>
      </c>
      <c r="K1730" s="2"/>
      <c r="L1730" s="232">
        <v>43353</v>
      </c>
      <c r="N1730">
        <f t="shared" si="23"/>
        <v>2600</v>
      </c>
    </row>
    <row r="1731" spans="1:14" hidden="1">
      <c r="A1731" s="232">
        <v>43353</v>
      </c>
      <c r="C1731" t="s">
        <v>2691</v>
      </c>
      <c r="D1731" s="1">
        <v>240000</v>
      </c>
      <c r="E1731" s="1">
        <v>0</v>
      </c>
      <c r="F1731">
        <v>1978424.93</v>
      </c>
      <c r="K1731" s="2"/>
      <c r="L1731" s="232">
        <v>43353</v>
      </c>
      <c r="N1731">
        <f t="shared" si="23"/>
        <v>240000</v>
      </c>
    </row>
    <row r="1732" spans="1:14" hidden="1">
      <c r="A1732" s="232">
        <v>43353</v>
      </c>
      <c r="B1732" t="s">
        <v>1938</v>
      </c>
      <c r="C1732" t="s">
        <v>2692</v>
      </c>
      <c r="D1732" s="1">
        <v>2000</v>
      </c>
      <c r="E1732" s="1">
        <v>0</v>
      </c>
      <c r="F1732">
        <v>1976424.93</v>
      </c>
      <c r="G1732" s="8" t="s">
        <v>1372</v>
      </c>
      <c r="K1732" s="2"/>
      <c r="L1732" s="232">
        <v>43353</v>
      </c>
      <c r="N1732">
        <f t="shared" si="23"/>
        <v>2000</v>
      </c>
    </row>
    <row r="1733" spans="1:14" hidden="1">
      <c r="A1733" s="232">
        <v>43353</v>
      </c>
      <c r="B1733" t="s">
        <v>1938</v>
      </c>
      <c r="C1733" t="s">
        <v>2693</v>
      </c>
      <c r="D1733" s="1">
        <v>0</v>
      </c>
      <c r="E1733" s="1">
        <v>9670.6200000000008</v>
      </c>
      <c r="F1733">
        <v>1986095.55</v>
      </c>
      <c r="G1733" s="8" t="s">
        <v>1375</v>
      </c>
      <c r="K1733" s="2"/>
      <c r="L1733" s="232">
        <v>43353</v>
      </c>
      <c r="N1733">
        <f t="shared" si="23"/>
        <v>0</v>
      </c>
    </row>
    <row r="1734" spans="1:14" hidden="1">
      <c r="A1734" s="232">
        <v>43354</v>
      </c>
      <c r="B1734" t="s">
        <v>2063</v>
      </c>
      <c r="C1734" t="s">
        <v>2694</v>
      </c>
      <c r="D1734" s="1">
        <v>5000</v>
      </c>
      <c r="E1734" s="1">
        <v>0</v>
      </c>
      <c r="F1734">
        <v>1981095.55</v>
      </c>
      <c r="G1734" s="8" t="s">
        <v>1361</v>
      </c>
      <c r="K1734" s="2"/>
      <c r="L1734" s="232">
        <v>43354</v>
      </c>
      <c r="N1734">
        <f t="shared" si="23"/>
        <v>5000</v>
      </c>
    </row>
    <row r="1735" spans="1:14" hidden="1">
      <c r="A1735" s="232">
        <v>43363</v>
      </c>
      <c r="C1735" t="s">
        <v>2695</v>
      </c>
      <c r="D1735" s="1">
        <v>8500</v>
      </c>
      <c r="E1735" s="1">
        <v>0</v>
      </c>
      <c r="F1735">
        <v>1972595.55</v>
      </c>
      <c r="K1735" s="2"/>
      <c r="L1735" s="232">
        <v>43363</v>
      </c>
      <c r="N1735">
        <f t="shared" si="23"/>
        <v>8500</v>
      </c>
    </row>
    <row r="1736" spans="1:14" hidden="1">
      <c r="A1736" s="232">
        <v>43364</v>
      </c>
      <c r="B1736" t="s">
        <v>1938</v>
      </c>
      <c r="C1736" t="s">
        <v>2536</v>
      </c>
      <c r="D1736" s="1">
        <v>0</v>
      </c>
      <c r="E1736" s="1">
        <v>2332</v>
      </c>
      <c r="F1736">
        <v>1974927.55</v>
      </c>
      <c r="G1736" s="8" t="s">
        <v>1375</v>
      </c>
      <c r="K1736" s="2"/>
      <c r="L1736" s="232">
        <v>43364</v>
      </c>
      <c r="N1736">
        <f t="shared" si="23"/>
        <v>0</v>
      </c>
    </row>
    <row r="1737" spans="1:14" hidden="1">
      <c r="A1737" s="232">
        <v>43369</v>
      </c>
      <c r="C1737" t="s">
        <v>2696</v>
      </c>
      <c r="D1737" s="1">
        <v>0</v>
      </c>
      <c r="E1737" s="1">
        <v>296477</v>
      </c>
      <c r="F1737">
        <v>2271404.5499999998</v>
      </c>
      <c r="G1737" s="8" t="s">
        <v>1380</v>
      </c>
      <c r="K1737" s="2"/>
      <c r="L1737" s="232">
        <v>43369</v>
      </c>
      <c r="N1737">
        <f t="shared" si="23"/>
        <v>0</v>
      </c>
    </row>
    <row r="1738" spans="1:14" hidden="1">
      <c r="A1738" s="232">
        <v>43371</v>
      </c>
      <c r="B1738" t="s">
        <v>1938</v>
      </c>
      <c r="C1738" t="s">
        <v>2697</v>
      </c>
      <c r="D1738" s="1">
        <v>2000</v>
      </c>
      <c r="E1738" s="1">
        <v>0</v>
      </c>
      <c r="F1738">
        <v>2269404.5499999998</v>
      </c>
      <c r="G1738" s="8" t="s">
        <v>1372</v>
      </c>
      <c r="K1738" s="2"/>
      <c r="L1738" s="232">
        <v>43371</v>
      </c>
      <c r="N1738">
        <f t="shared" si="23"/>
        <v>2000</v>
      </c>
    </row>
    <row r="1739" spans="1:14" hidden="1">
      <c r="A1739" s="232">
        <v>43372</v>
      </c>
      <c r="C1739" t="s">
        <v>2698</v>
      </c>
      <c r="D1739" s="1">
        <v>0</v>
      </c>
      <c r="E1739" s="1">
        <v>18241</v>
      </c>
      <c r="F1739">
        <v>2287645.5499999998</v>
      </c>
      <c r="G1739" s="8" t="s">
        <v>1368</v>
      </c>
      <c r="K1739" s="2"/>
      <c r="L1739" s="232">
        <v>43372</v>
      </c>
      <c r="N1739">
        <f t="shared" ref="N1739:N1802" si="24">D1739*1</f>
        <v>0</v>
      </c>
    </row>
    <row r="1740" spans="1:14" hidden="1">
      <c r="A1740" s="232">
        <v>43376</v>
      </c>
      <c r="B1740" t="s">
        <v>1997</v>
      </c>
      <c r="C1740" t="s">
        <v>2699</v>
      </c>
      <c r="D1740" s="1">
        <v>8701</v>
      </c>
      <c r="E1740" s="1">
        <v>0</v>
      </c>
      <c r="F1740">
        <v>2278944.5499999998</v>
      </c>
      <c r="K1740" s="2"/>
      <c r="L1740" s="232">
        <v>43376</v>
      </c>
      <c r="N1740">
        <f t="shared" si="24"/>
        <v>8701</v>
      </c>
    </row>
    <row r="1741" spans="1:14" hidden="1">
      <c r="A1741" s="232">
        <v>43376</v>
      </c>
      <c r="C1741" t="s">
        <v>2700</v>
      </c>
      <c r="D1741" s="1">
        <v>10587.46</v>
      </c>
      <c r="E1741" s="1">
        <v>0</v>
      </c>
      <c r="F1741">
        <v>2268357.09</v>
      </c>
      <c r="G1741" s="8" t="s">
        <v>1362</v>
      </c>
      <c r="K1741" s="2"/>
      <c r="L1741" s="232">
        <v>43376</v>
      </c>
      <c r="N1741">
        <f t="shared" si="24"/>
        <v>10587.46</v>
      </c>
    </row>
    <row r="1742" spans="1:14" hidden="1">
      <c r="A1742" s="232">
        <v>43376</v>
      </c>
      <c r="B1742" t="s">
        <v>2063</v>
      </c>
      <c r="C1742" t="s">
        <v>2701</v>
      </c>
      <c r="D1742" s="1">
        <v>5000</v>
      </c>
      <c r="E1742" s="1">
        <v>0</v>
      </c>
      <c r="F1742">
        <v>2263357.09</v>
      </c>
      <c r="G1742" s="8" t="s">
        <v>1361</v>
      </c>
      <c r="K1742" s="2"/>
      <c r="L1742" s="232">
        <v>43376</v>
      </c>
      <c r="N1742">
        <f t="shared" si="24"/>
        <v>5000</v>
      </c>
    </row>
    <row r="1743" spans="1:14" hidden="1">
      <c r="A1743" s="232">
        <v>43377</v>
      </c>
      <c r="B1743" t="s">
        <v>1914</v>
      </c>
      <c r="C1743" t="s">
        <v>2702</v>
      </c>
      <c r="D1743" s="1">
        <v>300000</v>
      </c>
      <c r="E1743" s="1">
        <v>0</v>
      </c>
      <c r="F1743">
        <v>1963357.09</v>
      </c>
      <c r="G1743" s="8" t="s">
        <v>1372</v>
      </c>
      <c r="K1743" s="2"/>
      <c r="L1743" s="232">
        <v>43377</v>
      </c>
      <c r="N1743">
        <f t="shared" si="24"/>
        <v>300000</v>
      </c>
    </row>
    <row r="1744" spans="1:14" hidden="1">
      <c r="A1744" s="232">
        <v>43381</v>
      </c>
      <c r="B1744" t="s">
        <v>1938</v>
      </c>
      <c r="C1744" t="s">
        <v>2703</v>
      </c>
      <c r="D1744" s="1">
        <v>0</v>
      </c>
      <c r="E1744" s="1">
        <v>9670.6200000000008</v>
      </c>
      <c r="F1744">
        <v>1973027.71</v>
      </c>
      <c r="G1744" s="8" t="s">
        <v>1375</v>
      </c>
      <c r="K1744" s="2"/>
      <c r="L1744" s="232">
        <v>43381</v>
      </c>
      <c r="N1744">
        <f t="shared" si="24"/>
        <v>0</v>
      </c>
    </row>
    <row r="1745" spans="1:14" hidden="1">
      <c r="A1745" s="232">
        <v>43383</v>
      </c>
      <c r="B1745" t="s">
        <v>1938</v>
      </c>
      <c r="C1745" t="s">
        <v>2704</v>
      </c>
      <c r="D1745" s="1">
        <v>2000</v>
      </c>
      <c r="E1745" s="1">
        <v>0</v>
      </c>
      <c r="F1745">
        <v>1971027.71</v>
      </c>
      <c r="G1745" s="8" t="s">
        <v>1372</v>
      </c>
      <c r="K1745" s="2"/>
      <c r="L1745" s="232">
        <v>43383</v>
      </c>
      <c r="N1745">
        <f t="shared" si="24"/>
        <v>2000</v>
      </c>
    </row>
    <row r="1746" spans="1:14" hidden="1">
      <c r="A1746" s="232">
        <v>43385</v>
      </c>
      <c r="B1746" t="s">
        <v>2063</v>
      </c>
      <c r="C1746" t="s">
        <v>2705</v>
      </c>
      <c r="D1746" s="1">
        <v>5000</v>
      </c>
      <c r="E1746" s="1">
        <v>0</v>
      </c>
      <c r="F1746">
        <v>1966027.71</v>
      </c>
      <c r="G1746" s="8" t="s">
        <v>1361</v>
      </c>
      <c r="K1746" s="2"/>
      <c r="L1746" s="232">
        <v>43385</v>
      </c>
      <c r="N1746">
        <f t="shared" si="24"/>
        <v>5000</v>
      </c>
    </row>
    <row r="1747" spans="1:14" hidden="1">
      <c r="A1747" s="232">
        <v>43397</v>
      </c>
      <c r="B1747" t="s">
        <v>2213</v>
      </c>
      <c r="C1747" t="s">
        <v>2706</v>
      </c>
      <c r="D1747" s="1">
        <v>170982.6</v>
      </c>
      <c r="E1747" s="1">
        <v>0</v>
      </c>
      <c r="F1747">
        <v>1795045.11</v>
      </c>
      <c r="K1747" s="2"/>
      <c r="L1747" s="232">
        <v>43397</v>
      </c>
      <c r="N1747">
        <f t="shared" si="24"/>
        <v>170982.6</v>
      </c>
    </row>
    <row r="1748" spans="1:14" hidden="1">
      <c r="A1748" s="232">
        <v>43398</v>
      </c>
      <c r="B1748" t="s">
        <v>2213</v>
      </c>
      <c r="C1748" t="s">
        <v>2707</v>
      </c>
      <c r="D1748" s="1">
        <v>0</v>
      </c>
      <c r="E1748" s="1">
        <v>170982.6</v>
      </c>
      <c r="F1748">
        <v>1966027.71</v>
      </c>
      <c r="G1748" s="8" t="s">
        <v>1380</v>
      </c>
      <c r="K1748" s="2"/>
      <c r="L1748" s="232">
        <v>43398</v>
      </c>
      <c r="N1748">
        <f t="shared" si="24"/>
        <v>0</v>
      </c>
    </row>
    <row r="1749" spans="1:14" hidden="1">
      <c r="A1749" s="232">
        <v>43399</v>
      </c>
      <c r="B1749" t="s">
        <v>2213</v>
      </c>
      <c r="C1749" t="s">
        <v>2708</v>
      </c>
      <c r="D1749" s="1">
        <v>182691.13</v>
      </c>
      <c r="E1749" s="1">
        <v>0</v>
      </c>
      <c r="F1749">
        <v>1783336.58</v>
      </c>
      <c r="K1749" s="2"/>
      <c r="L1749" s="232">
        <v>43399</v>
      </c>
      <c r="N1749">
        <f t="shared" si="24"/>
        <v>182691.13</v>
      </c>
    </row>
    <row r="1750" spans="1:14" hidden="1">
      <c r="A1750" s="232">
        <v>43399</v>
      </c>
      <c r="C1750" t="s">
        <v>2709</v>
      </c>
      <c r="D1750" s="1">
        <v>0</v>
      </c>
      <c r="E1750" s="1">
        <v>299800</v>
      </c>
      <c r="F1750">
        <v>2083136.58</v>
      </c>
      <c r="G1750" s="8" t="s">
        <v>1380</v>
      </c>
      <c r="K1750" s="2"/>
      <c r="L1750" s="232">
        <v>43399</v>
      </c>
      <c r="N1750">
        <f t="shared" si="24"/>
        <v>0</v>
      </c>
    </row>
    <row r="1751" spans="1:14" hidden="1">
      <c r="A1751" s="232">
        <v>43402</v>
      </c>
      <c r="B1751" t="s">
        <v>2213</v>
      </c>
      <c r="C1751" t="s">
        <v>2710</v>
      </c>
      <c r="D1751" s="1">
        <v>0</v>
      </c>
      <c r="E1751" s="1">
        <v>182691.13</v>
      </c>
      <c r="F1751">
        <v>2265827.71</v>
      </c>
      <c r="G1751" s="8" t="s">
        <v>1380</v>
      </c>
      <c r="K1751" s="2"/>
      <c r="L1751" s="232">
        <v>43402</v>
      </c>
      <c r="N1751">
        <f t="shared" si="24"/>
        <v>0</v>
      </c>
    </row>
    <row r="1752" spans="1:14" hidden="1">
      <c r="A1752" s="232">
        <v>43402</v>
      </c>
      <c r="B1752" t="s">
        <v>1938</v>
      </c>
      <c r="C1752" t="s">
        <v>2711</v>
      </c>
      <c r="D1752" s="1">
        <v>2000</v>
      </c>
      <c r="E1752" s="1">
        <v>0</v>
      </c>
      <c r="F1752">
        <v>2263827.71</v>
      </c>
      <c r="G1752" s="8" t="s">
        <v>1372</v>
      </c>
      <c r="K1752" s="2"/>
      <c r="L1752" s="232">
        <v>43402</v>
      </c>
      <c r="N1752">
        <f t="shared" si="24"/>
        <v>2000</v>
      </c>
    </row>
    <row r="1753" spans="1:14" hidden="1">
      <c r="A1753" s="232">
        <v>43403</v>
      </c>
      <c r="B1753" t="s">
        <v>1997</v>
      </c>
      <c r="C1753" t="s">
        <v>2712</v>
      </c>
      <c r="D1753" s="1">
        <v>25000</v>
      </c>
      <c r="E1753" s="1">
        <v>0</v>
      </c>
      <c r="F1753">
        <v>2238827.71</v>
      </c>
      <c r="K1753" s="2"/>
      <c r="L1753" s="232">
        <v>43403</v>
      </c>
      <c r="N1753">
        <f t="shared" si="24"/>
        <v>25000</v>
      </c>
    </row>
    <row r="1754" spans="1:14" hidden="1">
      <c r="A1754" s="232">
        <v>43404</v>
      </c>
      <c r="B1754" t="s">
        <v>2213</v>
      </c>
      <c r="C1754" t="s">
        <v>2713</v>
      </c>
      <c r="D1754" s="1">
        <v>183433.8</v>
      </c>
      <c r="E1754" s="1">
        <v>0</v>
      </c>
      <c r="F1754">
        <v>2055393.91</v>
      </c>
      <c r="K1754" s="2"/>
      <c r="L1754" s="232">
        <v>43404</v>
      </c>
      <c r="N1754">
        <f t="shared" si="24"/>
        <v>183433.8</v>
      </c>
    </row>
    <row r="1755" spans="1:14" hidden="1">
      <c r="A1755" s="232">
        <v>43405</v>
      </c>
      <c r="B1755" t="s">
        <v>2063</v>
      </c>
      <c r="C1755" t="s">
        <v>2714</v>
      </c>
      <c r="D1755" s="1">
        <v>5000</v>
      </c>
      <c r="E1755" s="1">
        <v>0</v>
      </c>
      <c r="F1755">
        <v>2050393.91</v>
      </c>
      <c r="G1755" s="8" t="s">
        <v>1361</v>
      </c>
      <c r="K1755" s="2"/>
      <c r="L1755" s="232">
        <v>43405</v>
      </c>
      <c r="N1755">
        <f t="shared" si="24"/>
        <v>5000</v>
      </c>
    </row>
    <row r="1756" spans="1:14" hidden="1">
      <c r="A1756" s="232">
        <v>43407</v>
      </c>
      <c r="B1756" t="s">
        <v>1997</v>
      </c>
      <c r="C1756" t="s">
        <v>2715</v>
      </c>
      <c r="D1756" s="1">
        <v>8119</v>
      </c>
      <c r="E1756" s="1">
        <v>0</v>
      </c>
      <c r="F1756">
        <v>2042274.91</v>
      </c>
      <c r="K1756" s="2"/>
      <c r="L1756" s="232">
        <v>43407</v>
      </c>
      <c r="N1756">
        <f t="shared" si="24"/>
        <v>8119</v>
      </c>
    </row>
    <row r="1757" spans="1:14" hidden="1">
      <c r="A1757" s="232">
        <v>43407</v>
      </c>
      <c r="C1757" t="s">
        <v>2716</v>
      </c>
      <c r="D1757" s="1">
        <v>39235.1</v>
      </c>
      <c r="E1757" s="1">
        <v>0</v>
      </c>
      <c r="F1757">
        <v>2003039.81</v>
      </c>
      <c r="G1757" s="8" t="s">
        <v>1362</v>
      </c>
      <c r="K1757" s="2"/>
      <c r="L1757" s="232">
        <v>43407</v>
      </c>
      <c r="N1757">
        <f t="shared" si="24"/>
        <v>39235.1</v>
      </c>
    </row>
    <row r="1758" spans="1:14" hidden="1">
      <c r="A1758" s="232">
        <v>43416</v>
      </c>
      <c r="B1758" t="s">
        <v>1938</v>
      </c>
      <c r="C1758" t="s">
        <v>2717</v>
      </c>
      <c r="D1758" s="1">
        <v>2000</v>
      </c>
      <c r="E1758" s="1">
        <v>0</v>
      </c>
      <c r="F1758">
        <v>2001039.81</v>
      </c>
      <c r="G1758" s="8" t="s">
        <v>1372</v>
      </c>
      <c r="K1758" s="2"/>
      <c r="L1758" s="232">
        <v>43416</v>
      </c>
      <c r="N1758">
        <f t="shared" si="24"/>
        <v>2000</v>
      </c>
    </row>
    <row r="1759" spans="1:14" hidden="1">
      <c r="A1759" s="232">
        <v>43417</v>
      </c>
      <c r="B1759" t="s">
        <v>1938</v>
      </c>
      <c r="C1759" t="s">
        <v>2718</v>
      </c>
      <c r="D1759" s="1">
        <v>0</v>
      </c>
      <c r="E1759" s="1">
        <v>9670.6200000000008</v>
      </c>
      <c r="F1759">
        <v>2010710.43</v>
      </c>
      <c r="G1759" s="8" t="s">
        <v>1375</v>
      </c>
      <c r="K1759" s="2"/>
      <c r="L1759" s="232">
        <v>43417</v>
      </c>
      <c r="N1759">
        <f t="shared" si="24"/>
        <v>0</v>
      </c>
    </row>
    <row r="1760" spans="1:14" hidden="1">
      <c r="A1760" s="232">
        <v>43423</v>
      </c>
      <c r="B1760" t="s">
        <v>1914</v>
      </c>
      <c r="C1760" t="s">
        <v>2719</v>
      </c>
      <c r="D1760" s="1">
        <v>500000</v>
      </c>
      <c r="E1760" s="1">
        <v>0</v>
      </c>
      <c r="F1760">
        <v>1510710.43</v>
      </c>
      <c r="G1760" s="8" t="s">
        <v>1372</v>
      </c>
      <c r="K1760" s="2"/>
      <c r="L1760" s="232">
        <v>43423</v>
      </c>
      <c r="N1760">
        <f t="shared" si="24"/>
        <v>500000</v>
      </c>
    </row>
    <row r="1761" spans="1:14" hidden="1">
      <c r="A1761" s="232">
        <v>43430</v>
      </c>
      <c r="C1761" t="s">
        <v>2720</v>
      </c>
      <c r="D1761" s="1">
        <v>0</v>
      </c>
      <c r="E1761" s="1">
        <v>10000</v>
      </c>
      <c r="F1761">
        <v>1520710.43</v>
      </c>
      <c r="K1761" s="2"/>
      <c r="L1761" s="232">
        <v>43430</v>
      </c>
      <c r="N1761">
        <f t="shared" si="24"/>
        <v>0</v>
      </c>
    </row>
    <row r="1762" spans="1:14" hidden="1">
      <c r="A1762" s="232">
        <v>43430</v>
      </c>
      <c r="C1762" t="s">
        <v>2721</v>
      </c>
      <c r="D1762" s="1">
        <v>0</v>
      </c>
      <c r="E1762" s="1">
        <v>299800</v>
      </c>
      <c r="F1762">
        <v>1820510.43</v>
      </c>
      <c r="G1762" s="8" t="s">
        <v>1380</v>
      </c>
      <c r="K1762" s="2"/>
      <c r="L1762" s="232">
        <v>43430</v>
      </c>
      <c r="N1762">
        <f t="shared" si="24"/>
        <v>0</v>
      </c>
    </row>
    <row r="1763" spans="1:14" hidden="1">
      <c r="A1763" s="232">
        <v>43432</v>
      </c>
      <c r="B1763" t="s">
        <v>1938</v>
      </c>
      <c r="C1763" t="s">
        <v>2722</v>
      </c>
      <c r="D1763" s="1">
        <v>2000</v>
      </c>
      <c r="E1763" s="1">
        <v>0</v>
      </c>
      <c r="F1763">
        <v>1818510.43</v>
      </c>
      <c r="G1763" s="8" t="s">
        <v>1372</v>
      </c>
      <c r="K1763" s="2"/>
      <c r="L1763" s="232">
        <v>43432</v>
      </c>
      <c r="N1763">
        <f t="shared" si="24"/>
        <v>2000</v>
      </c>
    </row>
    <row r="1764" spans="1:14" hidden="1">
      <c r="A1764" s="232">
        <v>43434</v>
      </c>
      <c r="B1764" t="s">
        <v>1938</v>
      </c>
      <c r="C1764" t="s">
        <v>2723</v>
      </c>
      <c r="D1764" s="1">
        <v>300000</v>
      </c>
      <c r="E1764" s="1">
        <v>0</v>
      </c>
      <c r="F1764">
        <v>1518510.43</v>
      </c>
      <c r="G1764" s="8" t="s">
        <v>1381</v>
      </c>
      <c r="K1764" s="2"/>
      <c r="L1764" s="232">
        <v>43434</v>
      </c>
      <c r="N1764">
        <f t="shared" si="24"/>
        <v>300000</v>
      </c>
    </row>
    <row r="1765" spans="1:14" hidden="1">
      <c r="A1765" s="232">
        <v>43437</v>
      </c>
      <c r="C1765" t="s">
        <v>2724</v>
      </c>
      <c r="D1765" s="1">
        <v>51760.2</v>
      </c>
      <c r="E1765" s="1">
        <v>0</v>
      </c>
      <c r="F1765">
        <v>1466750.23</v>
      </c>
      <c r="G1765" s="8" t="s">
        <v>1362</v>
      </c>
      <c r="K1765" s="2"/>
      <c r="L1765" s="232">
        <v>43437</v>
      </c>
      <c r="N1765">
        <f t="shared" si="24"/>
        <v>51760.2</v>
      </c>
    </row>
    <row r="1766" spans="1:14" hidden="1">
      <c r="A1766" s="232">
        <v>43437</v>
      </c>
      <c r="B1766" t="s">
        <v>1997</v>
      </c>
      <c r="C1766" t="s">
        <v>2725</v>
      </c>
      <c r="D1766" s="1">
        <v>8623</v>
      </c>
      <c r="E1766" s="1">
        <v>0</v>
      </c>
      <c r="F1766">
        <v>1458127.23</v>
      </c>
      <c r="K1766" s="2"/>
      <c r="L1766" s="232">
        <v>43437</v>
      </c>
      <c r="N1766">
        <f t="shared" si="24"/>
        <v>8623</v>
      </c>
    </row>
    <row r="1767" spans="1:14" hidden="1">
      <c r="A1767" s="232">
        <v>43444</v>
      </c>
      <c r="B1767" t="s">
        <v>1938</v>
      </c>
      <c r="C1767" t="s">
        <v>2726</v>
      </c>
      <c r="D1767" s="1">
        <v>2000</v>
      </c>
      <c r="E1767" s="1">
        <v>0</v>
      </c>
      <c r="F1767">
        <v>1456127.23</v>
      </c>
      <c r="G1767" s="8" t="s">
        <v>1372</v>
      </c>
      <c r="K1767" s="2"/>
      <c r="L1767" s="232">
        <v>43444</v>
      </c>
      <c r="N1767">
        <f t="shared" si="24"/>
        <v>2000</v>
      </c>
    </row>
    <row r="1768" spans="1:14" hidden="1">
      <c r="A1768" s="232">
        <v>43446</v>
      </c>
      <c r="B1768" t="s">
        <v>1938</v>
      </c>
      <c r="C1768" t="s">
        <v>2727</v>
      </c>
      <c r="D1768" s="1">
        <v>0</v>
      </c>
      <c r="E1768" s="1">
        <v>10934.07</v>
      </c>
      <c r="F1768">
        <v>1467061.3</v>
      </c>
      <c r="G1768" s="8" t="s">
        <v>1375</v>
      </c>
      <c r="K1768" s="2"/>
      <c r="L1768" s="232">
        <v>43446</v>
      </c>
      <c r="N1768">
        <f t="shared" si="24"/>
        <v>0</v>
      </c>
    </row>
    <row r="1769" spans="1:14" hidden="1">
      <c r="A1769" s="232">
        <v>43448</v>
      </c>
      <c r="B1769" t="s">
        <v>2063</v>
      </c>
      <c r="C1769" t="s">
        <v>2728</v>
      </c>
      <c r="D1769" s="1">
        <v>5000</v>
      </c>
      <c r="E1769" s="1">
        <v>0</v>
      </c>
      <c r="F1769">
        <v>1462061.3</v>
      </c>
      <c r="G1769" s="8" t="s">
        <v>1361</v>
      </c>
      <c r="K1769" s="2"/>
      <c r="L1769" s="232">
        <v>43448</v>
      </c>
      <c r="N1769">
        <f t="shared" si="24"/>
        <v>5000</v>
      </c>
    </row>
    <row r="1770" spans="1:14" hidden="1">
      <c r="A1770" s="232">
        <v>43460</v>
      </c>
      <c r="C1770" t="s">
        <v>2729</v>
      </c>
      <c r="D1770" s="1">
        <v>328</v>
      </c>
      <c r="E1770" s="1">
        <v>0</v>
      </c>
      <c r="F1770">
        <v>1461733.3</v>
      </c>
      <c r="K1770" s="2"/>
      <c r="L1770" s="232">
        <v>43460</v>
      </c>
      <c r="N1770">
        <f t="shared" si="24"/>
        <v>328</v>
      </c>
    </row>
    <row r="1771" spans="1:14" hidden="1">
      <c r="A1771" s="232">
        <v>43460</v>
      </c>
      <c r="C1771" t="s">
        <v>2730</v>
      </c>
      <c r="D1771" s="1">
        <v>400000</v>
      </c>
      <c r="E1771" s="1">
        <v>0</v>
      </c>
      <c r="F1771">
        <v>1061733.3</v>
      </c>
      <c r="G1771" s="8" t="s">
        <v>1363</v>
      </c>
      <c r="K1771" s="2"/>
      <c r="L1771" s="232">
        <v>43460</v>
      </c>
      <c r="N1771">
        <f t="shared" si="24"/>
        <v>400000</v>
      </c>
    </row>
    <row r="1772" spans="1:14" hidden="1">
      <c r="A1772" s="232">
        <v>43460</v>
      </c>
      <c r="C1772" t="s">
        <v>2731</v>
      </c>
      <c r="D1772" s="1">
        <v>0</v>
      </c>
      <c r="E1772" s="1">
        <v>332640</v>
      </c>
      <c r="F1772">
        <v>1394373.3</v>
      </c>
      <c r="G1772" s="8" t="s">
        <v>1380</v>
      </c>
      <c r="K1772" s="2"/>
      <c r="L1772" s="232">
        <v>43460</v>
      </c>
      <c r="N1772">
        <f t="shared" si="24"/>
        <v>0</v>
      </c>
    </row>
    <row r="1773" spans="1:14" hidden="1">
      <c r="A1773" s="232">
        <v>43462</v>
      </c>
      <c r="B1773" t="s">
        <v>1938</v>
      </c>
      <c r="C1773" t="s">
        <v>2732</v>
      </c>
      <c r="D1773" s="1">
        <v>2000</v>
      </c>
      <c r="E1773" s="1">
        <v>0</v>
      </c>
      <c r="F1773">
        <v>1392373.3</v>
      </c>
      <c r="G1773" s="8" t="s">
        <v>1372</v>
      </c>
      <c r="K1773" s="2"/>
      <c r="L1773" s="232">
        <v>43462</v>
      </c>
      <c r="N1773">
        <f t="shared" si="24"/>
        <v>2000</v>
      </c>
    </row>
    <row r="1774" spans="1:14" hidden="1">
      <c r="A1774" s="232">
        <v>43465</v>
      </c>
      <c r="C1774" t="s">
        <v>2733</v>
      </c>
      <c r="D1774" s="1">
        <v>0</v>
      </c>
      <c r="E1774" s="1">
        <v>15998</v>
      </c>
      <c r="F1774">
        <v>1408371.3</v>
      </c>
      <c r="G1774" s="8" t="s">
        <v>1368</v>
      </c>
      <c r="K1774" s="2"/>
      <c r="L1774" s="232">
        <v>43465</v>
      </c>
      <c r="N1774">
        <f t="shared" si="24"/>
        <v>0</v>
      </c>
    </row>
    <row r="1775" spans="1:14" hidden="1">
      <c r="A1775" s="232">
        <v>43468</v>
      </c>
      <c r="B1775" t="s">
        <v>1997</v>
      </c>
      <c r="C1775" t="s">
        <v>2734</v>
      </c>
      <c r="D1775" s="1">
        <v>9027</v>
      </c>
      <c r="E1775" s="1">
        <v>0</v>
      </c>
      <c r="F1775">
        <v>1399344.3</v>
      </c>
      <c r="K1775" s="2"/>
      <c r="L1775" s="232">
        <v>43468</v>
      </c>
      <c r="N1775">
        <f t="shared" si="24"/>
        <v>9027</v>
      </c>
    </row>
    <row r="1776" spans="1:14" hidden="1">
      <c r="A1776" s="232">
        <v>43472</v>
      </c>
      <c r="B1776" t="s">
        <v>2063</v>
      </c>
      <c r="C1776" t="s">
        <v>2735</v>
      </c>
      <c r="D1776" s="1">
        <v>5000</v>
      </c>
      <c r="E1776" s="1">
        <v>0</v>
      </c>
      <c r="F1776">
        <v>1394344.3</v>
      </c>
      <c r="G1776" s="8" t="s">
        <v>1361</v>
      </c>
      <c r="K1776" s="2"/>
      <c r="L1776" s="232">
        <v>43472</v>
      </c>
      <c r="N1776">
        <f t="shared" si="24"/>
        <v>5000</v>
      </c>
    </row>
    <row r="1777" spans="1:14" hidden="1">
      <c r="A1777" s="232">
        <v>43475</v>
      </c>
      <c r="B1777" t="s">
        <v>1938</v>
      </c>
      <c r="C1777" t="s">
        <v>2736</v>
      </c>
      <c r="D1777" s="1">
        <v>2000</v>
      </c>
      <c r="E1777" s="1">
        <v>0</v>
      </c>
      <c r="F1777">
        <v>1392344.3</v>
      </c>
      <c r="G1777" s="8" t="s">
        <v>1372</v>
      </c>
      <c r="K1777" s="2"/>
      <c r="L1777" s="232">
        <v>43475</v>
      </c>
      <c r="N1777">
        <f t="shared" si="24"/>
        <v>2000</v>
      </c>
    </row>
    <row r="1778" spans="1:14" hidden="1">
      <c r="A1778" s="232">
        <v>43475</v>
      </c>
      <c r="B1778" t="s">
        <v>2737</v>
      </c>
      <c r="C1778" t="s">
        <v>2738</v>
      </c>
      <c r="D1778" s="1">
        <v>322644.75</v>
      </c>
      <c r="E1778" s="1">
        <v>0</v>
      </c>
      <c r="F1778">
        <v>1069699.55</v>
      </c>
      <c r="G1778" s="8" t="s">
        <v>1362</v>
      </c>
      <c r="K1778" s="2"/>
      <c r="L1778" s="232">
        <v>43475</v>
      </c>
      <c r="N1778">
        <f t="shared" si="24"/>
        <v>322644.75</v>
      </c>
    </row>
    <row r="1779" spans="1:14" hidden="1">
      <c r="A1779" s="232">
        <v>43476</v>
      </c>
      <c r="C1779" t="s">
        <v>2670</v>
      </c>
      <c r="D1779" s="1">
        <v>117005</v>
      </c>
      <c r="E1779" s="1">
        <v>0</v>
      </c>
      <c r="F1779">
        <v>952694.55</v>
      </c>
      <c r="G1779" s="8" t="s">
        <v>1383</v>
      </c>
      <c r="K1779" s="2"/>
      <c r="L1779" s="232">
        <v>43476</v>
      </c>
      <c r="N1779">
        <f t="shared" si="24"/>
        <v>117005</v>
      </c>
    </row>
    <row r="1780" spans="1:14" hidden="1">
      <c r="A1780" s="232">
        <v>43479</v>
      </c>
      <c r="B1780" t="s">
        <v>1938</v>
      </c>
      <c r="C1780" t="s">
        <v>2739</v>
      </c>
      <c r="D1780" s="1">
        <v>0</v>
      </c>
      <c r="E1780" s="1">
        <v>9670.6200000000008</v>
      </c>
      <c r="F1780">
        <v>962365.17</v>
      </c>
      <c r="G1780" s="8" t="s">
        <v>1375</v>
      </c>
      <c r="K1780" s="2"/>
      <c r="L1780" s="232">
        <v>43479</v>
      </c>
      <c r="N1780">
        <f t="shared" si="24"/>
        <v>0</v>
      </c>
    </row>
    <row r="1781" spans="1:14" hidden="1">
      <c r="A1781" s="232">
        <v>43481</v>
      </c>
      <c r="C1781" t="s">
        <v>2740</v>
      </c>
      <c r="D1781" s="1">
        <v>5622</v>
      </c>
      <c r="E1781" s="1">
        <v>0</v>
      </c>
      <c r="F1781">
        <v>956743.17</v>
      </c>
      <c r="G1781" s="8" t="s">
        <v>1370</v>
      </c>
      <c r="K1781" s="2"/>
      <c r="L1781" s="232">
        <v>43481</v>
      </c>
      <c r="N1781">
        <f t="shared" si="24"/>
        <v>5622</v>
      </c>
    </row>
    <row r="1782" spans="1:14" hidden="1">
      <c r="A1782" s="232">
        <v>43490</v>
      </c>
      <c r="C1782" t="s">
        <v>2741</v>
      </c>
      <c r="D1782" s="1">
        <v>0</v>
      </c>
      <c r="E1782" s="1">
        <v>301442</v>
      </c>
      <c r="F1782">
        <v>1258185.17</v>
      </c>
      <c r="G1782" s="8" t="s">
        <v>1380</v>
      </c>
      <c r="K1782" s="2"/>
      <c r="L1782" s="232">
        <v>43490</v>
      </c>
      <c r="N1782">
        <f t="shared" si="24"/>
        <v>0</v>
      </c>
    </row>
    <row r="1783" spans="1:14" hidden="1">
      <c r="A1783" s="232">
        <v>43493</v>
      </c>
      <c r="B1783" t="s">
        <v>1938</v>
      </c>
      <c r="C1783" t="s">
        <v>2742</v>
      </c>
      <c r="D1783" s="1">
        <v>2000</v>
      </c>
      <c r="E1783" s="1">
        <v>0</v>
      </c>
      <c r="F1783">
        <v>1256185.17</v>
      </c>
      <c r="G1783" s="8" t="s">
        <v>1372</v>
      </c>
      <c r="K1783" s="2"/>
      <c r="L1783" s="232">
        <v>43493</v>
      </c>
      <c r="N1783">
        <f t="shared" si="24"/>
        <v>2000</v>
      </c>
    </row>
    <row r="1784" spans="1:14" hidden="1">
      <c r="A1784" s="232">
        <v>43494</v>
      </c>
      <c r="B1784" t="s">
        <v>1914</v>
      </c>
      <c r="C1784" t="s">
        <v>2743</v>
      </c>
      <c r="D1784" s="1">
        <v>150000</v>
      </c>
      <c r="E1784" s="1">
        <v>0</v>
      </c>
      <c r="F1784">
        <v>1106185.17</v>
      </c>
      <c r="G1784" s="8" t="s">
        <v>1363</v>
      </c>
      <c r="K1784" s="2"/>
      <c r="L1784" s="232">
        <v>43494</v>
      </c>
      <c r="N1784">
        <f t="shared" si="24"/>
        <v>150000</v>
      </c>
    </row>
    <row r="1785" spans="1:14" hidden="1">
      <c r="A1785" s="232">
        <v>43500</v>
      </c>
      <c r="B1785" t="s">
        <v>1997</v>
      </c>
      <c r="C1785" t="s">
        <v>2744</v>
      </c>
      <c r="D1785" s="1">
        <v>8243</v>
      </c>
      <c r="E1785" s="1">
        <v>0</v>
      </c>
      <c r="F1785">
        <v>1097942.17</v>
      </c>
      <c r="K1785" s="2"/>
      <c r="L1785" s="232">
        <v>43500</v>
      </c>
      <c r="N1785">
        <f t="shared" si="24"/>
        <v>8243</v>
      </c>
    </row>
    <row r="1786" spans="1:14" hidden="1">
      <c r="A1786" s="232">
        <v>43501</v>
      </c>
      <c r="B1786" t="s">
        <v>2063</v>
      </c>
      <c r="C1786" t="s">
        <v>2745</v>
      </c>
      <c r="D1786" s="1">
        <v>5000</v>
      </c>
      <c r="E1786" s="1">
        <v>0</v>
      </c>
      <c r="F1786">
        <v>1092942.17</v>
      </c>
      <c r="G1786" s="8" t="s">
        <v>1361</v>
      </c>
      <c r="K1786" s="2"/>
      <c r="L1786" s="232">
        <v>43501</v>
      </c>
      <c r="N1786">
        <f t="shared" si="24"/>
        <v>5000</v>
      </c>
    </row>
    <row r="1787" spans="1:14" hidden="1">
      <c r="A1787" s="232">
        <v>43507</v>
      </c>
      <c r="B1787" t="s">
        <v>1938</v>
      </c>
      <c r="C1787" t="s">
        <v>2746</v>
      </c>
      <c r="D1787" s="1">
        <v>2000</v>
      </c>
      <c r="E1787" s="1">
        <v>0</v>
      </c>
      <c r="F1787">
        <v>1090942.17</v>
      </c>
      <c r="G1787" s="8" t="s">
        <v>1372</v>
      </c>
      <c r="K1787" s="2"/>
      <c r="L1787" s="232">
        <v>43507</v>
      </c>
      <c r="N1787">
        <f t="shared" si="24"/>
        <v>2000</v>
      </c>
    </row>
    <row r="1788" spans="1:14" hidden="1">
      <c r="A1788" s="232">
        <v>43507</v>
      </c>
      <c r="B1788" t="s">
        <v>2737</v>
      </c>
      <c r="C1788" t="s">
        <v>2738</v>
      </c>
      <c r="D1788" s="1">
        <v>4100</v>
      </c>
      <c r="E1788" s="1">
        <v>0</v>
      </c>
      <c r="F1788">
        <v>1086842.17</v>
      </c>
      <c r="G1788" s="8" t="s">
        <v>1362</v>
      </c>
      <c r="K1788" s="2"/>
      <c r="L1788" s="232">
        <v>43507</v>
      </c>
      <c r="N1788">
        <f t="shared" si="24"/>
        <v>4100</v>
      </c>
    </row>
    <row r="1789" spans="1:14" hidden="1">
      <c r="A1789" s="232">
        <v>43507</v>
      </c>
      <c r="B1789" t="s">
        <v>1938</v>
      </c>
      <c r="C1789" t="s">
        <v>2747</v>
      </c>
      <c r="D1789" s="1">
        <v>0</v>
      </c>
      <c r="E1789" s="1">
        <v>9670.6200000000008</v>
      </c>
      <c r="F1789">
        <v>1096512.79</v>
      </c>
      <c r="G1789" s="8" t="s">
        <v>1375</v>
      </c>
      <c r="K1789" s="2"/>
      <c r="L1789" s="232">
        <v>43507</v>
      </c>
      <c r="N1789">
        <f t="shared" si="24"/>
        <v>0</v>
      </c>
    </row>
    <row r="1790" spans="1:14" hidden="1">
      <c r="A1790" s="232">
        <v>43514</v>
      </c>
      <c r="B1790" t="s">
        <v>1938</v>
      </c>
      <c r="C1790" t="s">
        <v>2748</v>
      </c>
      <c r="D1790" s="1">
        <v>0</v>
      </c>
      <c r="E1790" s="1">
        <v>200481.78</v>
      </c>
      <c r="F1790">
        <v>1296994.57</v>
      </c>
      <c r="G1790" s="8" t="s">
        <v>1375</v>
      </c>
      <c r="K1790" s="2"/>
      <c r="L1790" s="232">
        <v>43514</v>
      </c>
      <c r="N1790">
        <f t="shared" si="24"/>
        <v>0</v>
      </c>
    </row>
    <row r="1791" spans="1:14" hidden="1">
      <c r="A1791" s="232">
        <v>43517</v>
      </c>
      <c r="B1791" t="s">
        <v>1914</v>
      </c>
      <c r="C1791" t="s">
        <v>2749</v>
      </c>
      <c r="D1791" s="1">
        <v>250000</v>
      </c>
      <c r="E1791" s="1">
        <v>0</v>
      </c>
      <c r="F1791">
        <v>1046994.57</v>
      </c>
      <c r="G1791" s="8" t="s">
        <v>1372</v>
      </c>
      <c r="K1791" s="2"/>
      <c r="L1791" s="232">
        <v>43517</v>
      </c>
      <c r="N1791">
        <f t="shared" si="24"/>
        <v>250000</v>
      </c>
    </row>
    <row r="1792" spans="1:14" hidden="1">
      <c r="A1792" s="232">
        <v>43523</v>
      </c>
      <c r="C1792" t="s">
        <v>2750</v>
      </c>
      <c r="D1792" s="1">
        <v>0</v>
      </c>
      <c r="E1792" s="1">
        <v>299800</v>
      </c>
      <c r="F1792">
        <v>1346794.57</v>
      </c>
      <c r="G1792" s="8" t="s">
        <v>1380</v>
      </c>
      <c r="K1792" s="2"/>
      <c r="L1792" s="232">
        <v>43523</v>
      </c>
      <c r="N1792">
        <f t="shared" si="24"/>
        <v>0</v>
      </c>
    </row>
    <row r="1793" spans="1:14" hidden="1">
      <c r="A1793" s="232">
        <v>43524</v>
      </c>
      <c r="B1793" t="s">
        <v>1938</v>
      </c>
      <c r="C1793" t="s">
        <v>2751</v>
      </c>
      <c r="D1793" s="1">
        <v>2000</v>
      </c>
      <c r="E1793" s="1">
        <v>0</v>
      </c>
      <c r="F1793">
        <v>1344794.57</v>
      </c>
      <c r="G1793" s="8" t="s">
        <v>1372</v>
      </c>
      <c r="K1793" s="2"/>
      <c r="L1793" s="232">
        <v>43524</v>
      </c>
      <c r="N1793">
        <f t="shared" si="24"/>
        <v>2000</v>
      </c>
    </row>
    <row r="1794" spans="1:14" hidden="1">
      <c r="A1794" s="232">
        <v>43528</v>
      </c>
      <c r="B1794" t="s">
        <v>2063</v>
      </c>
      <c r="C1794" t="s">
        <v>2752</v>
      </c>
      <c r="D1794" s="1">
        <v>8000</v>
      </c>
      <c r="E1794" s="1">
        <v>0</v>
      </c>
      <c r="F1794">
        <v>1336794.57</v>
      </c>
      <c r="G1794" s="8" t="s">
        <v>1361</v>
      </c>
      <c r="K1794" s="2"/>
      <c r="L1794" s="232">
        <v>43528</v>
      </c>
      <c r="N1794">
        <f t="shared" si="24"/>
        <v>8000</v>
      </c>
    </row>
    <row r="1795" spans="1:14" hidden="1">
      <c r="A1795" s="232">
        <v>43528</v>
      </c>
      <c r="B1795" t="s">
        <v>1997</v>
      </c>
      <c r="C1795" t="s">
        <v>2753</v>
      </c>
      <c r="D1795" s="1">
        <v>8541</v>
      </c>
      <c r="E1795" s="1">
        <v>0</v>
      </c>
      <c r="F1795">
        <v>1328253.57</v>
      </c>
      <c r="K1795" s="2"/>
      <c r="L1795" s="232">
        <v>43528</v>
      </c>
      <c r="N1795">
        <f t="shared" si="24"/>
        <v>8541</v>
      </c>
    </row>
    <row r="1796" spans="1:14" hidden="1">
      <c r="A1796" s="232">
        <v>43531</v>
      </c>
      <c r="B1796" t="s">
        <v>2213</v>
      </c>
      <c r="C1796" t="s">
        <v>2754</v>
      </c>
      <c r="D1796" s="1">
        <v>0</v>
      </c>
      <c r="E1796" s="1">
        <v>27232.240000000002</v>
      </c>
      <c r="F1796">
        <v>1355485.81</v>
      </c>
      <c r="G1796" s="8" t="s">
        <v>1380</v>
      </c>
      <c r="K1796" s="2"/>
      <c r="L1796" s="232">
        <v>43531</v>
      </c>
      <c r="N1796">
        <f t="shared" si="24"/>
        <v>0</v>
      </c>
    </row>
    <row r="1797" spans="1:14" hidden="1">
      <c r="A1797" s="232">
        <v>43535</v>
      </c>
      <c r="B1797" t="s">
        <v>1938</v>
      </c>
      <c r="C1797" t="s">
        <v>2755</v>
      </c>
      <c r="D1797" s="1">
        <v>2000</v>
      </c>
      <c r="E1797" s="1">
        <v>0</v>
      </c>
      <c r="F1797">
        <v>1353485.81</v>
      </c>
      <c r="G1797" s="8" t="s">
        <v>1372</v>
      </c>
      <c r="K1797" s="2"/>
      <c r="L1797" s="232">
        <v>43535</v>
      </c>
      <c r="N1797">
        <f t="shared" si="24"/>
        <v>2000</v>
      </c>
    </row>
    <row r="1798" spans="1:14" hidden="1">
      <c r="A1798" s="232">
        <v>43535</v>
      </c>
      <c r="B1798" t="s">
        <v>1938</v>
      </c>
      <c r="C1798" t="s">
        <v>2756</v>
      </c>
      <c r="D1798" s="1">
        <v>0</v>
      </c>
      <c r="E1798" s="1">
        <v>9670.6200000000008</v>
      </c>
      <c r="F1798">
        <v>1363156.43</v>
      </c>
      <c r="G1798" s="8" t="s">
        <v>1375</v>
      </c>
      <c r="K1798" s="2"/>
      <c r="L1798" s="232">
        <v>43535</v>
      </c>
      <c r="N1798">
        <f t="shared" si="24"/>
        <v>0</v>
      </c>
    </row>
    <row r="1799" spans="1:14" hidden="1">
      <c r="A1799" s="232">
        <v>43536</v>
      </c>
      <c r="B1799" t="s">
        <v>1914</v>
      </c>
      <c r="C1799" t="s">
        <v>2757</v>
      </c>
      <c r="D1799" s="1">
        <v>100000</v>
      </c>
      <c r="E1799" s="1">
        <v>0</v>
      </c>
      <c r="F1799">
        <v>1263156.43</v>
      </c>
      <c r="G1799" s="8" t="s">
        <v>1363</v>
      </c>
      <c r="K1799" s="2"/>
      <c r="L1799" s="232">
        <v>43536</v>
      </c>
      <c r="N1799">
        <f t="shared" si="24"/>
        <v>100000</v>
      </c>
    </row>
    <row r="1800" spans="1:14" hidden="1">
      <c r="A1800" s="232">
        <v>43537</v>
      </c>
      <c r="B1800" t="s">
        <v>2737</v>
      </c>
      <c r="C1800" t="s">
        <v>2738</v>
      </c>
      <c r="D1800" s="1">
        <v>9716.89</v>
      </c>
      <c r="E1800" s="1">
        <v>0</v>
      </c>
      <c r="F1800">
        <v>1253439.54</v>
      </c>
      <c r="G1800" s="8" t="s">
        <v>1362</v>
      </c>
      <c r="K1800" s="2"/>
      <c r="L1800" s="232">
        <v>43537</v>
      </c>
      <c r="N1800">
        <f t="shared" si="24"/>
        <v>9716.89</v>
      </c>
    </row>
    <row r="1801" spans="1:14" hidden="1">
      <c r="A1801" s="232">
        <v>43542</v>
      </c>
      <c r="B1801" t="s">
        <v>1914</v>
      </c>
      <c r="C1801" t="s">
        <v>2758</v>
      </c>
      <c r="D1801" s="1">
        <v>300000</v>
      </c>
      <c r="E1801" s="1">
        <v>0</v>
      </c>
      <c r="F1801">
        <v>953439.54</v>
      </c>
      <c r="G1801" s="8" t="s">
        <v>1372</v>
      </c>
      <c r="K1801" s="2"/>
      <c r="L1801" s="232">
        <v>43542</v>
      </c>
      <c r="N1801">
        <f t="shared" si="24"/>
        <v>300000</v>
      </c>
    </row>
    <row r="1802" spans="1:14" hidden="1">
      <c r="A1802" s="232">
        <v>43546</v>
      </c>
      <c r="B1802" t="s">
        <v>2063</v>
      </c>
      <c r="C1802" t="s">
        <v>2759</v>
      </c>
      <c r="D1802" s="1">
        <v>5000</v>
      </c>
      <c r="E1802" s="1">
        <v>0</v>
      </c>
      <c r="F1802">
        <v>948439.54</v>
      </c>
      <c r="G1802" s="8" t="s">
        <v>1361</v>
      </c>
      <c r="K1802" s="2"/>
      <c r="L1802" s="232">
        <v>43546</v>
      </c>
      <c r="N1802">
        <f t="shared" si="24"/>
        <v>5000</v>
      </c>
    </row>
    <row r="1803" spans="1:14" hidden="1">
      <c r="A1803" s="232">
        <v>43552</v>
      </c>
      <c r="B1803" t="s">
        <v>1938</v>
      </c>
      <c r="C1803" t="s">
        <v>2760</v>
      </c>
      <c r="D1803" s="1">
        <v>2000</v>
      </c>
      <c r="E1803" s="1">
        <v>0</v>
      </c>
      <c r="F1803">
        <v>946439.54</v>
      </c>
      <c r="G1803" s="8" t="s">
        <v>1372</v>
      </c>
      <c r="K1803" s="2"/>
      <c r="L1803" s="232">
        <v>43552</v>
      </c>
      <c r="N1803">
        <f t="shared" ref="N1803:N1866" si="25">D1803*1</f>
        <v>2000</v>
      </c>
    </row>
    <row r="1804" spans="1:14" hidden="1">
      <c r="A1804" s="232">
        <v>43552</v>
      </c>
      <c r="C1804" t="s">
        <v>2761</v>
      </c>
      <c r="D1804" s="1">
        <v>0</v>
      </c>
      <c r="E1804" s="1">
        <v>1154921</v>
      </c>
      <c r="F1804">
        <v>2101360.54</v>
      </c>
      <c r="G1804" s="8" t="s">
        <v>1380</v>
      </c>
      <c r="K1804" s="2"/>
      <c r="L1804" s="232">
        <v>43552</v>
      </c>
      <c r="N1804">
        <f t="shared" si="25"/>
        <v>0</v>
      </c>
    </row>
    <row r="1805" spans="1:14" hidden="1">
      <c r="A1805" s="232">
        <v>43555</v>
      </c>
      <c r="C1805" t="s">
        <v>2762</v>
      </c>
      <c r="D1805" s="1">
        <v>0</v>
      </c>
      <c r="E1805" s="1">
        <v>10210</v>
      </c>
      <c r="F1805">
        <v>2111570.54</v>
      </c>
      <c r="G1805" s="8" t="s">
        <v>1368</v>
      </c>
      <c r="K1805" s="2"/>
      <c r="L1805" s="232">
        <v>43555</v>
      </c>
      <c r="N1805">
        <f t="shared" si="25"/>
        <v>0</v>
      </c>
    </row>
    <row r="1806" spans="1:14" hidden="1">
      <c r="A1806" s="232">
        <v>43556</v>
      </c>
      <c r="C1806" t="s">
        <v>1394</v>
      </c>
      <c r="D1806" s="1">
        <v>0</v>
      </c>
      <c r="E1806" s="1">
        <v>0</v>
      </c>
      <c r="F1806">
        <v>2111570.54</v>
      </c>
      <c r="K1806" s="2"/>
      <c r="L1806" s="232">
        <v>43556</v>
      </c>
      <c r="N1806">
        <f t="shared" si="25"/>
        <v>0</v>
      </c>
    </row>
    <row r="1807" spans="1:14" hidden="1">
      <c r="A1807" s="232">
        <v>43558</v>
      </c>
      <c r="B1807" t="s">
        <v>1997</v>
      </c>
      <c r="C1807" t="s">
        <v>2763</v>
      </c>
      <c r="D1807" s="1">
        <v>10298</v>
      </c>
      <c r="E1807" s="1">
        <v>0</v>
      </c>
      <c r="F1807">
        <v>2101272.54</v>
      </c>
      <c r="K1807" s="2"/>
      <c r="L1807" s="232">
        <v>43558</v>
      </c>
      <c r="N1807">
        <f t="shared" si="25"/>
        <v>10298</v>
      </c>
    </row>
    <row r="1808" spans="1:14" hidden="1">
      <c r="A1808" s="232">
        <v>43559</v>
      </c>
      <c r="B1808" t="s">
        <v>1938</v>
      </c>
      <c r="C1808" t="s">
        <v>2764</v>
      </c>
      <c r="D1808" s="1">
        <v>0</v>
      </c>
      <c r="E1808" s="1">
        <v>1632.5</v>
      </c>
      <c r="F1808">
        <v>2102905.04</v>
      </c>
      <c r="G1808" s="8" t="s">
        <v>1375</v>
      </c>
      <c r="K1808" s="2"/>
      <c r="L1808" s="232">
        <v>43559</v>
      </c>
      <c r="N1808">
        <f t="shared" si="25"/>
        <v>0</v>
      </c>
    </row>
    <row r="1809" spans="1:14" hidden="1">
      <c r="A1809" s="232">
        <v>43563</v>
      </c>
      <c r="B1809" t="s">
        <v>1938</v>
      </c>
      <c r="C1809" t="s">
        <v>2765</v>
      </c>
      <c r="D1809" s="1">
        <v>0</v>
      </c>
      <c r="E1809" s="1">
        <v>9670.6200000000008</v>
      </c>
      <c r="F1809">
        <v>2112575.66</v>
      </c>
      <c r="G1809" s="8" t="s">
        <v>1375</v>
      </c>
      <c r="K1809" s="2"/>
      <c r="L1809" s="232">
        <v>43563</v>
      </c>
      <c r="N1809">
        <f t="shared" si="25"/>
        <v>0</v>
      </c>
    </row>
    <row r="1810" spans="1:14" hidden="1">
      <c r="A1810" s="232">
        <v>43565</v>
      </c>
      <c r="B1810" t="s">
        <v>1938</v>
      </c>
      <c r="C1810" t="s">
        <v>2766</v>
      </c>
      <c r="D1810" s="1">
        <v>2000</v>
      </c>
      <c r="E1810" s="1">
        <v>0</v>
      </c>
      <c r="F1810">
        <v>2110575.66</v>
      </c>
      <c r="G1810" s="8" t="s">
        <v>1372</v>
      </c>
      <c r="K1810" s="2"/>
      <c r="L1810" s="232">
        <v>43565</v>
      </c>
      <c r="N1810">
        <f t="shared" si="25"/>
        <v>2000</v>
      </c>
    </row>
    <row r="1811" spans="1:14" hidden="1">
      <c r="A1811" s="232">
        <v>43565</v>
      </c>
      <c r="C1811" t="s">
        <v>2767</v>
      </c>
      <c r="D1811" s="1">
        <v>6907</v>
      </c>
      <c r="E1811" s="1">
        <v>0</v>
      </c>
      <c r="F1811">
        <v>2103668.66</v>
      </c>
      <c r="K1811" s="2"/>
      <c r="L1811" s="232">
        <v>43565</v>
      </c>
      <c r="N1811">
        <f t="shared" si="25"/>
        <v>6907</v>
      </c>
    </row>
    <row r="1812" spans="1:14" hidden="1">
      <c r="A1812" s="232">
        <v>43565</v>
      </c>
      <c r="B1812" t="s">
        <v>2737</v>
      </c>
      <c r="C1812" t="s">
        <v>2738</v>
      </c>
      <c r="D1812" s="1">
        <v>328823.01</v>
      </c>
      <c r="E1812" s="1">
        <v>0</v>
      </c>
      <c r="F1812">
        <v>1774845.65</v>
      </c>
      <c r="G1812" s="8" t="s">
        <v>1362</v>
      </c>
      <c r="K1812" s="2"/>
      <c r="L1812" s="232">
        <v>43565</v>
      </c>
      <c r="N1812">
        <f t="shared" si="25"/>
        <v>328823.01</v>
      </c>
    </row>
    <row r="1813" spans="1:14" hidden="1">
      <c r="A1813" s="232">
        <v>43573</v>
      </c>
      <c r="B1813" t="s">
        <v>1938</v>
      </c>
      <c r="C1813" t="s">
        <v>2764</v>
      </c>
      <c r="D1813" s="1">
        <v>0</v>
      </c>
      <c r="E1813" s="1">
        <v>1632.5</v>
      </c>
      <c r="F1813">
        <v>1776478.15</v>
      </c>
      <c r="G1813" s="8" t="s">
        <v>1375</v>
      </c>
      <c r="K1813" s="2"/>
      <c r="L1813" s="232">
        <v>43573</v>
      </c>
      <c r="N1813">
        <f t="shared" si="25"/>
        <v>0</v>
      </c>
    </row>
    <row r="1814" spans="1:14" hidden="1">
      <c r="A1814" s="232">
        <v>43581</v>
      </c>
      <c r="C1814" t="s">
        <v>2768</v>
      </c>
      <c r="D1814" s="1">
        <v>0</v>
      </c>
      <c r="E1814" s="1">
        <v>325072</v>
      </c>
      <c r="F1814">
        <v>2101550.15</v>
      </c>
      <c r="G1814" s="8" t="s">
        <v>1380</v>
      </c>
      <c r="K1814" s="2"/>
      <c r="L1814" s="232">
        <v>43581</v>
      </c>
      <c r="N1814">
        <f t="shared" si="25"/>
        <v>0</v>
      </c>
    </row>
    <row r="1815" spans="1:14" hidden="1">
      <c r="A1815" s="232">
        <v>43581</v>
      </c>
      <c r="B1815" t="s">
        <v>1997</v>
      </c>
      <c r="C1815" t="s">
        <v>2769</v>
      </c>
      <c r="D1815" s="1">
        <v>100</v>
      </c>
      <c r="E1815" s="1">
        <v>0</v>
      </c>
      <c r="F1815">
        <v>2101450.15</v>
      </c>
      <c r="G1815" s="8" t="s">
        <v>1370</v>
      </c>
      <c r="K1815" s="2"/>
      <c r="L1815" s="232">
        <v>43581</v>
      </c>
      <c r="N1815">
        <f t="shared" si="25"/>
        <v>100</v>
      </c>
    </row>
    <row r="1816" spans="1:14" hidden="1">
      <c r="A1816" s="232">
        <v>43584</v>
      </c>
      <c r="B1816" t="s">
        <v>1938</v>
      </c>
      <c r="C1816" t="s">
        <v>2770</v>
      </c>
      <c r="D1816" s="1">
        <v>2000</v>
      </c>
      <c r="E1816" s="1">
        <v>0</v>
      </c>
      <c r="F1816">
        <v>2099450.15</v>
      </c>
      <c r="G1816" s="8" t="s">
        <v>1372</v>
      </c>
      <c r="K1816" s="2"/>
      <c r="L1816" s="232">
        <v>43584</v>
      </c>
      <c r="N1816">
        <f t="shared" si="25"/>
        <v>2000</v>
      </c>
    </row>
    <row r="1817" spans="1:14" hidden="1">
      <c r="A1817" s="232">
        <v>43584</v>
      </c>
      <c r="C1817" t="s">
        <v>2771</v>
      </c>
      <c r="D1817" s="1">
        <v>2000000</v>
      </c>
      <c r="E1817" s="1">
        <v>0</v>
      </c>
      <c r="F1817">
        <v>99450.15</v>
      </c>
      <c r="G1817" s="8" t="s">
        <v>1379</v>
      </c>
      <c r="K1817" s="2"/>
      <c r="L1817" s="232">
        <v>43584</v>
      </c>
      <c r="N1817">
        <f t="shared" si="25"/>
        <v>2000000</v>
      </c>
    </row>
    <row r="1818" spans="1:14" hidden="1">
      <c r="A1818" s="232">
        <v>43584</v>
      </c>
      <c r="B1818" t="s">
        <v>1914</v>
      </c>
      <c r="C1818" t="s">
        <v>2772</v>
      </c>
      <c r="D1818" s="1">
        <v>0</v>
      </c>
      <c r="E1818" s="1">
        <v>150000</v>
      </c>
      <c r="F1818">
        <v>249450.15</v>
      </c>
      <c r="G1818" s="8" t="s">
        <v>1363</v>
      </c>
      <c r="K1818" s="2"/>
      <c r="L1818" s="232">
        <v>43584</v>
      </c>
      <c r="N1818">
        <f t="shared" si="25"/>
        <v>0</v>
      </c>
    </row>
    <row r="1819" spans="1:14" hidden="1">
      <c r="A1819" s="232">
        <v>43586</v>
      </c>
      <c r="C1819" t="s">
        <v>2773</v>
      </c>
      <c r="D1819" s="1">
        <v>150000</v>
      </c>
      <c r="E1819" s="1">
        <v>0</v>
      </c>
      <c r="F1819">
        <v>99450.15</v>
      </c>
      <c r="G1819" s="8" t="s">
        <v>1378</v>
      </c>
      <c r="K1819" s="2"/>
      <c r="L1819" s="232">
        <v>43586</v>
      </c>
      <c r="N1819">
        <f t="shared" si="25"/>
        <v>150000</v>
      </c>
    </row>
    <row r="1820" spans="1:14" hidden="1">
      <c r="A1820" s="232">
        <v>43588</v>
      </c>
      <c r="B1820" t="s">
        <v>1997</v>
      </c>
      <c r="C1820" t="s">
        <v>2774</v>
      </c>
      <c r="D1820" s="1">
        <v>11580</v>
      </c>
      <c r="E1820" s="1">
        <v>0</v>
      </c>
      <c r="F1820">
        <v>87870.15</v>
      </c>
      <c r="K1820" s="2"/>
      <c r="L1820" s="232">
        <v>43588</v>
      </c>
      <c r="N1820">
        <f t="shared" si="25"/>
        <v>11580</v>
      </c>
    </row>
    <row r="1821" spans="1:14" hidden="1">
      <c r="A1821" s="232">
        <v>43592</v>
      </c>
      <c r="B1821" t="s">
        <v>1938</v>
      </c>
      <c r="C1821" t="s">
        <v>2775</v>
      </c>
      <c r="D1821" s="1">
        <v>0</v>
      </c>
      <c r="E1821" s="1">
        <v>9670.6200000000008</v>
      </c>
      <c r="F1821">
        <v>97540.77</v>
      </c>
      <c r="G1821" s="8" t="s">
        <v>1375</v>
      </c>
      <c r="K1821" s="2"/>
      <c r="L1821" s="232">
        <v>43592</v>
      </c>
      <c r="N1821">
        <f t="shared" si="25"/>
        <v>0</v>
      </c>
    </row>
    <row r="1822" spans="1:14" hidden="1">
      <c r="A1822" s="232">
        <v>43595</v>
      </c>
      <c r="B1822" t="s">
        <v>1938</v>
      </c>
      <c r="C1822" t="s">
        <v>2776</v>
      </c>
      <c r="D1822" s="1">
        <v>2000</v>
      </c>
      <c r="E1822" s="1">
        <v>0</v>
      </c>
      <c r="F1822">
        <v>95540.77</v>
      </c>
      <c r="G1822" s="8" t="s">
        <v>1372</v>
      </c>
      <c r="K1822" s="2"/>
      <c r="L1822" s="232">
        <v>43595</v>
      </c>
      <c r="N1822">
        <f t="shared" si="25"/>
        <v>2000</v>
      </c>
    </row>
    <row r="1823" spans="1:14" hidden="1">
      <c r="A1823" s="232">
        <v>43595</v>
      </c>
      <c r="B1823" t="s">
        <v>1938</v>
      </c>
      <c r="C1823" t="s">
        <v>2777</v>
      </c>
      <c r="D1823" s="1">
        <v>0</v>
      </c>
      <c r="E1823" s="1">
        <v>1064503.3600000001</v>
      </c>
      <c r="F1823">
        <v>1160044.1299999999</v>
      </c>
      <c r="G1823" s="8" t="s">
        <v>1375</v>
      </c>
      <c r="K1823" s="2"/>
      <c r="L1823" s="232">
        <v>43595</v>
      </c>
      <c r="N1823">
        <f t="shared" si="25"/>
        <v>0</v>
      </c>
    </row>
    <row r="1824" spans="1:14" hidden="1">
      <c r="A1824" s="232">
        <v>43598</v>
      </c>
      <c r="B1824" t="s">
        <v>2737</v>
      </c>
      <c r="C1824" t="s">
        <v>2738</v>
      </c>
      <c r="D1824" s="1">
        <v>32020.84</v>
      </c>
      <c r="E1824" s="1">
        <v>0</v>
      </c>
      <c r="F1824">
        <v>1128023.29</v>
      </c>
      <c r="G1824" s="8" t="s">
        <v>1362</v>
      </c>
      <c r="K1824" s="2"/>
      <c r="L1824" s="232">
        <v>43598</v>
      </c>
      <c r="N1824">
        <f t="shared" si="25"/>
        <v>32020.84</v>
      </c>
    </row>
    <row r="1825" spans="1:14" hidden="1">
      <c r="A1825" s="232">
        <v>43600</v>
      </c>
      <c r="C1825" t="s">
        <v>2778</v>
      </c>
      <c r="D1825" s="1">
        <v>711120</v>
      </c>
      <c r="E1825" s="1">
        <v>0</v>
      </c>
      <c r="F1825">
        <v>416903.29</v>
      </c>
      <c r="G1825" s="8" t="s">
        <v>1370</v>
      </c>
      <c r="K1825" s="2"/>
      <c r="L1825" s="232">
        <v>43600</v>
      </c>
      <c r="N1825">
        <f t="shared" si="25"/>
        <v>711120</v>
      </c>
    </row>
    <row r="1826" spans="1:14" hidden="1">
      <c r="A1826" s="232">
        <v>43600</v>
      </c>
      <c r="C1826" t="s">
        <v>2779</v>
      </c>
      <c r="D1826" s="1">
        <v>270570</v>
      </c>
      <c r="E1826" s="1">
        <v>0</v>
      </c>
      <c r="F1826">
        <v>146333.29</v>
      </c>
      <c r="G1826" s="8" t="s">
        <v>1370</v>
      </c>
      <c r="K1826" s="2"/>
      <c r="L1826" s="232">
        <v>43600</v>
      </c>
      <c r="N1826">
        <f t="shared" si="25"/>
        <v>270570</v>
      </c>
    </row>
    <row r="1827" spans="1:14" hidden="1">
      <c r="A1827" s="232">
        <v>43609</v>
      </c>
      <c r="C1827" t="s">
        <v>2780</v>
      </c>
      <c r="D1827" s="1">
        <v>0</v>
      </c>
      <c r="E1827" s="1">
        <v>217410</v>
      </c>
      <c r="F1827">
        <v>363743.29</v>
      </c>
      <c r="G1827" s="8" t="s">
        <v>1380</v>
      </c>
      <c r="K1827" s="2"/>
      <c r="L1827" s="232">
        <v>43609</v>
      </c>
      <c r="N1827">
        <f t="shared" si="25"/>
        <v>0</v>
      </c>
    </row>
    <row r="1828" spans="1:14" hidden="1">
      <c r="A1828" s="232">
        <v>43613</v>
      </c>
      <c r="B1828" t="s">
        <v>1938</v>
      </c>
      <c r="C1828" t="s">
        <v>2781</v>
      </c>
      <c r="D1828" s="1">
        <v>2000</v>
      </c>
      <c r="E1828" s="1">
        <v>0</v>
      </c>
      <c r="F1828">
        <v>361743.29</v>
      </c>
      <c r="G1828" s="8" t="s">
        <v>1372</v>
      </c>
      <c r="K1828" s="2"/>
      <c r="L1828" s="232">
        <v>43613</v>
      </c>
      <c r="N1828">
        <f t="shared" si="25"/>
        <v>2000</v>
      </c>
    </row>
    <row r="1829" spans="1:14" hidden="1">
      <c r="A1829" s="232">
        <v>43615</v>
      </c>
      <c r="B1829" t="s">
        <v>1914</v>
      </c>
      <c r="C1829" t="s">
        <v>2782</v>
      </c>
      <c r="D1829" s="1">
        <v>0</v>
      </c>
      <c r="E1829" s="1">
        <v>50000</v>
      </c>
      <c r="F1829">
        <v>411743.29</v>
      </c>
      <c r="G1829" s="8" t="s">
        <v>1363</v>
      </c>
      <c r="K1829" s="2"/>
      <c r="L1829" s="232">
        <v>43615</v>
      </c>
      <c r="N1829">
        <f t="shared" si="25"/>
        <v>0</v>
      </c>
    </row>
    <row r="1830" spans="1:14" hidden="1">
      <c r="A1830" s="232">
        <v>43619</v>
      </c>
      <c r="B1830" t="s">
        <v>1997</v>
      </c>
      <c r="C1830" t="s">
        <v>2783</v>
      </c>
      <c r="D1830" s="1">
        <v>10153</v>
      </c>
      <c r="E1830" s="1">
        <v>0</v>
      </c>
      <c r="F1830">
        <v>401590.29</v>
      </c>
      <c r="K1830" s="2"/>
      <c r="L1830" s="232">
        <v>43619</v>
      </c>
      <c r="N1830">
        <f t="shared" si="25"/>
        <v>10153</v>
      </c>
    </row>
    <row r="1831" spans="1:14" hidden="1">
      <c r="A1831" s="232">
        <v>43623</v>
      </c>
      <c r="B1831" t="s">
        <v>1938</v>
      </c>
      <c r="C1831" t="s">
        <v>2784</v>
      </c>
      <c r="D1831" s="1">
        <v>0</v>
      </c>
      <c r="E1831" s="1">
        <v>9670.6200000000008</v>
      </c>
      <c r="F1831">
        <v>411260.91</v>
      </c>
      <c r="G1831" s="8" t="s">
        <v>1375</v>
      </c>
      <c r="K1831" s="2"/>
      <c r="L1831" s="232">
        <v>43623</v>
      </c>
      <c r="N1831">
        <f t="shared" si="25"/>
        <v>0</v>
      </c>
    </row>
    <row r="1832" spans="1:14" hidden="1">
      <c r="A1832" s="232">
        <v>43626</v>
      </c>
      <c r="B1832" t="s">
        <v>1938</v>
      </c>
      <c r="C1832" t="s">
        <v>2785</v>
      </c>
      <c r="D1832" s="1">
        <v>2000</v>
      </c>
      <c r="E1832" s="1">
        <v>0</v>
      </c>
      <c r="F1832">
        <v>409260.91</v>
      </c>
      <c r="G1832" s="8" t="s">
        <v>1372</v>
      </c>
      <c r="K1832" s="2"/>
      <c r="L1832" s="232">
        <v>43626</v>
      </c>
      <c r="N1832">
        <f t="shared" si="25"/>
        <v>2000</v>
      </c>
    </row>
    <row r="1833" spans="1:14" hidden="1">
      <c r="A1833" s="232">
        <v>43626</v>
      </c>
      <c r="B1833" t="s">
        <v>2737</v>
      </c>
      <c r="C1833" t="s">
        <v>2738</v>
      </c>
      <c r="D1833" s="1">
        <v>22435</v>
      </c>
      <c r="E1833" s="1">
        <v>0</v>
      </c>
      <c r="F1833">
        <v>386825.91</v>
      </c>
      <c r="G1833" s="8" t="s">
        <v>1362</v>
      </c>
      <c r="K1833" s="2"/>
      <c r="L1833" s="232">
        <v>43626</v>
      </c>
      <c r="N1833">
        <f t="shared" si="25"/>
        <v>22435</v>
      </c>
    </row>
    <row r="1834" spans="1:14" hidden="1">
      <c r="A1834" s="232">
        <v>43633</v>
      </c>
      <c r="C1834" t="s">
        <v>2786</v>
      </c>
      <c r="D1834" s="1">
        <v>0</v>
      </c>
      <c r="E1834" s="1">
        <v>963</v>
      </c>
      <c r="F1834">
        <v>387788.91</v>
      </c>
      <c r="K1834" s="2"/>
      <c r="L1834" s="232">
        <v>43633</v>
      </c>
      <c r="N1834">
        <f t="shared" si="25"/>
        <v>0</v>
      </c>
    </row>
    <row r="1835" spans="1:14" hidden="1">
      <c r="A1835" s="232">
        <v>43634</v>
      </c>
      <c r="B1835" t="s">
        <v>2063</v>
      </c>
      <c r="C1835" t="s">
        <v>2787</v>
      </c>
      <c r="D1835" s="1">
        <v>5000</v>
      </c>
      <c r="E1835" s="1">
        <v>0</v>
      </c>
      <c r="F1835">
        <v>382788.91</v>
      </c>
      <c r="G1835" s="8" t="s">
        <v>1361</v>
      </c>
      <c r="K1835" s="2"/>
      <c r="L1835" s="232">
        <v>43634</v>
      </c>
      <c r="N1835">
        <f t="shared" si="25"/>
        <v>5000</v>
      </c>
    </row>
    <row r="1836" spans="1:14" hidden="1">
      <c r="A1836" s="232">
        <v>43636</v>
      </c>
      <c r="B1836" t="s">
        <v>1997</v>
      </c>
      <c r="C1836" t="s">
        <v>2788</v>
      </c>
      <c r="D1836" s="1">
        <v>0</v>
      </c>
      <c r="E1836" s="1">
        <v>1</v>
      </c>
      <c r="F1836">
        <v>382789.91</v>
      </c>
      <c r="G1836" s="8" t="s">
        <v>1375</v>
      </c>
      <c r="K1836" s="2"/>
      <c r="L1836" s="232">
        <v>43636</v>
      </c>
      <c r="N1836">
        <f t="shared" si="25"/>
        <v>0</v>
      </c>
    </row>
    <row r="1837" spans="1:14" hidden="1">
      <c r="A1837" s="232">
        <v>43637</v>
      </c>
      <c r="C1837" t="s">
        <v>2789</v>
      </c>
      <c r="D1837" s="1">
        <v>0</v>
      </c>
      <c r="E1837" s="1">
        <v>2683</v>
      </c>
      <c r="F1837">
        <v>385472.91</v>
      </c>
      <c r="G1837" s="8" t="s">
        <v>1380</v>
      </c>
      <c r="K1837" s="2"/>
      <c r="L1837" s="232">
        <v>43637</v>
      </c>
      <c r="N1837">
        <f t="shared" si="25"/>
        <v>0</v>
      </c>
    </row>
    <row r="1838" spans="1:14" hidden="1">
      <c r="A1838" s="232">
        <v>43640</v>
      </c>
      <c r="C1838" t="s">
        <v>2790</v>
      </c>
      <c r="D1838" s="1">
        <v>0</v>
      </c>
      <c r="E1838" s="1">
        <v>300000</v>
      </c>
      <c r="F1838">
        <v>685472.91</v>
      </c>
      <c r="G1838" s="8" t="s">
        <v>1375</v>
      </c>
      <c r="K1838" s="2"/>
      <c r="L1838" s="232">
        <v>43640</v>
      </c>
      <c r="N1838">
        <f t="shared" si="25"/>
        <v>0</v>
      </c>
    </row>
    <row r="1839" spans="1:14" hidden="1">
      <c r="A1839" s="232">
        <v>43642</v>
      </c>
      <c r="C1839" t="s">
        <v>2791</v>
      </c>
      <c r="D1839" s="1">
        <v>0</v>
      </c>
      <c r="E1839" s="1">
        <v>217410</v>
      </c>
      <c r="F1839">
        <v>902882.91</v>
      </c>
      <c r="G1839" s="8" t="s">
        <v>1380</v>
      </c>
      <c r="K1839" s="2"/>
      <c r="L1839" s="232">
        <v>43642</v>
      </c>
      <c r="N1839">
        <f t="shared" si="25"/>
        <v>0</v>
      </c>
    </row>
    <row r="1840" spans="1:14" hidden="1">
      <c r="A1840" s="232">
        <v>43644</v>
      </c>
      <c r="B1840" t="s">
        <v>1938</v>
      </c>
      <c r="C1840" t="s">
        <v>2792</v>
      </c>
      <c r="D1840" s="1">
        <v>2000</v>
      </c>
      <c r="E1840" s="1">
        <v>0</v>
      </c>
      <c r="F1840">
        <v>900882.91</v>
      </c>
      <c r="G1840" s="8" t="s">
        <v>1372</v>
      </c>
      <c r="K1840" s="2"/>
      <c r="L1840" s="232">
        <v>43644</v>
      </c>
      <c r="N1840">
        <f t="shared" si="25"/>
        <v>2000</v>
      </c>
    </row>
    <row r="1841" spans="1:14" hidden="1">
      <c r="A1841" s="232">
        <v>43644</v>
      </c>
      <c r="B1841" t="s">
        <v>1938</v>
      </c>
      <c r="C1841" t="s">
        <v>2793</v>
      </c>
      <c r="D1841" s="1">
        <v>300000</v>
      </c>
      <c r="E1841" s="1">
        <v>0</v>
      </c>
      <c r="F1841">
        <v>600882.91</v>
      </c>
      <c r="G1841" s="8" t="s">
        <v>1381</v>
      </c>
      <c r="K1841" s="2"/>
      <c r="L1841" s="232">
        <v>43644</v>
      </c>
      <c r="N1841">
        <f t="shared" si="25"/>
        <v>300000</v>
      </c>
    </row>
    <row r="1842" spans="1:14" hidden="1">
      <c r="A1842" s="232">
        <v>43645</v>
      </c>
      <c r="C1842" t="s">
        <v>2794</v>
      </c>
      <c r="D1842" s="1">
        <v>0</v>
      </c>
      <c r="E1842" s="1">
        <v>7673</v>
      </c>
      <c r="F1842">
        <v>608555.91</v>
      </c>
      <c r="G1842" s="8" t="s">
        <v>1368</v>
      </c>
      <c r="K1842" s="2"/>
      <c r="L1842" s="232">
        <v>43645</v>
      </c>
      <c r="N1842">
        <f t="shared" si="25"/>
        <v>0</v>
      </c>
    </row>
    <row r="1843" spans="1:14" hidden="1">
      <c r="A1843" s="232">
        <v>43648</v>
      </c>
      <c r="B1843" t="s">
        <v>1997</v>
      </c>
      <c r="C1843" t="s">
        <v>2795</v>
      </c>
      <c r="D1843" s="1">
        <v>0</v>
      </c>
      <c r="E1843" s="1">
        <v>0</v>
      </c>
      <c r="F1843">
        <v>595139.91</v>
      </c>
      <c r="K1843" s="2"/>
      <c r="L1843" s="232">
        <v>43648</v>
      </c>
      <c r="N1843">
        <f t="shared" si="25"/>
        <v>0</v>
      </c>
    </row>
    <row r="1844" spans="1:14" hidden="1">
      <c r="A1844" s="232">
        <v>43651</v>
      </c>
      <c r="B1844" t="s">
        <v>1938</v>
      </c>
      <c r="C1844" t="s">
        <v>2796</v>
      </c>
      <c r="D1844" s="1">
        <v>0</v>
      </c>
      <c r="E1844" s="1">
        <v>9670.6200000000008</v>
      </c>
      <c r="F1844">
        <v>604810.53</v>
      </c>
      <c r="G1844" s="8" t="s">
        <v>1375</v>
      </c>
      <c r="K1844" s="2"/>
      <c r="L1844" s="232">
        <v>43651</v>
      </c>
      <c r="N1844">
        <f t="shared" si="25"/>
        <v>0</v>
      </c>
    </row>
    <row r="1845" spans="1:14" hidden="1">
      <c r="A1845" s="232">
        <v>43656</v>
      </c>
      <c r="B1845" t="s">
        <v>1938</v>
      </c>
      <c r="C1845" t="s">
        <v>2797</v>
      </c>
      <c r="D1845" s="1">
        <v>2000</v>
      </c>
      <c r="E1845" s="1">
        <v>0</v>
      </c>
      <c r="F1845">
        <v>602810.53</v>
      </c>
      <c r="G1845" s="8" t="s">
        <v>1372</v>
      </c>
      <c r="K1845" s="2"/>
      <c r="L1845" s="232">
        <v>43656</v>
      </c>
      <c r="N1845">
        <f t="shared" si="25"/>
        <v>2000</v>
      </c>
    </row>
    <row r="1846" spans="1:14" hidden="1">
      <c r="A1846" s="232">
        <v>43657</v>
      </c>
      <c r="B1846" t="s">
        <v>2063</v>
      </c>
      <c r="C1846" t="s">
        <v>2798</v>
      </c>
      <c r="D1846" s="1">
        <v>10000</v>
      </c>
      <c r="E1846" s="1">
        <v>0</v>
      </c>
      <c r="F1846">
        <v>592810.53</v>
      </c>
      <c r="G1846" s="8" t="s">
        <v>1361</v>
      </c>
      <c r="K1846" s="2"/>
      <c r="L1846" s="232">
        <v>43657</v>
      </c>
      <c r="N1846">
        <f t="shared" si="25"/>
        <v>10000</v>
      </c>
    </row>
    <row r="1847" spans="1:14" hidden="1">
      <c r="A1847" s="232">
        <v>43657</v>
      </c>
      <c r="B1847" t="s">
        <v>2737</v>
      </c>
      <c r="C1847" t="s">
        <v>2738</v>
      </c>
      <c r="D1847" s="1">
        <v>33511</v>
      </c>
      <c r="E1847" s="1">
        <v>0</v>
      </c>
      <c r="F1847">
        <v>559299.53</v>
      </c>
      <c r="G1847" s="8" t="s">
        <v>1362</v>
      </c>
      <c r="K1847" s="2"/>
      <c r="L1847" s="232">
        <v>43657</v>
      </c>
      <c r="N1847">
        <f t="shared" si="25"/>
        <v>33511</v>
      </c>
    </row>
    <row r="1848" spans="1:14" hidden="1">
      <c r="A1848" s="232">
        <v>43661</v>
      </c>
      <c r="B1848" t="s">
        <v>1997</v>
      </c>
      <c r="C1848" t="s">
        <v>2799</v>
      </c>
      <c r="D1848" s="1">
        <v>1770</v>
      </c>
      <c r="E1848" s="1">
        <v>0</v>
      </c>
      <c r="F1848">
        <v>557529.53</v>
      </c>
      <c r="K1848" s="2"/>
      <c r="L1848" s="232">
        <v>43661</v>
      </c>
      <c r="N1848">
        <f t="shared" si="25"/>
        <v>1770</v>
      </c>
    </row>
    <row r="1849" spans="1:14" hidden="1">
      <c r="A1849" s="232">
        <v>43668</v>
      </c>
      <c r="B1849" t="s">
        <v>1938</v>
      </c>
      <c r="C1849" t="s">
        <v>2800</v>
      </c>
      <c r="D1849" s="1">
        <v>400000</v>
      </c>
      <c r="E1849" s="1">
        <v>0</v>
      </c>
      <c r="F1849">
        <v>157529.53</v>
      </c>
      <c r="G1849" s="8" t="s">
        <v>1381</v>
      </c>
      <c r="K1849" s="2"/>
      <c r="L1849" s="232">
        <v>43668</v>
      </c>
      <c r="N1849">
        <f t="shared" si="25"/>
        <v>400000</v>
      </c>
    </row>
    <row r="1850" spans="1:14" hidden="1">
      <c r="A1850" s="232">
        <v>43668</v>
      </c>
      <c r="B1850" t="s">
        <v>1997</v>
      </c>
      <c r="C1850" t="s">
        <v>2801</v>
      </c>
      <c r="D1850" s="1">
        <v>1770</v>
      </c>
      <c r="E1850" s="1">
        <v>0</v>
      </c>
      <c r="F1850">
        <v>155759.53</v>
      </c>
      <c r="K1850" s="2"/>
      <c r="L1850" s="232">
        <v>43668</v>
      </c>
      <c r="N1850">
        <f t="shared" si="25"/>
        <v>1770</v>
      </c>
    </row>
    <row r="1851" spans="1:14" hidden="1">
      <c r="A1851" s="232">
        <v>43672</v>
      </c>
      <c r="C1851" t="s">
        <v>2802</v>
      </c>
      <c r="D1851" s="1">
        <v>0</v>
      </c>
      <c r="E1851" s="1">
        <v>217410</v>
      </c>
      <c r="F1851">
        <v>373169.53</v>
      </c>
      <c r="G1851" s="8" t="s">
        <v>1380</v>
      </c>
      <c r="K1851" s="2"/>
      <c r="L1851" s="232">
        <v>43672</v>
      </c>
      <c r="N1851">
        <f t="shared" si="25"/>
        <v>0</v>
      </c>
    </row>
    <row r="1852" spans="1:14" hidden="1">
      <c r="A1852" s="232">
        <v>43675</v>
      </c>
      <c r="B1852" t="s">
        <v>1938</v>
      </c>
      <c r="C1852" t="s">
        <v>2803</v>
      </c>
      <c r="D1852" s="1">
        <v>2000</v>
      </c>
      <c r="E1852" s="1">
        <v>0</v>
      </c>
      <c r="F1852">
        <v>371169.53</v>
      </c>
      <c r="G1852" s="8" t="s">
        <v>1372</v>
      </c>
      <c r="K1852" s="2"/>
      <c r="L1852" s="232">
        <v>43675</v>
      </c>
      <c r="N1852">
        <f t="shared" si="25"/>
        <v>2000</v>
      </c>
    </row>
    <row r="1853" spans="1:14" hidden="1">
      <c r="A1853" s="232">
        <v>43676</v>
      </c>
      <c r="C1853" t="s">
        <v>2804</v>
      </c>
      <c r="D1853" s="1">
        <v>15040</v>
      </c>
      <c r="E1853" s="1">
        <v>0</v>
      </c>
      <c r="F1853">
        <v>356129.53</v>
      </c>
      <c r="K1853" s="2"/>
      <c r="L1853" s="232">
        <v>43676</v>
      </c>
      <c r="N1853">
        <f t="shared" si="25"/>
        <v>15040</v>
      </c>
    </row>
    <row r="1854" spans="1:14" hidden="1">
      <c r="A1854" s="232">
        <v>43682</v>
      </c>
      <c r="B1854" t="s">
        <v>1997</v>
      </c>
      <c r="C1854" t="s">
        <v>2805</v>
      </c>
      <c r="D1854" s="1">
        <v>9573</v>
      </c>
      <c r="E1854" s="1">
        <v>0</v>
      </c>
      <c r="F1854">
        <v>346556.53</v>
      </c>
      <c r="K1854" s="2"/>
      <c r="L1854" s="232">
        <v>43682</v>
      </c>
      <c r="N1854">
        <f t="shared" si="25"/>
        <v>9573</v>
      </c>
    </row>
    <row r="1855" spans="1:14" hidden="1">
      <c r="A1855" s="232">
        <v>43682</v>
      </c>
      <c r="B1855" t="s">
        <v>1997</v>
      </c>
      <c r="C1855" t="s">
        <v>2806</v>
      </c>
      <c r="D1855" s="1">
        <v>25000</v>
      </c>
      <c r="E1855" s="1">
        <v>0</v>
      </c>
      <c r="F1855">
        <v>321556.53000000003</v>
      </c>
      <c r="K1855" s="2"/>
      <c r="L1855" s="232">
        <v>43682</v>
      </c>
      <c r="N1855">
        <f t="shared" si="25"/>
        <v>25000</v>
      </c>
    </row>
    <row r="1856" spans="1:14" hidden="1">
      <c r="A1856" s="232">
        <v>43683</v>
      </c>
      <c r="B1856" t="s">
        <v>1938</v>
      </c>
      <c r="C1856" t="s">
        <v>2807</v>
      </c>
      <c r="D1856" s="1">
        <v>0</v>
      </c>
      <c r="E1856" s="1">
        <v>9670.6200000000008</v>
      </c>
      <c r="F1856">
        <v>331227.15000000002</v>
      </c>
      <c r="G1856" s="8" t="s">
        <v>1375</v>
      </c>
      <c r="K1856" s="2"/>
      <c r="L1856" s="232">
        <v>43683</v>
      </c>
      <c r="N1856">
        <f t="shared" si="25"/>
        <v>0</v>
      </c>
    </row>
    <row r="1857" spans="1:14" hidden="1">
      <c r="A1857" s="232">
        <v>43689</v>
      </c>
      <c r="B1857" t="s">
        <v>1938</v>
      </c>
      <c r="C1857" t="s">
        <v>2808</v>
      </c>
      <c r="D1857" s="1">
        <v>2000</v>
      </c>
      <c r="E1857" s="1">
        <v>0</v>
      </c>
      <c r="F1857">
        <v>329227.15000000002</v>
      </c>
      <c r="G1857" s="8" t="s">
        <v>1372</v>
      </c>
      <c r="K1857" s="2"/>
      <c r="L1857" s="232">
        <v>43689</v>
      </c>
      <c r="N1857">
        <f t="shared" si="25"/>
        <v>2000</v>
      </c>
    </row>
    <row r="1858" spans="1:14" hidden="1">
      <c r="A1858" s="232">
        <v>43689</v>
      </c>
      <c r="B1858" t="s">
        <v>2737</v>
      </c>
      <c r="C1858" t="s">
        <v>2738</v>
      </c>
      <c r="D1858" s="1">
        <v>17161.29</v>
      </c>
      <c r="E1858" s="1">
        <v>0</v>
      </c>
      <c r="F1858">
        <v>312065.86</v>
      </c>
      <c r="G1858" s="8" t="s">
        <v>1362</v>
      </c>
      <c r="K1858" s="2"/>
      <c r="L1858" s="232">
        <v>43689</v>
      </c>
      <c r="N1858">
        <f t="shared" si="25"/>
        <v>17161.29</v>
      </c>
    </row>
    <row r="1859" spans="1:14" hidden="1">
      <c r="A1859" s="232">
        <v>43703</v>
      </c>
      <c r="C1859" t="s">
        <v>2809</v>
      </c>
      <c r="D1859" s="1">
        <v>0</v>
      </c>
      <c r="E1859" s="1">
        <v>217410</v>
      </c>
      <c r="F1859">
        <v>529475.86</v>
      </c>
      <c r="G1859" s="8" t="s">
        <v>1380</v>
      </c>
      <c r="K1859" s="2"/>
      <c r="L1859" s="232">
        <v>43703</v>
      </c>
      <c r="N1859">
        <f t="shared" si="25"/>
        <v>0</v>
      </c>
    </row>
    <row r="1860" spans="1:14" hidden="1">
      <c r="A1860" s="232">
        <v>43705</v>
      </c>
      <c r="B1860" t="s">
        <v>1938</v>
      </c>
      <c r="C1860" t="s">
        <v>2810</v>
      </c>
      <c r="D1860" s="1">
        <v>2000</v>
      </c>
      <c r="E1860" s="1">
        <v>0</v>
      </c>
      <c r="F1860">
        <v>527475.86</v>
      </c>
      <c r="G1860" s="8" t="s">
        <v>1372</v>
      </c>
      <c r="K1860" s="2"/>
      <c r="L1860" s="232">
        <v>43705</v>
      </c>
      <c r="N1860">
        <f t="shared" si="25"/>
        <v>2000</v>
      </c>
    </row>
    <row r="1861" spans="1:14" hidden="1">
      <c r="A1861" s="232">
        <v>43706</v>
      </c>
      <c r="C1861" t="s">
        <v>2811</v>
      </c>
      <c r="D1861" s="1">
        <v>29.5</v>
      </c>
      <c r="E1861" s="1">
        <v>0</v>
      </c>
      <c r="F1861">
        <v>527446.36</v>
      </c>
      <c r="K1861" s="2"/>
      <c r="L1861" s="232">
        <v>43706</v>
      </c>
      <c r="N1861">
        <f t="shared" si="25"/>
        <v>29.5</v>
      </c>
    </row>
    <row r="1862" spans="1:14" hidden="1">
      <c r="A1862" s="232">
        <v>43712</v>
      </c>
      <c r="B1862" t="s">
        <v>1997</v>
      </c>
      <c r="C1862" t="s">
        <v>2812</v>
      </c>
      <c r="D1862" s="1">
        <v>8473</v>
      </c>
      <c r="E1862" s="1">
        <v>0</v>
      </c>
      <c r="F1862">
        <v>518973.36</v>
      </c>
      <c r="K1862" s="2"/>
      <c r="L1862" s="232">
        <v>43712</v>
      </c>
      <c r="N1862">
        <f t="shared" si="25"/>
        <v>8473</v>
      </c>
    </row>
    <row r="1863" spans="1:14" hidden="1">
      <c r="A1863" s="232">
        <v>43714</v>
      </c>
      <c r="B1863" t="s">
        <v>1938</v>
      </c>
      <c r="C1863" t="s">
        <v>2813</v>
      </c>
      <c r="D1863" s="1">
        <v>0</v>
      </c>
      <c r="E1863" s="1">
        <v>9670.6200000000008</v>
      </c>
      <c r="F1863">
        <v>528643.98</v>
      </c>
      <c r="G1863" s="8" t="s">
        <v>1375</v>
      </c>
      <c r="K1863" s="2"/>
      <c r="L1863" s="232">
        <v>43714</v>
      </c>
      <c r="N1863">
        <f t="shared" si="25"/>
        <v>0</v>
      </c>
    </row>
    <row r="1864" spans="1:14" hidden="1">
      <c r="A1864" s="232">
        <v>43718</v>
      </c>
      <c r="B1864" t="s">
        <v>1938</v>
      </c>
      <c r="C1864" t="s">
        <v>2814</v>
      </c>
      <c r="D1864" s="1">
        <v>2000</v>
      </c>
      <c r="E1864" s="1">
        <v>0</v>
      </c>
      <c r="F1864">
        <v>526643.98</v>
      </c>
      <c r="G1864" s="8" t="s">
        <v>1372</v>
      </c>
      <c r="K1864" s="2"/>
      <c r="L1864" s="232">
        <v>43718</v>
      </c>
      <c r="N1864">
        <f t="shared" si="25"/>
        <v>2000</v>
      </c>
    </row>
    <row r="1865" spans="1:14" hidden="1">
      <c r="A1865" s="232">
        <v>43718</v>
      </c>
      <c r="B1865" t="s">
        <v>2737</v>
      </c>
      <c r="C1865" t="s">
        <v>2738</v>
      </c>
      <c r="D1865" s="1">
        <v>21366.85</v>
      </c>
      <c r="E1865" s="1">
        <v>0</v>
      </c>
      <c r="F1865">
        <v>505277.13</v>
      </c>
      <c r="G1865" s="8" t="s">
        <v>1362</v>
      </c>
      <c r="K1865" s="2"/>
      <c r="L1865" s="232">
        <v>43718</v>
      </c>
      <c r="N1865">
        <f t="shared" si="25"/>
        <v>21366.85</v>
      </c>
    </row>
    <row r="1866" spans="1:14" hidden="1">
      <c r="A1866" s="232">
        <v>43734</v>
      </c>
      <c r="C1866" t="s">
        <v>2815</v>
      </c>
      <c r="D1866" s="1">
        <v>0</v>
      </c>
      <c r="E1866" s="1">
        <v>217410</v>
      </c>
      <c r="F1866">
        <v>722687.13</v>
      </c>
      <c r="G1866" s="8" t="s">
        <v>1380</v>
      </c>
      <c r="K1866" s="2"/>
      <c r="L1866" s="232">
        <v>43734</v>
      </c>
      <c r="N1866">
        <f t="shared" si="25"/>
        <v>0</v>
      </c>
    </row>
    <row r="1867" spans="1:14" hidden="1">
      <c r="A1867" s="232">
        <v>43738</v>
      </c>
      <c r="C1867" t="s">
        <v>2816</v>
      </c>
      <c r="D1867" s="1">
        <v>0</v>
      </c>
      <c r="E1867" s="1">
        <v>4141</v>
      </c>
      <c r="F1867">
        <v>726828.13</v>
      </c>
      <c r="G1867" s="8" t="s">
        <v>1368</v>
      </c>
      <c r="K1867" s="2"/>
      <c r="L1867" s="232">
        <v>43738</v>
      </c>
      <c r="N1867">
        <f t="shared" ref="N1867:N1930" si="26">D1867*1</f>
        <v>0</v>
      </c>
    </row>
    <row r="1868" spans="1:14" hidden="1">
      <c r="A1868" s="232">
        <v>43738</v>
      </c>
      <c r="C1868" t="s">
        <v>2817</v>
      </c>
      <c r="D1868" s="1">
        <v>0</v>
      </c>
      <c r="E1868" s="1">
        <v>181728.2</v>
      </c>
      <c r="F1868">
        <v>908556.33</v>
      </c>
      <c r="G1868" s="8" t="s">
        <v>1375</v>
      </c>
      <c r="K1868" s="2"/>
      <c r="L1868" s="232">
        <v>43738</v>
      </c>
      <c r="N1868">
        <f t="shared" si="26"/>
        <v>0</v>
      </c>
    </row>
    <row r="1869" spans="1:14" hidden="1">
      <c r="A1869" s="232">
        <v>43738</v>
      </c>
      <c r="B1869" t="s">
        <v>1938</v>
      </c>
      <c r="C1869" t="s">
        <v>2818</v>
      </c>
      <c r="D1869" s="1">
        <v>2000</v>
      </c>
      <c r="E1869" s="1">
        <v>0</v>
      </c>
      <c r="F1869">
        <v>906556.33</v>
      </c>
      <c r="G1869" s="8" t="s">
        <v>1372</v>
      </c>
      <c r="K1869" s="2"/>
      <c r="L1869" s="232">
        <v>43738</v>
      </c>
      <c r="N1869">
        <f t="shared" si="26"/>
        <v>2000</v>
      </c>
    </row>
    <row r="1870" spans="1:14" hidden="1">
      <c r="A1870" s="232">
        <v>43739</v>
      </c>
      <c r="C1870" t="s">
        <v>2819</v>
      </c>
      <c r="D1870" s="1">
        <v>0</v>
      </c>
      <c r="E1870" s="1">
        <v>263485.12</v>
      </c>
      <c r="F1870">
        <v>1170041.45</v>
      </c>
      <c r="G1870" s="8" t="s">
        <v>1375</v>
      </c>
      <c r="K1870" s="2"/>
      <c r="L1870" s="232">
        <v>43739</v>
      </c>
      <c r="N1870">
        <f t="shared" si="26"/>
        <v>0</v>
      </c>
    </row>
    <row r="1871" spans="1:14" hidden="1">
      <c r="A1871" s="232">
        <v>43741</v>
      </c>
      <c r="C1871" t="s">
        <v>2820</v>
      </c>
      <c r="D1871" s="1">
        <v>9008</v>
      </c>
      <c r="E1871" s="1">
        <v>0</v>
      </c>
      <c r="F1871">
        <v>1161033.45</v>
      </c>
      <c r="K1871" s="2"/>
      <c r="L1871" s="232">
        <v>43741</v>
      </c>
      <c r="N1871">
        <f t="shared" si="26"/>
        <v>9008</v>
      </c>
    </row>
    <row r="1872" spans="1:14" hidden="1">
      <c r="A1872" s="232">
        <v>43742</v>
      </c>
      <c r="B1872" t="s">
        <v>1938</v>
      </c>
      <c r="C1872" t="s">
        <v>2821</v>
      </c>
      <c r="D1872" s="1">
        <v>0</v>
      </c>
      <c r="E1872" s="1">
        <v>9670.6200000000008</v>
      </c>
      <c r="F1872">
        <v>1170704.07</v>
      </c>
      <c r="G1872" s="8" t="s">
        <v>1375</v>
      </c>
      <c r="K1872" s="2"/>
      <c r="L1872" s="232">
        <v>43742</v>
      </c>
      <c r="N1872">
        <f t="shared" si="26"/>
        <v>0</v>
      </c>
    </row>
    <row r="1873" spans="1:14" hidden="1">
      <c r="A1873" s="232">
        <v>43747</v>
      </c>
      <c r="B1873" t="s">
        <v>2063</v>
      </c>
      <c r="C1873" t="s">
        <v>2822</v>
      </c>
      <c r="D1873" s="1">
        <v>15000</v>
      </c>
      <c r="E1873" s="1">
        <v>0</v>
      </c>
      <c r="F1873">
        <v>1155704.07</v>
      </c>
      <c r="G1873" s="8" t="s">
        <v>1361</v>
      </c>
      <c r="K1873" s="2"/>
      <c r="L1873" s="232">
        <v>43747</v>
      </c>
      <c r="N1873">
        <f t="shared" si="26"/>
        <v>15000</v>
      </c>
    </row>
    <row r="1874" spans="1:14" hidden="1">
      <c r="A1874" s="232">
        <v>43748</v>
      </c>
      <c r="B1874" t="s">
        <v>1938</v>
      </c>
      <c r="C1874" t="s">
        <v>2823</v>
      </c>
      <c r="D1874" s="1">
        <v>2000</v>
      </c>
      <c r="E1874" s="1">
        <v>0</v>
      </c>
      <c r="F1874">
        <v>1153704.07</v>
      </c>
      <c r="G1874" s="8" t="s">
        <v>1372</v>
      </c>
      <c r="K1874" s="2"/>
      <c r="L1874" s="232">
        <v>43748</v>
      </c>
      <c r="N1874">
        <f t="shared" si="26"/>
        <v>2000</v>
      </c>
    </row>
    <row r="1875" spans="1:14" hidden="1">
      <c r="A1875" s="232">
        <v>43749</v>
      </c>
      <c r="B1875" t="s">
        <v>2737</v>
      </c>
      <c r="C1875" t="s">
        <v>2738</v>
      </c>
      <c r="D1875" s="1">
        <v>13251.71</v>
      </c>
      <c r="E1875" s="1">
        <v>0</v>
      </c>
      <c r="F1875">
        <v>1140452.3600000001</v>
      </c>
      <c r="G1875" s="8" t="s">
        <v>1362</v>
      </c>
      <c r="K1875" s="2"/>
      <c r="L1875" s="232">
        <v>43749</v>
      </c>
      <c r="N1875">
        <f t="shared" si="26"/>
        <v>13251.71</v>
      </c>
    </row>
    <row r="1876" spans="1:14" hidden="1">
      <c r="A1876" s="232">
        <v>43756</v>
      </c>
      <c r="B1876" t="s">
        <v>2063</v>
      </c>
      <c r="C1876" t="s">
        <v>2824</v>
      </c>
      <c r="D1876" s="1">
        <v>4000</v>
      </c>
      <c r="E1876" s="1">
        <v>0</v>
      </c>
      <c r="F1876">
        <v>1136452.3600000001</v>
      </c>
      <c r="G1876" s="8" t="s">
        <v>1361</v>
      </c>
      <c r="K1876" s="2"/>
      <c r="L1876" s="232">
        <v>43756</v>
      </c>
      <c r="N1876">
        <f t="shared" si="26"/>
        <v>4000</v>
      </c>
    </row>
    <row r="1877" spans="1:14" hidden="1">
      <c r="A1877" s="232">
        <v>43763</v>
      </c>
      <c r="C1877" t="s">
        <v>2825</v>
      </c>
      <c r="D1877" s="1">
        <v>0</v>
      </c>
      <c r="E1877" s="1">
        <v>217410</v>
      </c>
      <c r="F1877">
        <v>1353862.36</v>
      </c>
      <c r="G1877" s="8" t="s">
        <v>1380</v>
      </c>
      <c r="K1877" s="2"/>
      <c r="L1877" s="232">
        <v>43763</v>
      </c>
      <c r="N1877">
        <f t="shared" si="26"/>
        <v>0</v>
      </c>
    </row>
    <row r="1878" spans="1:14" hidden="1">
      <c r="A1878" s="232">
        <v>43766</v>
      </c>
      <c r="B1878" t="s">
        <v>1938</v>
      </c>
      <c r="C1878" t="s">
        <v>2826</v>
      </c>
      <c r="D1878" s="1">
        <v>2000</v>
      </c>
      <c r="E1878" s="1">
        <v>0</v>
      </c>
      <c r="F1878">
        <v>1351862.36</v>
      </c>
      <c r="G1878" s="8" t="s">
        <v>1372</v>
      </c>
      <c r="K1878" s="2"/>
      <c r="L1878" s="232">
        <v>43766</v>
      </c>
      <c r="N1878">
        <f t="shared" si="26"/>
        <v>2000</v>
      </c>
    </row>
    <row r="1879" spans="1:14" hidden="1">
      <c r="A1879" s="232">
        <v>43773</v>
      </c>
      <c r="B1879" t="s">
        <v>1997</v>
      </c>
      <c r="C1879" t="s">
        <v>2827</v>
      </c>
      <c r="D1879" s="1">
        <v>9131</v>
      </c>
      <c r="E1879" s="1">
        <v>0</v>
      </c>
      <c r="F1879">
        <v>1342731.36</v>
      </c>
      <c r="K1879" s="2"/>
      <c r="L1879" s="232">
        <v>43773</v>
      </c>
      <c r="N1879">
        <f t="shared" si="26"/>
        <v>9131</v>
      </c>
    </row>
    <row r="1880" spans="1:14" hidden="1">
      <c r="A1880" s="232">
        <v>43775</v>
      </c>
      <c r="B1880" t="s">
        <v>1938</v>
      </c>
      <c r="C1880" t="s">
        <v>2828</v>
      </c>
      <c r="D1880" s="1">
        <v>0</v>
      </c>
      <c r="E1880" s="1">
        <v>9670.6200000000008</v>
      </c>
      <c r="F1880">
        <v>1352401.98</v>
      </c>
      <c r="G1880" s="8" t="s">
        <v>1375</v>
      </c>
      <c r="K1880" s="2"/>
      <c r="L1880" s="232">
        <v>43775</v>
      </c>
      <c r="N1880">
        <f t="shared" si="26"/>
        <v>0</v>
      </c>
    </row>
    <row r="1881" spans="1:14" hidden="1">
      <c r="A1881" s="232">
        <v>43780</v>
      </c>
      <c r="B1881" t="s">
        <v>1938</v>
      </c>
      <c r="C1881" t="s">
        <v>2829</v>
      </c>
      <c r="D1881" s="1">
        <v>2000</v>
      </c>
      <c r="E1881" s="1">
        <v>0</v>
      </c>
      <c r="F1881">
        <v>1350401.98</v>
      </c>
      <c r="G1881" s="8" t="s">
        <v>1372</v>
      </c>
      <c r="K1881" s="2"/>
      <c r="L1881" s="232">
        <v>43780</v>
      </c>
      <c r="N1881">
        <f t="shared" si="26"/>
        <v>2000</v>
      </c>
    </row>
    <row r="1882" spans="1:14" hidden="1">
      <c r="A1882" s="232">
        <v>43780</v>
      </c>
      <c r="B1882" t="s">
        <v>2737</v>
      </c>
      <c r="C1882" t="s">
        <v>2738</v>
      </c>
      <c r="D1882" s="1">
        <v>63264.38</v>
      </c>
      <c r="E1882" s="1">
        <v>0</v>
      </c>
      <c r="F1882">
        <v>1287137.6000000001</v>
      </c>
      <c r="G1882" s="8" t="s">
        <v>1362</v>
      </c>
      <c r="K1882" s="2"/>
      <c r="L1882" s="232">
        <v>43780</v>
      </c>
      <c r="N1882">
        <f t="shared" si="26"/>
        <v>63264.38</v>
      </c>
    </row>
    <row r="1883" spans="1:14" hidden="1">
      <c r="A1883" s="232">
        <v>43795</v>
      </c>
      <c r="C1883" t="s">
        <v>2830</v>
      </c>
      <c r="D1883" s="1">
        <v>0</v>
      </c>
      <c r="E1883" s="1">
        <v>217411</v>
      </c>
      <c r="F1883">
        <v>1504548.6</v>
      </c>
      <c r="G1883" s="8" t="s">
        <v>1380</v>
      </c>
      <c r="K1883" s="2"/>
      <c r="L1883" s="232">
        <v>43795</v>
      </c>
      <c r="N1883">
        <f t="shared" si="26"/>
        <v>0</v>
      </c>
    </row>
    <row r="1884" spans="1:14" hidden="1">
      <c r="A1884" s="232">
        <v>43797</v>
      </c>
      <c r="B1884" t="s">
        <v>1938</v>
      </c>
      <c r="C1884" t="s">
        <v>2831</v>
      </c>
      <c r="D1884" s="1">
        <v>2000</v>
      </c>
      <c r="E1884" s="1">
        <v>0</v>
      </c>
      <c r="F1884">
        <v>1502548.6</v>
      </c>
      <c r="G1884" s="8" t="s">
        <v>1372</v>
      </c>
      <c r="K1884" s="2"/>
      <c r="L1884" s="232">
        <v>43797</v>
      </c>
      <c r="N1884">
        <f t="shared" si="26"/>
        <v>2000</v>
      </c>
    </row>
    <row r="1885" spans="1:14" hidden="1">
      <c r="A1885" s="232">
        <v>43799</v>
      </c>
      <c r="B1885" t="s">
        <v>1938</v>
      </c>
      <c r="C1885" t="s">
        <v>2832</v>
      </c>
      <c r="D1885" s="1">
        <v>300000</v>
      </c>
      <c r="E1885" s="1">
        <v>0</v>
      </c>
      <c r="F1885">
        <v>1202548.6000000001</v>
      </c>
      <c r="G1885" s="8" t="s">
        <v>1381</v>
      </c>
      <c r="K1885" s="2"/>
      <c r="L1885" s="232">
        <v>43799</v>
      </c>
      <c r="N1885">
        <f t="shared" si="26"/>
        <v>300000</v>
      </c>
    </row>
    <row r="1886" spans="1:14" hidden="1">
      <c r="A1886" s="232">
        <v>43801</v>
      </c>
      <c r="B1886" t="s">
        <v>1997</v>
      </c>
      <c r="C1886" t="s">
        <v>2833</v>
      </c>
      <c r="D1886" s="1">
        <v>9282</v>
      </c>
      <c r="E1886" s="1">
        <v>0</v>
      </c>
      <c r="F1886">
        <v>1193266.6000000001</v>
      </c>
      <c r="K1886" s="2"/>
      <c r="L1886" s="232">
        <v>43801</v>
      </c>
      <c r="N1886">
        <f t="shared" si="26"/>
        <v>9282</v>
      </c>
    </row>
    <row r="1887" spans="1:14" hidden="1">
      <c r="A1887" s="232">
        <v>43805</v>
      </c>
      <c r="B1887" t="s">
        <v>1938</v>
      </c>
      <c r="C1887" t="s">
        <v>2834</v>
      </c>
      <c r="D1887" s="1">
        <v>0</v>
      </c>
      <c r="E1887" s="1">
        <v>9670.6200000000008</v>
      </c>
      <c r="F1887">
        <v>1202937.22</v>
      </c>
      <c r="G1887" s="8" t="s">
        <v>1375</v>
      </c>
      <c r="K1887" s="2"/>
      <c r="L1887" s="232">
        <v>43805</v>
      </c>
      <c r="N1887">
        <f t="shared" si="26"/>
        <v>0</v>
      </c>
    </row>
    <row r="1888" spans="1:14" hidden="1">
      <c r="A1888" s="232">
        <v>43809</v>
      </c>
      <c r="B1888" t="s">
        <v>1938</v>
      </c>
      <c r="C1888" t="s">
        <v>2835</v>
      </c>
      <c r="D1888" s="1">
        <v>2000</v>
      </c>
      <c r="E1888" s="1">
        <v>0</v>
      </c>
      <c r="F1888">
        <v>1200937.22</v>
      </c>
      <c r="G1888" s="8" t="s">
        <v>1372</v>
      </c>
      <c r="K1888" s="2"/>
      <c r="L1888" s="232">
        <v>43809</v>
      </c>
      <c r="N1888">
        <f t="shared" si="26"/>
        <v>2000</v>
      </c>
    </row>
    <row r="1889" spans="1:14" hidden="1">
      <c r="A1889" s="232">
        <v>43810</v>
      </c>
      <c r="B1889" t="s">
        <v>2737</v>
      </c>
      <c r="C1889" t="s">
        <v>2738</v>
      </c>
      <c r="D1889" s="1">
        <v>185497.27</v>
      </c>
      <c r="E1889" s="1">
        <v>0</v>
      </c>
      <c r="F1889">
        <v>1015439.95</v>
      </c>
      <c r="G1889" s="8" t="s">
        <v>1362</v>
      </c>
      <c r="K1889" s="2"/>
      <c r="L1889" s="232">
        <v>43810</v>
      </c>
      <c r="N1889">
        <f t="shared" si="26"/>
        <v>185497.27</v>
      </c>
    </row>
    <row r="1890" spans="1:14" hidden="1">
      <c r="A1890" s="232">
        <v>43818</v>
      </c>
      <c r="C1890" t="s">
        <v>2836</v>
      </c>
      <c r="D1890" s="1">
        <v>499.12</v>
      </c>
      <c r="E1890" s="1">
        <v>0</v>
      </c>
      <c r="F1890">
        <v>1014940.83</v>
      </c>
      <c r="K1890" s="2"/>
      <c r="L1890" s="232">
        <v>43818</v>
      </c>
      <c r="N1890">
        <f t="shared" si="26"/>
        <v>499.12</v>
      </c>
    </row>
    <row r="1891" spans="1:14" hidden="1">
      <c r="A1891" s="232">
        <v>43825</v>
      </c>
      <c r="C1891" t="s">
        <v>2837</v>
      </c>
      <c r="D1891" s="1">
        <v>0</v>
      </c>
      <c r="E1891" s="1">
        <v>217410</v>
      </c>
      <c r="F1891">
        <v>1232350.83</v>
      </c>
      <c r="G1891" s="8" t="s">
        <v>1380</v>
      </c>
      <c r="K1891" s="2"/>
      <c r="L1891" s="232">
        <v>43825</v>
      </c>
      <c r="N1891">
        <f t="shared" si="26"/>
        <v>0</v>
      </c>
    </row>
    <row r="1892" spans="1:14" hidden="1">
      <c r="A1892" s="232">
        <v>43826</v>
      </c>
      <c r="B1892" t="s">
        <v>1997</v>
      </c>
      <c r="C1892" t="s">
        <v>2838</v>
      </c>
      <c r="D1892" s="1">
        <v>0</v>
      </c>
      <c r="E1892" s="1">
        <v>1</v>
      </c>
      <c r="F1892">
        <v>1232351.83</v>
      </c>
      <c r="G1892" s="8" t="s">
        <v>1375</v>
      </c>
      <c r="K1892" s="2"/>
      <c r="L1892" s="232">
        <v>43826</v>
      </c>
      <c r="N1892">
        <f t="shared" si="26"/>
        <v>0</v>
      </c>
    </row>
    <row r="1893" spans="1:14" hidden="1">
      <c r="A1893" s="232">
        <v>43829</v>
      </c>
      <c r="B1893" t="s">
        <v>1938</v>
      </c>
      <c r="C1893" t="s">
        <v>2839</v>
      </c>
      <c r="D1893" s="1">
        <v>2000</v>
      </c>
      <c r="E1893" s="1">
        <v>0</v>
      </c>
      <c r="F1893">
        <v>1230351.83</v>
      </c>
      <c r="G1893" s="8" t="s">
        <v>1372</v>
      </c>
      <c r="K1893" s="2"/>
      <c r="L1893" s="232">
        <v>43829</v>
      </c>
      <c r="N1893">
        <f t="shared" si="26"/>
        <v>2000</v>
      </c>
    </row>
    <row r="1894" spans="1:14" hidden="1">
      <c r="A1894" s="232">
        <v>43830</v>
      </c>
      <c r="C1894" t="s">
        <v>2840</v>
      </c>
      <c r="D1894" s="1">
        <v>0</v>
      </c>
      <c r="E1894" s="1">
        <v>10679</v>
      </c>
      <c r="F1894">
        <v>1241030.83</v>
      </c>
      <c r="G1894" s="8" t="s">
        <v>1368</v>
      </c>
      <c r="K1894" s="2"/>
      <c r="L1894" s="232">
        <v>43830</v>
      </c>
      <c r="N1894">
        <f t="shared" si="26"/>
        <v>0</v>
      </c>
    </row>
    <row r="1895" spans="1:14" hidden="1">
      <c r="A1895" s="232">
        <v>43832</v>
      </c>
      <c r="C1895" t="s">
        <v>2841</v>
      </c>
      <c r="D1895" s="1">
        <v>8487</v>
      </c>
      <c r="E1895" s="1">
        <v>0</v>
      </c>
      <c r="F1895">
        <v>1232543.83</v>
      </c>
      <c r="K1895" s="2"/>
      <c r="L1895" s="232">
        <v>43832</v>
      </c>
      <c r="N1895">
        <f t="shared" si="26"/>
        <v>8487</v>
      </c>
    </row>
    <row r="1896" spans="1:14" hidden="1">
      <c r="A1896" s="232">
        <v>43836</v>
      </c>
      <c r="B1896" t="s">
        <v>1938</v>
      </c>
      <c r="C1896" t="s">
        <v>2842</v>
      </c>
      <c r="D1896" s="1">
        <v>0</v>
      </c>
      <c r="E1896" s="1">
        <v>9670.6200000000008</v>
      </c>
      <c r="F1896">
        <v>1242214.45</v>
      </c>
      <c r="G1896" s="8" t="s">
        <v>1375</v>
      </c>
      <c r="K1896" s="2"/>
      <c r="L1896" s="232">
        <v>43836</v>
      </c>
      <c r="N1896">
        <f t="shared" si="26"/>
        <v>0</v>
      </c>
    </row>
    <row r="1897" spans="1:14" hidden="1">
      <c r="A1897" s="232">
        <v>43840</v>
      </c>
      <c r="B1897" t="s">
        <v>1938</v>
      </c>
      <c r="C1897" t="s">
        <v>2843</v>
      </c>
      <c r="D1897" s="1">
        <v>2000</v>
      </c>
      <c r="E1897" s="1">
        <v>0</v>
      </c>
      <c r="F1897">
        <v>1240214.45</v>
      </c>
      <c r="G1897" s="8" t="s">
        <v>1372</v>
      </c>
      <c r="K1897" s="2"/>
      <c r="L1897" s="232">
        <v>43840</v>
      </c>
      <c r="N1897">
        <f t="shared" si="26"/>
        <v>2000</v>
      </c>
    </row>
    <row r="1898" spans="1:14" hidden="1">
      <c r="A1898" s="232">
        <v>43840</v>
      </c>
      <c r="B1898" t="s">
        <v>2737</v>
      </c>
      <c r="C1898" t="s">
        <v>2738</v>
      </c>
      <c r="D1898" s="1">
        <v>321254.65999999997</v>
      </c>
      <c r="E1898" s="1">
        <v>0</v>
      </c>
      <c r="F1898">
        <v>918959.79</v>
      </c>
      <c r="G1898" s="8" t="s">
        <v>1362</v>
      </c>
      <c r="K1898" s="2"/>
      <c r="L1898" s="232">
        <v>43840</v>
      </c>
      <c r="N1898">
        <f t="shared" si="26"/>
        <v>321254.65999999997</v>
      </c>
    </row>
    <row r="1899" spans="1:14" hidden="1">
      <c r="A1899" s="232">
        <v>43846</v>
      </c>
      <c r="B1899" t="s">
        <v>1938</v>
      </c>
      <c r="C1899" t="s">
        <v>2844</v>
      </c>
      <c r="D1899" s="1">
        <v>117003</v>
      </c>
      <c r="E1899" s="1">
        <v>0</v>
      </c>
      <c r="F1899">
        <v>801956.79</v>
      </c>
      <c r="G1899" s="8" t="s">
        <v>1383</v>
      </c>
      <c r="K1899" s="2"/>
      <c r="L1899" s="232">
        <v>43846</v>
      </c>
      <c r="N1899">
        <f t="shared" si="26"/>
        <v>117003</v>
      </c>
    </row>
    <row r="1900" spans="1:14" hidden="1">
      <c r="A1900" s="232">
        <v>43853</v>
      </c>
      <c r="B1900" t="s">
        <v>2213</v>
      </c>
      <c r="C1900" t="s">
        <v>2845</v>
      </c>
      <c r="D1900" s="1">
        <v>0</v>
      </c>
      <c r="E1900" s="1">
        <v>4751.84</v>
      </c>
      <c r="F1900">
        <v>806708.63</v>
      </c>
      <c r="G1900" s="8" t="s">
        <v>1380</v>
      </c>
      <c r="K1900" s="2"/>
      <c r="L1900" s="232">
        <v>43853</v>
      </c>
      <c r="N1900">
        <f t="shared" si="26"/>
        <v>0</v>
      </c>
    </row>
    <row r="1901" spans="1:14" hidden="1">
      <c r="A1901" s="232">
        <v>43853</v>
      </c>
      <c r="C1901" t="s">
        <v>2846</v>
      </c>
      <c r="D1901" s="1">
        <v>25130</v>
      </c>
      <c r="E1901" s="1">
        <v>0</v>
      </c>
      <c r="F1901">
        <v>781578.63</v>
      </c>
      <c r="G1901" s="8" t="s">
        <v>1370</v>
      </c>
      <c r="K1901" s="2"/>
      <c r="L1901" s="232">
        <v>43853</v>
      </c>
      <c r="N1901">
        <f t="shared" si="26"/>
        <v>25130</v>
      </c>
    </row>
    <row r="1902" spans="1:14" hidden="1">
      <c r="A1902" s="232">
        <v>43854</v>
      </c>
      <c r="C1902" t="s">
        <v>2847</v>
      </c>
      <c r="D1902" s="1">
        <v>0</v>
      </c>
      <c r="E1902" s="1">
        <v>217411</v>
      </c>
      <c r="F1902">
        <v>998989.63</v>
      </c>
      <c r="G1902" s="8" t="s">
        <v>1380</v>
      </c>
      <c r="K1902" s="2"/>
      <c r="L1902" s="232">
        <v>43854</v>
      </c>
      <c r="N1902">
        <f t="shared" si="26"/>
        <v>0</v>
      </c>
    </row>
    <row r="1903" spans="1:14" hidden="1">
      <c r="A1903" s="232">
        <v>43858</v>
      </c>
      <c r="B1903" t="s">
        <v>1938</v>
      </c>
      <c r="C1903" t="s">
        <v>2848</v>
      </c>
      <c r="D1903" s="1">
        <v>2000</v>
      </c>
      <c r="E1903" s="1">
        <v>0</v>
      </c>
      <c r="F1903">
        <v>996989.63</v>
      </c>
      <c r="G1903" s="8" t="s">
        <v>1372</v>
      </c>
      <c r="K1903" s="2"/>
      <c r="L1903" s="232">
        <v>43858</v>
      </c>
      <c r="N1903">
        <f t="shared" si="26"/>
        <v>2000</v>
      </c>
    </row>
    <row r="1904" spans="1:14" hidden="1">
      <c r="A1904" s="232">
        <v>43859</v>
      </c>
      <c r="B1904" t="s">
        <v>2063</v>
      </c>
      <c r="C1904" t="s">
        <v>2849</v>
      </c>
      <c r="D1904" s="1">
        <v>400</v>
      </c>
      <c r="E1904" s="1">
        <v>0</v>
      </c>
      <c r="F1904">
        <v>996589.63</v>
      </c>
      <c r="G1904" s="8" t="s">
        <v>1361</v>
      </c>
      <c r="K1904" s="2"/>
      <c r="L1904" s="232">
        <v>43859</v>
      </c>
      <c r="N1904">
        <f t="shared" si="26"/>
        <v>400</v>
      </c>
    </row>
    <row r="1905" spans="1:14" hidden="1">
      <c r="A1905" s="232">
        <v>43864</v>
      </c>
      <c r="B1905" t="s">
        <v>1997</v>
      </c>
      <c r="C1905" t="s">
        <v>2850</v>
      </c>
      <c r="D1905" s="1">
        <v>8197</v>
      </c>
      <c r="E1905" s="1">
        <v>0</v>
      </c>
      <c r="F1905">
        <v>988392.63</v>
      </c>
      <c r="K1905" s="2"/>
      <c r="L1905" s="232">
        <v>43864</v>
      </c>
      <c r="N1905">
        <f t="shared" si="26"/>
        <v>8197</v>
      </c>
    </row>
    <row r="1906" spans="1:14" hidden="1">
      <c r="A1906" s="232">
        <v>43868</v>
      </c>
      <c r="B1906" t="s">
        <v>1938</v>
      </c>
      <c r="C1906" t="s">
        <v>2851</v>
      </c>
      <c r="D1906" s="1">
        <v>0</v>
      </c>
      <c r="E1906" s="1">
        <v>9670.6200000000008</v>
      </c>
      <c r="F1906">
        <v>998063.25</v>
      </c>
      <c r="G1906" s="8" t="s">
        <v>1375</v>
      </c>
      <c r="K1906" s="2"/>
      <c r="L1906" s="232">
        <v>43868</v>
      </c>
      <c r="N1906">
        <f t="shared" si="26"/>
        <v>0</v>
      </c>
    </row>
    <row r="1907" spans="1:14" hidden="1">
      <c r="A1907" s="232">
        <v>43871</v>
      </c>
      <c r="B1907" t="s">
        <v>1938</v>
      </c>
      <c r="C1907" t="s">
        <v>2852</v>
      </c>
      <c r="D1907" s="1">
        <v>2000</v>
      </c>
      <c r="E1907" s="1">
        <v>0</v>
      </c>
      <c r="F1907">
        <v>996063.25</v>
      </c>
      <c r="G1907" s="8" t="s">
        <v>1372</v>
      </c>
      <c r="K1907" s="2"/>
      <c r="L1907" s="232">
        <v>43871</v>
      </c>
      <c r="N1907">
        <f t="shared" si="26"/>
        <v>2000</v>
      </c>
    </row>
    <row r="1908" spans="1:14" hidden="1">
      <c r="A1908" s="232">
        <v>43871</v>
      </c>
      <c r="B1908" t="s">
        <v>2737</v>
      </c>
      <c r="C1908" t="s">
        <v>2738</v>
      </c>
      <c r="D1908" s="1">
        <v>40374.699999999997</v>
      </c>
      <c r="E1908" s="1">
        <v>0</v>
      </c>
      <c r="F1908">
        <v>955688.55</v>
      </c>
      <c r="G1908" s="8" t="s">
        <v>1362</v>
      </c>
      <c r="K1908" s="2"/>
      <c r="L1908" s="232">
        <v>43871</v>
      </c>
      <c r="N1908">
        <f t="shared" si="26"/>
        <v>40374.699999999997</v>
      </c>
    </row>
    <row r="1909" spans="1:14" hidden="1">
      <c r="A1909" s="232">
        <v>43879</v>
      </c>
      <c r="B1909" t="s">
        <v>2063</v>
      </c>
      <c r="C1909" t="s">
        <v>2853</v>
      </c>
      <c r="D1909" s="1">
        <v>10000</v>
      </c>
      <c r="E1909" s="1">
        <v>0</v>
      </c>
      <c r="F1909">
        <v>945688.55</v>
      </c>
      <c r="G1909" s="8" t="s">
        <v>1361</v>
      </c>
      <c r="K1909" s="2"/>
      <c r="L1909" s="232">
        <v>43879</v>
      </c>
      <c r="N1909">
        <f t="shared" si="26"/>
        <v>10000</v>
      </c>
    </row>
    <row r="1910" spans="1:14" hidden="1">
      <c r="A1910" s="232">
        <v>43881</v>
      </c>
      <c r="B1910" t="s">
        <v>2063</v>
      </c>
      <c r="C1910" t="s">
        <v>2854</v>
      </c>
      <c r="D1910" s="1">
        <v>7000</v>
      </c>
      <c r="E1910" s="1">
        <v>0</v>
      </c>
      <c r="F1910">
        <v>938688.55</v>
      </c>
      <c r="G1910" s="8" t="s">
        <v>1361</v>
      </c>
      <c r="K1910" s="2"/>
      <c r="L1910" s="232">
        <v>43881</v>
      </c>
      <c r="N1910">
        <f t="shared" si="26"/>
        <v>7000</v>
      </c>
    </row>
    <row r="1911" spans="1:14" hidden="1">
      <c r="A1911" s="232">
        <v>43882</v>
      </c>
      <c r="B1911" t="s">
        <v>1963</v>
      </c>
      <c r="C1911" t="s">
        <v>2855</v>
      </c>
      <c r="D1911" s="1">
        <v>400</v>
      </c>
      <c r="E1911" s="1">
        <v>0</v>
      </c>
      <c r="F1911">
        <v>938288.55</v>
      </c>
      <c r="G1911" s="8" t="s">
        <v>1361</v>
      </c>
      <c r="K1911" s="2"/>
      <c r="L1911" s="232">
        <v>43882</v>
      </c>
      <c r="N1911">
        <f t="shared" si="26"/>
        <v>400</v>
      </c>
    </row>
    <row r="1912" spans="1:14" hidden="1">
      <c r="A1912" s="232">
        <v>43882</v>
      </c>
      <c r="B1912" t="s">
        <v>1963</v>
      </c>
      <c r="C1912" t="s">
        <v>2855</v>
      </c>
      <c r="D1912" s="1">
        <v>300</v>
      </c>
      <c r="E1912" s="1">
        <v>0</v>
      </c>
      <c r="F1912">
        <v>937988.55</v>
      </c>
      <c r="G1912" s="8" t="s">
        <v>1361</v>
      </c>
      <c r="K1912" s="2"/>
      <c r="L1912" s="232">
        <v>43882</v>
      </c>
      <c r="N1912">
        <f t="shared" si="26"/>
        <v>300</v>
      </c>
    </row>
    <row r="1913" spans="1:14" hidden="1">
      <c r="A1913" s="232">
        <v>43882</v>
      </c>
      <c r="B1913" t="s">
        <v>1963</v>
      </c>
      <c r="C1913" t="s">
        <v>2856</v>
      </c>
      <c r="D1913" s="1">
        <v>5000</v>
      </c>
      <c r="E1913" s="1">
        <v>0</v>
      </c>
      <c r="F1913">
        <v>932988.55</v>
      </c>
      <c r="G1913" s="8" t="s">
        <v>1361</v>
      </c>
      <c r="K1913" s="2"/>
      <c r="L1913" s="232">
        <v>43882</v>
      </c>
      <c r="N1913">
        <f t="shared" si="26"/>
        <v>5000</v>
      </c>
    </row>
    <row r="1914" spans="1:14" hidden="1">
      <c r="A1914" s="232">
        <v>43888</v>
      </c>
      <c r="C1914" t="s">
        <v>2857</v>
      </c>
      <c r="D1914" s="1">
        <v>0</v>
      </c>
      <c r="E1914" s="1">
        <v>219931</v>
      </c>
      <c r="F1914">
        <v>1152919.55</v>
      </c>
      <c r="G1914" s="8" t="s">
        <v>1380</v>
      </c>
      <c r="K1914" s="2"/>
      <c r="L1914" s="232">
        <v>43888</v>
      </c>
      <c r="N1914">
        <f t="shared" si="26"/>
        <v>0</v>
      </c>
    </row>
    <row r="1915" spans="1:14" hidden="1">
      <c r="A1915" s="232">
        <v>43889</v>
      </c>
      <c r="B1915" t="s">
        <v>1938</v>
      </c>
      <c r="C1915" t="s">
        <v>2858</v>
      </c>
      <c r="D1915" s="1">
        <v>2000</v>
      </c>
      <c r="E1915" s="1">
        <v>0</v>
      </c>
      <c r="F1915">
        <v>1150919.55</v>
      </c>
      <c r="G1915" s="8" t="s">
        <v>1372</v>
      </c>
      <c r="K1915" s="2"/>
      <c r="L1915" s="232">
        <v>43889</v>
      </c>
      <c r="N1915">
        <f t="shared" si="26"/>
        <v>2000</v>
      </c>
    </row>
    <row r="1916" spans="1:14" hidden="1">
      <c r="A1916" s="232">
        <v>43889</v>
      </c>
      <c r="B1916" t="s">
        <v>1997</v>
      </c>
      <c r="C1916" t="s">
        <v>2859</v>
      </c>
      <c r="D1916" s="1">
        <v>200000</v>
      </c>
      <c r="E1916" s="1">
        <v>0</v>
      </c>
      <c r="F1916">
        <v>950919.55</v>
      </c>
      <c r="G1916" s="8" t="s">
        <v>1363</v>
      </c>
      <c r="K1916" s="2"/>
      <c r="L1916" s="232">
        <v>43889</v>
      </c>
      <c r="N1916">
        <f t="shared" si="26"/>
        <v>200000</v>
      </c>
    </row>
    <row r="1917" spans="1:14" hidden="1">
      <c r="A1917" s="232">
        <v>43892</v>
      </c>
      <c r="B1917" t="s">
        <v>1997</v>
      </c>
      <c r="C1917" t="s">
        <v>2860</v>
      </c>
      <c r="D1917" s="1">
        <v>8415</v>
      </c>
      <c r="E1917" s="1">
        <v>0</v>
      </c>
      <c r="F1917">
        <v>942504.55</v>
      </c>
      <c r="K1917" s="2"/>
      <c r="L1917" s="232">
        <v>43892</v>
      </c>
      <c r="N1917">
        <f t="shared" si="26"/>
        <v>8415</v>
      </c>
    </row>
    <row r="1918" spans="1:14" hidden="1">
      <c r="A1918" s="232">
        <v>43894</v>
      </c>
      <c r="B1918" t="s">
        <v>2063</v>
      </c>
      <c r="C1918" t="s">
        <v>2861</v>
      </c>
      <c r="D1918" s="1">
        <v>8000</v>
      </c>
      <c r="E1918" s="1">
        <v>0</v>
      </c>
      <c r="F1918">
        <v>934504.55</v>
      </c>
      <c r="G1918" s="8" t="s">
        <v>1361</v>
      </c>
      <c r="K1918" s="2"/>
      <c r="L1918" s="232">
        <v>43894</v>
      </c>
      <c r="N1918">
        <f t="shared" si="26"/>
        <v>8000</v>
      </c>
    </row>
    <row r="1919" spans="1:14" hidden="1">
      <c r="A1919" s="232">
        <v>43894</v>
      </c>
      <c r="B1919" t="s">
        <v>2063</v>
      </c>
      <c r="C1919" t="s">
        <v>2861</v>
      </c>
      <c r="D1919" s="1">
        <v>8000</v>
      </c>
      <c r="E1919" s="1">
        <v>0</v>
      </c>
      <c r="F1919">
        <v>926504.55</v>
      </c>
      <c r="G1919" s="8" t="s">
        <v>1361</v>
      </c>
      <c r="K1919" s="2"/>
      <c r="L1919" s="232">
        <v>43894</v>
      </c>
      <c r="N1919">
        <f t="shared" si="26"/>
        <v>8000</v>
      </c>
    </row>
    <row r="1920" spans="1:14" hidden="1">
      <c r="A1920" s="232">
        <v>43894</v>
      </c>
      <c r="B1920" t="s">
        <v>2063</v>
      </c>
      <c r="C1920" t="s">
        <v>2861</v>
      </c>
      <c r="D1920" s="1">
        <v>4000</v>
      </c>
      <c r="E1920" s="1">
        <v>0</v>
      </c>
      <c r="F1920">
        <v>922504.55</v>
      </c>
      <c r="G1920" s="8" t="s">
        <v>1361</v>
      </c>
      <c r="K1920" s="2"/>
      <c r="L1920" s="232">
        <v>43894</v>
      </c>
      <c r="N1920">
        <f t="shared" si="26"/>
        <v>4000</v>
      </c>
    </row>
    <row r="1921" spans="1:14" hidden="1">
      <c r="A1921" s="232">
        <v>43896</v>
      </c>
      <c r="B1921" t="s">
        <v>1938</v>
      </c>
      <c r="C1921" t="s">
        <v>2862</v>
      </c>
      <c r="D1921" s="1">
        <v>0</v>
      </c>
      <c r="E1921" s="1">
        <v>9670.6200000000008</v>
      </c>
      <c r="F1921">
        <v>932175.17</v>
      </c>
      <c r="G1921" s="8" t="s">
        <v>1375</v>
      </c>
      <c r="K1921" s="2"/>
      <c r="L1921" s="232">
        <v>43896</v>
      </c>
      <c r="N1921">
        <f t="shared" si="26"/>
        <v>0</v>
      </c>
    </row>
    <row r="1922" spans="1:14" hidden="1">
      <c r="A1922" s="232">
        <v>43899</v>
      </c>
      <c r="B1922" t="s">
        <v>2213</v>
      </c>
      <c r="C1922" t="s">
        <v>2863</v>
      </c>
      <c r="D1922" s="1">
        <v>0</v>
      </c>
      <c r="E1922" s="1">
        <v>39830.33</v>
      </c>
      <c r="F1922">
        <v>972005.5</v>
      </c>
      <c r="G1922" s="8" t="s">
        <v>1380</v>
      </c>
      <c r="K1922" s="2"/>
      <c r="L1922" s="232">
        <v>43899</v>
      </c>
      <c r="N1922">
        <f t="shared" si="26"/>
        <v>0</v>
      </c>
    </row>
    <row r="1923" spans="1:14" hidden="1">
      <c r="A1923" s="232">
        <v>43900</v>
      </c>
      <c r="B1923" t="s">
        <v>1938</v>
      </c>
      <c r="C1923" t="s">
        <v>2864</v>
      </c>
      <c r="D1923" s="1">
        <v>2000</v>
      </c>
      <c r="E1923" s="1">
        <v>0</v>
      </c>
      <c r="F1923">
        <v>970005.5</v>
      </c>
      <c r="G1923" s="8" t="s">
        <v>1372</v>
      </c>
      <c r="K1923" s="2"/>
      <c r="L1923" s="232">
        <v>43900</v>
      </c>
      <c r="N1923">
        <f t="shared" si="26"/>
        <v>2000</v>
      </c>
    </row>
    <row r="1924" spans="1:14" hidden="1">
      <c r="A1924" s="232">
        <v>43902</v>
      </c>
      <c r="B1924" t="s">
        <v>2737</v>
      </c>
      <c r="C1924" t="s">
        <v>2738</v>
      </c>
      <c r="D1924" s="1">
        <v>78523.100000000006</v>
      </c>
      <c r="E1924" s="1">
        <v>0</v>
      </c>
      <c r="F1924">
        <v>891482.4</v>
      </c>
      <c r="G1924" s="8" t="s">
        <v>1362</v>
      </c>
      <c r="K1924" s="2"/>
      <c r="L1924" s="232">
        <v>43902</v>
      </c>
      <c r="N1924">
        <f t="shared" si="26"/>
        <v>78523.100000000006</v>
      </c>
    </row>
    <row r="1925" spans="1:14" hidden="1">
      <c r="A1925" s="232">
        <v>43906</v>
      </c>
      <c r="C1925" t="s">
        <v>2865</v>
      </c>
      <c r="D1925" s="1">
        <v>200</v>
      </c>
      <c r="E1925" s="1">
        <v>0</v>
      </c>
      <c r="F1925">
        <v>891282.4</v>
      </c>
      <c r="K1925" s="2"/>
      <c r="L1925" s="232">
        <v>43906</v>
      </c>
      <c r="N1925">
        <f t="shared" si="26"/>
        <v>200</v>
      </c>
    </row>
    <row r="1926" spans="1:14" hidden="1">
      <c r="A1926" s="232">
        <v>43906</v>
      </c>
      <c r="C1926" t="s">
        <v>2866</v>
      </c>
      <c r="D1926" s="1">
        <v>200</v>
      </c>
      <c r="E1926" s="1">
        <v>0</v>
      </c>
      <c r="F1926">
        <v>891082.4</v>
      </c>
      <c r="K1926" s="2"/>
      <c r="L1926" s="232">
        <v>43906</v>
      </c>
      <c r="N1926">
        <f t="shared" si="26"/>
        <v>200</v>
      </c>
    </row>
    <row r="1927" spans="1:14" hidden="1">
      <c r="A1927" s="232">
        <v>43906</v>
      </c>
      <c r="C1927" t="s">
        <v>2867</v>
      </c>
      <c r="D1927" s="1">
        <v>190086</v>
      </c>
      <c r="E1927" s="1">
        <v>0</v>
      </c>
      <c r="F1927">
        <v>700996.4</v>
      </c>
      <c r="K1927" s="2"/>
      <c r="L1927" s="232">
        <v>43906</v>
      </c>
      <c r="N1927">
        <f t="shared" si="26"/>
        <v>190086</v>
      </c>
    </row>
    <row r="1928" spans="1:14" hidden="1">
      <c r="A1928" s="232">
        <v>43907</v>
      </c>
      <c r="C1928" t="s">
        <v>2868</v>
      </c>
      <c r="D1928" s="1">
        <v>0</v>
      </c>
      <c r="E1928" s="1">
        <v>8878</v>
      </c>
      <c r="F1928">
        <v>709874.4</v>
      </c>
      <c r="G1928" s="8" t="s">
        <v>1380</v>
      </c>
      <c r="K1928" s="2"/>
      <c r="L1928" s="232">
        <v>43907</v>
      </c>
      <c r="N1928">
        <f t="shared" si="26"/>
        <v>0</v>
      </c>
    </row>
    <row r="1929" spans="1:14" hidden="1">
      <c r="A1929" s="232">
        <v>43908</v>
      </c>
      <c r="B1929" t="s">
        <v>1914</v>
      </c>
      <c r="C1929" t="s">
        <v>2869</v>
      </c>
      <c r="D1929" s="1">
        <v>10000</v>
      </c>
      <c r="E1929" s="1">
        <v>0</v>
      </c>
      <c r="F1929">
        <v>699874.4</v>
      </c>
      <c r="G1929" s="8" t="s">
        <v>1372</v>
      </c>
      <c r="K1929" s="2"/>
      <c r="L1929" s="232">
        <v>43908</v>
      </c>
      <c r="N1929">
        <f t="shared" si="26"/>
        <v>10000</v>
      </c>
    </row>
    <row r="1930" spans="1:14" hidden="1">
      <c r="A1930" s="232">
        <v>43909</v>
      </c>
      <c r="B1930" t="s">
        <v>1997</v>
      </c>
      <c r="C1930" t="s">
        <v>2870</v>
      </c>
      <c r="D1930" s="1">
        <v>0</v>
      </c>
      <c r="E1930" s="1">
        <v>1000</v>
      </c>
      <c r="F1930">
        <v>700874.4</v>
      </c>
      <c r="G1930" s="8" t="s">
        <v>1375</v>
      </c>
      <c r="K1930" s="2"/>
      <c r="L1930" s="232">
        <v>43909</v>
      </c>
      <c r="N1930">
        <f t="shared" si="26"/>
        <v>0</v>
      </c>
    </row>
    <row r="1931" spans="1:14" hidden="1">
      <c r="A1931" s="232">
        <v>43917</v>
      </c>
      <c r="C1931" t="s">
        <v>2871</v>
      </c>
      <c r="D1931" s="1">
        <v>0</v>
      </c>
      <c r="E1931" s="1">
        <v>1352375</v>
      </c>
      <c r="F1931">
        <v>2053249.4</v>
      </c>
      <c r="G1931" s="8" t="s">
        <v>1380</v>
      </c>
      <c r="K1931" s="2"/>
      <c r="L1931" s="232">
        <v>43917</v>
      </c>
      <c r="N1931">
        <f t="shared" ref="N1931:N1994" si="27">D1931*1</f>
        <v>0</v>
      </c>
    </row>
    <row r="1932" spans="1:14" hidden="1">
      <c r="A1932" s="232">
        <v>43920</v>
      </c>
      <c r="C1932" t="s">
        <v>2872</v>
      </c>
      <c r="D1932" s="1">
        <v>100</v>
      </c>
      <c r="E1932" s="1">
        <v>0</v>
      </c>
      <c r="F1932">
        <v>2053149.4</v>
      </c>
      <c r="G1932" s="8" t="s">
        <v>1363</v>
      </c>
      <c r="K1932" s="2"/>
      <c r="L1932" s="232">
        <v>43920</v>
      </c>
      <c r="N1932">
        <f t="shared" si="27"/>
        <v>100</v>
      </c>
    </row>
    <row r="1933" spans="1:14" hidden="1">
      <c r="A1933" s="232">
        <v>43920</v>
      </c>
      <c r="C1933" t="s">
        <v>2873</v>
      </c>
      <c r="D1933" s="1">
        <v>0</v>
      </c>
      <c r="E1933" s="1">
        <v>8455</v>
      </c>
      <c r="F1933">
        <v>2061604.4</v>
      </c>
      <c r="G1933" s="8" t="s">
        <v>1368</v>
      </c>
      <c r="K1933" s="2"/>
      <c r="L1933" s="232">
        <v>43920</v>
      </c>
      <c r="N1933">
        <f t="shared" si="27"/>
        <v>0</v>
      </c>
    </row>
    <row r="1934" spans="1:14" hidden="1">
      <c r="A1934" s="232">
        <v>43920</v>
      </c>
      <c r="B1934" t="s">
        <v>1938</v>
      </c>
      <c r="C1934" t="s">
        <v>2874</v>
      </c>
      <c r="D1934" s="1">
        <v>2000</v>
      </c>
      <c r="E1934" s="1">
        <v>0</v>
      </c>
      <c r="F1934">
        <v>2059604.4</v>
      </c>
      <c r="G1934" s="8" t="s">
        <v>1372</v>
      </c>
      <c r="K1934" s="2"/>
      <c r="L1934" s="232">
        <v>43920</v>
      </c>
      <c r="N1934">
        <f t="shared" si="27"/>
        <v>2000</v>
      </c>
    </row>
    <row r="1935" spans="1:14" hidden="1">
      <c r="A1935" s="232">
        <v>43922</v>
      </c>
      <c r="C1935" t="s">
        <v>1394</v>
      </c>
      <c r="D1935" s="1">
        <v>0</v>
      </c>
      <c r="E1935" s="1">
        <v>0</v>
      </c>
      <c r="F1935">
        <v>2059604.4</v>
      </c>
      <c r="K1935" s="2"/>
      <c r="L1935" s="232">
        <v>43922</v>
      </c>
      <c r="N1935">
        <f t="shared" si="27"/>
        <v>0</v>
      </c>
    </row>
    <row r="1936" spans="1:14" hidden="1">
      <c r="A1936" s="232">
        <v>43923</v>
      </c>
      <c r="B1936" t="s">
        <v>1997</v>
      </c>
      <c r="C1936" t="s">
        <v>2875</v>
      </c>
      <c r="D1936" s="1">
        <v>8961</v>
      </c>
      <c r="E1936" s="1">
        <v>0</v>
      </c>
      <c r="F1936">
        <v>2050643.4</v>
      </c>
      <c r="K1936" s="2"/>
      <c r="L1936" s="232">
        <v>43923</v>
      </c>
      <c r="N1936">
        <f t="shared" si="27"/>
        <v>8961</v>
      </c>
    </row>
    <row r="1937" spans="1:14" hidden="1">
      <c r="A1937" s="232">
        <v>43924</v>
      </c>
      <c r="C1937" t="s">
        <v>2876</v>
      </c>
      <c r="D1937" s="1">
        <v>150000</v>
      </c>
      <c r="E1937" s="1">
        <v>0</v>
      </c>
      <c r="F1937">
        <v>1900643.4</v>
      </c>
      <c r="G1937" s="8" t="s">
        <v>1378</v>
      </c>
      <c r="K1937" s="2"/>
      <c r="L1937" s="232">
        <v>43924</v>
      </c>
      <c r="N1937">
        <f t="shared" si="27"/>
        <v>150000</v>
      </c>
    </row>
    <row r="1938" spans="1:14" hidden="1">
      <c r="A1938" s="232">
        <v>43927</v>
      </c>
      <c r="C1938" t="s">
        <v>2877</v>
      </c>
      <c r="D1938" s="1">
        <v>510</v>
      </c>
      <c r="E1938" s="1">
        <v>0</v>
      </c>
      <c r="F1938">
        <v>1900133.4</v>
      </c>
      <c r="K1938" s="2"/>
      <c r="L1938" s="232">
        <v>43927</v>
      </c>
      <c r="N1938">
        <f t="shared" si="27"/>
        <v>510</v>
      </c>
    </row>
    <row r="1939" spans="1:14" hidden="1">
      <c r="A1939" s="232">
        <v>43928</v>
      </c>
      <c r="C1939" t="s">
        <v>2878</v>
      </c>
      <c r="D1939" s="1">
        <v>917</v>
      </c>
      <c r="E1939" s="1">
        <v>0</v>
      </c>
      <c r="F1939">
        <v>1899216.4</v>
      </c>
      <c r="K1939" s="2"/>
      <c r="L1939" s="232">
        <v>43928</v>
      </c>
      <c r="N1939">
        <f t="shared" si="27"/>
        <v>917</v>
      </c>
    </row>
    <row r="1940" spans="1:14" hidden="1">
      <c r="A1940" s="232">
        <v>43928</v>
      </c>
      <c r="C1940" t="s">
        <v>2879</v>
      </c>
      <c r="D1940" s="1">
        <v>0</v>
      </c>
      <c r="E1940" s="1">
        <v>7</v>
      </c>
      <c r="F1940">
        <v>1899223.4</v>
      </c>
      <c r="K1940" s="2"/>
      <c r="L1940" s="232">
        <v>43928</v>
      </c>
      <c r="N1940">
        <f t="shared" si="27"/>
        <v>0</v>
      </c>
    </row>
    <row r="1941" spans="1:14" hidden="1">
      <c r="A1941" s="232">
        <v>43928</v>
      </c>
      <c r="C1941" t="s">
        <v>2880</v>
      </c>
      <c r="D1941" s="1">
        <v>0</v>
      </c>
      <c r="E1941" s="1">
        <v>14</v>
      </c>
      <c r="F1941">
        <v>1899237.4</v>
      </c>
      <c r="K1941" s="2"/>
      <c r="L1941" s="232">
        <v>43928</v>
      </c>
      <c r="N1941">
        <f t="shared" si="27"/>
        <v>0</v>
      </c>
    </row>
    <row r="1942" spans="1:14" hidden="1">
      <c r="A1942" s="232">
        <v>43931</v>
      </c>
      <c r="B1942" t="s">
        <v>1938</v>
      </c>
      <c r="C1942" t="s">
        <v>2881</v>
      </c>
      <c r="D1942" s="1">
        <v>2000</v>
      </c>
      <c r="E1942" s="1">
        <v>0</v>
      </c>
      <c r="F1942">
        <v>1897237.4</v>
      </c>
      <c r="G1942" s="8" t="s">
        <v>1372</v>
      </c>
      <c r="K1942" s="2"/>
      <c r="L1942" s="232">
        <v>43931</v>
      </c>
      <c r="N1942">
        <f t="shared" si="27"/>
        <v>2000</v>
      </c>
    </row>
    <row r="1943" spans="1:14" hidden="1">
      <c r="A1943" s="232">
        <v>43931</v>
      </c>
      <c r="B1943" t="s">
        <v>2737</v>
      </c>
      <c r="C1943" t="s">
        <v>2738</v>
      </c>
      <c r="D1943" s="1">
        <v>61921.61</v>
      </c>
      <c r="E1943" s="1">
        <v>0</v>
      </c>
      <c r="F1943">
        <v>1835315.79</v>
      </c>
      <c r="G1943" s="8" t="s">
        <v>1362</v>
      </c>
      <c r="K1943" s="2"/>
      <c r="L1943" s="232">
        <v>43931</v>
      </c>
      <c r="N1943">
        <f t="shared" si="27"/>
        <v>61921.61</v>
      </c>
    </row>
    <row r="1944" spans="1:14" hidden="1">
      <c r="A1944" s="232">
        <v>43931</v>
      </c>
      <c r="C1944" t="s">
        <v>2882</v>
      </c>
      <c r="D1944" s="1">
        <v>341</v>
      </c>
      <c r="E1944" s="1">
        <v>0</v>
      </c>
      <c r="F1944">
        <v>1834974.79</v>
      </c>
      <c r="K1944" s="2"/>
      <c r="L1944" s="232">
        <v>43931</v>
      </c>
      <c r="N1944">
        <f t="shared" si="27"/>
        <v>341</v>
      </c>
    </row>
    <row r="1945" spans="1:14" hidden="1">
      <c r="A1945" s="232">
        <v>43934</v>
      </c>
      <c r="C1945" t="s">
        <v>2883</v>
      </c>
      <c r="D1945" s="1">
        <v>990</v>
      </c>
      <c r="E1945" s="1">
        <v>0</v>
      </c>
      <c r="F1945">
        <v>1833984.79</v>
      </c>
      <c r="K1945" s="2"/>
      <c r="L1945" s="232">
        <v>43934</v>
      </c>
      <c r="N1945">
        <f t="shared" si="27"/>
        <v>990</v>
      </c>
    </row>
    <row r="1946" spans="1:14" hidden="1">
      <c r="A1946" s="232">
        <v>43934</v>
      </c>
      <c r="C1946" t="s">
        <v>2884</v>
      </c>
      <c r="D1946" s="1">
        <v>0</v>
      </c>
      <c r="E1946" s="1">
        <v>5</v>
      </c>
      <c r="F1946">
        <v>1833989.79</v>
      </c>
      <c r="K1946" s="2"/>
      <c r="L1946" s="232">
        <v>43934</v>
      </c>
      <c r="N1946">
        <f t="shared" si="27"/>
        <v>0</v>
      </c>
    </row>
    <row r="1947" spans="1:14" hidden="1">
      <c r="A1947" s="232">
        <v>43938</v>
      </c>
      <c r="C1947" t="s">
        <v>2885</v>
      </c>
      <c r="D1947" s="1">
        <v>500</v>
      </c>
      <c r="E1947" s="1">
        <v>0</v>
      </c>
      <c r="F1947">
        <v>1833489.79</v>
      </c>
      <c r="K1947" s="2"/>
      <c r="L1947" s="232">
        <v>43938</v>
      </c>
      <c r="N1947">
        <f t="shared" si="27"/>
        <v>500</v>
      </c>
    </row>
    <row r="1948" spans="1:14" hidden="1">
      <c r="A1948" s="232">
        <v>43938</v>
      </c>
      <c r="C1948" t="s">
        <v>2886</v>
      </c>
      <c r="D1948" s="1">
        <v>0</v>
      </c>
      <c r="E1948" s="1">
        <v>5</v>
      </c>
      <c r="F1948">
        <v>1833494.79</v>
      </c>
      <c r="K1948" s="2"/>
      <c r="L1948" s="232">
        <v>43938</v>
      </c>
      <c r="N1948">
        <f t="shared" si="27"/>
        <v>0</v>
      </c>
    </row>
    <row r="1949" spans="1:14" hidden="1">
      <c r="A1949" s="232">
        <v>43939</v>
      </c>
      <c r="B1949" t="s">
        <v>1914</v>
      </c>
      <c r="C1949" t="s">
        <v>2887</v>
      </c>
      <c r="D1949" s="1">
        <v>10000</v>
      </c>
      <c r="E1949" s="1">
        <v>0</v>
      </c>
      <c r="F1949">
        <v>1823494.79</v>
      </c>
      <c r="G1949" s="8" t="s">
        <v>1372</v>
      </c>
      <c r="K1949" s="2"/>
      <c r="L1949" s="232">
        <v>43939</v>
      </c>
      <c r="N1949">
        <f t="shared" si="27"/>
        <v>10000</v>
      </c>
    </row>
    <row r="1950" spans="1:14" hidden="1">
      <c r="A1950" s="232">
        <v>43943</v>
      </c>
      <c r="C1950" t="s">
        <v>2888</v>
      </c>
      <c r="D1950" s="1">
        <v>193</v>
      </c>
      <c r="E1950" s="1">
        <v>0</v>
      </c>
      <c r="F1950">
        <v>1823301.79</v>
      </c>
      <c r="K1950" s="2"/>
      <c r="L1950" s="232">
        <v>43943</v>
      </c>
      <c r="N1950">
        <f t="shared" si="27"/>
        <v>193</v>
      </c>
    </row>
    <row r="1951" spans="1:14" hidden="1">
      <c r="A1951" s="232">
        <v>43945</v>
      </c>
      <c r="C1951" t="s">
        <v>2889</v>
      </c>
      <c r="D1951" s="1">
        <v>399</v>
      </c>
      <c r="E1951" s="1">
        <v>0</v>
      </c>
      <c r="F1951">
        <v>1822902.79</v>
      </c>
      <c r="K1951" s="2"/>
      <c r="L1951" s="232">
        <v>43945</v>
      </c>
      <c r="N1951">
        <f t="shared" si="27"/>
        <v>399</v>
      </c>
    </row>
    <row r="1952" spans="1:14" hidden="1">
      <c r="A1952" s="232">
        <v>43948</v>
      </c>
      <c r="C1952" t="s">
        <v>2890</v>
      </c>
      <c r="D1952" s="1">
        <v>200</v>
      </c>
      <c r="E1952" s="1">
        <v>0</v>
      </c>
      <c r="F1952">
        <v>1822702.79</v>
      </c>
      <c r="G1952" s="8" t="s">
        <v>1363</v>
      </c>
      <c r="K1952" s="2"/>
      <c r="L1952" s="232">
        <v>43948</v>
      </c>
      <c r="N1952">
        <f t="shared" si="27"/>
        <v>200</v>
      </c>
    </row>
    <row r="1953" spans="1:14" hidden="1">
      <c r="A1953" s="232">
        <v>43948</v>
      </c>
      <c r="C1953" t="s">
        <v>2891</v>
      </c>
      <c r="D1953" s="1">
        <v>0</v>
      </c>
      <c r="E1953" s="1">
        <v>5</v>
      </c>
      <c r="F1953">
        <v>1822707.79</v>
      </c>
      <c r="K1953" s="2"/>
      <c r="L1953" s="232">
        <v>43948</v>
      </c>
      <c r="N1953">
        <f t="shared" si="27"/>
        <v>0</v>
      </c>
    </row>
    <row r="1954" spans="1:14" hidden="1">
      <c r="A1954" s="232">
        <v>43948</v>
      </c>
      <c r="C1954" t="s">
        <v>2892</v>
      </c>
      <c r="D1954" s="1">
        <v>0</v>
      </c>
      <c r="E1954" s="1">
        <v>226651</v>
      </c>
      <c r="F1954">
        <v>2049358.79</v>
      </c>
      <c r="G1954" s="8" t="s">
        <v>1380</v>
      </c>
      <c r="K1954" s="2"/>
      <c r="L1954" s="232">
        <v>43948</v>
      </c>
      <c r="N1954">
        <f t="shared" si="27"/>
        <v>0</v>
      </c>
    </row>
    <row r="1955" spans="1:14" hidden="1">
      <c r="A1955" s="232">
        <v>43948</v>
      </c>
      <c r="C1955" t="s">
        <v>2893</v>
      </c>
      <c r="D1955" s="1">
        <v>25000</v>
      </c>
      <c r="E1955" s="1">
        <v>0</v>
      </c>
      <c r="F1955">
        <v>2024358.79</v>
      </c>
      <c r="G1955" s="8" t="s">
        <v>1363</v>
      </c>
      <c r="K1955" s="2"/>
      <c r="L1955" s="232">
        <v>43948</v>
      </c>
      <c r="N1955">
        <f t="shared" si="27"/>
        <v>25000</v>
      </c>
    </row>
    <row r="1956" spans="1:14" hidden="1">
      <c r="A1956" s="232">
        <v>43949</v>
      </c>
      <c r="B1956" t="s">
        <v>1938</v>
      </c>
      <c r="C1956" t="s">
        <v>2894</v>
      </c>
      <c r="D1956" s="1">
        <v>2000</v>
      </c>
      <c r="E1956" s="1">
        <v>0</v>
      </c>
      <c r="F1956">
        <v>2022358.79</v>
      </c>
      <c r="G1956" s="8" t="s">
        <v>1372</v>
      </c>
      <c r="K1956" s="2"/>
      <c r="L1956" s="232">
        <v>43949</v>
      </c>
      <c r="N1956">
        <f t="shared" si="27"/>
        <v>2000</v>
      </c>
    </row>
    <row r="1957" spans="1:14" hidden="1">
      <c r="A1957" s="232">
        <v>43949</v>
      </c>
      <c r="C1957" t="s">
        <v>2895</v>
      </c>
      <c r="D1957" s="1">
        <v>25000</v>
      </c>
      <c r="E1957" s="1">
        <v>0</v>
      </c>
      <c r="F1957">
        <v>1997358.79</v>
      </c>
      <c r="G1957" s="8" t="s">
        <v>1363</v>
      </c>
      <c r="K1957" s="2"/>
      <c r="L1957" s="232">
        <v>43949</v>
      </c>
      <c r="N1957">
        <f t="shared" si="27"/>
        <v>25000</v>
      </c>
    </row>
    <row r="1958" spans="1:14" hidden="1">
      <c r="A1958" s="232">
        <v>43949</v>
      </c>
      <c r="C1958" t="s">
        <v>2896</v>
      </c>
      <c r="D1958" s="1">
        <v>25000</v>
      </c>
      <c r="E1958" s="1">
        <v>0</v>
      </c>
      <c r="F1958">
        <v>1972358.79</v>
      </c>
      <c r="G1958" s="8" t="s">
        <v>1363</v>
      </c>
      <c r="K1958" s="2"/>
      <c r="L1958" s="232">
        <v>43949</v>
      </c>
      <c r="N1958">
        <f t="shared" si="27"/>
        <v>25000</v>
      </c>
    </row>
    <row r="1959" spans="1:14" hidden="1">
      <c r="A1959" s="232">
        <v>43949</v>
      </c>
      <c r="C1959" t="s">
        <v>2897</v>
      </c>
      <c r="D1959" s="1">
        <v>25000</v>
      </c>
      <c r="E1959" s="1">
        <v>0</v>
      </c>
      <c r="F1959">
        <v>1947358.79</v>
      </c>
      <c r="G1959" s="8" t="s">
        <v>1363</v>
      </c>
      <c r="K1959" s="2"/>
      <c r="L1959" s="232">
        <v>43949</v>
      </c>
      <c r="N1959">
        <f t="shared" si="27"/>
        <v>25000</v>
      </c>
    </row>
    <row r="1960" spans="1:14" hidden="1">
      <c r="A1960" s="232">
        <v>43950</v>
      </c>
      <c r="C1960" t="s">
        <v>2898</v>
      </c>
      <c r="D1960" s="1">
        <v>695907.38</v>
      </c>
      <c r="E1960" s="1">
        <v>0</v>
      </c>
      <c r="F1960">
        <v>1251451.4099999999</v>
      </c>
      <c r="G1960" s="8" t="s">
        <v>1370</v>
      </c>
      <c r="K1960" s="2"/>
      <c r="L1960" s="232">
        <v>43950</v>
      </c>
      <c r="N1960">
        <f t="shared" si="27"/>
        <v>695907.38</v>
      </c>
    </row>
    <row r="1961" spans="1:14" hidden="1">
      <c r="A1961" s="232">
        <v>43951</v>
      </c>
      <c r="C1961" t="s">
        <v>2899</v>
      </c>
      <c r="D1961" s="1">
        <v>696</v>
      </c>
      <c r="E1961" s="1">
        <v>0</v>
      </c>
      <c r="F1961">
        <v>1250755.4099999999</v>
      </c>
      <c r="K1961" s="2"/>
      <c r="L1961" s="232">
        <v>43951</v>
      </c>
      <c r="N1961">
        <f t="shared" si="27"/>
        <v>696</v>
      </c>
    </row>
    <row r="1962" spans="1:14" hidden="1">
      <c r="A1962" s="232">
        <v>43951</v>
      </c>
      <c r="C1962" t="s">
        <v>2900</v>
      </c>
      <c r="D1962" s="1">
        <v>398</v>
      </c>
      <c r="E1962" s="1">
        <v>0</v>
      </c>
      <c r="F1962">
        <v>1250357.4099999999</v>
      </c>
      <c r="K1962" s="2"/>
      <c r="L1962" s="232">
        <v>43951</v>
      </c>
      <c r="N1962">
        <f t="shared" si="27"/>
        <v>398</v>
      </c>
    </row>
    <row r="1963" spans="1:14" hidden="1">
      <c r="A1963" s="232">
        <v>43952</v>
      </c>
      <c r="C1963" t="s">
        <v>2901</v>
      </c>
      <c r="D1963" s="1">
        <v>2058</v>
      </c>
      <c r="E1963" s="1">
        <v>0</v>
      </c>
      <c r="F1963">
        <v>1248299.4099999999</v>
      </c>
      <c r="K1963" s="2"/>
      <c r="L1963" s="232">
        <v>43952</v>
      </c>
      <c r="N1963">
        <f t="shared" si="27"/>
        <v>2058</v>
      </c>
    </row>
    <row r="1964" spans="1:14" hidden="1">
      <c r="A1964" s="232">
        <v>43955</v>
      </c>
      <c r="C1964" t="s">
        <v>2902</v>
      </c>
      <c r="D1964" s="1">
        <v>920</v>
      </c>
      <c r="E1964" s="1">
        <v>0</v>
      </c>
      <c r="F1964">
        <v>1247379.4099999999</v>
      </c>
      <c r="K1964" s="2"/>
      <c r="L1964" s="232">
        <v>43955</v>
      </c>
      <c r="N1964">
        <f t="shared" si="27"/>
        <v>920</v>
      </c>
    </row>
    <row r="1965" spans="1:14" hidden="1">
      <c r="A1965" s="232">
        <v>43955</v>
      </c>
      <c r="C1965" t="s">
        <v>2903</v>
      </c>
      <c r="D1965" s="1">
        <v>1580</v>
      </c>
      <c r="E1965" s="1">
        <v>0</v>
      </c>
      <c r="F1965">
        <v>1245799.4099999999</v>
      </c>
      <c r="K1965" s="2"/>
      <c r="L1965" s="232">
        <v>43955</v>
      </c>
      <c r="N1965">
        <f t="shared" si="27"/>
        <v>1580</v>
      </c>
    </row>
    <row r="1966" spans="1:14" hidden="1">
      <c r="A1966" s="232">
        <v>43955</v>
      </c>
      <c r="B1966" t="s">
        <v>1997</v>
      </c>
      <c r="C1966" t="s">
        <v>2904</v>
      </c>
      <c r="D1966" s="1">
        <v>8970</v>
      </c>
      <c r="E1966" s="1">
        <v>0</v>
      </c>
      <c r="F1966">
        <v>1236829.4099999999</v>
      </c>
      <c r="K1966" s="2"/>
      <c r="L1966" s="232">
        <v>43955</v>
      </c>
      <c r="N1966">
        <f t="shared" si="27"/>
        <v>8970</v>
      </c>
    </row>
    <row r="1967" spans="1:14" hidden="1">
      <c r="A1967" s="232">
        <v>43956</v>
      </c>
      <c r="C1967" t="s">
        <v>2905</v>
      </c>
      <c r="D1967" s="1">
        <v>400</v>
      </c>
      <c r="E1967" s="1">
        <v>0</v>
      </c>
      <c r="F1967">
        <v>1236429.4099999999</v>
      </c>
      <c r="K1967" s="2"/>
      <c r="L1967" s="232">
        <v>43956</v>
      </c>
      <c r="N1967">
        <f t="shared" si="27"/>
        <v>400</v>
      </c>
    </row>
    <row r="1968" spans="1:14" hidden="1">
      <c r="A1968" s="232">
        <v>43956</v>
      </c>
      <c r="C1968" t="s">
        <v>2906</v>
      </c>
      <c r="D1968" s="1">
        <v>400</v>
      </c>
      <c r="E1968" s="1">
        <v>0</v>
      </c>
      <c r="F1968">
        <v>1236029.4099999999</v>
      </c>
      <c r="K1968" s="2"/>
      <c r="L1968" s="232">
        <v>43956</v>
      </c>
      <c r="N1968">
        <f t="shared" si="27"/>
        <v>400</v>
      </c>
    </row>
    <row r="1969" spans="1:14" hidden="1">
      <c r="A1969" s="232">
        <v>43956</v>
      </c>
      <c r="C1969" t="s">
        <v>2907</v>
      </c>
      <c r="D1969" s="1">
        <v>200</v>
      </c>
      <c r="E1969" s="1">
        <v>0</v>
      </c>
      <c r="F1969">
        <v>1235829.4099999999</v>
      </c>
      <c r="K1969" s="2"/>
      <c r="L1969" s="232">
        <v>43956</v>
      </c>
      <c r="N1969">
        <f t="shared" si="27"/>
        <v>200</v>
      </c>
    </row>
    <row r="1970" spans="1:14" hidden="1">
      <c r="A1970" s="232">
        <v>43956</v>
      </c>
      <c r="C1970" t="s">
        <v>2908</v>
      </c>
      <c r="D1970" s="1">
        <v>0</v>
      </c>
      <c r="E1970" s="1">
        <v>45</v>
      </c>
      <c r="F1970">
        <v>1235874.4099999999</v>
      </c>
      <c r="K1970" s="2"/>
      <c r="L1970" s="232">
        <v>43956</v>
      </c>
      <c r="N1970">
        <f t="shared" si="27"/>
        <v>0</v>
      </c>
    </row>
    <row r="1971" spans="1:14" hidden="1">
      <c r="A1971" s="232">
        <v>43957</v>
      </c>
      <c r="C1971" t="s">
        <v>2909</v>
      </c>
      <c r="D1971" s="1">
        <v>0</v>
      </c>
      <c r="E1971" s="1">
        <v>10</v>
      </c>
      <c r="F1971">
        <v>1235884.4099999999</v>
      </c>
      <c r="K1971" s="2"/>
      <c r="L1971" s="232">
        <v>43957</v>
      </c>
      <c r="N1971">
        <f t="shared" si="27"/>
        <v>0</v>
      </c>
    </row>
    <row r="1972" spans="1:14" hidden="1">
      <c r="A1972" s="232">
        <v>43958</v>
      </c>
      <c r="C1972" t="s">
        <v>2910</v>
      </c>
      <c r="D1972" s="1">
        <v>160</v>
      </c>
      <c r="E1972" s="1">
        <v>0</v>
      </c>
      <c r="F1972">
        <v>1235724.4099999999</v>
      </c>
      <c r="K1972" s="2"/>
      <c r="L1972" s="232">
        <v>43958</v>
      </c>
      <c r="N1972">
        <f t="shared" si="27"/>
        <v>160</v>
      </c>
    </row>
    <row r="1973" spans="1:14" hidden="1">
      <c r="A1973" s="232">
        <v>43958</v>
      </c>
      <c r="C1973" t="s">
        <v>2911</v>
      </c>
      <c r="D1973" s="1">
        <v>0</v>
      </c>
      <c r="E1973" s="1">
        <v>5</v>
      </c>
      <c r="F1973">
        <v>1235729.4099999999</v>
      </c>
      <c r="K1973" s="2"/>
      <c r="L1973" s="232">
        <v>43958</v>
      </c>
      <c r="N1973">
        <f t="shared" si="27"/>
        <v>0</v>
      </c>
    </row>
    <row r="1974" spans="1:14" hidden="1">
      <c r="A1974" s="232">
        <v>43958</v>
      </c>
      <c r="C1974" t="s">
        <v>2912</v>
      </c>
      <c r="D1974" s="1">
        <v>600</v>
      </c>
      <c r="E1974" s="1">
        <v>0</v>
      </c>
      <c r="F1974">
        <v>1235129.4099999999</v>
      </c>
      <c r="K1974" s="2"/>
      <c r="L1974" s="232">
        <v>43958</v>
      </c>
      <c r="N1974">
        <f t="shared" si="27"/>
        <v>600</v>
      </c>
    </row>
    <row r="1975" spans="1:14" hidden="1">
      <c r="A1975" s="232">
        <v>43962</v>
      </c>
      <c r="C1975" t="s">
        <v>2913</v>
      </c>
      <c r="D1975" s="1">
        <v>232</v>
      </c>
      <c r="E1975" s="1">
        <v>0</v>
      </c>
      <c r="F1975">
        <v>1234897.4099999999</v>
      </c>
      <c r="K1975" s="2"/>
      <c r="L1975" s="232">
        <v>43962</v>
      </c>
      <c r="N1975">
        <f t="shared" si="27"/>
        <v>232</v>
      </c>
    </row>
    <row r="1976" spans="1:14" hidden="1">
      <c r="A1976" s="232">
        <v>43962</v>
      </c>
      <c r="C1976" t="s">
        <v>2914</v>
      </c>
      <c r="D1976" s="1">
        <v>40</v>
      </c>
      <c r="E1976" s="1">
        <v>0</v>
      </c>
      <c r="F1976">
        <v>1234857.4099999999</v>
      </c>
      <c r="K1976" s="2"/>
      <c r="L1976" s="232">
        <v>43962</v>
      </c>
      <c r="N1976">
        <f t="shared" si="27"/>
        <v>40</v>
      </c>
    </row>
    <row r="1977" spans="1:14" hidden="1">
      <c r="A1977" s="232">
        <v>43962</v>
      </c>
      <c r="C1977" t="s">
        <v>2915</v>
      </c>
      <c r="D1977" s="1">
        <v>900</v>
      </c>
      <c r="E1977" s="1">
        <v>0</v>
      </c>
      <c r="F1977">
        <v>1233957.4099999999</v>
      </c>
      <c r="K1977" s="2"/>
      <c r="L1977" s="232">
        <v>43962</v>
      </c>
      <c r="N1977">
        <f t="shared" si="27"/>
        <v>900</v>
      </c>
    </row>
    <row r="1978" spans="1:14" hidden="1">
      <c r="A1978" s="232">
        <v>43962</v>
      </c>
      <c r="B1978" t="s">
        <v>1938</v>
      </c>
      <c r="C1978" t="s">
        <v>2916</v>
      </c>
      <c r="D1978" s="1">
        <v>2000</v>
      </c>
      <c r="E1978" s="1">
        <v>0</v>
      </c>
      <c r="F1978">
        <v>1231957.4099999999</v>
      </c>
      <c r="G1978" s="8" t="s">
        <v>1372</v>
      </c>
      <c r="K1978" s="2"/>
      <c r="L1978" s="232">
        <v>43962</v>
      </c>
      <c r="N1978">
        <f t="shared" si="27"/>
        <v>2000</v>
      </c>
    </row>
    <row r="1979" spans="1:14" hidden="1">
      <c r="A1979" s="232">
        <v>43962</v>
      </c>
      <c r="B1979" t="s">
        <v>2737</v>
      </c>
      <c r="C1979" t="s">
        <v>2738</v>
      </c>
      <c r="D1979" s="1">
        <v>24043.62</v>
      </c>
      <c r="E1979" s="1">
        <v>0</v>
      </c>
      <c r="F1979">
        <v>1207913.79</v>
      </c>
      <c r="G1979" s="8" t="s">
        <v>1362</v>
      </c>
      <c r="K1979" s="2"/>
      <c r="L1979" s="232">
        <v>43962</v>
      </c>
      <c r="N1979">
        <f t="shared" si="27"/>
        <v>24043.62</v>
      </c>
    </row>
    <row r="1980" spans="1:14" hidden="1">
      <c r="A1980" s="232">
        <v>43969</v>
      </c>
      <c r="C1980" t="s">
        <v>2917</v>
      </c>
      <c r="D1980" s="1">
        <v>900</v>
      </c>
      <c r="E1980" s="1">
        <v>0</v>
      </c>
      <c r="F1980">
        <v>1207013.79</v>
      </c>
      <c r="K1980" s="2"/>
      <c r="L1980" s="232">
        <v>43969</v>
      </c>
      <c r="N1980">
        <f t="shared" si="27"/>
        <v>900</v>
      </c>
    </row>
    <row r="1981" spans="1:14" hidden="1">
      <c r="A1981" s="232">
        <v>43969</v>
      </c>
      <c r="C1981" t="s">
        <v>2918</v>
      </c>
      <c r="D1981" s="1">
        <v>0</v>
      </c>
      <c r="E1981" s="1">
        <v>5</v>
      </c>
      <c r="F1981">
        <v>1207018.79</v>
      </c>
      <c r="K1981" s="2"/>
      <c r="L1981" s="232">
        <v>43969</v>
      </c>
      <c r="N1981">
        <f t="shared" si="27"/>
        <v>0</v>
      </c>
    </row>
    <row r="1982" spans="1:14" hidden="1">
      <c r="A1982" s="232">
        <v>43969</v>
      </c>
      <c r="B1982" t="s">
        <v>1914</v>
      </c>
      <c r="C1982" t="s">
        <v>2919</v>
      </c>
      <c r="D1982" s="1">
        <v>10000</v>
      </c>
      <c r="E1982" s="1">
        <v>0</v>
      </c>
      <c r="F1982">
        <v>1197018.79</v>
      </c>
      <c r="G1982" s="8" t="s">
        <v>1372</v>
      </c>
      <c r="K1982" s="2"/>
      <c r="L1982" s="232">
        <v>43969</v>
      </c>
      <c r="N1982">
        <f t="shared" si="27"/>
        <v>10000</v>
      </c>
    </row>
    <row r="1983" spans="1:14" hidden="1">
      <c r="A1983" s="232">
        <v>43969</v>
      </c>
      <c r="C1983" t="s">
        <v>2920</v>
      </c>
      <c r="D1983" s="1">
        <v>400</v>
      </c>
      <c r="E1983" s="1">
        <v>0</v>
      </c>
      <c r="F1983">
        <v>1196618.79</v>
      </c>
      <c r="K1983" s="2"/>
      <c r="L1983" s="232">
        <v>43969</v>
      </c>
      <c r="N1983">
        <f t="shared" si="27"/>
        <v>400</v>
      </c>
    </row>
    <row r="1984" spans="1:14" hidden="1">
      <c r="A1984" s="232">
        <v>43972</v>
      </c>
      <c r="C1984" t="s">
        <v>2921</v>
      </c>
      <c r="D1984" s="1">
        <v>2000</v>
      </c>
      <c r="E1984" s="1">
        <v>0</v>
      </c>
      <c r="F1984">
        <v>1194618.79</v>
      </c>
      <c r="K1984" s="2"/>
      <c r="L1984" s="232">
        <v>43972</v>
      </c>
      <c r="N1984">
        <f t="shared" si="27"/>
        <v>2000</v>
      </c>
    </row>
    <row r="1985" spans="1:14" hidden="1">
      <c r="A1985" s="232">
        <v>43972</v>
      </c>
      <c r="C1985" t="s">
        <v>2922</v>
      </c>
      <c r="D1985" s="1">
        <v>0</v>
      </c>
      <c r="E1985" s="1">
        <v>5</v>
      </c>
      <c r="F1985">
        <v>1194623.79</v>
      </c>
      <c r="K1985" s="2"/>
      <c r="L1985" s="232">
        <v>43972</v>
      </c>
      <c r="N1985">
        <f t="shared" si="27"/>
        <v>0</v>
      </c>
    </row>
    <row r="1986" spans="1:14" hidden="1">
      <c r="A1986" s="232">
        <v>43973</v>
      </c>
      <c r="C1986" t="s">
        <v>2923</v>
      </c>
      <c r="D1986" s="1">
        <v>140</v>
      </c>
      <c r="E1986" s="1">
        <v>0</v>
      </c>
      <c r="F1986">
        <v>1194483.79</v>
      </c>
      <c r="K1986" s="2"/>
      <c r="L1986" s="232">
        <v>43973</v>
      </c>
      <c r="N1986">
        <f t="shared" si="27"/>
        <v>140</v>
      </c>
    </row>
    <row r="1987" spans="1:14" hidden="1">
      <c r="A1987" s="232">
        <v>43976</v>
      </c>
      <c r="C1987" t="s">
        <v>2924</v>
      </c>
      <c r="D1987" s="1">
        <v>1450</v>
      </c>
      <c r="E1987" s="1">
        <v>0</v>
      </c>
      <c r="F1987">
        <v>1193033.79</v>
      </c>
      <c r="K1987" s="2"/>
      <c r="L1987" s="232">
        <v>43976</v>
      </c>
      <c r="N1987">
        <f t="shared" si="27"/>
        <v>1450</v>
      </c>
    </row>
    <row r="1988" spans="1:14" hidden="1">
      <c r="A1988" s="232">
        <v>43976</v>
      </c>
      <c r="C1988" t="s">
        <v>2925</v>
      </c>
      <c r="D1988" s="1">
        <v>0</v>
      </c>
      <c r="E1988" s="1">
        <v>150</v>
      </c>
      <c r="F1988">
        <v>1193183.79</v>
      </c>
      <c r="K1988" s="2"/>
      <c r="L1988" s="232">
        <v>43976</v>
      </c>
      <c r="N1988">
        <f t="shared" si="27"/>
        <v>0</v>
      </c>
    </row>
    <row r="1989" spans="1:14" hidden="1">
      <c r="A1989" s="232">
        <v>43976</v>
      </c>
      <c r="C1989" t="s">
        <v>2926</v>
      </c>
      <c r="D1989" s="1">
        <v>765.82</v>
      </c>
      <c r="E1989" s="1">
        <v>0</v>
      </c>
      <c r="F1989">
        <v>1192417.97</v>
      </c>
      <c r="K1989" s="2"/>
      <c r="L1989" s="232">
        <v>43976</v>
      </c>
      <c r="N1989">
        <f t="shared" si="27"/>
        <v>765.82</v>
      </c>
    </row>
    <row r="1990" spans="1:14" hidden="1">
      <c r="A1990" s="232">
        <v>43977</v>
      </c>
      <c r="C1990" t="s">
        <v>2927</v>
      </c>
      <c r="D1990" s="1">
        <v>182</v>
      </c>
      <c r="E1990" s="1">
        <v>0</v>
      </c>
      <c r="F1990">
        <v>1192235.97</v>
      </c>
      <c r="K1990" s="2"/>
      <c r="L1990" s="232">
        <v>43977</v>
      </c>
      <c r="N1990">
        <f t="shared" si="27"/>
        <v>182</v>
      </c>
    </row>
    <row r="1991" spans="1:14" hidden="1">
      <c r="A1991" s="232">
        <v>43977</v>
      </c>
      <c r="C1991" t="s">
        <v>2928</v>
      </c>
      <c r="D1991" s="1">
        <v>0</v>
      </c>
      <c r="E1991" s="1">
        <v>243560</v>
      </c>
      <c r="F1991">
        <v>1435795.97</v>
      </c>
      <c r="G1991" s="8" t="s">
        <v>1380</v>
      </c>
      <c r="K1991" s="2"/>
      <c r="L1991" s="232">
        <v>43977</v>
      </c>
      <c r="N1991">
        <f t="shared" si="27"/>
        <v>0</v>
      </c>
    </row>
    <row r="1992" spans="1:14" hidden="1">
      <c r="A1992" s="232">
        <v>43977</v>
      </c>
      <c r="C1992" t="s">
        <v>2929</v>
      </c>
      <c r="D1992" s="1">
        <v>25000</v>
      </c>
      <c r="E1992" s="1">
        <v>0</v>
      </c>
      <c r="F1992">
        <v>1410795.97</v>
      </c>
      <c r="G1992" s="8" t="s">
        <v>1363</v>
      </c>
      <c r="K1992" s="2"/>
      <c r="L1992" s="232">
        <v>43977</v>
      </c>
      <c r="N1992">
        <f t="shared" si="27"/>
        <v>25000</v>
      </c>
    </row>
    <row r="1993" spans="1:14" hidden="1">
      <c r="A1993" s="232">
        <v>43977</v>
      </c>
      <c r="C1993" t="s">
        <v>2930</v>
      </c>
      <c r="D1993" s="1">
        <v>25000</v>
      </c>
      <c r="E1993" s="1">
        <v>0</v>
      </c>
      <c r="F1993">
        <v>1385795.97</v>
      </c>
      <c r="G1993" s="8" t="s">
        <v>1363</v>
      </c>
      <c r="K1993" s="2"/>
      <c r="L1993" s="232">
        <v>43977</v>
      </c>
      <c r="N1993">
        <f t="shared" si="27"/>
        <v>25000</v>
      </c>
    </row>
    <row r="1994" spans="1:14" hidden="1">
      <c r="A1994" s="232">
        <v>43977</v>
      </c>
      <c r="C1994" t="s">
        <v>2931</v>
      </c>
      <c r="D1994" s="1">
        <v>25000</v>
      </c>
      <c r="E1994" s="1">
        <v>0</v>
      </c>
      <c r="F1994">
        <v>1360795.97</v>
      </c>
      <c r="G1994" s="8" t="s">
        <v>1363</v>
      </c>
      <c r="K1994" s="2"/>
      <c r="L1994" s="232">
        <v>43977</v>
      </c>
      <c r="N1994">
        <f t="shared" si="27"/>
        <v>25000</v>
      </c>
    </row>
    <row r="1995" spans="1:14" hidden="1">
      <c r="A1995" s="232">
        <v>43978</v>
      </c>
      <c r="C1995" t="s">
        <v>2932</v>
      </c>
      <c r="D1995" s="1">
        <v>25000</v>
      </c>
      <c r="E1995" s="1">
        <v>0</v>
      </c>
      <c r="F1995">
        <v>1335795.97</v>
      </c>
      <c r="G1995" s="8" t="s">
        <v>1363</v>
      </c>
      <c r="K1995" s="2"/>
      <c r="L1995" s="232">
        <v>43978</v>
      </c>
      <c r="N1995">
        <f t="shared" ref="N1995:N2058" si="28">D1995*1</f>
        <v>25000</v>
      </c>
    </row>
    <row r="1996" spans="1:14" hidden="1">
      <c r="A1996" s="232">
        <v>43979</v>
      </c>
      <c r="B1996" t="s">
        <v>1938</v>
      </c>
      <c r="C1996" t="s">
        <v>2933</v>
      </c>
      <c r="D1996" s="1">
        <v>2000</v>
      </c>
      <c r="E1996" s="1">
        <v>0</v>
      </c>
      <c r="F1996">
        <v>1333795.97</v>
      </c>
      <c r="G1996" s="8" t="s">
        <v>1372</v>
      </c>
      <c r="K1996" s="2"/>
      <c r="L1996" s="232">
        <v>43979</v>
      </c>
      <c r="N1996">
        <f t="shared" si="28"/>
        <v>2000</v>
      </c>
    </row>
    <row r="1997" spans="1:14" hidden="1">
      <c r="A1997" s="232">
        <v>43979</v>
      </c>
      <c r="C1997" t="s">
        <v>2934</v>
      </c>
      <c r="D1997" s="1">
        <v>438</v>
      </c>
      <c r="E1997" s="1">
        <v>0</v>
      </c>
      <c r="F1997">
        <v>1333357.97</v>
      </c>
      <c r="K1997" s="2"/>
      <c r="L1997" s="232">
        <v>43979</v>
      </c>
      <c r="N1997">
        <f t="shared" si="28"/>
        <v>438</v>
      </c>
    </row>
    <row r="1998" spans="1:14" hidden="1">
      <c r="A1998" s="232">
        <v>43979</v>
      </c>
      <c r="C1998" t="s">
        <v>2935</v>
      </c>
      <c r="D1998" s="1">
        <v>270570</v>
      </c>
      <c r="E1998" s="1">
        <v>0</v>
      </c>
      <c r="F1998">
        <v>1062787.97</v>
      </c>
      <c r="G1998" s="8" t="s">
        <v>1370</v>
      </c>
      <c r="K1998" s="2"/>
      <c r="L1998" s="232">
        <v>43979</v>
      </c>
      <c r="N1998">
        <f t="shared" si="28"/>
        <v>270570</v>
      </c>
    </row>
    <row r="1999" spans="1:14" hidden="1">
      <c r="A1999" s="232">
        <v>43983</v>
      </c>
      <c r="C1999" t="s">
        <v>2936</v>
      </c>
      <c r="D1999" s="1">
        <v>1240</v>
      </c>
      <c r="E1999" s="1">
        <v>0</v>
      </c>
      <c r="F1999">
        <v>1061547.97</v>
      </c>
      <c r="K1999" s="2"/>
      <c r="L1999" s="232">
        <v>43983</v>
      </c>
      <c r="N1999">
        <f t="shared" si="28"/>
        <v>1240</v>
      </c>
    </row>
    <row r="2000" spans="1:14" hidden="1">
      <c r="A2000" s="232">
        <v>43983</v>
      </c>
      <c r="C2000" t="s">
        <v>2937</v>
      </c>
      <c r="D2000" s="1">
        <v>0</v>
      </c>
      <c r="E2000" s="1">
        <v>8</v>
      </c>
      <c r="F2000">
        <v>1061555.97</v>
      </c>
      <c r="K2000" s="2"/>
      <c r="L2000" s="232">
        <v>43983</v>
      </c>
      <c r="N2000">
        <f t="shared" si="28"/>
        <v>0</v>
      </c>
    </row>
    <row r="2001" spans="1:14" hidden="1">
      <c r="A2001" s="232">
        <v>43983</v>
      </c>
      <c r="C2001" t="s">
        <v>2938</v>
      </c>
      <c r="D2001" s="1">
        <v>310</v>
      </c>
      <c r="E2001" s="1">
        <v>0</v>
      </c>
      <c r="F2001">
        <v>1061245.97</v>
      </c>
      <c r="K2001" s="2"/>
      <c r="L2001" s="232">
        <v>43983</v>
      </c>
      <c r="N2001">
        <f t="shared" si="28"/>
        <v>310</v>
      </c>
    </row>
    <row r="2002" spans="1:14" hidden="1">
      <c r="A2002" s="232">
        <v>43983</v>
      </c>
      <c r="C2002" t="s">
        <v>2939</v>
      </c>
      <c r="D2002" s="1">
        <v>241</v>
      </c>
      <c r="E2002" s="1">
        <v>0</v>
      </c>
      <c r="F2002">
        <v>1061004.97</v>
      </c>
      <c r="K2002" s="2"/>
      <c r="L2002" s="232">
        <v>43983</v>
      </c>
      <c r="N2002">
        <f t="shared" si="28"/>
        <v>241</v>
      </c>
    </row>
    <row r="2003" spans="1:14" hidden="1">
      <c r="A2003" s="232">
        <v>43984</v>
      </c>
      <c r="B2003" t="s">
        <v>1997</v>
      </c>
      <c r="C2003" t="s">
        <v>2940</v>
      </c>
      <c r="D2003" s="1">
        <v>9679</v>
      </c>
      <c r="E2003" s="1">
        <v>0</v>
      </c>
      <c r="F2003">
        <v>1051325.97</v>
      </c>
      <c r="K2003" s="2"/>
      <c r="L2003" s="232">
        <v>43984</v>
      </c>
      <c r="N2003">
        <f t="shared" si="28"/>
        <v>9679</v>
      </c>
    </row>
    <row r="2004" spans="1:14" hidden="1">
      <c r="A2004" s="232">
        <v>43986</v>
      </c>
      <c r="C2004" t="s">
        <v>2941</v>
      </c>
      <c r="D2004" s="1">
        <v>2000</v>
      </c>
      <c r="E2004" s="1">
        <v>0</v>
      </c>
      <c r="F2004">
        <v>1049325.97</v>
      </c>
      <c r="K2004" s="2"/>
      <c r="L2004" s="232">
        <v>43986</v>
      </c>
      <c r="N2004">
        <f t="shared" si="28"/>
        <v>2000</v>
      </c>
    </row>
    <row r="2005" spans="1:14" hidden="1">
      <c r="A2005" s="232">
        <v>43986</v>
      </c>
      <c r="C2005" t="s">
        <v>2942</v>
      </c>
      <c r="D2005" s="1">
        <v>306</v>
      </c>
      <c r="E2005" s="1">
        <v>0</v>
      </c>
      <c r="F2005">
        <v>1049019.97</v>
      </c>
      <c r="K2005" s="2"/>
      <c r="L2005" s="232">
        <v>43986</v>
      </c>
      <c r="N2005">
        <f t="shared" si="28"/>
        <v>306</v>
      </c>
    </row>
    <row r="2006" spans="1:14" hidden="1">
      <c r="A2006" s="232">
        <v>43986</v>
      </c>
      <c r="C2006" t="s">
        <v>2943</v>
      </c>
      <c r="D2006" s="1">
        <v>0</v>
      </c>
      <c r="E2006" s="1">
        <v>9</v>
      </c>
      <c r="F2006">
        <v>1049028.97</v>
      </c>
      <c r="K2006" s="2"/>
      <c r="L2006" s="232">
        <v>43986</v>
      </c>
      <c r="N2006">
        <f t="shared" si="28"/>
        <v>0</v>
      </c>
    </row>
    <row r="2007" spans="1:14" hidden="1">
      <c r="A2007" s="232">
        <v>43990</v>
      </c>
      <c r="C2007" t="s">
        <v>2944</v>
      </c>
      <c r="D2007" s="1">
        <v>900</v>
      </c>
      <c r="E2007" s="1">
        <v>0</v>
      </c>
      <c r="F2007">
        <v>1048128.97</v>
      </c>
      <c r="K2007" s="2"/>
      <c r="L2007" s="232">
        <v>43990</v>
      </c>
      <c r="N2007">
        <f t="shared" si="28"/>
        <v>900</v>
      </c>
    </row>
    <row r="2008" spans="1:14" hidden="1">
      <c r="A2008" s="232">
        <v>43990</v>
      </c>
      <c r="C2008" t="s">
        <v>2945</v>
      </c>
      <c r="D2008" s="1">
        <v>0</v>
      </c>
      <c r="E2008" s="1">
        <v>10</v>
      </c>
      <c r="F2008">
        <v>1048138.97</v>
      </c>
      <c r="K2008" s="2"/>
      <c r="L2008" s="232">
        <v>43990</v>
      </c>
      <c r="N2008">
        <f t="shared" si="28"/>
        <v>0</v>
      </c>
    </row>
    <row r="2009" spans="1:14" hidden="1">
      <c r="A2009" s="232">
        <v>43990</v>
      </c>
      <c r="B2009" t="s">
        <v>1914</v>
      </c>
      <c r="C2009" t="s">
        <v>2946</v>
      </c>
      <c r="D2009" s="1">
        <v>10000</v>
      </c>
      <c r="E2009" s="1">
        <v>0</v>
      </c>
      <c r="F2009">
        <v>1038138.97</v>
      </c>
      <c r="G2009" s="8" t="s">
        <v>1372</v>
      </c>
      <c r="K2009" s="2"/>
      <c r="L2009" s="232">
        <v>43990</v>
      </c>
      <c r="N2009">
        <f t="shared" si="28"/>
        <v>10000</v>
      </c>
    </row>
    <row r="2010" spans="1:14" hidden="1">
      <c r="A2010" s="232">
        <v>43990</v>
      </c>
      <c r="C2010" t="s">
        <v>2947</v>
      </c>
      <c r="D2010" s="1">
        <v>1631</v>
      </c>
      <c r="E2010" s="1">
        <v>0</v>
      </c>
      <c r="F2010">
        <v>1036507.97</v>
      </c>
      <c r="K2010" s="2"/>
      <c r="L2010" s="232">
        <v>43990</v>
      </c>
      <c r="N2010">
        <f t="shared" si="28"/>
        <v>1631</v>
      </c>
    </row>
    <row r="2011" spans="1:14" hidden="1">
      <c r="A2011" s="232">
        <v>43991</v>
      </c>
      <c r="B2011" t="s">
        <v>2737</v>
      </c>
      <c r="C2011" t="s">
        <v>2738</v>
      </c>
      <c r="D2011" s="1">
        <v>7537</v>
      </c>
      <c r="E2011" s="1">
        <v>0</v>
      </c>
      <c r="F2011">
        <v>1028970.97</v>
      </c>
      <c r="G2011" s="8" t="s">
        <v>1362</v>
      </c>
      <c r="K2011" s="2"/>
      <c r="L2011" s="232">
        <v>43991</v>
      </c>
      <c r="N2011">
        <f t="shared" si="28"/>
        <v>7537</v>
      </c>
    </row>
    <row r="2012" spans="1:14" hidden="1">
      <c r="A2012" s="232">
        <v>43992</v>
      </c>
      <c r="B2012" t="s">
        <v>1938</v>
      </c>
      <c r="C2012" t="s">
        <v>2948</v>
      </c>
      <c r="D2012" s="1">
        <v>2000</v>
      </c>
      <c r="E2012" s="1">
        <v>0</v>
      </c>
      <c r="F2012">
        <v>1026970.97</v>
      </c>
      <c r="G2012" s="8" t="s">
        <v>1372</v>
      </c>
      <c r="K2012" s="2"/>
      <c r="L2012" s="232">
        <v>43992</v>
      </c>
      <c r="N2012">
        <f t="shared" si="28"/>
        <v>2000</v>
      </c>
    </row>
    <row r="2013" spans="1:14" hidden="1">
      <c r="A2013" s="232">
        <v>43993</v>
      </c>
      <c r="C2013" t="s">
        <v>2949</v>
      </c>
      <c r="D2013" s="1">
        <v>0</v>
      </c>
      <c r="E2013" s="1">
        <v>309374.23</v>
      </c>
      <c r="F2013">
        <v>1336345.2</v>
      </c>
      <c r="G2013" s="8" t="s">
        <v>1375</v>
      </c>
      <c r="K2013" s="2"/>
      <c r="L2013" s="232">
        <v>43993</v>
      </c>
      <c r="N2013">
        <f t="shared" si="28"/>
        <v>0</v>
      </c>
    </row>
    <row r="2014" spans="1:14" hidden="1">
      <c r="A2014" s="232">
        <v>43993</v>
      </c>
      <c r="B2014" t="s">
        <v>1938</v>
      </c>
      <c r="C2014" t="s">
        <v>2950</v>
      </c>
      <c r="D2014" s="1">
        <v>0</v>
      </c>
      <c r="E2014" s="1">
        <v>100000</v>
      </c>
      <c r="F2014">
        <v>1436345.2</v>
      </c>
      <c r="G2014" s="8" t="s">
        <v>1375</v>
      </c>
      <c r="K2014" s="2"/>
      <c r="L2014" s="232">
        <v>43993</v>
      </c>
      <c r="N2014">
        <f t="shared" si="28"/>
        <v>0</v>
      </c>
    </row>
    <row r="2015" spans="1:14" hidden="1">
      <c r="A2015" s="232">
        <v>43997</v>
      </c>
      <c r="C2015" t="s">
        <v>2951</v>
      </c>
      <c r="D2015" s="1">
        <v>520</v>
      </c>
      <c r="E2015" s="1">
        <v>0</v>
      </c>
      <c r="F2015">
        <v>1435825.2</v>
      </c>
      <c r="K2015" s="2"/>
      <c r="L2015" s="232">
        <v>43997</v>
      </c>
      <c r="N2015">
        <f t="shared" si="28"/>
        <v>520</v>
      </c>
    </row>
    <row r="2016" spans="1:14" hidden="1">
      <c r="A2016" s="232">
        <v>43997</v>
      </c>
      <c r="C2016" t="s">
        <v>2952</v>
      </c>
      <c r="D2016" s="1">
        <v>400</v>
      </c>
      <c r="E2016" s="1">
        <v>0</v>
      </c>
      <c r="F2016">
        <v>1435425.2</v>
      </c>
      <c r="K2016" s="2"/>
      <c r="L2016" s="232">
        <v>43997</v>
      </c>
      <c r="N2016">
        <f t="shared" si="28"/>
        <v>400</v>
      </c>
    </row>
    <row r="2017" spans="1:14" hidden="1">
      <c r="A2017" s="232">
        <v>44000</v>
      </c>
      <c r="B2017" t="s">
        <v>1914</v>
      </c>
      <c r="C2017" t="s">
        <v>2953</v>
      </c>
      <c r="D2017" s="1">
        <v>10000</v>
      </c>
      <c r="E2017" s="1">
        <v>0</v>
      </c>
      <c r="F2017">
        <v>1425425.2</v>
      </c>
      <c r="G2017" s="8" t="s">
        <v>1372</v>
      </c>
      <c r="K2017" s="2"/>
      <c r="L2017" s="232">
        <v>44000</v>
      </c>
      <c r="N2017">
        <f t="shared" si="28"/>
        <v>10000</v>
      </c>
    </row>
    <row r="2018" spans="1:14" hidden="1">
      <c r="A2018" s="232">
        <v>44000</v>
      </c>
      <c r="C2018" t="s">
        <v>2954</v>
      </c>
      <c r="D2018" s="1">
        <v>235</v>
      </c>
      <c r="E2018" s="1">
        <v>0</v>
      </c>
      <c r="F2018">
        <v>1425190.2</v>
      </c>
      <c r="K2018" s="2"/>
      <c r="L2018" s="232">
        <v>44000</v>
      </c>
      <c r="N2018">
        <f t="shared" si="28"/>
        <v>235</v>
      </c>
    </row>
    <row r="2019" spans="1:14" hidden="1">
      <c r="A2019" s="232">
        <v>44001</v>
      </c>
      <c r="C2019" t="s">
        <v>2955</v>
      </c>
      <c r="D2019" s="1">
        <v>131</v>
      </c>
      <c r="E2019" s="1">
        <v>0</v>
      </c>
      <c r="F2019">
        <v>1425059.2</v>
      </c>
      <c r="K2019" s="2"/>
      <c r="L2019" s="232">
        <v>44001</v>
      </c>
      <c r="N2019">
        <f t="shared" si="28"/>
        <v>131</v>
      </c>
    </row>
    <row r="2020" spans="1:14" hidden="1">
      <c r="A2020" s="232">
        <v>44004</v>
      </c>
      <c r="C2020" t="s">
        <v>2956</v>
      </c>
      <c r="D2020" s="1">
        <v>540</v>
      </c>
      <c r="E2020" s="1">
        <v>0</v>
      </c>
      <c r="F2020">
        <v>1424519.2</v>
      </c>
      <c r="K2020" s="2"/>
      <c r="L2020" s="232">
        <v>44004</v>
      </c>
      <c r="N2020">
        <f t="shared" si="28"/>
        <v>540</v>
      </c>
    </row>
    <row r="2021" spans="1:14" hidden="1">
      <c r="A2021" s="232">
        <v>44004</v>
      </c>
      <c r="C2021" t="s">
        <v>2957</v>
      </c>
      <c r="D2021" s="1">
        <v>3000</v>
      </c>
      <c r="E2021" s="1">
        <v>0</v>
      </c>
      <c r="F2021">
        <v>1421519.2</v>
      </c>
      <c r="K2021" s="2"/>
      <c r="L2021" s="232">
        <v>44004</v>
      </c>
      <c r="N2021">
        <f t="shared" si="28"/>
        <v>3000</v>
      </c>
    </row>
    <row r="2022" spans="1:14" hidden="1">
      <c r="A2022" s="232">
        <v>44004</v>
      </c>
      <c r="C2022" t="s">
        <v>2958</v>
      </c>
      <c r="D2022" s="1">
        <v>80</v>
      </c>
      <c r="E2022" s="1">
        <v>0</v>
      </c>
      <c r="F2022">
        <v>1421439.2</v>
      </c>
      <c r="K2022" s="2"/>
      <c r="L2022" s="232">
        <v>44004</v>
      </c>
      <c r="N2022">
        <f t="shared" si="28"/>
        <v>80</v>
      </c>
    </row>
    <row r="2023" spans="1:14" hidden="1">
      <c r="A2023" s="232">
        <v>44006</v>
      </c>
      <c r="C2023" t="s">
        <v>2959</v>
      </c>
      <c r="D2023" s="1">
        <v>107</v>
      </c>
      <c r="E2023" s="1">
        <v>0</v>
      </c>
      <c r="F2023">
        <v>1421332.2</v>
      </c>
      <c r="K2023" s="2"/>
      <c r="L2023" s="232">
        <v>44006</v>
      </c>
      <c r="N2023">
        <f t="shared" si="28"/>
        <v>107</v>
      </c>
    </row>
    <row r="2024" spans="1:14" hidden="1">
      <c r="A2024" s="232">
        <v>44008</v>
      </c>
      <c r="C2024" t="s">
        <v>2960</v>
      </c>
      <c r="D2024" s="1">
        <v>0</v>
      </c>
      <c r="E2024" s="1">
        <v>234258</v>
      </c>
      <c r="F2024">
        <v>1655590.2</v>
      </c>
      <c r="G2024" s="8" t="s">
        <v>1380</v>
      </c>
      <c r="K2024" s="2"/>
      <c r="L2024" s="232">
        <v>44008</v>
      </c>
      <c r="N2024">
        <f t="shared" si="28"/>
        <v>0</v>
      </c>
    </row>
    <row r="2025" spans="1:14" hidden="1">
      <c r="A2025" s="232">
        <v>44008</v>
      </c>
      <c r="C2025" t="s">
        <v>2961</v>
      </c>
      <c r="D2025" s="1">
        <v>25000</v>
      </c>
      <c r="E2025" s="1">
        <v>0</v>
      </c>
      <c r="F2025">
        <v>1630590.2</v>
      </c>
      <c r="G2025" s="8" t="s">
        <v>1363</v>
      </c>
      <c r="K2025" s="2"/>
      <c r="L2025" s="232">
        <v>44008</v>
      </c>
      <c r="N2025">
        <f t="shared" si="28"/>
        <v>25000</v>
      </c>
    </row>
    <row r="2026" spans="1:14" hidden="1">
      <c r="A2026" s="232">
        <v>44008</v>
      </c>
      <c r="C2026" t="s">
        <v>2962</v>
      </c>
      <c r="D2026" s="1">
        <v>25000</v>
      </c>
      <c r="E2026" s="1">
        <v>0</v>
      </c>
      <c r="F2026">
        <v>1605590.2</v>
      </c>
      <c r="G2026" s="8" t="s">
        <v>1363</v>
      </c>
      <c r="K2026" s="2"/>
      <c r="L2026" s="232">
        <v>44008</v>
      </c>
      <c r="N2026">
        <f t="shared" si="28"/>
        <v>25000</v>
      </c>
    </row>
    <row r="2027" spans="1:14" hidden="1">
      <c r="A2027" s="232">
        <v>44008</v>
      </c>
      <c r="C2027" t="s">
        <v>2963</v>
      </c>
      <c r="D2027" s="1">
        <v>25000</v>
      </c>
      <c r="E2027" s="1">
        <v>0</v>
      </c>
      <c r="F2027">
        <v>1580590.2</v>
      </c>
      <c r="G2027" s="8" t="s">
        <v>1363</v>
      </c>
      <c r="K2027" s="2"/>
      <c r="L2027" s="232">
        <v>44008</v>
      </c>
      <c r="N2027">
        <f t="shared" si="28"/>
        <v>25000</v>
      </c>
    </row>
    <row r="2028" spans="1:14" hidden="1">
      <c r="A2028" s="232">
        <v>44008</v>
      </c>
      <c r="C2028" t="s">
        <v>2964</v>
      </c>
      <c r="D2028" s="1">
        <v>25000</v>
      </c>
      <c r="E2028" s="1">
        <v>0</v>
      </c>
      <c r="F2028">
        <v>1555590.2</v>
      </c>
      <c r="G2028" s="8" t="s">
        <v>1363</v>
      </c>
      <c r="K2028" s="2"/>
      <c r="L2028" s="232">
        <v>44008</v>
      </c>
      <c r="N2028">
        <f t="shared" si="28"/>
        <v>25000</v>
      </c>
    </row>
    <row r="2029" spans="1:14" hidden="1">
      <c r="A2029" s="232">
        <v>44011</v>
      </c>
      <c r="C2029" t="s">
        <v>2965</v>
      </c>
      <c r="D2029" s="1">
        <v>0</v>
      </c>
      <c r="E2029" s="1">
        <v>11747</v>
      </c>
      <c r="F2029">
        <v>1567337.2</v>
      </c>
      <c r="G2029" s="8" t="s">
        <v>1368</v>
      </c>
      <c r="K2029" s="2"/>
      <c r="L2029" s="232">
        <v>44011</v>
      </c>
      <c r="N2029">
        <f t="shared" si="28"/>
        <v>0</v>
      </c>
    </row>
    <row r="2030" spans="1:14" hidden="1">
      <c r="A2030" s="232">
        <v>44011</v>
      </c>
      <c r="B2030" t="s">
        <v>1938</v>
      </c>
      <c r="C2030" t="s">
        <v>2966</v>
      </c>
      <c r="D2030" s="1">
        <v>2000</v>
      </c>
      <c r="E2030" s="1">
        <v>0</v>
      </c>
      <c r="F2030">
        <v>1565337.2</v>
      </c>
      <c r="G2030" s="8" t="s">
        <v>1372</v>
      </c>
      <c r="K2030" s="2"/>
      <c r="L2030" s="232">
        <v>44011</v>
      </c>
      <c r="N2030">
        <f t="shared" si="28"/>
        <v>2000</v>
      </c>
    </row>
    <row r="2031" spans="1:14" hidden="1">
      <c r="A2031" s="232">
        <v>44011</v>
      </c>
      <c r="C2031" t="s">
        <v>2967</v>
      </c>
      <c r="D2031" s="1">
        <v>538</v>
      </c>
      <c r="E2031" s="1">
        <v>0</v>
      </c>
      <c r="F2031">
        <v>1564799.2</v>
      </c>
      <c r="K2031" s="2"/>
      <c r="L2031" s="232">
        <v>44011</v>
      </c>
      <c r="N2031">
        <f t="shared" si="28"/>
        <v>538</v>
      </c>
    </row>
    <row r="2032" spans="1:14" hidden="1">
      <c r="A2032" s="232">
        <v>44011</v>
      </c>
      <c r="B2032" t="s">
        <v>1938</v>
      </c>
      <c r="C2032" t="s">
        <v>2968</v>
      </c>
      <c r="D2032" s="1">
        <v>300000</v>
      </c>
      <c r="E2032" s="1">
        <v>0</v>
      </c>
      <c r="F2032">
        <v>1264799.2</v>
      </c>
      <c r="G2032" s="8" t="s">
        <v>1381</v>
      </c>
      <c r="K2032" s="2"/>
      <c r="L2032" s="232">
        <v>44011</v>
      </c>
      <c r="N2032">
        <f t="shared" si="28"/>
        <v>300000</v>
      </c>
    </row>
    <row r="2033" spans="1:14" hidden="1">
      <c r="A2033" s="232">
        <v>44014</v>
      </c>
      <c r="C2033" t="s">
        <v>2969</v>
      </c>
      <c r="D2033" s="1">
        <v>2000</v>
      </c>
      <c r="E2033" s="1">
        <v>0</v>
      </c>
      <c r="F2033">
        <v>1262799.2</v>
      </c>
      <c r="K2033" s="2"/>
      <c r="L2033" s="232">
        <v>44014</v>
      </c>
      <c r="N2033">
        <f t="shared" si="28"/>
        <v>2000</v>
      </c>
    </row>
    <row r="2034" spans="1:14" hidden="1">
      <c r="A2034" s="232">
        <v>44014</v>
      </c>
      <c r="B2034" t="s">
        <v>1914</v>
      </c>
      <c r="C2034" t="s">
        <v>2970</v>
      </c>
      <c r="D2034" s="1">
        <v>125000</v>
      </c>
      <c r="E2034" s="1">
        <v>0</v>
      </c>
      <c r="F2034">
        <v>1137799.2</v>
      </c>
      <c r="G2034" s="8" t="s">
        <v>1363</v>
      </c>
      <c r="K2034" s="2"/>
      <c r="L2034" s="232">
        <v>44014</v>
      </c>
      <c r="N2034">
        <f t="shared" si="28"/>
        <v>125000</v>
      </c>
    </row>
    <row r="2035" spans="1:14" hidden="1">
      <c r="A2035" s="232">
        <v>44015</v>
      </c>
      <c r="B2035" t="s">
        <v>1997</v>
      </c>
      <c r="C2035" t="s">
        <v>2971</v>
      </c>
      <c r="D2035" s="1">
        <v>10296</v>
      </c>
      <c r="E2035" s="1">
        <v>0</v>
      </c>
      <c r="F2035">
        <v>1127503.2</v>
      </c>
      <c r="K2035" s="2"/>
      <c r="L2035" s="232">
        <v>44015</v>
      </c>
      <c r="N2035">
        <f t="shared" si="28"/>
        <v>10296</v>
      </c>
    </row>
    <row r="2036" spans="1:14" hidden="1">
      <c r="A2036" s="232">
        <v>44018</v>
      </c>
      <c r="C2036" t="s">
        <v>2972</v>
      </c>
      <c r="D2036" s="1">
        <v>220</v>
      </c>
      <c r="E2036" s="1">
        <v>0</v>
      </c>
      <c r="F2036">
        <v>1127283.2</v>
      </c>
      <c r="K2036" s="2"/>
      <c r="L2036" s="232">
        <v>44018</v>
      </c>
      <c r="N2036">
        <f t="shared" si="28"/>
        <v>220</v>
      </c>
    </row>
    <row r="2037" spans="1:14" hidden="1">
      <c r="A2037" s="232">
        <v>44018</v>
      </c>
      <c r="C2037" t="s">
        <v>2973</v>
      </c>
      <c r="D2037" s="1">
        <v>450</v>
      </c>
      <c r="E2037" s="1">
        <v>0</v>
      </c>
      <c r="F2037">
        <v>1126833.2</v>
      </c>
      <c r="K2037" s="2"/>
      <c r="L2037" s="232">
        <v>44018</v>
      </c>
      <c r="N2037">
        <f t="shared" si="28"/>
        <v>450</v>
      </c>
    </row>
    <row r="2038" spans="1:14" hidden="1">
      <c r="A2038" s="232">
        <v>44020</v>
      </c>
      <c r="B2038" t="s">
        <v>1914</v>
      </c>
      <c r="C2038" t="s">
        <v>2974</v>
      </c>
      <c r="D2038" s="1">
        <v>10000</v>
      </c>
      <c r="E2038" s="1">
        <v>0</v>
      </c>
      <c r="F2038">
        <v>1116833.2</v>
      </c>
      <c r="G2038" s="8" t="s">
        <v>1372</v>
      </c>
      <c r="K2038" s="2"/>
      <c r="L2038" s="232">
        <v>44020</v>
      </c>
      <c r="N2038">
        <f t="shared" si="28"/>
        <v>10000</v>
      </c>
    </row>
    <row r="2039" spans="1:14" hidden="1">
      <c r="A2039" s="232">
        <v>44020</v>
      </c>
      <c r="C2039" t="s">
        <v>2975</v>
      </c>
      <c r="D2039" s="1">
        <v>5057</v>
      </c>
      <c r="E2039" s="1">
        <v>0</v>
      </c>
      <c r="F2039">
        <v>1111776.2</v>
      </c>
      <c r="K2039" s="2"/>
      <c r="L2039" s="232">
        <v>44020</v>
      </c>
      <c r="N2039">
        <f t="shared" si="28"/>
        <v>5057</v>
      </c>
    </row>
    <row r="2040" spans="1:14" hidden="1">
      <c r="A2040" s="232">
        <v>44020</v>
      </c>
      <c r="C2040" t="s">
        <v>2976</v>
      </c>
      <c r="D2040" s="1">
        <v>0</v>
      </c>
      <c r="E2040" s="1">
        <v>8</v>
      </c>
      <c r="F2040">
        <v>1111784.2</v>
      </c>
      <c r="K2040" s="2"/>
      <c r="L2040" s="232">
        <v>44020</v>
      </c>
      <c r="N2040">
        <f t="shared" si="28"/>
        <v>0</v>
      </c>
    </row>
    <row r="2041" spans="1:14" hidden="1">
      <c r="A2041" s="232">
        <v>44021</v>
      </c>
      <c r="C2041" t="s">
        <v>2977</v>
      </c>
      <c r="D2041" s="1">
        <v>0</v>
      </c>
      <c r="E2041" s="1">
        <v>230054</v>
      </c>
      <c r="F2041">
        <v>1341838.2</v>
      </c>
      <c r="G2041" s="8" t="s">
        <v>1375</v>
      </c>
      <c r="K2041" s="2"/>
      <c r="L2041" s="232">
        <v>44021</v>
      </c>
      <c r="N2041">
        <f t="shared" si="28"/>
        <v>0</v>
      </c>
    </row>
    <row r="2042" spans="1:14" hidden="1">
      <c r="A2042" s="232">
        <v>44022</v>
      </c>
      <c r="B2042" t="s">
        <v>1938</v>
      </c>
      <c r="C2042" t="s">
        <v>2978</v>
      </c>
      <c r="D2042" s="1">
        <v>2000</v>
      </c>
      <c r="E2042" s="1">
        <v>0</v>
      </c>
      <c r="F2042">
        <v>1339838.2</v>
      </c>
      <c r="G2042" s="8" t="s">
        <v>1372</v>
      </c>
      <c r="K2042" s="2"/>
      <c r="L2042" s="232">
        <v>44022</v>
      </c>
      <c r="N2042">
        <f t="shared" si="28"/>
        <v>2000</v>
      </c>
    </row>
    <row r="2043" spans="1:14" hidden="1">
      <c r="A2043" s="232">
        <v>44025</v>
      </c>
      <c r="C2043" t="s">
        <v>2979</v>
      </c>
      <c r="D2043" s="1">
        <v>2500</v>
      </c>
      <c r="E2043" s="1">
        <v>0</v>
      </c>
      <c r="F2043">
        <v>1337338.2</v>
      </c>
      <c r="K2043" s="2"/>
      <c r="L2043" s="232">
        <v>44025</v>
      </c>
      <c r="N2043">
        <f t="shared" si="28"/>
        <v>2500</v>
      </c>
    </row>
    <row r="2044" spans="1:14" hidden="1">
      <c r="A2044" s="232">
        <v>44025</v>
      </c>
      <c r="C2044" t="s">
        <v>2980</v>
      </c>
      <c r="D2044" s="1">
        <v>450</v>
      </c>
      <c r="E2044" s="1">
        <v>0</v>
      </c>
      <c r="F2044">
        <v>1336888.2</v>
      </c>
      <c r="K2044" s="2"/>
      <c r="L2044" s="232">
        <v>44025</v>
      </c>
      <c r="N2044">
        <f t="shared" si="28"/>
        <v>450</v>
      </c>
    </row>
    <row r="2045" spans="1:14" hidden="1">
      <c r="A2045" s="232">
        <v>44025</v>
      </c>
      <c r="C2045" t="s">
        <v>2981</v>
      </c>
      <c r="D2045" s="1">
        <v>640</v>
      </c>
      <c r="E2045" s="1">
        <v>0</v>
      </c>
      <c r="F2045">
        <v>1336248.2</v>
      </c>
      <c r="K2045" s="2"/>
      <c r="L2045" s="232">
        <v>44025</v>
      </c>
      <c r="N2045">
        <f t="shared" si="28"/>
        <v>640</v>
      </c>
    </row>
    <row r="2046" spans="1:14" hidden="1">
      <c r="A2046" s="232">
        <v>44025</v>
      </c>
      <c r="B2046" t="s">
        <v>2737</v>
      </c>
      <c r="C2046" t="s">
        <v>2738</v>
      </c>
      <c r="D2046" s="1">
        <v>10355</v>
      </c>
      <c r="E2046" s="1">
        <v>0</v>
      </c>
      <c r="F2046">
        <v>1325893.2</v>
      </c>
      <c r="G2046" s="8" t="s">
        <v>1362</v>
      </c>
      <c r="K2046" s="2"/>
      <c r="L2046" s="232">
        <v>44025</v>
      </c>
      <c r="N2046">
        <f t="shared" si="28"/>
        <v>10355</v>
      </c>
    </row>
    <row r="2047" spans="1:14" hidden="1">
      <c r="A2047" s="232">
        <v>44030</v>
      </c>
      <c r="B2047" t="s">
        <v>1914</v>
      </c>
      <c r="C2047" t="s">
        <v>2982</v>
      </c>
      <c r="D2047" s="1">
        <v>10000</v>
      </c>
      <c r="E2047" s="1">
        <v>0</v>
      </c>
      <c r="F2047">
        <v>1315893.2</v>
      </c>
      <c r="G2047" s="8" t="s">
        <v>1372</v>
      </c>
      <c r="K2047" s="2"/>
      <c r="L2047" s="232">
        <v>44030</v>
      </c>
      <c r="N2047">
        <f t="shared" si="28"/>
        <v>10000</v>
      </c>
    </row>
    <row r="2048" spans="1:14" hidden="1">
      <c r="A2048" s="232">
        <v>44030</v>
      </c>
      <c r="C2048" t="s">
        <v>2983</v>
      </c>
      <c r="D2048" s="1">
        <v>164</v>
      </c>
      <c r="E2048" s="1">
        <v>0</v>
      </c>
      <c r="F2048">
        <v>1315729.2</v>
      </c>
      <c r="K2048" s="2"/>
      <c r="L2048" s="232">
        <v>44030</v>
      </c>
      <c r="N2048">
        <f t="shared" si="28"/>
        <v>164</v>
      </c>
    </row>
    <row r="2049" spans="1:14" hidden="1">
      <c r="A2049" s="232">
        <v>44032</v>
      </c>
      <c r="C2049" t="s">
        <v>2984</v>
      </c>
      <c r="D2049" s="1">
        <v>300</v>
      </c>
      <c r="E2049" s="1">
        <v>0</v>
      </c>
      <c r="F2049">
        <v>1315429.2</v>
      </c>
      <c r="K2049" s="2"/>
      <c r="L2049" s="232">
        <v>44032</v>
      </c>
      <c r="N2049">
        <f t="shared" si="28"/>
        <v>300</v>
      </c>
    </row>
    <row r="2050" spans="1:14" hidden="1">
      <c r="A2050" s="232">
        <v>44032</v>
      </c>
      <c r="C2050" t="s">
        <v>2985</v>
      </c>
      <c r="D2050" s="1">
        <v>365</v>
      </c>
      <c r="E2050" s="1">
        <v>0</v>
      </c>
      <c r="F2050">
        <v>1315064.2</v>
      </c>
      <c r="K2050" s="2"/>
      <c r="L2050" s="232">
        <v>44032</v>
      </c>
      <c r="N2050">
        <f t="shared" si="28"/>
        <v>365</v>
      </c>
    </row>
    <row r="2051" spans="1:14" hidden="1">
      <c r="A2051" s="232">
        <v>44033</v>
      </c>
      <c r="B2051" t="s">
        <v>1938</v>
      </c>
      <c r="C2051" t="s">
        <v>2986</v>
      </c>
      <c r="D2051" s="1">
        <v>400000</v>
      </c>
      <c r="E2051" s="1">
        <v>0</v>
      </c>
      <c r="F2051">
        <v>915064.2</v>
      </c>
      <c r="G2051" s="8" t="s">
        <v>1381</v>
      </c>
      <c r="K2051" s="2"/>
      <c r="L2051" s="232">
        <v>44033</v>
      </c>
      <c r="N2051">
        <f t="shared" si="28"/>
        <v>400000</v>
      </c>
    </row>
    <row r="2052" spans="1:14" hidden="1">
      <c r="A2052" s="232">
        <v>44036</v>
      </c>
      <c r="C2052" t="s">
        <v>2987</v>
      </c>
      <c r="D2052" s="1">
        <v>0</v>
      </c>
      <c r="E2052" s="1">
        <v>234258</v>
      </c>
      <c r="F2052">
        <v>1149322.2</v>
      </c>
      <c r="G2052" s="8" t="s">
        <v>1380</v>
      </c>
      <c r="K2052" s="2"/>
      <c r="L2052" s="232">
        <v>44036</v>
      </c>
      <c r="N2052">
        <f t="shared" si="28"/>
        <v>0</v>
      </c>
    </row>
    <row r="2053" spans="1:14" hidden="1">
      <c r="A2053" s="232">
        <v>44036</v>
      </c>
      <c r="C2053" t="s">
        <v>2988</v>
      </c>
      <c r="D2053" s="1">
        <v>25000</v>
      </c>
      <c r="E2053" s="1">
        <v>0</v>
      </c>
      <c r="F2053">
        <v>1124322.2</v>
      </c>
      <c r="G2053" s="8" t="s">
        <v>1363</v>
      </c>
      <c r="K2053" s="2"/>
      <c r="L2053" s="232">
        <v>44036</v>
      </c>
      <c r="N2053">
        <f t="shared" si="28"/>
        <v>25000</v>
      </c>
    </row>
    <row r="2054" spans="1:14" hidden="1">
      <c r="A2054" s="232">
        <v>44036</v>
      </c>
      <c r="C2054" t="s">
        <v>2989</v>
      </c>
      <c r="D2054" s="1">
        <v>25000</v>
      </c>
      <c r="E2054" s="1">
        <v>0</v>
      </c>
      <c r="F2054">
        <v>1099322.2</v>
      </c>
      <c r="G2054" s="8" t="s">
        <v>1363</v>
      </c>
      <c r="K2054" s="2"/>
      <c r="L2054" s="232">
        <v>44036</v>
      </c>
      <c r="N2054">
        <f t="shared" si="28"/>
        <v>25000</v>
      </c>
    </row>
    <row r="2055" spans="1:14" hidden="1">
      <c r="A2055" s="232">
        <v>44036</v>
      </c>
      <c r="C2055" t="s">
        <v>2990</v>
      </c>
      <c r="D2055" s="1">
        <v>25000</v>
      </c>
      <c r="E2055" s="1">
        <v>0</v>
      </c>
      <c r="F2055">
        <v>1074322.2</v>
      </c>
      <c r="G2055" s="8" t="s">
        <v>1363</v>
      </c>
      <c r="K2055" s="2"/>
      <c r="L2055" s="232">
        <v>44036</v>
      </c>
      <c r="N2055">
        <f t="shared" si="28"/>
        <v>25000</v>
      </c>
    </row>
    <row r="2056" spans="1:14" hidden="1">
      <c r="A2056" s="232">
        <v>44036</v>
      </c>
      <c r="C2056" t="s">
        <v>2991</v>
      </c>
      <c r="D2056" s="1">
        <v>25000</v>
      </c>
      <c r="E2056" s="1">
        <v>0</v>
      </c>
      <c r="F2056">
        <v>1049322.2</v>
      </c>
      <c r="G2056" s="8" t="s">
        <v>1363</v>
      </c>
      <c r="K2056" s="2"/>
      <c r="L2056" s="232">
        <v>44036</v>
      </c>
      <c r="N2056">
        <f t="shared" si="28"/>
        <v>25000</v>
      </c>
    </row>
    <row r="2057" spans="1:14" hidden="1">
      <c r="A2057" s="232">
        <v>44039</v>
      </c>
      <c r="C2057" t="s">
        <v>2992</v>
      </c>
      <c r="D2057" s="1">
        <v>450</v>
      </c>
      <c r="E2057" s="1">
        <v>0</v>
      </c>
      <c r="F2057">
        <v>1048872.2</v>
      </c>
      <c r="K2057" s="2"/>
      <c r="L2057" s="232">
        <v>44039</v>
      </c>
      <c r="N2057">
        <f t="shared" si="28"/>
        <v>450</v>
      </c>
    </row>
    <row r="2058" spans="1:14" hidden="1">
      <c r="A2058" s="232">
        <v>44040</v>
      </c>
      <c r="B2058" t="s">
        <v>1938</v>
      </c>
      <c r="C2058" t="s">
        <v>2993</v>
      </c>
      <c r="D2058" s="1">
        <v>2000</v>
      </c>
      <c r="E2058" s="1">
        <v>0</v>
      </c>
      <c r="F2058">
        <v>1046872.2</v>
      </c>
      <c r="G2058" s="8" t="s">
        <v>1372</v>
      </c>
      <c r="K2058" s="2"/>
      <c r="L2058" s="232">
        <v>44040</v>
      </c>
      <c r="N2058">
        <f t="shared" si="28"/>
        <v>2000</v>
      </c>
    </row>
    <row r="2059" spans="1:14" hidden="1">
      <c r="A2059" s="232">
        <v>44040</v>
      </c>
      <c r="C2059" t="s">
        <v>2994</v>
      </c>
      <c r="D2059" s="1">
        <v>85</v>
      </c>
      <c r="E2059" s="1">
        <v>0</v>
      </c>
      <c r="F2059">
        <v>1046787.2</v>
      </c>
      <c r="K2059" s="2"/>
      <c r="L2059" s="232">
        <v>44040</v>
      </c>
      <c r="N2059">
        <f t="shared" ref="N2059:N2122" si="29">D2059*1</f>
        <v>85</v>
      </c>
    </row>
    <row r="2060" spans="1:14" hidden="1">
      <c r="A2060" s="232">
        <v>44046</v>
      </c>
      <c r="C2060" t="s">
        <v>2995</v>
      </c>
      <c r="D2060" s="1">
        <v>510</v>
      </c>
      <c r="E2060" s="1">
        <v>0</v>
      </c>
      <c r="F2060">
        <v>1046277.2</v>
      </c>
      <c r="K2060" s="2"/>
      <c r="L2060" s="232">
        <v>44046</v>
      </c>
      <c r="N2060">
        <f t="shared" si="29"/>
        <v>510</v>
      </c>
    </row>
    <row r="2061" spans="1:14" hidden="1">
      <c r="A2061" s="232">
        <v>44046</v>
      </c>
      <c r="C2061" t="s">
        <v>2996</v>
      </c>
      <c r="D2061" s="1">
        <v>570</v>
      </c>
      <c r="E2061" s="1">
        <v>0</v>
      </c>
      <c r="F2061">
        <v>1045707.2</v>
      </c>
      <c r="K2061" s="2"/>
      <c r="L2061" s="232">
        <v>44046</v>
      </c>
      <c r="N2061">
        <f t="shared" si="29"/>
        <v>570</v>
      </c>
    </row>
    <row r="2062" spans="1:14" hidden="1">
      <c r="A2062" s="232">
        <v>44047</v>
      </c>
      <c r="B2062" t="s">
        <v>1997</v>
      </c>
      <c r="C2062" t="s">
        <v>2997</v>
      </c>
      <c r="D2062" s="1">
        <v>9448</v>
      </c>
      <c r="E2062" s="1">
        <v>0</v>
      </c>
      <c r="F2062">
        <v>1036259.2</v>
      </c>
      <c r="K2062" s="2"/>
      <c r="L2062" s="232">
        <v>44047</v>
      </c>
      <c r="N2062">
        <f t="shared" si="29"/>
        <v>9448</v>
      </c>
    </row>
    <row r="2063" spans="1:14" hidden="1">
      <c r="A2063" s="232">
        <v>44053</v>
      </c>
      <c r="B2063" t="s">
        <v>1914</v>
      </c>
      <c r="C2063" t="s">
        <v>2998</v>
      </c>
      <c r="D2063" s="1">
        <v>10000</v>
      </c>
      <c r="E2063" s="1">
        <v>0</v>
      </c>
      <c r="F2063">
        <v>1026259.2</v>
      </c>
      <c r="G2063" s="8" t="s">
        <v>1372</v>
      </c>
      <c r="K2063" s="2"/>
      <c r="L2063" s="232">
        <v>44053</v>
      </c>
      <c r="N2063">
        <f t="shared" si="29"/>
        <v>10000</v>
      </c>
    </row>
    <row r="2064" spans="1:14" hidden="1">
      <c r="A2064" s="232">
        <v>44053</v>
      </c>
      <c r="C2064" t="s">
        <v>2999</v>
      </c>
      <c r="D2064" s="1">
        <v>380</v>
      </c>
      <c r="E2064" s="1">
        <v>0</v>
      </c>
      <c r="F2064">
        <v>1025879.2</v>
      </c>
      <c r="K2064" s="2"/>
      <c r="L2064" s="232">
        <v>44053</v>
      </c>
      <c r="N2064">
        <f t="shared" si="29"/>
        <v>380</v>
      </c>
    </row>
    <row r="2065" spans="1:14" hidden="1">
      <c r="A2065" s="232">
        <v>44053</v>
      </c>
      <c r="C2065" t="s">
        <v>3000</v>
      </c>
      <c r="D2065" s="1">
        <v>215</v>
      </c>
      <c r="E2065" s="1">
        <v>0</v>
      </c>
      <c r="F2065">
        <v>1025664.2</v>
      </c>
      <c r="K2065" s="2"/>
      <c r="L2065" s="232">
        <v>44053</v>
      </c>
      <c r="N2065">
        <f t="shared" si="29"/>
        <v>215</v>
      </c>
    </row>
    <row r="2066" spans="1:14" hidden="1">
      <c r="A2066" s="232">
        <v>44053</v>
      </c>
      <c r="C2066" t="s">
        <v>3001</v>
      </c>
      <c r="D2066" s="1">
        <v>190</v>
      </c>
      <c r="E2066" s="1">
        <v>0</v>
      </c>
      <c r="F2066">
        <v>1025474.2</v>
      </c>
      <c r="K2066" s="2"/>
      <c r="L2066" s="232">
        <v>44053</v>
      </c>
      <c r="N2066">
        <f t="shared" si="29"/>
        <v>190</v>
      </c>
    </row>
    <row r="2067" spans="1:14" hidden="1">
      <c r="A2067" s="232">
        <v>44053</v>
      </c>
      <c r="C2067" t="s">
        <v>3002</v>
      </c>
      <c r="D2067" s="1">
        <v>0</v>
      </c>
      <c r="E2067" s="1">
        <v>190</v>
      </c>
      <c r="F2067">
        <v>1025664.2</v>
      </c>
      <c r="K2067" s="2"/>
      <c r="L2067" s="232">
        <v>44053</v>
      </c>
      <c r="N2067">
        <f t="shared" si="29"/>
        <v>0</v>
      </c>
    </row>
    <row r="2068" spans="1:14" hidden="1">
      <c r="A2068" s="232">
        <v>44053</v>
      </c>
      <c r="B2068" t="s">
        <v>2737</v>
      </c>
      <c r="C2068" t="s">
        <v>2738</v>
      </c>
      <c r="D2068" s="1">
        <v>1253.47</v>
      </c>
      <c r="E2068" s="1">
        <v>0</v>
      </c>
      <c r="F2068">
        <v>1024410.73</v>
      </c>
      <c r="G2068" s="8" t="s">
        <v>1362</v>
      </c>
      <c r="K2068" s="2"/>
      <c r="L2068" s="232">
        <v>44053</v>
      </c>
      <c r="N2068">
        <f t="shared" si="29"/>
        <v>1253.47</v>
      </c>
    </row>
    <row r="2069" spans="1:14" hidden="1">
      <c r="A2069" s="232">
        <v>44053</v>
      </c>
      <c r="C2069" t="s">
        <v>3003</v>
      </c>
      <c r="D2069" s="1">
        <v>30</v>
      </c>
      <c r="E2069" s="1">
        <v>0</v>
      </c>
      <c r="F2069">
        <v>1024380.73</v>
      </c>
      <c r="K2069" s="2"/>
      <c r="L2069" s="232">
        <v>44053</v>
      </c>
      <c r="N2069">
        <f t="shared" si="29"/>
        <v>30</v>
      </c>
    </row>
    <row r="2070" spans="1:14" hidden="1">
      <c r="A2070" s="232">
        <v>44053</v>
      </c>
      <c r="B2070" t="s">
        <v>1938</v>
      </c>
      <c r="C2070" t="s">
        <v>3004</v>
      </c>
      <c r="D2070" s="1">
        <v>2000</v>
      </c>
      <c r="E2070" s="1">
        <v>0</v>
      </c>
      <c r="F2070">
        <v>1022380.73</v>
      </c>
      <c r="G2070" s="8" t="s">
        <v>1372</v>
      </c>
      <c r="K2070" s="2"/>
      <c r="L2070" s="232">
        <v>44053</v>
      </c>
      <c r="N2070">
        <f t="shared" si="29"/>
        <v>2000</v>
      </c>
    </row>
    <row r="2071" spans="1:14" hidden="1">
      <c r="A2071" s="232">
        <v>44054</v>
      </c>
      <c r="C2071" t="s">
        <v>3005</v>
      </c>
      <c r="D2071" s="1">
        <v>1631</v>
      </c>
      <c r="E2071" s="1">
        <v>0</v>
      </c>
      <c r="F2071">
        <v>1020749.73</v>
      </c>
      <c r="K2071" s="2"/>
      <c r="L2071" s="232">
        <v>44054</v>
      </c>
      <c r="N2071">
        <f t="shared" si="29"/>
        <v>1631</v>
      </c>
    </row>
    <row r="2072" spans="1:14" hidden="1">
      <c r="A2072" s="232">
        <v>44054</v>
      </c>
      <c r="C2072" t="s">
        <v>3006</v>
      </c>
      <c r="D2072" s="1">
        <v>0</v>
      </c>
      <c r="E2072" s="1">
        <v>5</v>
      </c>
      <c r="F2072">
        <v>1020754.73</v>
      </c>
      <c r="K2072" s="2"/>
      <c r="L2072" s="232">
        <v>44054</v>
      </c>
      <c r="N2072">
        <f t="shared" si="29"/>
        <v>0</v>
      </c>
    </row>
    <row r="2073" spans="1:14" hidden="1">
      <c r="A2073" s="232">
        <v>44054</v>
      </c>
      <c r="C2073" t="s">
        <v>3007</v>
      </c>
      <c r="D2073" s="1">
        <v>144</v>
      </c>
      <c r="E2073" s="1">
        <v>0</v>
      </c>
      <c r="F2073">
        <v>1020610.73</v>
      </c>
      <c r="K2073" s="2"/>
      <c r="L2073" s="232">
        <v>44054</v>
      </c>
      <c r="N2073">
        <f t="shared" si="29"/>
        <v>144</v>
      </c>
    </row>
    <row r="2074" spans="1:14" hidden="1">
      <c r="A2074" s="232">
        <v>44054</v>
      </c>
      <c r="C2074" t="s">
        <v>3008</v>
      </c>
      <c r="D2074" s="1">
        <v>2000</v>
      </c>
      <c r="E2074" s="1">
        <v>0</v>
      </c>
      <c r="F2074">
        <v>1018610.73</v>
      </c>
      <c r="K2074" s="2"/>
      <c r="L2074" s="232">
        <v>44054</v>
      </c>
      <c r="N2074">
        <f t="shared" si="29"/>
        <v>2000</v>
      </c>
    </row>
    <row r="2075" spans="1:14" hidden="1">
      <c r="A2075" s="232">
        <v>44055</v>
      </c>
      <c r="C2075" t="s">
        <v>3009</v>
      </c>
      <c r="D2075" s="1">
        <v>0</v>
      </c>
      <c r="E2075" s="1">
        <v>236410</v>
      </c>
      <c r="F2075">
        <v>1255020.73</v>
      </c>
      <c r="G2075" s="8" t="s">
        <v>1375</v>
      </c>
      <c r="K2075" s="2"/>
      <c r="L2075" s="232">
        <v>44055</v>
      </c>
      <c r="N2075">
        <f t="shared" si="29"/>
        <v>0</v>
      </c>
    </row>
    <row r="2076" spans="1:14" hidden="1">
      <c r="A2076" s="232">
        <v>44060</v>
      </c>
      <c r="C2076" t="s">
        <v>3010</v>
      </c>
      <c r="D2076" s="1">
        <v>151</v>
      </c>
      <c r="E2076" s="1">
        <v>0</v>
      </c>
      <c r="F2076">
        <v>1254869.73</v>
      </c>
      <c r="K2076" s="2"/>
      <c r="L2076" s="232">
        <v>44060</v>
      </c>
      <c r="N2076">
        <f t="shared" si="29"/>
        <v>151</v>
      </c>
    </row>
    <row r="2077" spans="1:14" hidden="1">
      <c r="A2077" s="232">
        <v>44060</v>
      </c>
      <c r="C2077" t="s">
        <v>3011</v>
      </c>
      <c r="D2077" s="1">
        <v>540</v>
      </c>
      <c r="E2077" s="1">
        <v>0</v>
      </c>
      <c r="F2077">
        <v>1254329.73</v>
      </c>
      <c r="K2077" s="2"/>
      <c r="L2077" s="232">
        <v>44060</v>
      </c>
      <c r="N2077">
        <f t="shared" si="29"/>
        <v>540</v>
      </c>
    </row>
    <row r="2078" spans="1:14" hidden="1">
      <c r="A2078" s="232">
        <v>44060</v>
      </c>
      <c r="C2078" t="s">
        <v>3012</v>
      </c>
      <c r="D2078" s="1">
        <v>18</v>
      </c>
      <c r="E2078" s="1">
        <v>0</v>
      </c>
      <c r="F2078">
        <v>1254311.73</v>
      </c>
      <c r="K2078" s="2"/>
      <c r="L2078" s="232">
        <v>44060</v>
      </c>
      <c r="N2078">
        <f t="shared" si="29"/>
        <v>18</v>
      </c>
    </row>
    <row r="2079" spans="1:14" hidden="1">
      <c r="A2079" s="232">
        <v>44060</v>
      </c>
      <c r="C2079" t="s">
        <v>3013</v>
      </c>
      <c r="D2079" s="1">
        <v>64</v>
      </c>
      <c r="E2079" s="1">
        <v>0</v>
      </c>
      <c r="F2079">
        <v>1254247.73</v>
      </c>
      <c r="K2079" s="2"/>
      <c r="L2079" s="232">
        <v>44060</v>
      </c>
      <c r="N2079">
        <f t="shared" si="29"/>
        <v>64</v>
      </c>
    </row>
    <row r="2080" spans="1:14" hidden="1">
      <c r="A2080" s="232">
        <v>44060</v>
      </c>
      <c r="C2080" t="s">
        <v>3014</v>
      </c>
      <c r="D2080" s="1">
        <v>64</v>
      </c>
      <c r="E2080" s="1">
        <v>0</v>
      </c>
      <c r="F2080">
        <v>1254183.73</v>
      </c>
      <c r="K2080" s="2"/>
      <c r="L2080" s="232">
        <v>44060</v>
      </c>
      <c r="N2080">
        <f t="shared" si="29"/>
        <v>64</v>
      </c>
    </row>
    <row r="2081" spans="1:14" hidden="1">
      <c r="A2081" s="232">
        <v>44060</v>
      </c>
      <c r="C2081" t="s">
        <v>3015</v>
      </c>
      <c r="D2081" s="1">
        <v>300</v>
      </c>
      <c r="E2081" s="1">
        <v>0</v>
      </c>
      <c r="F2081">
        <v>1253883.73</v>
      </c>
      <c r="K2081" s="2"/>
      <c r="L2081" s="232">
        <v>44060</v>
      </c>
      <c r="N2081">
        <f t="shared" si="29"/>
        <v>300</v>
      </c>
    </row>
    <row r="2082" spans="1:14" hidden="1">
      <c r="A2082" s="232">
        <v>44060</v>
      </c>
      <c r="C2082" t="s">
        <v>3016</v>
      </c>
      <c r="D2082" s="1">
        <v>0</v>
      </c>
      <c r="E2082" s="1">
        <v>5</v>
      </c>
      <c r="F2082">
        <v>1253888.73</v>
      </c>
      <c r="K2082" s="2"/>
      <c r="L2082" s="232">
        <v>44060</v>
      </c>
      <c r="N2082">
        <f t="shared" si="29"/>
        <v>0</v>
      </c>
    </row>
    <row r="2083" spans="1:14" hidden="1">
      <c r="A2083" s="232">
        <v>44061</v>
      </c>
      <c r="C2083">
        <v>15258619</v>
      </c>
      <c r="D2083" s="1">
        <v>10000</v>
      </c>
      <c r="E2083" s="1">
        <v>0</v>
      </c>
      <c r="F2083">
        <v>1243888.73</v>
      </c>
      <c r="K2083" s="2"/>
      <c r="L2083" s="232">
        <v>44061</v>
      </c>
      <c r="N2083">
        <f t="shared" si="29"/>
        <v>10000</v>
      </c>
    </row>
    <row r="2084" spans="1:14" hidden="1">
      <c r="A2084" s="232">
        <v>44062</v>
      </c>
      <c r="B2084" t="s">
        <v>1938</v>
      </c>
      <c r="C2084" t="s">
        <v>3017</v>
      </c>
      <c r="D2084" s="1">
        <v>0</v>
      </c>
      <c r="E2084" s="1">
        <v>2374.91</v>
      </c>
      <c r="F2084">
        <v>1246263.6399999999</v>
      </c>
      <c r="G2084" s="8" t="s">
        <v>1375</v>
      </c>
      <c r="K2084" s="2"/>
      <c r="L2084" s="232">
        <v>44062</v>
      </c>
      <c r="N2084">
        <f t="shared" si="29"/>
        <v>0</v>
      </c>
    </row>
    <row r="2085" spans="1:14" hidden="1">
      <c r="A2085" s="232">
        <v>44064</v>
      </c>
      <c r="C2085" t="s">
        <v>3018</v>
      </c>
      <c r="D2085" s="1">
        <v>494</v>
      </c>
      <c r="E2085" s="1">
        <v>0</v>
      </c>
      <c r="F2085">
        <v>1245769.6399999999</v>
      </c>
      <c r="K2085" s="2"/>
      <c r="L2085" s="232">
        <v>44064</v>
      </c>
      <c r="N2085">
        <f t="shared" si="29"/>
        <v>494</v>
      </c>
    </row>
    <row r="2086" spans="1:14" hidden="1">
      <c r="A2086" s="232">
        <v>44067</v>
      </c>
      <c r="C2086" t="s">
        <v>3019</v>
      </c>
      <c r="D2086" s="1">
        <v>680</v>
      </c>
      <c r="E2086" s="1">
        <v>0</v>
      </c>
      <c r="F2086">
        <v>1245089.6399999999</v>
      </c>
      <c r="K2086" s="2"/>
      <c r="L2086" s="232">
        <v>44067</v>
      </c>
      <c r="N2086">
        <f t="shared" si="29"/>
        <v>680</v>
      </c>
    </row>
    <row r="2087" spans="1:14" hidden="1">
      <c r="A2087" s="232">
        <v>44067</v>
      </c>
      <c r="B2087" t="s">
        <v>1997</v>
      </c>
      <c r="C2087" t="s">
        <v>3020</v>
      </c>
      <c r="D2087" s="1">
        <v>1180</v>
      </c>
      <c r="E2087" s="1">
        <v>0</v>
      </c>
      <c r="F2087">
        <v>1243909.6399999999</v>
      </c>
      <c r="K2087" s="2"/>
      <c r="L2087" s="232">
        <v>44067</v>
      </c>
      <c r="N2087">
        <f t="shared" si="29"/>
        <v>1180</v>
      </c>
    </row>
    <row r="2088" spans="1:14" hidden="1">
      <c r="A2088" s="232">
        <v>44069</v>
      </c>
      <c r="B2088" t="s">
        <v>1914</v>
      </c>
      <c r="C2088" t="s">
        <v>3021</v>
      </c>
      <c r="D2088" s="1">
        <v>40000</v>
      </c>
      <c r="E2088" s="1">
        <v>0</v>
      </c>
      <c r="F2088">
        <v>1203909.6399999999</v>
      </c>
      <c r="G2088" s="8" t="s">
        <v>1363</v>
      </c>
      <c r="K2088" s="2"/>
      <c r="L2088" s="232">
        <v>44069</v>
      </c>
      <c r="N2088">
        <f t="shared" si="29"/>
        <v>40000</v>
      </c>
    </row>
    <row r="2089" spans="1:14" hidden="1">
      <c r="A2089" s="232">
        <v>44069</v>
      </c>
      <c r="C2089" t="s">
        <v>3022</v>
      </c>
      <c r="D2089" s="1">
        <v>0</v>
      </c>
      <c r="E2089" s="1">
        <v>234258</v>
      </c>
      <c r="F2089">
        <v>1438167.64</v>
      </c>
      <c r="G2089" s="8" t="s">
        <v>1380</v>
      </c>
      <c r="K2089" s="2"/>
      <c r="L2089" s="232">
        <v>44069</v>
      </c>
      <c r="N2089">
        <f t="shared" si="29"/>
        <v>0</v>
      </c>
    </row>
    <row r="2090" spans="1:14" hidden="1">
      <c r="A2090" s="232">
        <v>44069</v>
      </c>
      <c r="C2090" t="s">
        <v>3023</v>
      </c>
      <c r="D2090" s="1">
        <v>25000</v>
      </c>
      <c r="E2090" s="1">
        <v>0</v>
      </c>
      <c r="F2090">
        <v>1413167.64</v>
      </c>
      <c r="G2090" s="8" t="s">
        <v>1363</v>
      </c>
      <c r="K2090" s="2"/>
      <c r="L2090" s="232">
        <v>44069</v>
      </c>
      <c r="N2090">
        <f t="shared" si="29"/>
        <v>25000</v>
      </c>
    </row>
    <row r="2091" spans="1:14" hidden="1">
      <c r="A2091" s="232">
        <v>44069</v>
      </c>
      <c r="C2091" t="s">
        <v>3024</v>
      </c>
      <c r="D2091" s="1">
        <v>25000</v>
      </c>
      <c r="E2091" s="1">
        <v>0</v>
      </c>
      <c r="F2091">
        <v>1388167.64</v>
      </c>
      <c r="G2091" s="8" t="s">
        <v>1363</v>
      </c>
      <c r="K2091" s="2"/>
      <c r="L2091" s="232">
        <v>44069</v>
      </c>
      <c r="N2091">
        <f t="shared" si="29"/>
        <v>25000</v>
      </c>
    </row>
    <row r="2092" spans="1:14" hidden="1">
      <c r="A2092" s="232">
        <v>44069</v>
      </c>
      <c r="C2092" t="s">
        <v>3025</v>
      </c>
      <c r="D2092" s="1">
        <v>25000</v>
      </c>
      <c r="E2092" s="1">
        <v>0</v>
      </c>
      <c r="F2092">
        <v>1363167.64</v>
      </c>
      <c r="G2092" s="8" t="s">
        <v>1363</v>
      </c>
      <c r="K2092" s="2"/>
      <c r="L2092" s="232">
        <v>44069</v>
      </c>
      <c r="N2092">
        <f t="shared" si="29"/>
        <v>25000</v>
      </c>
    </row>
    <row r="2093" spans="1:14" hidden="1">
      <c r="A2093" s="232">
        <v>44069</v>
      </c>
      <c r="C2093" t="s">
        <v>3026</v>
      </c>
      <c r="D2093" s="1">
        <v>25000</v>
      </c>
      <c r="E2093" s="1">
        <v>0</v>
      </c>
      <c r="F2093">
        <v>1338167.6399999999</v>
      </c>
      <c r="G2093" s="8" t="s">
        <v>1363</v>
      </c>
      <c r="K2093" s="2"/>
      <c r="L2093" s="232">
        <v>44069</v>
      </c>
      <c r="N2093">
        <f t="shared" si="29"/>
        <v>25000</v>
      </c>
    </row>
    <row r="2094" spans="1:14" hidden="1">
      <c r="A2094" s="232">
        <v>44071</v>
      </c>
      <c r="B2094" t="s">
        <v>1938</v>
      </c>
      <c r="C2094" t="s">
        <v>3027</v>
      </c>
      <c r="D2094" s="1">
        <v>2000</v>
      </c>
      <c r="E2094" s="1">
        <v>0</v>
      </c>
      <c r="F2094">
        <v>1336167.6399999999</v>
      </c>
      <c r="G2094" s="8" t="s">
        <v>1372</v>
      </c>
      <c r="K2094" s="2"/>
      <c r="L2094" s="232">
        <v>44071</v>
      </c>
      <c r="N2094">
        <f t="shared" si="29"/>
        <v>2000</v>
      </c>
    </row>
    <row r="2095" spans="1:14" hidden="1">
      <c r="A2095" s="232">
        <v>44071</v>
      </c>
      <c r="B2095" t="s">
        <v>1914</v>
      </c>
      <c r="C2095" t="s">
        <v>3028</v>
      </c>
      <c r="D2095" s="1">
        <v>200000</v>
      </c>
      <c r="E2095" s="1">
        <v>0</v>
      </c>
      <c r="F2095">
        <v>1136167.6399999999</v>
      </c>
      <c r="G2095" s="8" t="s">
        <v>1372</v>
      </c>
      <c r="K2095" s="2"/>
      <c r="L2095" s="232">
        <v>44071</v>
      </c>
      <c r="N2095">
        <f t="shared" si="29"/>
        <v>200000</v>
      </c>
    </row>
    <row r="2096" spans="1:14" hidden="1">
      <c r="A2096" s="232">
        <v>44071</v>
      </c>
      <c r="C2096" t="s">
        <v>3029</v>
      </c>
      <c r="D2096" s="1">
        <v>40</v>
      </c>
      <c r="E2096" s="1">
        <v>0</v>
      </c>
      <c r="F2096">
        <v>1136127.6399999999</v>
      </c>
      <c r="K2096" s="2"/>
      <c r="L2096" s="232">
        <v>44071</v>
      </c>
      <c r="N2096">
        <f t="shared" si="29"/>
        <v>40</v>
      </c>
    </row>
    <row r="2097" spans="1:14" hidden="1">
      <c r="A2097" s="232">
        <v>44074</v>
      </c>
      <c r="C2097" t="s">
        <v>3030</v>
      </c>
      <c r="D2097" s="1">
        <v>200</v>
      </c>
      <c r="E2097" s="1">
        <v>0</v>
      </c>
      <c r="F2097">
        <v>1135927.6399999999</v>
      </c>
      <c r="K2097" s="2"/>
      <c r="L2097" s="232">
        <v>44074</v>
      </c>
      <c r="N2097">
        <f t="shared" si="29"/>
        <v>200</v>
      </c>
    </row>
    <row r="2098" spans="1:14" hidden="1">
      <c r="A2098" s="232">
        <v>44074</v>
      </c>
      <c r="C2098" t="s">
        <v>3031</v>
      </c>
      <c r="D2098" s="1">
        <v>0</v>
      </c>
      <c r="E2098" s="1">
        <v>5</v>
      </c>
      <c r="F2098">
        <v>1135932.6399999999</v>
      </c>
      <c r="K2098" s="2"/>
      <c r="L2098" s="232">
        <v>44074</v>
      </c>
      <c r="N2098">
        <f t="shared" si="29"/>
        <v>0</v>
      </c>
    </row>
    <row r="2099" spans="1:14" hidden="1">
      <c r="A2099" s="232">
        <v>44075</v>
      </c>
      <c r="C2099" t="s">
        <v>3032</v>
      </c>
      <c r="D2099" s="1">
        <v>2000</v>
      </c>
      <c r="E2099" s="1">
        <v>0</v>
      </c>
      <c r="F2099">
        <v>1133932.6399999999</v>
      </c>
      <c r="K2099" s="2"/>
      <c r="L2099" s="232">
        <v>44075</v>
      </c>
      <c r="N2099">
        <f t="shared" si="29"/>
        <v>2000</v>
      </c>
    </row>
    <row r="2100" spans="1:14" hidden="1">
      <c r="A2100" s="232">
        <v>44075</v>
      </c>
      <c r="C2100" t="s">
        <v>3033</v>
      </c>
      <c r="D2100" s="1">
        <v>0</v>
      </c>
      <c r="E2100" s="1">
        <v>5</v>
      </c>
      <c r="F2100">
        <v>1133937.6399999999</v>
      </c>
      <c r="K2100" s="2"/>
      <c r="L2100" s="232">
        <v>44075</v>
      </c>
      <c r="N2100">
        <f t="shared" si="29"/>
        <v>0</v>
      </c>
    </row>
    <row r="2101" spans="1:14" hidden="1">
      <c r="A2101" s="232">
        <v>44076</v>
      </c>
      <c r="C2101" t="s">
        <v>3034</v>
      </c>
      <c r="D2101" s="1">
        <v>85</v>
      </c>
      <c r="E2101" s="1">
        <v>0</v>
      </c>
      <c r="F2101">
        <v>1133852.6399999999</v>
      </c>
      <c r="K2101" s="2"/>
      <c r="L2101" s="232">
        <v>44076</v>
      </c>
      <c r="N2101">
        <f t="shared" si="29"/>
        <v>85</v>
      </c>
    </row>
    <row r="2102" spans="1:14" hidden="1">
      <c r="A2102" s="232">
        <v>44077</v>
      </c>
      <c r="B2102" t="s">
        <v>1997</v>
      </c>
      <c r="C2102" t="s">
        <v>3035</v>
      </c>
      <c r="D2102" s="1">
        <v>9347</v>
      </c>
      <c r="E2102" s="1">
        <v>0</v>
      </c>
      <c r="F2102">
        <v>1124505.6399999999</v>
      </c>
      <c r="K2102" s="2"/>
      <c r="L2102" s="232">
        <v>44077</v>
      </c>
      <c r="N2102">
        <f t="shared" si="29"/>
        <v>9347</v>
      </c>
    </row>
    <row r="2103" spans="1:14" hidden="1">
      <c r="A2103" s="232">
        <v>44078</v>
      </c>
      <c r="C2103" t="s">
        <v>3036</v>
      </c>
      <c r="D2103" s="1">
        <v>55540</v>
      </c>
      <c r="E2103" s="1">
        <v>0</v>
      </c>
      <c r="F2103">
        <v>1068965.6399999999</v>
      </c>
      <c r="K2103" s="2"/>
      <c r="L2103" s="232">
        <v>44078</v>
      </c>
      <c r="N2103">
        <f t="shared" si="29"/>
        <v>55540</v>
      </c>
    </row>
    <row r="2104" spans="1:14" hidden="1">
      <c r="A2104" s="232">
        <v>44078</v>
      </c>
      <c r="B2104" t="s">
        <v>1938</v>
      </c>
      <c r="C2104" t="s">
        <v>3037</v>
      </c>
      <c r="D2104" s="1">
        <v>0</v>
      </c>
      <c r="E2104" s="1">
        <v>6851.7</v>
      </c>
      <c r="F2104">
        <v>1075817.3400000001</v>
      </c>
      <c r="G2104" s="8" t="s">
        <v>1375</v>
      </c>
      <c r="K2104" s="2"/>
      <c r="L2104" s="232">
        <v>44078</v>
      </c>
      <c r="N2104">
        <f t="shared" si="29"/>
        <v>0</v>
      </c>
    </row>
    <row r="2105" spans="1:14" hidden="1">
      <c r="A2105" s="232">
        <v>44082</v>
      </c>
      <c r="B2105" t="s">
        <v>1914</v>
      </c>
      <c r="C2105" t="s">
        <v>3038</v>
      </c>
      <c r="D2105" s="1">
        <v>10000</v>
      </c>
      <c r="E2105" s="1">
        <v>0</v>
      </c>
      <c r="F2105">
        <v>1065817.3400000001</v>
      </c>
      <c r="G2105" s="8" t="s">
        <v>1372</v>
      </c>
      <c r="K2105" s="2"/>
      <c r="L2105" s="232">
        <v>44082</v>
      </c>
      <c r="N2105">
        <f t="shared" si="29"/>
        <v>10000</v>
      </c>
    </row>
    <row r="2106" spans="1:14" hidden="1">
      <c r="A2106" s="232">
        <v>44084</v>
      </c>
      <c r="B2106" t="s">
        <v>2737</v>
      </c>
      <c r="C2106" t="s">
        <v>2738</v>
      </c>
      <c r="D2106" s="1">
        <v>8478.7000000000007</v>
      </c>
      <c r="E2106" s="1">
        <v>0</v>
      </c>
      <c r="F2106">
        <v>1057338.6399999999</v>
      </c>
      <c r="G2106" s="8" t="s">
        <v>1362</v>
      </c>
      <c r="K2106" s="2"/>
      <c r="L2106" s="232">
        <v>44084</v>
      </c>
      <c r="N2106">
        <f t="shared" si="29"/>
        <v>8478.7000000000007</v>
      </c>
    </row>
    <row r="2107" spans="1:14" hidden="1">
      <c r="A2107" s="232">
        <v>44089</v>
      </c>
      <c r="C2107" t="s">
        <v>3039</v>
      </c>
      <c r="D2107" s="1">
        <v>117</v>
      </c>
      <c r="E2107" s="1">
        <v>0</v>
      </c>
      <c r="F2107">
        <v>1057221.6399999999</v>
      </c>
      <c r="K2107" s="2"/>
      <c r="L2107" s="232">
        <v>44089</v>
      </c>
      <c r="N2107">
        <f t="shared" si="29"/>
        <v>117</v>
      </c>
    </row>
    <row r="2108" spans="1:14" hidden="1">
      <c r="A2108" s="232">
        <v>44090</v>
      </c>
      <c r="C2108" t="s">
        <v>3040</v>
      </c>
      <c r="D2108" s="1">
        <v>120</v>
      </c>
      <c r="E2108" s="1">
        <v>0</v>
      </c>
      <c r="F2108">
        <v>1057101.6399999999</v>
      </c>
      <c r="K2108" s="2"/>
      <c r="L2108" s="232">
        <v>44090</v>
      </c>
      <c r="N2108">
        <f t="shared" si="29"/>
        <v>120</v>
      </c>
    </row>
    <row r="2109" spans="1:14" hidden="1">
      <c r="A2109" s="232">
        <v>44092</v>
      </c>
      <c r="B2109" t="s">
        <v>1914</v>
      </c>
      <c r="C2109" t="s">
        <v>3041</v>
      </c>
      <c r="D2109" s="1">
        <v>10000</v>
      </c>
      <c r="E2109" s="1">
        <v>0</v>
      </c>
      <c r="F2109">
        <v>1047101.64</v>
      </c>
      <c r="G2109" s="8" t="s">
        <v>1372</v>
      </c>
      <c r="K2109" s="2"/>
      <c r="L2109" s="232">
        <v>44092</v>
      </c>
      <c r="N2109">
        <f t="shared" si="29"/>
        <v>10000</v>
      </c>
    </row>
    <row r="2110" spans="1:14" hidden="1">
      <c r="A2110" s="232">
        <v>44092</v>
      </c>
      <c r="C2110" t="s">
        <v>3042</v>
      </c>
      <c r="D2110" s="1">
        <v>1631</v>
      </c>
      <c r="E2110" s="1">
        <v>0</v>
      </c>
      <c r="F2110">
        <v>1045470.64</v>
      </c>
      <c r="K2110" s="2"/>
      <c r="L2110" s="232">
        <v>44092</v>
      </c>
      <c r="N2110">
        <f t="shared" si="29"/>
        <v>1631</v>
      </c>
    </row>
    <row r="2111" spans="1:14" hidden="1">
      <c r="A2111" s="232">
        <v>44095</v>
      </c>
      <c r="C2111" t="s">
        <v>3043</v>
      </c>
      <c r="D2111" s="1">
        <v>100</v>
      </c>
      <c r="E2111" s="1">
        <v>0</v>
      </c>
      <c r="F2111">
        <v>1045370.64</v>
      </c>
      <c r="K2111" s="2"/>
      <c r="L2111" s="232">
        <v>44095</v>
      </c>
      <c r="N2111">
        <f t="shared" si="29"/>
        <v>100</v>
      </c>
    </row>
    <row r="2112" spans="1:14" hidden="1">
      <c r="A2112" s="232">
        <v>44099</v>
      </c>
      <c r="C2112" t="s">
        <v>3044</v>
      </c>
      <c r="D2112" s="1">
        <v>0</v>
      </c>
      <c r="E2112" s="1">
        <v>234258</v>
      </c>
      <c r="F2112">
        <v>1279628.6399999999</v>
      </c>
      <c r="G2112" s="8" t="s">
        <v>1380</v>
      </c>
      <c r="K2112" s="2"/>
      <c r="L2112" s="232">
        <v>44099</v>
      </c>
      <c r="N2112">
        <f t="shared" si="29"/>
        <v>0</v>
      </c>
    </row>
    <row r="2113" spans="1:14" hidden="1">
      <c r="A2113" s="232">
        <v>44099</v>
      </c>
      <c r="C2113" t="s">
        <v>3045</v>
      </c>
      <c r="D2113" s="1">
        <v>25000</v>
      </c>
      <c r="E2113" s="1">
        <v>0</v>
      </c>
      <c r="F2113">
        <v>1254628.6399999999</v>
      </c>
      <c r="G2113" s="8" t="s">
        <v>1363</v>
      </c>
      <c r="K2113" s="2"/>
      <c r="L2113" s="232">
        <v>44099</v>
      </c>
      <c r="N2113">
        <f t="shared" si="29"/>
        <v>25000</v>
      </c>
    </row>
    <row r="2114" spans="1:14" hidden="1">
      <c r="A2114" s="232">
        <v>44099</v>
      </c>
      <c r="C2114" t="s">
        <v>3046</v>
      </c>
      <c r="D2114" s="1">
        <v>25000</v>
      </c>
      <c r="E2114" s="1">
        <v>0</v>
      </c>
      <c r="F2114">
        <v>1229628.6399999999</v>
      </c>
      <c r="G2114" s="8" t="s">
        <v>1363</v>
      </c>
      <c r="K2114" s="2"/>
      <c r="L2114" s="232">
        <v>44099</v>
      </c>
      <c r="N2114">
        <f t="shared" si="29"/>
        <v>25000</v>
      </c>
    </row>
    <row r="2115" spans="1:14" hidden="1">
      <c r="A2115" s="232">
        <v>44099</v>
      </c>
      <c r="C2115" t="s">
        <v>3047</v>
      </c>
      <c r="D2115" s="1">
        <v>25000</v>
      </c>
      <c r="E2115" s="1">
        <v>0</v>
      </c>
      <c r="F2115">
        <v>1204628.6399999999</v>
      </c>
      <c r="G2115" s="8" t="s">
        <v>1363</v>
      </c>
      <c r="K2115" s="2"/>
      <c r="L2115" s="232">
        <v>44099</v>
      </c>
      <c r="N2115">
        <f t="shared" si="29"/>
        <v>25000</v>
      </c>
    </row>
    <row r="2116" spans="1:14" hidden="1">
      <c r="A2116" s="232">
        <v>44099</v>
      </c>
      <c r="C2116" t="s">
        <v>3048</v>
      </c>
      <c r="D2116" s="1">
        <v>25000</v>
      </c>
      <c r="E2116" s="1">
        <v>0</v>
      </c>
      <c r="F2116">
        <v>1179628.6399999999</v>
      </c>
      <c r="G2116" s="8" t="s">
        <v>1363</v>
      </c>
      <c r="K2116" s="2"/>
      <c r="L2116" s="232">
        <v>44099</v>
      </c>
      <c r="N2116">
        <f t="shared" si="29"/>
        <v>25000</v>
      </c>
    </row>
    <row r="2117" spans="1:14" hidden="1">
      <c r="A2117" s="232">
        <v>44099</v>
      </c>
      <c r="C2117" t="s">
        <v>3049</v>
      </c>
      <c r="D2117" s="1">
        <v>0</v>
      </c>
      <c r="E2117" s="1">
        <v>8</v>
      </c>
      <c r="F2117">
        <v>1179636.6399999999</v>
      </c>
      <c r="K2117" s="2"/>
      <c r="L2117" s="232">
        <v>44099</v>
      </c>
      <c r="N2117">
        <f t="shared" si="29"/>
        <v>0</v>
      </c>
    </row>
    <row r="2118" spans="1:14" hidden="1">
      <c r="A2118" s="232">
        <v>44102</v>
      </c>
      <c r="B2118" t="s">
        <v>1938</v>
      </c>
      <c r="C2118" t="s">
        <v>3050</v>
      </c>
      <c r="D2118" s="1">
        <v>2000</v>
      </c>
      <c r="E2118" s="1">
        <v>0</v>
      </c>
      <c r="F2118">
        <v>1177636.6399999999</v>
      </c>
      <c r="G2118" s="8" t="s">
        <v>1372</v>
      </c>
      <c r="K2118" s="2"/>
      <c r="L2118" s="232">
        <v>44102</v>
      </c>
      <c r="N2118">
        <f t="shared" si="29"/>
        <v>2000</v>
      </c>
    </row>
    <row r="2119" spans="1:14" hidden="1">
      <c r="A2119" s="232">
        <v>44103</v>
      </c>
      <c r="C2119" t="s">
        <v>3051</v>
      </c>
      <c r="D2119" s="1">
        <v>0</v>
      </c>
      <c r="E2119" s="1">
        <v>8642</v>
      </c>
      <c r="F2119">
        <v>1186278.6399999999</v>
      </c>
      <c r="G2119" s="8" t="s">
        <v>1368</v>
      </c>
      <c r="K2119" s="2"/>
      <c r="L2119" s="232">
        <v>44103</v>
      </c>
      <c r="N2119">
        <f t="shared" si="29"/>
        <v>0</v>
      </c>
    </row>
    <row r="2120" spans="1:14" hidden="1">
      <c r="A2120" s="232">
        <v>44107</v>
      </c>
      <c r="C2120" t="s">
        <v>3052</v>
      </c>
      <c r="D2120" s="1">
        <v>2000</v>
      </c>
      <c r="E2120" s="1">
        <v>0</v>
      </c>
      <c r="F2120">
        <v>1184278.6399999999</v>
      </c>
      <c r="K2120" s="2"/>
      <c r="L2120" s="232">
        <v>44107</v>
      </c>
      <c r="N2120">
        <f t="shared" si="29"/>
        <v>2000</v>
      </c>
    </row>
    <row r="2121" spans="1:14" hidden="1">
      <c r="A2121" s="232">
        <v>44109</v>
      </c>
      <c r="B2121" t="s">
        <v>1997</v>
      </c>
      <c r="C2121" t="s">
        <v>3053</v>
      </c>
      <c r="D2121" s="1">
        <v>9300</v>
      </c>
      <c r="E2121" s="1">
        <v>0</v>
      </c>
      <c r="F2121">
        <v>1174978.6399999999</v>
      </c>
      <c r="K2121" s="2"/>
      <c r="L2121" s="232">
        <v>44109</v>
      </c>
      <c r="N2121">
        <f t="shared" si="29"/>
        <v>9300</v>
      </c>
    </row>
    <row r="2122" spans="1:14" hidden="1">
      <c r="A2122" s="232">
        <v>44109</v>
      </c>
      <c r="C2122" t="s">
        <v>3054</v>
      </c>
      <c r="D2122" s="1">
        <v>370</v>
      </c>
      <c r="E2122" s="1">
        <v>0</v>
      </c>
      <c r="F2122">
        <v>1174608.6399999999</v>
      </c>
      <c r="K2122" s="2"/>
      <c r="L2122" s="232">
        <v>44109</v>
      </c>
      <c r="N2122">
        <f t="shared" si="29"/>
        <v>370</v>
      </c>
    </row>
    <row r="2123" spans="1:14" hidden="1">
      <c r="A2123" s="232">
        <v>44109</v>
      </c>
      <c r="C2123" t="s">
        <v>3055</v>
      </c>
      <c r="D2123" s="1">
        <v>290</v>
      </c>
      <c r="E2123" s="1">
        <v>0</v>
      </c>
      <c r="F2123">
        <v>1174318.6399999999</v>
      </c>
      <c r="K2123" s="2"/>
      <c r="L2123" s="232">
        <v>44109</v>
      </c>
      <c r="N2123">
        <f t="shared" ref="N2123:N2186" si="30">D2123*1</f>
        <v>290</v>
      </c>
    </row>
    <row r="2124" spans="1:14" hidden="1">
      <c r="A2124" s="232">
        <v>44109</v>
      </c>
      <c r="B2124" t="s">
        <v>1997</v>
      </c>
      <c r="C2124" t="s">
        <v>3056</v>
      </c>
      <c r="D2124" s="1">
        <v>25000</v>
      </c>
      <c r="E2124" s="1">
        <v>0</v>
      </c>
      <c r="F2124">
        <v>1149318.6399999999</v>
      </c>
      <c r="K2124" s="2"/>
      <c r="L2124" s="232">
        <v>44109</v>
      </c>
      <c r="N2124">
        <f t="shared" si="30"/>
        <v>25000</v>
      </c>
    </row>
    <row r="2125" spans="1:14" hidden="1">
      <c r="A2125" s="232">
        <v>44110</v>
      </c>
      <c r="C2125" t="s">
        <v>3057</v>
      </c>
      <c r="D2125" s="1">
        <v>0</v>
      </c>
      <c r="E2125" s="1">
        <v>5</v>
      </c>
      <c r="F2125">
        <v>1149323.6399999999</v>
      </c>
      <c r="K2125" s="2"/>
      <c r="L2125" s="232">
        <v>44110</v>
      </c>
      <c r="N2125">
        <f t="shared" si="30"/>
        <v>0</v>
      </c>
    </row>
    <row r="2126" spans="1:14" hidden="1">
      <c r="A2126" s="232">
        <v>44112</v>
      </c>
      <c r="B2126" t="s">
        <v>1914</v>
      </c>
      <c r="C2126" t="s">
        <v>3058</v>
      </c>
      <c r="D2126" s="1">
        <v>10000</v>
      </c>
      <c r="E2126" s="1">
        <v>0</v>
      </c>
      <c r="F2126">
        <v>1139323.6399999999</v>
      </c>
      <c r="G2126" s="8" t="s">
        <v>1372</v>
      </c>
      <c r="K2126" s="2"/>
      <c r="L2126" s="232">
        <v>44112</v>
      </c>
      <c r="N2126">
        <f t="shared" si="30"/>
        <v>10000</v>
      </c>
    </row>
    <row r="2127" spans="1:14" hidden="1">
      <c r="A2127" s="232">
        <v>44116</v>
      </c>
      <c r="C2127" t="s">
        <v>3059</v>
      </c>
      <c r="D2127" s="1">
        <v>267</v>
      </c>
      <c r="E2127" s="1">
        <v>0</v>
      </c>
      <c r="F2127">
        <v>1139056.6399999999</v>
      </c>
      <c r="K2127" s="2"/>
      <c r="L2127" s="232">
        <v>44116</v>
      </c>
      <c r="N2127">
        <f t="shared" si="30"/>
        <v>267</v>
      </c>
    </row>
    <row r="2128" spans="1:14" hidden="1">
      <c r="A2128" s="232">
        <v>44116</v>
      </c>
      <c r="B2128" t="s">
        <v>2737</v>
      </c>
      <c r="C2128" t="s">
        <v>2738</v>
      </c>
      <c r="D2128" s="1">
        <v>988.81</v>
      </c>
      <c r="E2128" s="1">
        <v>0</v>
      </c>
      <c r="F2128">
        <v>1138067.83</v>
      </c>
      <c r="G2128" s="8" t="s">
        <v>1362</v>
      </c>
      <c r="K2128" s="2"/>
      <c r="L2128" s="232">
        <v>44116</v>
      </c>
      <c r="N2128">
        <f t="shared" si="30"/>
        <v>988.81</v>
      </c>
    </row>
    <row r="2129" spans="1:14" hidden="1">
      <c r="A2129" s="232">
        <v>44116</v>
      </c>
      <c r="C2129" t="s">
        <v>3060</v>
      </c>
      <c r="D2129" s="1">
        <v>367</v>
      </c>
      <c r="E2129" s="1">
        <v>0</v>
      </c>
      <c r="F2129">
        <v>1137700.83</v>
      </c>
      <c r="K2129" s="2"/>
      <c r="L2129" s="232">
        <v>44116</v>
      </c>
      <c r="N2129">
        <f t="shared" si="30"/>
        <v>367</v>
      </c>
    </row>
    <row r="2130" spans="1:14" hidden="1">
      <c r="A2130" s="232">
        <v>44118</v>
      </c>
      <c r="C2130" t="s">
        <v>3061</v>
      </c>
      <c r="D2130" s="1">
        <v>539</v>
      </c>
      <c r="E2130" s="1">
        <v>0</v>
      </c>
      <c r="F2130">
        <v>1137161.83</v>
      </c>
      <c r="K2130" s="2"/>
      <c r="L2130" s="232">
        <v>44118</v>
      </c>
      <c r="N2130">
        <f t="shared" si="30"/>
        <v>539</v>
      </c>
    </row>
    <row r="2131" spans="1:14" hidden="1">
      <c r="A2131" s="232">
        <v>44123</v>
      </c>
      <c r="B2131" t="s">
        <v>1914</v>
      </c>
      <c r="C2131" t="s">
        <v>3062</v>
      </c>
      <c r="D2131" s="1">
        <v>10000</v>
      </c>
      <c r="E2131" s="1">
        <v>0</v>
      </c>
      <c r="F2131">
        <v>1127161.83</v>
      </c>
      <c r="G2131" s="8" t="s">
        <v>1372</v>
      </c>
      <c r="K2131" s="2"/>
      <c r="L2131" s="232">
        <v>44123</v>
      </c>
      <c r="N2131">
        <f t="shared" si="30"/>
        <v>10000</v>
      </c>
    </row>
    <row r="2132" spans="1:14" hidden="1">
      <c r="A2132" s="232">
        <v>44123</v>
      </c>
      <c r="C2132" t="s">
        <v>3063</v>
      </c>
      <c r="D2132" s="1">
        <v>400</v>
      </c>
      <c r="E2132" s="1">
        <v>0</v>
      </c>
      <c r="F2132">
        <v>1126761.83</v>
      </c>
      <c r="K2132" s="2"/>
      <c r="L2132" s="232">
        <v>44123</v>
      </c>
      <c r="N2132">
        <f t="shared" si="30"/>
        <v>400</v>
      </c>
    </row>
    <row r="2133" spans="1:14" hidden="1">
      <c r="A2133" s="232">
        <v>44123</v>
      </c>
      <c r="C2133" t="s">
        <v>3064</v>
      </c>
      <c r="D2133" s="1">
        <v>160</v>
      </c>
      <c r="E2133" s="1">
        <v>0</v>
      </c>
      <c r="F2133">
        <v>1126601.83</v>
      </c>
      <c r="K2133" s="2"/>
      <c r="L2133" s="232">
        <v>44123</v>
      </c>
      <c r="N2133">
        <f t="shared" si="30"/>
        <v>160</v>
      </c>
    </row>
    <row r="2134" spans="1:14" hidden="1">
      <c r="A2134" s="232">
        <v>44123</v>
      </c>
      <c r="C2134" t="s">
        <v>3065</v>
      </c>
      <c r="D2134" s="1">
        <v>0</v>
      </c>
      <c r="E2134" s="1">
        <v>5</v>
      </c>
      <c r="F2134">
        <v>1126606.83</v>
      </c>
      <c r="K2134" s="2"/>
      <c r="L2134" s="232">
        <v>44123</v>
      </c>
      <c r="N2134">
        <f t="shared" si="30"/>
        <v>0</v>
      </c>
    </row>
    <row r="2135" spans="1:14" hidden="1">
      <c r="A2135" s="232">
        <v>44125</v>
      </c>
      <c r="C2135" t="s">
        <v>3066</v>
      </c>
      <c r="D2135" s="1">
        <v>1580</v>
      </c>
      <c r="E2135" s="1">
        <v>0</v>
      </c>
      <c r="F2135">
        <v>1125026.83</v>
      </c>
      <c r="K2135" s="2"/>
      <c r="L2135" s="232">
        <v>44125</v>
      </c>
      <c r="N2135">
        <f t="shared" si="30"/>
        <v>1580</v>
      </c>
    </row>
    <row r="2136" spans="1:14" hidden="1">
      <c r="A2136" s="232">
        <v>44126</v>
      </c>
      <c r="C2136" t="s">
        <v>3067</v>
      </c>
      <c r="D2136" s="1">
        <v>152</v>
      </c>
      <c r="E2136" s="1">
        <v>0</v>
      </c>
      <c r="F2136">
        <v>1124874.83</v>
      </c>
      <c r="K2136" s="2"/>
      <c r="L2136" s="232">
        <v>44126</v>
      </c>
      <c r="N2136">
        <f t="shared" si="30"/>
        <v>152</v>
      </c>
    </row>
    <row r="2137" spans="1:14" hidden="1">
      <c r="A2137" s="232">
        <v>44126</v>
      </c>
      <c r="C2137" t="s">
        <v>3068</v>
      </c>
      <c r="D2137" s="1">
        <v>140</v>
      </c>
      <c r="E2137" s="1">
        <v>0</v>
      </c>
      <c r="F2137">
        <v>1124734.83</v>
      </c>
      <c r="K2137" s="2"/>
      <c r="L2137" s="232">
        <v>44126</v>
      </c>
      <c r="N2137">
        <f t="shared" si="30"/>
        <v>140</v>
      </c>
    </row>
    <row r="2138" spans="1:14" hidden="1">
      <c r="A2138" s="232">
        <v>44126</v>
      </c>
      <c r="C2138" t="s">
        <v>3069</v>
      </c>
      <c r="D2138" s="1">
        <v>0</v>
      </c>
      <c r="E2138" s="1">
        <v>7</v>
      </c>
      <c r="F2138">
        <v>1124741.83</v>
      </c>
      <c r="K2138" s="2"/>
      <c r="L2138" s="232">
        <v>44126</v>
      </c>
      <c r="N2138">
        <f t="shared" si="30"/>
        <v>0</v>
      </c>
    </row>
    <row r="2139" spans="1:14" hidden="1">
      <c r="A2139" s="232">
        <v>44127</v>
      </c>
      <c r="C2139" t="s">
        <v>3070</v>
      </c>
      <c r="D2139" s="1">
        <v>25</v>
      </c>
      <c r="E2139" s="1">
        <v>0</v>
      </c>
      <c r="F2139">
        <v>1124716.83</v>
      </c>
      <c r="K2139" s="2"/>
      <c r="L2139" s="232">
        <v>44127</v>
      </c>
      <c r="N2139">
        <f t="shared" si="30"/>
        <v>25</v>
      </c>
    </row>
    <row r="2140" spans="1:14" hidden="1">
      <c r="A2140" s="232">
        <v>44130</v>
      </c>
      <c r="C2140" t="s">
        <v>3071</v>
      </c>
      <c r="D2140" s="1">
        <v>155</v>
      </c>
      <c r="E2140" s="1">
        <v>0</v>
      </c>
      <c r="F2140">
        <v>1124561.83</v>
      </c>
      <c r="K2140" s="2"/>
      <c r="L2140" s="232">
        <v>44130</v>
      </c>
      <c r="N2140">
        <f t="shared" si="30"/>
        <v>155</v>
      </c>
    </row>
    <row r="2141" spans="1:14" hidden="1">
      <c r="A2141" s="232">
        <v>44130</v>
      </c>
      <c r="C2141" t="s">
        <v>3072</v>
      </c>
      <c r="D2141" s="1">
        <v>900</v>
      </c>
      <c r="E2141" s="1">
        <v>0</v>
      </c>
      <c r="F2141">
        <v>1123661.83</v>
      </c>
      <c r="K2141" s="2"/>
      <c r="L2141" s="232">
        <v>44130</v>
      </c>
      <c r="N2141">
        <f t="shared" si="30"/>
        <v>900</v>
      </c>
    </row>
    <row r="2142" spans="1:14" hidden="1">
      <c r="A2142" s="232">
        <v>44131</v>
      </c>
      <c r="C2142" t="s">
        <v>3073</v>
      </c>
      <c r="D2142" s="1">
        <v>199</v>
      </c>
      <c r="E2142" s="1">
        <v>0</v>
      </c>
      <c r="F2142">
        <v>1123462.83</v>
      </c>
      <c r="K2142" s="2"/>
      <c r="L2142" s="232">
        <v>44131</v>
      </c>
      <c r="N2142">
        <f t="shared" si="30"/>
        <v>199</v>
      </c>
    </row>
    <row r="2143" spans="1:14" hidden="1">
      <c r="A2143" s="232">
        <v>44131</v>
      </c>
      <c r="C2143" t="s">
        <v>3074</v>
      </c>
      <c r="D2143" s="1">
        <v>0</v>
      </c>
      <c r="E2143" s="1">
        <v>234259</v>
      </c>
      <c r="F2143">
        <v>1357721.83</v>
      </c>
      <c r="G2143" s="8" t="s">
        <v>1380</v>
      </c>
      <c r="K2143" s="2"/>
      <c r="L2143" s="232">
        <v>44131</v>
      </c>
      <c r="N2143">
        <f t="shared" si="30"/>
        <v>0</v>
      </c>
    </row>
    <row r="2144" spans="1:14" hidden="1">
      <c r="A2144" s="232">
        <v>44131</v>
      </c>
      <c r="C2144" t="s">
        <v>3075</v>
      </c>
      <c r="D2144" s="1">
        <v>25000</v>
      </c>
      <c r="E2144" s="1">
        <v>0</v>
      </c>
      <c r="F2144">
        <v>1332721.83</v>
      </c>
      <c r="G2144" s="8" t="s">
        <v>1363</v>
      </c>
      <c r="K2144" s="2"/>
      <c r="L2144" s="232">
        <v>44131</v>
      </c>
      <c r="N2144">
        <f t="shared" si="30"/>
        <v>25000</v>
      </c>
    </row>
    <row r="2145" spans="1:14" hidden="1">
      <c r="A2145" s="232">
        <v>44131</v>
      </c>
      <c r="C2145" t="s">
        <v>3076</v>
      </c>
      <c r="D2145" s="1">
        <v>25000</v>
      </c>
      <c r="E2145" s="1">
        <v>0</v>
      </c>
      <c r="F2145">
        <v>1307721.83</v>
      </c>
      <c r="G2145" s="8" t="s">
        <v>1363</v>
      </c>
      <c r="K2145" s="2"/>
      <c r="L2145" s="232">
        <v>44131</v>
      </c>
      <c r="N2145">
        <f t="shared" si="30"/>
        <v>25000</v>
      </c>
    </row>
    <row r="2146" spans="1:14" hidden="1">
      <c r="A2146" s="232">
        <v>44131</v>
      </c>
      <c r="C2146" t="s">
        <v>3077</v>
      </c>
      <c r="D2146" s="1">
        <v>25000</v>
      </c>
      <c r="E2146" s="1">
        <v>0</v>
      </c>
      <c r="F2146">
        <v>1282721.83</v>
      </c>
      <c r="G2146" s="8" t="s">
        <v>1363</v>
      </c>
      <c r="K2146" s="2"/>
      <c r="L2146" s="232">
        <v>44131</v>
      </c>
      <c r="N2146">
        <f t="shared" si="30"/>
        <v>25000</v>
      </c>
    </row>
    <row r="2147" spans="1:14" hidden="1">
      <c r="A2147" s="232">
        <v>44131</v>
      </c>
      <c r="C2147" t="s">
        <v>3078</v>
      </c>
      <c r="D2147" s="1">
        <v>2000</v>
      </c>
      <c r="E2147" s="1">
        <v>0</v>
      </c>
      <c r="F2147">
        <v>1280721.83</v>
      </c>
      <c r="K2147" s="2"/>
      <c r="L2147" s="232">
        <v>44131</v>
      </c>
      <c r="N2147">
        <f t="shared" si="30"/>
        <v>2000</v>
      </c>
    </row>
    <row r="2148" spans="1:14" hidden="1">
      <c r="A2148" s="232">
        <v>44132</v>
      </c>
      <c r="C2148" t="s">
        <v>3079</v>
      </c>
      <c r="D2148" s="1">
        <v>25000</v>
      </c>
      <c r="E2148" s="1">
        <v>0</v>
      </c>
      <c r="F2148">
        <v>1255721.83</v>
      </c>
      <c r="G2148" s="8" t="s">
        <v>1363</v>
      </c>
      <c r="K2148" s="2"/>
      <c r="L2148" s="232">
        <v>44132</v>
      </c>
      <c r="N2148">
        <f t="shared" si="30"/>
        <v>25000</v>
      </c>
    </row>
    <row r="2149" spans="1:14" hidden="1">
      <c r="A2149" s="232">
        <v>44132</v>
      </c>
      <c r="B2149" t="s">
        <v>1938</v>
      </c>
      <c r="C2149" t="s">
        <v>3080</v>
      </c>
      <c r="D2149" s="1">
        <v>2000</v>
      </c>
      <c r="E2149" s="1">
        <v>0</v>
      </c>
      <c r="F2149">
        <v>1253721.83</v>
      </c>
      <c r="G2149" s="8" t="s">
        <v>1372</v>
      </c>
      <c r="K2149" s="2"/>
      <c r="L2149" s="232">
        <v>44132</v>
      </c>
      <c r="N2149">
        <f t="shared" si="30"/>
        <v>2000</v>
      </c>
    </row>
    <row r="2150" spans="1:14" hidden="1">
      <c r="A2150" s="232">
        <v>44135</v>
      </c>
      <c r="C2150" t="s">
        <v>3081</v>
      </c>
      <c r="D2150" s="1">
        <v>84</v>
      </c>
      <c r="E2150" s="1">
        <v>0</v>
      </c>
      <c r="F2150">
        <v>1253637.83</v>
      </c>
      <c r="K2150" s="2"/>
      <c r="L2150" s="232">
        <v>44135</v>
      </c>
      <c r="N2150">
        <f t="shared" si="30"/>
        <v>84</v>
      </c>
    </row>
    <row r="2151" spans="1:14" hidden="1">
      <c r="A2151" s="232">
        <v>44137</v>
      </c>
      <c r="C2151" t="s">
        <v>3082</v>
      </c>
      <c r="D2151" s="1">
        <v>410</v>
      </c>
      <c r="E2151" s="1">
        <v>0</v>
      </c>
      <c r="F2151">
        <v>1253227.83</v>
      </c>
      <c r="K2151" s="2"/>
      <c r="L2151" s="232">
        <v>44137</v>
      </c>
      <c r="N2151">
        <f t="shared" si="30"/>
        <v>410</v>
      </c>
    </row>
    <row r="2152" spans="1:14" hidden="1">
      <c r="A2152" s="232">
        <v>44138</v>
      </c>
      <c r="B2152" t="s">
        <v>1997</v>
      </c>
      <c r="C2152" t="s">
        <v>3083</v>
      </c>
      <c r="D2152" s="1">
        <v>9152</v>
      </c>
      <c r="E2152" s="1">
        <v>0</v>
      </c>
      <c r="F2152">
        <v>1244075.83</v>
      </c>
      <c r="K2152" s="2"/>
      <c r="L2152" s="232">
        <v>44138</v>
      </c>
      <c r="N2152">
        <f t="shared" si="30"/>
        <v>9152</v>
      </c>
    </row>
    <row r="2153" spans="1:14" hidden="1">
      <c r="A2153" s="232">
        <v>44138</v>
      </c>
      <c r="C2153" t="s">
        <v>3084</v>
      </c>
      <c r="D2153" s="1">
        <v>111</v>
      </c>
      <c r="E2153" s="1">
        <v>0</v>
      </c>
      <c r="F2153">
        <v>1243964.83</v>
      </c>
      <c r="K2153" s="2"/>
      <c r="L2153" s="232">
        <v>44138</v>
      </c>
      <c r="N2153">
        <f t="shared" si="30"/>
        <v>111</v>
      </c>
    </row>
    <row r="2154" spans="1:14" hidden="1">
      <c r="A2154" s="232">
        <v>44138</v>
      </c>
      <c r="B2154" t="s">
        <v>1914</v>
      </c>
      <c r="C2154" t="s">
        <v>3085</v>
      </c>
      <c r="D2154" s="1">
        <v>300000</v>
      </c>
      <c r="E2154" s="1">
        <v>0</v>
      </c>
      <c r="F2154">
        <v>943964.83</v>
      </c>
      <c r="G2154" s="8" t="s">
        <v>1363</v>
      </c>
      <c r="K2154" s="2"/>
      <c r="L2154" s="232">
        <v>44138</v>
      </c>
      <c r="N2154">
        <f t="shared" si="30"/>
        <v>300000</v>
      </c>
    </row>
    <row r="2155" spans="1:14" hidden="1">
      <c r="A2155" s="232">
        <v>44138</v>
      </c>
      <c r="C2155" t="s">
        <v>3086</v>
      </c>
      <c r="D2155" s="1">
        <v>80</v>
      </c>
      <c r="E2155" s="1">
        <v>0</v>
      </c>
      <c r="F2155">
        <v>943884.83</v>
      </c>
      <c r="K2155" s="2"/>
      <c r="L2155" s="232">
        <v>44138</v>
      </c>
      <c r="N2155">
        <f t="shared" si="30"/>
        <v>80</v>
      </c>
    </row>
    <row r="2156" spans="1:14" hidden="1">
      <c r="A2156" s="232">
        <v>44140</v>
      </c>
      <c r="C2156" t="s">
        <v>3087</v>
      </c>
      <c r="D2156" s="1">
        <v>398</v>
      </c>
      <c r="E2156" s="1">
        <v>0</v>
      </c>
      <c r="F2156">
        <v>943486.83</v>
      </c>
      <c r="K2156" s="2"/>
      <c r="L2156" s="232">
        <v>44140</v>
      </c>
      <c r="N2156">
        <f t="shared" si="30"/>
        <v>398</v>
      </c>
    </row>
    <row r="2157" spans="1:14" hidden="1">
      <c r="A2157" s="232">
        <v>44144</v>
      </c>
      <c r="B2157" t="s">
        <v>1914</v>
      </c>
      <c r="C2157" t="s">
        <v>3088</v>
      </c>
      <c r="D2157" s="1">
        <v>10000</v>
      </c>
      <c r="E2157" s="1">
        <v>0</v>
      </c>
      <c r="F2157">
        <v>933486.83</v>
      </c>
      <c r="G2157" s="8" t="s">
        <v>1372</v>
      </c>
      <c r="K2157" s="2"/>
      <c r="L2157" s="232">
        <v>44144</v>
      </c>
      <c r="N2157">
        <f t="shared" si="30"/>
        <v>10000</v>
      </c>
    </row>
    <row r="2158" spans="1:14" hidden="1">
      <c r="A2158" s="232">
        <v>44144</v>
      </c>
      <c r="C2158" t="s">
        <v>3089</v>
      </c>
      <c r="D2158" s="1">
        <v>2000</v>
      </c>
      <c r="E2158" s="1">
        <v>0</v>
      </c>
      <c r="F2158">
        <v>931486.83</v>
      </c>
      <c r="K2158" s="2"/>
      <c r="L2158" s="232">
        <v>44144</v>
      </c>
      <c r="N2158">
        <f t="shared" si="30"/>
        <v>2000</v>
      </c>
    </row>
    <row r="2159" spans="1:14" hidden="1">
      <c r="A2159" s="232">
        <v>44145</v>
      </c>
      <c r="B2159" t="s">
        <v>2737</v>
      </c>
      <c r="C2159" t="s">
        <v>2738</v>
      </c>
      <c r="D2159" s="1">
        <v>864.78</v>
      </c>
      <c r="E2159" s="1">
        <v>0</v>
      </c>
      <c r="F2159">
        <v>930622.05</v>
      </c>
      <c r="G2159" s="8" t="s">
        <v>1362</v>
      </c>
      <c r="K2159" s="2"/>
      <c r="L2159" s="232">
        <v>44145</v>
      </c>
      <c r="N2159">
        <f t="shared" si="30"/>
        <v>864.78</v>
      </c>
    </row>
    <row r="2160" spans="1:14" hidden="1">
      <c r="A2160" s="232">
        <v>44146</v>
      </c>
      <c r="C2160" t="s">
        <v>3090</v>
      </c>
      <c r="D2160" s="1">
        <v>300</v>
      </c>
      <c r="E2160" s="1">
        <v>0</v>
      </c>
      <c r="F2160">
        <v>930322.05</v>
      </c>
      <c r="K2160" s="2"/>
      <c r="L2160" s="232">
        <v>44146</v>
      </c>
      <c r="N2160">
        <f t="shared" si="30"/>
        <v>300</v>
      </c>
    </row>
    <row r="2161" spans="1:14" hidden="1">
      <c r="A2161" s="232">
        <v>44151</v>
      </c>
      <c r="C2161" t="s">
        <v>3091</v>
      </c>
      <c r="D2161" s="1">
        <v>80</v>
      </c>
      <c r="E2161" s="1">
        <v>0</v>
      </c>
      <c r="F2161">
        <v>930242.05</v>
      </c>
      <c r="K2161" s="2"/>
      <c r="L2161" s="232">
        <v>44151</v>
      </c>
      <c r="N2161">
        <f t="shared" si="30"/>
        <v>80</v>
      </c>
    </row>
    <row r="2162" spans="1:14" hidden="1">
      <c r="A2162" s="232">
        <v>44151</v>
      </c>
      <c r="C2162" t="s">
        <v>3092</v>
      </c>
      <c r="D2162" s="1">
        <v>5000</v>
      </c>
      <c r="E2162" s="1">
        <v>0</v>
      </c>
      <c r="F2162">
        <v>925242.05</v>
      </c>
      <c r="K2162" s="2"/>
      <c r="L2162" s="232">
        <v>44151</v>
      </c>
      <c r="N2162">
        <f t="shared" si="30"/>
        <v>5000</v>
      </c>
    </row>
    <row r="2163" spans="1:14" hidden="1">
      <c r="A2163" s="232">
        <v>44151</v>
      </c>
      <c r="C2163" t="s">
        <v>3093</v>
      </c>
      <c r="D2163" s="1">
        <v>920</v>
      </c>
      <c r="E2163" s="1">
        <v>0</v>
      </c>
      <c r="F2163">
        <v>924322.05</v>
      </c>
      <c r="K2163" s="2"/>
      <c r="L2163" s="232">
        <v>44151</v>
      </c>
      <c r="N2163">
        <f t="shared" si="30"/>
        <v>920</v>
      </c>
    </row>
    <row r="2164" spans="1:14" hidden="1">
      <c r="A2164" s="232">
        <v>44152</v>
      </c>
      <c r="C2164" t="s">
        <v>3094</v>
      </c>
      <c r="D2164" s="1">
        <v>287</v>
      </c>
      <c r="E2164" s="1">
        <v>0</v>
      </c>
      <c r="F2164">
        <v>924035.05</v>
      </c>
      <c r="K2164" s="2"/>
      <c r="L2164" s="232">
        <v>44152</v>
      </c>
      <c r="N2164">
        <f t="shared" si="30"/>
        <v>287</v>
      </c>
    </row>
    <row r="2165" spans="1:14" hidden="1">
      <c r="A2165" s="232">
        <v>44152</v>
      </c>
      <c r="B2165" t="s">
        <v>1938</v>
      </c>
      <c r="C2165" t="s">
        <v>3095</v>
      </c>
      <c r="D2165" s="1">
        <v>0</v>
      </c>
      <c r="E2165" s="1">
        <v>952803.01</v>
      </c>
      <c r="F2165">
        <v>1876838.06</v>
      </c>
      <c r="G2165" s="8" t="s">
        <v>1375</v>
      </c>
      <c r="K2165" s="2"/>
      <c r="L2165" s="232">
        <v>44152</v>
      </c>
      <c r="N2165">
        <f t="shared" si="30"/>
        <v>0</v>
      </c>
    </row>
    <row r="2166" spans="1:14" hidden="1">
      <c r="A2166" s="232">
        <v>44152</v>
      </c>
      <c r="B2166" t="s">
        <v>1938</v>
      </c>
      <c r="C2166" t="s">
        <v>3096</v>
      </c>
      <c r="D2166" s="1">
        <v>0</v>
      </c>
      <c r="E2166" s="1">
        <v>312896.87</v>
      </c>
      <c r="F2166">
        <v>2189734.9300000002</v>
      </c>
      <c r="G2166" s="8" t="s">
        <v>1375</v>
      </c>
      <c r="K2166" s="2"/>
      <c r="L2166" s="232">
        <v>44152</v>
      </c>
      <c r="N2166">
        <f t="shared" si="30"/>
        <v>0</v>
      </c>
    </row>
    <row r="2167" spans="1:14" hidden="1">
      <c r="A2167" s="232">
        <v>44153</v>
      </c>
      <c r="B2167" t="s">
        <v>1914</v>
      </c>
      <c r="C2167" t="s">
        <v>3097</v>
      </c>
      <c r="D2167" s="1">
        <v>10000</v>
      </c>
      <c r="E2167" s="1">
        <v>0</v>
      </c>
      <c r="F2167">
        <v>2179734.9300000002</v>
      </c>
      <c r="G2167" s="8" t="s">
        <v>1372</v>
      </c>
      <c r="K2167" s="2"/>
      <c r="L2167" s="232">
        <v>44153</v>
      </c>
      <c r="N2167">
        <f t="shared" si="30"/>
        <v>10000</v>
      </c>
    </row>
    <row r="2168" spans="1:14" hidden="1">
      <c r="A2168" s="232">
        <v>44155</v>
      </c>
      <c r="C2168" t="s">
        <v>3098</v>
      </c>
      <c r="D2168" s="1">
        <v>1631</v>
      </c>
      <c r="E2168" s="1">
        <v>0</v>
      </c>
      <c r="F2168">
        <v>2178103.9300000002</v>
      </c>
      <c r="K2168" s="2"/>
      <c r="L2168" s="232">
        <v>44155</v>
      </c>
      <c r="N2168">
        <f t="shared" si="30"/>
        <v>1631</v>
      </c>
    </row>
    <row r="2169" spans="1:14" hidden="1">
      <c r="A2169" s="232">
        <v>44161</v>
      </c>
      <c r="C2169" t="s">
        <v>3099</v>
      </c>
      <c r="D2169" s="1">
        <v>0</v>
      </c>
      <c r="E2169" s="1">
        <v>234258</v>
      </c>
      <c r="F2169">
        <v>2412361.9300000002</v>
      </c>
      <c r="G2169" s="8" t="s">
        <v>1380</v>
      </c>
      <c r="K2169" s="2"/>
      <c r="L2169" s="232">
        <v>44161</v>
      </c>
      <c r="N2169">
        <f t="shared" si="30"/>
        <v>0</v>
      </c>
    </row>
    <row r="2170" spans="1:14" hidden="1">
      <c r="A2170" s="232">
        <v>44161</v>
      </c>
      <c r="C2170" t="s">
        <v>3100</v>
      </c>
      <c r="D2170" s="1">
        <v>25000</v>
      </c>
      <c r="E2170" s="1">
        <v>0</v>
      </c>
      <c r="F2170">
        <v>2387361.9300000002</v>
      </c>
      <c r="G2170" s="8" t="s">
        <v>1363</v>
      </c>
      <c r="K2170" s="2"/>
      <c r="L2170" s="232">
        <v>44161</v>
      </c>
      <c r="N2170">
        <f t="shared" si="30"/>
        <v>25000</v>
      </c>
    </row>
    <row r="2171" spans="1:14" hidden="1">
      <c r="A2171" s="232">
        <v>44161</v>
      </c>
      <c r="C2171" t="s">
        <v>3101</v>
      </c>
      <c r="D2171" s="1">
        <v>25000</v>
      </c>
      <c r="E2171" s="1">
        <v>0</v>
      </c>
      <c r="F2171">
        <v>2362361.9300000002</v>
      </c>
      <c r="G2171" s="8" t="s">
        <v>1363</v>
      </c>
      <c r="K2171" s="2"/>
      <c r="L2171" s="232">
        <v>44161</v>
      </c>
      <c r="N2171">
        <f t="shared" si="30"/>
        <v>25000</v>
      </c>
    </row>
    <row r="2172" spans="1:14" hidden="1">
      <c r="A2172" s="232">
        <v>44161</v>
      </c>
      <c r="C2172" t="s">
        <v>3102</v>
      </c>
      <c r="D2172" s="1">
        <v>25000</v>
      </c>
      <c r="E2172" s="1">
        <v>0</v>
      </c>
      <c r="F2172">
        <v>2337361.9300000002</v>
      </c>
      <c r="G2172" s="8" t="s">
        <v>1363</v>
      </c>
      <c r="K2172" s="2"/>
      <c r="L2172" s="232">
        <v>44161</v>
      </c>
      <c r="N2172">
        <f t="shared" si="30"/>
        <v>25000</v>
      </c>
    </row>
    <row r="2173" spans="1:14" hidden="1">
      <c r="A2173" s="232">
        <v>44161</v>
      </c>
      <c r="C2173" t="s">
        <v>3103</v>
      </c>
      <c r="D2173" s="1">
        <v>25000</v>
      </c>
      <c r="E2173" s="1">
        <v>0</v>
      </c>
      <c r="F2173">
        <v>2312361.9300000002</v>
      </c>
      <c r="G2173" s="8" t="s">
        <v>1363</v>
      </c>
      <c r="K2173" s="2"/>
      <c r="L2173" s="232">
        <v>44161</v>
      </c>
      <c r="N2173">
        <f t="shared" si="30"/>
        <v>25000</v>
      </c>
    </row>
    <row r="2174" spans="1:14" hidden="1">
      <c r="A2174" s="232">
        <v>44162</v>
      </c>
      <c r="C2174" t="s">
        <v>3104</v>
      </c>
      <c r="D2174" s="1">
        <v>0</v>
      </c>
      <c r="E2174" s="1">
        <v>100000</v>
      </c>
      <c r="F2174">
        <v>2412361.9300000002</v>
      </c>
      <c r="G2174" s="8" t="s">
        <v>1375</v>
      </c>
      <c r="K2174" s="2"/>
      <c r="L2174" s="232">
        <v>44162</v>
      </c>
      <c r="N2174">
        <f t="shared" si="30"/>
        <v>0</v>
      </c>
    </row>
    <row r="2175" spans="1:14" hidden="1">
      <c r="A2175" s="232">
        <v>44162</v>
      </c>
      <c r="C2175" t="s">
        <v>3105</v>
      </c>
      <c r="D2175" s="1">
        <v>0</v>
      </c>
      <c r="E2175" s="1">
        <v>50000</v>
      </c>
      <c r="F2175">
        <v>2462361.9300000002</v>
      </c>
      <c r="G2175" s="8" t="s">
        <v>1375</v>
      </c>
      <c r="K2175" s="2"/>
      <c r="L2175" s="232">
        <v>44162</v>
      </c>
      <c r="N2175">
        <f t="shared" si="30"/>
        <v>0</v>
      </c>
    </row>
    <row r="2176" spans="1:14" hidden="1">
      <c r="A2176" s="232">
        <v>44162</v>
      </c>
      <c r="C2176" t="s">
        <v>3106</v>
      </c>
      <c r="D2176" s="1">
        <v>60</v>
      </c>
      <c r="E2176" s="1">
        <v>0</v>
      </c>
      <c r="F2176">
        <v>2462301.9300000002</v>
      </c>
      <c r="K2176" s="2"/>
      <c r="L2176" s="232">
        <v>44162</v>
      </c>
      <c r="N2176">
        <f t="shared" si="30"/>
        <v>60</v>
      </c>
    </row>
    <row r="2177" spans="1:14" hidden="1">
      <c r="A2177" s="232">
        <v>44165</v>
      </c>
      <c r="C2177" t="s">
        <v>3107</v>
      </c>
      <c r="D2177" s="1">
        <v>900</v>
      </c>
      <c r="E2177" s="1">
        <v>0</v>
      </c>
      <c r="F2177">
        <v>2461401.9300000002</v>
      </c>
      <c r="K2177" s="2"/>
      <c r="L2177" s="232">
        <v>44165</v>
      </c>
      <c r="N2177">
        <f t="shared" si="30"/>
        <v>900</v>
      </c>
    </row>
    <row r="2178" spans="1:14" hidden="1">
      <c r="A2178" s="232">
        <v>44165</v>
      </c>
      <c r="C2178" t="s">
        <v>3108</v>
      </c>
      <c r="D2178" s="1">
        <v>730</v>
      </c>
      <c r="E2178" s="1">
        <v>0</v>
      </c>
      <c r="F2178">
        <v>2460671.9300000002</v>
      </c>
      <c r="K2178" s="2"/>
      <c r="L2178" s="232">
        <v>44165</v>
      </c>
      <c r="N2178">
        <f t="shared" si="30"/>
        <v>730</v>
      </c>
    </row>
    <row r="2179" spans="1:14" hidden="1">
      <c r="A2179" s="232">
        <v>44165</v>
      </c>
      <c r="C2179" t="s">
        <v>3109</v>
      </c>
      <c r="D2179" s="1">
        <v>280</v>
      </c>
      <c r="E2179" s="1">
        <v>0</v>
      </c>
      <c r="F2179">
        <v>2460391.9300000002</v>
      </c>
      <c r="K2179" s="2"/>
      <c r="L2179" s="232">
        <v>44165</v>
      </c>
      <c r="N2179">
        <f t="shared" si="30"/>
        <v>280</v>
      </c>
    </row>
    <row r="2180" spans="1:14" hidden="1">
      <c r="A2180" s="232">
        <v>44165</v>
      </c>
      <c r="C2180" t="s">
        <v>3110</v>
      </c>
      <c r="D2180" s="1">
        <v>180</v>
      </c>
      <c r="E2180" s="1">
        <v>0</v>
      </c>
      <c r="F2180">
        <v>2460211.9300000002</v>
      </c>
      <c r="K2180" s="2"/>
      <c r="L2180" s="232">
        <v>44165</v>
      </c>
      <c r="N2180">
        <f t="shared" si="30"/>
        <v>180</v>
      </c>
    </row>
    <row r="2181" spans="1:14" hidden="1">
      <c r="A2181" s="232">
        <v>44165</v>
      </c>
      <c r="B2181" t="s">
        <v>1938</v>
      </c>
      <c r="C2181" t="s">
        <v>3111</v>
      </c>
      <c r="D2181" s="1">
        <v>2000</v>
      </c>
      <c r="E2181" s="1">
        <v>0</v>
      </c>
      <c r="F2181">
        <v>2458211.9300000002</v>
      </c>
      <c r="G2181" s="8" t="s">
        <v>1372</v>
      </c>
      <c r="K2181" s="2"/>
      <c r="L2181" s="232">
        <v>44165</v>
      </c>
      <c r="N2181">
        <f t="shared" si="30"/>
        <v>2000</v>
      </c>
    </row>
    <row r="2182" spans="1:14" hidden="1">
      <c r="A2182" s="232">
        <v>44165</v>
      </c>
      <c r="B2182" t="s">
        <v>1938</v>
      </c>
      <c r="C2182" t="s">
        <v>3112</v>
      </c>
      <c r="D2182" s="1">
        <v>300000</v>
      </c>
      <c r="E2182" s="1">
        <v>0</v>
      </c>
      <c r="F2182">
        <v>2158211.9300000002</v>
      </c>
      <c r="G2182" s="8" t="s">
        <v>1381</v>
      </c>
      <c r="K2182" s="2"/>
      <c r="L2182" s="232">
        <v>44165</v>
      </c>
      <c r="N2182">
        <f t="shared" si="30"/>
        <v>300000</v>
      </c>
    </row>
    <row r="2183" spans="1:14" hidden="1">
      <c r="A2183" s="232">
        <v>44167</v>
      </c>
      <c r="B2183" t="s">
        <v>1997</v>
      </c>
      <c r="C2183" t="s">
        <v>3113</v>
      </c>
      <c r="D2183" s="1">
        <v>9239</v>
      </c>
      <c r="E2183" s="1">
        <v>0</v>
      </c>
      <c r="F2183">
        <v>2148972.9300000002</v>
      </c>
      <c r="K2183" s="2"/>
      <c r="L2183" s="232">
        <v>44167</v>
      </c>
      <c r="N2183">
        <f t="shared" si="30"/>
        <v>9239</v>
      </c>
    </row>
    <row r="2184" spans="1:14" hidden="1">
      <c r="A2184" s="232">
        <v>44169</v>
      </c>
      <c r="C2184" t="s">
        <v>3114</v>
      </c>
      <c r="D2184" s="1">
        <v>1999</v>
      </c>
      <c r="E2184" s="1">
        <v>0</v>
      </c>
      <c r="F2184">
        <v>2146973.9300000002</v>
      </c>
      <c r="K2184" s="2"/>
      <c r="L2184" s="232">
        <v>44169</v>
      </c>
      <c r="N2184">
        <f t="shared" si="30"/>
        <v>1999</v>
      </c>
    </row>
    <row r="2185" spans="1:14" hidden="1">
      <c r="A2185" s="232">
        <v>44172</v>
      </c>
      <c r="C2185" t="s">
        <v>3115</v>
      </c>
      <c r="D2185" s="1">
        <v>765</v>
      </c>
      <c r="E2185" s="1">
        <v>0</v>
      </c>
      <c r="F2185">
        <v>2146208.9300000002</v>
      </c>
      <c r="K2185" s="2"/>
      <c r="L2185" s="232">
        <v>44172</v>
      </c>
      <c r="N2185">
        <f t="shared" si="30"/>
        <v>765</v>
      </c>
    </row>
    <row r="2186" spans="1:14" hidden="1">
      <c r="A2186" s="232">
        <v>44173</v>
      </c>
      <c r="B2186" t="s">
        <v>1914</v>
      </c>
      <c r="C2186" t="s">
        <v>3116</v>
      </c>
      <c r="D2186" s="1">
        <v>10000</v>
      </c>
      <c r="E2186" s="1">
        <v>0</v>
      </c>
      <c r="F2186">
        <v>2136208.9300000002</v>
      </c>
      <c r="G2186" s="8" t="s">
        <v>1372</v>
      </c>
      <c r="K2186" s="2"/>
      <c r="L2186" s="232">
        <v>44173</v>
      </c>
      <c r="N2186">
        <f t="shared" si="30"/>
        <v>10000</v>
      </c>
    </row>
    <row r="2187" spans="1:14" hidden="1">
      <c r="A2187" s="232">
        <v>44175</v>
      </c>
      <c r="C2187" t="s">
        <v>3117</v>
      </c>
      <c r="D2187" s="1">
        <v>2000</v>
      </c>
      <c r="E2187" s="1">
        <v>0</v>
      </c>
      <c r="F2187">
        <v>2134208.9300000002</v>
      </c>
      <c r="K2187" s="2"/>
      <c r="L2187" s="232">
        <v>44175</v>
      </c>
      <c r="N2187">
        <f t="shared" ref="N2187:N2250" si="31">D2187*1</f>
        <v>2000</v>
      </c>
    </row>
    <row r="2188" spans="1:14" hidden="1">
      <c r="A2188" s="232">
        <v>44176</v>
      </c>
      <c r="B2188" t="s">
        <v>2737</v>
      </c>
      <c r="C2188" t="s">
        <v>2738</v>
      </c>
      <c r="D2188" s="1">
        <v>8881</v>
      </c>
      <c r="E2188" s="1">
        <v>0</v>
      </c>
      <c r="F2188">
        <v>2125327.9300000002</v>
      </c>
      <c r="G2188" s="8" t="s">
        <v>1362</v>
      </c>
      <c r="K2188" s="2"/>
      <c r="L2188" s="232">
        <v>44176</v>
      </c>
      <c r="N2188">
        <f t="shared" si="31"/>
        <v>8881</v>
      </c>
    </row>
    <row r="2189" spans="1:14" hidden="1">
      <c r="A2189" s="232">
        <v>44179</v>
      </c>
      <c r="C2189" t="s">
        <v>3118</v>
      </c>
      <c r="D2189" s="1">
        <v>294</v>
      </c>
      <c r="E2189" s="1">
        <v>0</v>
      </c>
      <c r="F2189">
        <v>2125033.9300000002</v>
      </c>
      <c r="K2189" s="2"/>
      <c r="L2189" s="232">
        <v>44179</v>
      </c>
      <c r="N2189">
        <f t="shared" si="31"/>
        <v>294</v>
      </c>
    </row>
    <row r="2190" spans="1:14" hidden="1">
      <c r="A2190" s="232">
        <v>44179</v>
      </c>
      <c r="C2190" t="s">
        <v>3119</v>
      </c>
      <c r="D2190" s="1">
        <v>38</v>
      </c>
      <c r="E2190" s="1">
        <v>0</v>
      </c>
      <c r="F2190">
        <v>2124995.9300000002</v>
      </c>
      <c r="K2190" s="2"/>
      <c r="L2190" s="232">
        <v>44179</v>
      </c>
      <c r="N2190">
        <f t="shared" si="31"/>
        <v>38</v>
      </c>
    </row>
    <row r="2191" spans="1:14" hidden="1">
      <c r="A2191" s="232">
        <v>44181</v>
      </c>
      <c r="C2191" t="s">
        <v>3120</v>
      </c>
      <c r="D2191" s="1">
        <v>195</v>
      </c>
      <c r="E2191" s="1">
        <v>0</v>
      </c>
      <c r="F2191">
        <v>2124800.9300000002</v>
      </c>
      <c r="K2191" s="2"/>
      <c r="L2191" s="232">
        <v>44181</v>
      </c>
      <c r="N2191">
        <f t="shared" si="31"/>
        <v>195</v>
      </c>
    </row>
    <row r="2192" spans="1:14" hidden="1">
      <c r="A2192" s="232">
        <v>44183</v>
      </c>
      <c r="B2192" t="s">
        <v>1914</v>
      </c>
      <c r="C2192" t="s">
        <v>3121</v>
      </c>
      <c r="D2192" s="1">
        <v>10000</v>
      </c>
      <c r="E2192" s="1">
        <v>0</v>
      </c>
      <c r="F2192">
        <v>2114800.9300000002</v>
      </c>
      <c r="G2192" s="8" t="s">
        <v>1372</v>
      </c>
      <c r="K2192" s="2"/>
      <c r="L2192" s="232">
        <v>44183</v>
      </c>
      <c r="N2192">
        <f t="shared" si="31"/>
        <v>10000</v>
      </c>
    </row>
    <row r="2193" spans="1:14" hidden="1">
      <c r="A2193" s="232">
        <v>44183</v>
      </c>
      <c r="C2193" t="s">
        <v>3122</v>
      </c>
      <c r="D2193" s="1">
        <v>236</v>
      </c>
      <c r="E2193" s="1">
        <v>0</v>
      </c>
      <c r="F2193">
        <v>2114564.9300000002</v>
      </c>
      <c r="K2193" s="2"/>
      <c r="L2193" s="232">
        <v>44183</v>
      </c>
      <c r="N2193">
        <f t="shared" si="31"/>
        <v>236</v>
      </c>
    </row>
    <row r="2194" spans="1:14" hidden="1">
      <c r="A2194" s="232">
        <v>44184</v>
      </c>
      <c r="C2194" t="s">
        <v>3123</v>
      </c>
      <c r="D2194" s="1">
        <v>1580</v>
      </c>
      <c r="E2194" s="1">
        <v>0</v>
      </c>
      <c r="F2194">
        <v>2112984.9300000002</v>
      </c>
      <c r="K2194" s="2"/>
      <c r="L2194" s="232">
        <v>44184</v>
      </c>
      <c r="N2194">
        <f t="shared" si="31"/>
        <v>1580</v>
      </c>
    </row>
    <row r="2195" spans="1:14" hidden="1">
      <c r="A2195" s="232">
        <v>44186</v>
      </c>
      <c r="C2195" t="s">
        <v>3124</v>
      </c>
      <c r="D2195" s="1">
        <v>220</v>
      </c>
      <c r="E2195" s="1">
        <v>0</v>
      </c>
      <c r="F2195">
        <v>2112764.9300000002</v>
      </c>
      <c r="K2195" s="2"/>
      <c r="L2195" s="232">
        <v>44186</v>
      </c>
      <c r="N2195">
        <f t="shared" si="31"/>
        <v>220</v>
      </c>
    </row>
    <row r="2196" spans="1:14" hidden="1">
      <c r="A2196" s="232">
        <v>44187</v>
      </c>
      <c r="C2196" t="s">
        <v>3125</v>
      </c>
      <c r="D2196" s="1">
        <v>417</v>
      </c>
      <c r="E2196" s="1">
        <v>0</v>
      </c>
      <c r="F2196">
        <v>2112347.9300000002</v>
      </c>
      <c r="K2196" s="2"/>
      <c r="L2196" s="232">
        <v>44187</v>
      </c>
      <c r="N2196">
        <f t="shared" si="31"/>
        <v>417</v>
      </c>
    </row>
    <row r="2197" spans="1:14" hidden="1">
      <c r="A2197" s="232">
        <v>44189</v>
      </c>
      <c r="C2197" t="s">
        <v>3126</v>
      </c>
      <c r="D2197" s="1">
        <v>0</v>
      </c>
      <c r="E2197" s="1">
        <v>239776</v>
      </c>
      <c r="F2197">
        <v>2352123.9300000002</v>
      </c>
      <c r="G2197" s="8" t="s">
        <v>1380</v>
      </c>
      <c r="K2197" s="2"/>
      <c r="L2197" s="232">
        <v>44189</v>
      </c>
      <c r="N2197">
        <f t="shared" si="31"/>
        <v>0</v>
      </c>
    </row>
    <row r="2198" spans="1:14" hidden="1">
      <c r="A2198" s="232">
        <v>44189</v>
      </c>
      <c r="C2198" t="s">
        <v>3127</v>
      </c>
      <c r="D2198" s="1">
        <v>25000</v>
      </c>
      <c r="E2198" s="1">
        <v>0</v>
      </c>
      <c r="F2198">
        <v>2327123.9300000002</v>
      </c>
      <c r="G2198" s="8" t="s">
        <v>1363</v>
      </c>
      <c r="K2198" s="2"/>
      <c r="L2198" s="232">
        <v>44189</v>
      </c>
      <c r="N2198">
        <f t="shared" si="31"/>
        <v>25000</v>
      </c>
    </row>
    <row r="2199" spans="1:14" hidden="1">
      <c r="A2199" s="232">
        <v>44189</v>
      </c>
      <c r="C2199" t="s">
        <v>3128</v>
      </c>
      <c r="D2199" s="1">
        <v>25000</v>
      </c>
      <c r="E2199" s="1">
        <v>0</v>
      </c>
      <c r="F2199">
        <v>2302123.9300000002</v>
      </c>
      <c r="G2199" s="8" t="s">
        <v>1363</v>
      </c>
      <c r="K2199" s="2"/>
      <c r="L2199" s="232">
        <v>44189</v>
      </c>
      <c r="N2199">
        <f t="shared" si="31"/>
        <v>25000</v>
      </c>
    </row>
    <row r="2200" spans="1:14" hidden="1">
      <c r="A2200" s="232">
        <v>44189</v>
      </c>
      <c r="C2200" t="s">
        <v>3129</v>
      </c>
      <c r="D2200" s="1">
        <v>25000</v>
      </c>
      <c r="E2200" s="1">
        <v>0</v>
      </c>
      <c r="F2200">
        <v>2277123.9300000002</v>
      </c>
      <c r="G2200" s="8" t="s">
        <v>1363</v>
      </c>
      <c r="K2200" s="2"/>
      <c r="L2200" s="232">
        <v>44189</v>
      </c>
      <c r="N2200">
        <f t="shared" si="31"/>
        <v>25000</v>
      </c>
    </row>
    <row r="2201" spans="1:14" hidden="1">
      <c r="A2201" s="232">
        <v>44189</v>
      </c>
      <c r="C2201" t="s">
        <v>3130</v>
      </c>
      <c r="D2201" s="1">
        <v>25000</v>
      </c>
      <c r="E2201" s="1">
        <v>0</v>
      </c>
      <c r="F2201">
        <v>2252123.9300000002</v>
      </c>
      <c r="G2201" s="8" t="s">
        <v>1363</v>
      </c>
      <c r="K2201" s="2"/>
      <c r="L2201" s="232">
        <v>44189</v>
      </c>
      <c r="N2201">
        <f t="shared" si="31"/>
        <v>25000</v>
      </c>
    </row>
    <row r="2202" spans="1:14" hidden="1">
      <c r="A2202" s="232">
        <v>44193</v>
      </c>
      <c r="C2202" t="s">
        <v>3131</v>
      </c>
      <c r="D2202" s="1">
        <v>300</v>
      </c>
      <c r="E2202" s="1">
        <v>0</v>
      </c>
      <c r="F2202">
        <v>2251823.9300000002</v>
      </c>
      <c r="K2202" s="2"/>
      <c r="L2202" s="232">
        <v>44193</v>
      </c>
      <c r="N2202">
        <f t="shared" si="31"/>
        <v>300</v>
      </c>
    </row>
    <row r="2203" spans="1:14" hidden="1">
      <c r="A2203" s="232">
        <v>44193</v>
      </c>
      <c r="B2203" t="s">
        <v>1938</v>
      </c>
      <c r="C2203" t="s">
        <v>3132</v>
      </c>
      <c r="D2203" s="1">
        <v>2000</v>
      </c>
      <c r="E2203" s="1">
        <v>0</v>
      </c>
      <c r="F2203">
        <v>2249823.9300000002</v>
      </c>
      <c r="G2203" s="8" t="s">
        <v>1372</v>
      </c>
      <c r="K2203" s="2"/>
      <c r="L2203" s="232">
        <v>44193</v>
      </c>
      <c r="N2203">
        <f t="shared" si="31"/>
        <v>2000</v>
      </c>
    </row>
    <row r="2204" spans="1:14" hidden="1">
      <c r="A2204" s="232">
        <v>44194</v>
      </c>
      <c r="C2204" t="s">
        <v>3133</v>
      </c>
      <c r="D2204" s="1">
        <v>97</v>
      </c>
      <c r="E2204" s="1">
        <v>0</v>
      </c>
      <c r="F2204">
        <v>2249726.9300000002</v>
      </c>
      <c r="K2204" s="2"/>
      <c r="L2204" s="232">
        <v>44194</v>
      </c>
      <c r="N2204">
        <f t="shared" si="31"/>
        <v>97</v>
      </c>
    </row>
    <row r="2205" spans="1:14" hidden="1">
      <c r="A2205" s="232">
        <v>44195</v>
      </c>
      <c r="C2205" t="s">
        <v>3134</v>
      </c>
      <c r="D2205" s="1">
        <v>0</v>
      </c>
      <c r="E2205" s="1">
        <v>12155</v>
      </c>
      <c r="F2205">
        <v>2261881.9300000002</v>
      </c>
      <c r="G2205" s="8" t="s">
        <v>1368</v>
      </c>
      <c r="K2205" s="2"/>
      <c r="L2205" s="232">
        <v>44195</v>
      </c>
      <c r="N2205">
        <f t="shared" si="31"/>
        <v>0</v>
      </c>
    </row>
    <row r="2206" spans="1:14" hidden="1">
      <c r="A2206" s="232">
        <v>44196</v>
      </c>
      <c r="B2206" t="s">
        <v>1938</v>
      </c>
      <c r="C2206" t="s">
        <v>3135</v>
      </c>
      <c r="D2206" s="1">
        <v>0</v>
      </c>
      <c r="E2206" s="1">
        <v>6273.33</v>
      </c>
      <c r="F2206">
        <v>2268155.2599999998</v>
      </c>
      <c r="G2206" s="8" t="s">
        <v>1375</v>
      </c>
      <c r="K2206" s="2"/>
      <c r="L2206" s="232">
        <v>44196</v>
      </c>
      <c r="N2206">
        <f t="shared" si="31"/>
        <v>0</v>
      </c>
    </row>
    <row r="2207" spans="1:14" hidden="1">
      <c r="A2207" s="232">
        <v>44196</v>
      </c>
      <c r="B2207" t="s">
        <v>1938</v>
      </c>
      <c r="C2207" t="s">
        <v>2950</v>
      </c>
      <c r="D2207" s="1">
        <v>0</v>
      </c>
      <c r="E2207" s="1">
        <v>391840.55</v>
      </c>
      <c r="F2207">
        <v>2659995.81</v>
      </c>
      <c r="G2207" s="8" t="s">
        <v>1375</v>
      </c>
      <c r="K2207" s="2"/>
      <c r="L2207" s="232">
        <v>44196</v>
      </c>
      <c r="N2207">
        <f t="shared" si="31"/>
        <v>0</v>
      </c>
    </row>
    <row r="2208" spans="1:14" hidden="1">
      <c r="A2208" s="232">
        <v>44197</v>
      </c>
      <c r="C2208" t="s">
        <v>3136</v>
      </c>
      <c r="D2208" s="1">
        <v>0</v>
      </c>
      <c r="E2208" s="1">
        <v>52243.85</v>
      </c>
      <c r="F2208">
        <v>2712239.66</v>
      </c>
      <c r="G2208" s="8" t="s">
        <v>1375</v>
      </c>
      <c r="K2208" s="2"/>
      <c r="L2208" s="232">
        <v>44197</v>
      </c>
      <c r="N2208">
        <f t="shared" si="31"/>
        <v>0</v>
      </c>
    </row>
    <row r="2209" spans="1:14" hidden="1">
      <c r="A2209" s="232">
        <v>44197</v>
      </c>
      <c r="C2209" t="s">
        <v>3137</v>
      </c>
      <c r="D2209" s="1">
        <v>80</v>
      </c>
      <c r="E2209" s="1">
        <v>0</v>
      </c>
      <c r="F2209">
        <v>2712159.66</v>
      </c>
      <c r="K2209" s="2"/>
      <c r="L2209" s="232">
        <v>44197</v>
      </c>
      <c r="N2209">
        <f t="shared" si="31"/>
        <v>80</v>
      </c>
    </row>
    <row r="2210" spans="1:14" hidden="1">
      <c r="A2210" s="232">
        <v>44197</v>
      </c>
      <c r="C2210" t="s">
        <v>3138</v>
      </c>
      <c r="D2210" s="1">
        <v>265</v>
      </c>
      <c r="E2210" s="1">
        <v>0</v>
      </c>
      <c r="F2210">
        <v>2711894.66</v>
      </c>
      <c r="K2210" s="2"/>
      <c r="L2210" s="232">
        <v>44197</v>
      </c>
      <c r="N2210">
        <f t="shared" si="31"/>
        <v>265</v>
      </c>
    </row>
    <row r="2211" spans="1:14" hidden="1">
      <c r="A2211" s="232">
        <v>44197</v>
      </c>
      <c r="C2211" t="s">
        <v>3139</v>
      </c>
      <c r="D2211" s="1">
        <v>69</v>
      </c>
      <c r="E2211" s="1">
        <v>0</v>
      </c>
      <c r="F2211">
        <v>2711825.66</v>
      </c>
      <c r="K2211" s="2"/>
      <c r="L2211" s="232">
        <v>44197</v>
      </c>
      <c r="N2211">
        <f t="shared" si="31"/>
        <v>69</v>
      </c>
    </row>
    <row r="2212" spans="1:14" hidden="1">
      <c r="A2212" s="232">
        <v>44200</v>
      </c>
      <c r="B2212" t="s">
        <v>1997</v>
      </c>
      <c r="C2212" t="s">
        <v>3140</v>
      </c>
      <c r="D2212" s="1">
        <v>8999</v>
      </c>
      <c r="E2212" s="1">
        <v>0</v>
      </c>
      <c r="F2212">
        <v>2702826.66</v>
      </c>
      <c r="K2212" s="2"/>
      <c r="L2212" s="232">
        <v>44200</v>
      </c>
      <c r="N2212">
        <f t="shared" si="31"/>
        <v>8999</v>
      </c>
    </row>
    <row r="2213" spans="1:14" hidden="1">
      <c r="A2213" s="232">
        <v>44201</v>
      </c>
      <c r="C2213" t="s">
        <v>3141</v>
      </c>
      <c r="D2213" s="1">
        <v>302</v>
      </c>
      <c r="E2213" s="1">
        <v>0</v>
      </c>
      <c r="F2213">
        <v>2702524.66</v>
      </c>
      <c r="K2213" s="2"/>
      <c r="L2213" s="232">
        <v>44201</v>
      </c>
      <c r="N2213">
        <f t="shared" si="31"/>
        <v>302</v>
      </c>
    </row>
    <row r="2214" spans="1:14" hidden="1">
      <c r="A2214" s="232">
        <v>44201</v>
      </c>
      <c r="C2214" t="s">
        <v>3142</v>
      </c>
      <c r="D2214" s="1">
        <v>30211.08</v>
      </c>
      <c r="E2214" s="1">
        <v>0</v>
      </c>
      <c r="F2214">
        <v>2672313.58</v>
      </c>
      <c r="G2214" s="8" t="s">
        <v>1370</v>
      </c>
      <c r="K2214" s="2"/>
      <c r="L2214" s="232">
        <v>44201</v>
      </c>
      <c r="N2214">
        <f t="shared" si="31"/>
        <v>30211.08</v>
      </c>
    </row>
    <row r="2215" spans="1:14" hidden="1">
      <c r="A2215" s="232">
        <v>44203</v>
      </c>
      <c r="C2215" t="s">
        <v>3143</v>
      </c>
      <c r="D2215" s="1">
        <v>2000</v>
      </c>
      <c r="E2215" s="1">
        <v>0</v>
      </c>
      <c r="F2215">
        <v>2670313.58</v>
      </c>
      <c r="K2215" s="2"/>
      <c r="L2215" s="232">
        <v>44203</v>
      </c>
      <c r="N2215">
        <f t="shared" si="31"/>
        <v>2000</v>
      </c>
    </row>
    <row r="2216" spans="1:14" hidden="1">
      <c r="A2216" s="232">
        <v>44203</v>
      </c>
      <c r="C2216" t="s">
        <v>3144</v>
      </c>
      <c r="D2216" s="1">
        <v>30</v>
      </c>
      <c r="E2216" s="1">
        <v>0</v>
      </c>
      <c r="F2216">
        <v>2670283.58</v>
      </c>
      <c r="K2216" s="2"/>
      <c r="L2216" s="232">
        <v>44203</v>
      </c>
      <c r="N2216">
        <f t="shared" si="31"/>
        <v>30</v>
      </c>
    </row>
    <row r="2217" spans="1:14" hidden="1">
      <c r="A2217" s="232">
        <v>44203</v>
      </c>
      <c r="C2217" t="s">
        <v>3145</v>
      </c>
      <c r="D2217" s="1">
        <v>60</v>
      </c>
      <c r="E2217" s="1">
        <v>0</v>
      </c>
      <c r="F2217">
        <v>2670223.58</v>
      </c>
      <c r="K2217" s="2"/>
      <c r="L2217" s="232">
        <v>44203</v>
      </c>
      <c r="N2217">
        <f t="shared" si="31"/>
        <v>60</v>
      </c>
    </row>
    <row r="2218" spans="1:14" hidden="1">
      <c r="A2218" s="232">
        <v>44204</v>
      </c>
      <c r="B2218" t="s">
        <v>1914</v>
      </c>
      <c r="C2218" t="s">
        <v>3146</v>
      </c>
      <c r="D2218" s="1">
        <v>10000</v>
      </c>
      <c r="E2218" s="1">
        <v>0</v>
      </c>
      <c r="F2218">
        <v>2660223.58</v>
      </c>
      <c r="G2218" s="8" t="s">
        <v>1372</v>
      </c>
      <c r="K2218" s="2"/>
      <c r="L2218" s="232">
        <v>44204</v>
      </c>
      <c r="N2218">
        <f t="shared" si="31"/>
        <v>10000</v>
      </c>
    </row>
    <row r="2219" spans="1:14" hidden="1">
      <c r="A2219" s="232">
        <v>44204</v>
      </c>
      <c r="B2219" t="s">
        <v>1938</v>
      </c>
      <c r="C2219" t="s">
        <v>3147</v>
      </c>
      <c r="D2219" s="1">
        <v>0</v>
      </c>
      <c r="E2219" s="1">
        <v>350252.5</v>
      </c>
      <c r="F2219">
        <v>3010476.08</v>
      </c>
      <c r="G2219" s="8" t="s">
        <v>1375</v>
      </c>
      <c r="K2219" s="2"/>
      <c r="L2219" s="232">
        <v>44204</v>
      </c>
      <c r="N2219">
        <f t="shared" si="31"/>
        <v>0</v>
      </c>
    </row>
    <row r="2220" spans="1:14" hidden="1">
      <c r="A2220" s="232">
        <v>44204</v>
      </c>
      <c r="C2220" t="s">
        <v>3148</v>
      </c>
      <c r="D2220" s="1">
        <v>240</v>
      </c>
      <c r="E2220" s="1">
        <v>0</v>
      </c>
      <c r="F2220">
        <v>3010236.08</v>
      </c>
      <c r="K2220" s="2"/>
      <c r="L2220" s="232">
        <v>44204</v>
      </c>
      <c r="N2220">
        <f t="shared" si="31"/>
        <v>240</v>
      </c>
    </row>
    <row r="2221" spans="1:14" hidden="1">
      <c r="A2221" s="232">
        <v>44207</v>
      </c>
      <c r="B2221" t="s">
        <v>1914</v>
      </c>
      <c r="C2221" t="s">
        <v>3149</v>
      </c>
      <c r="D2221" s="1">
        <v>300000</v>
      </c>
      <c r="E2221" s="1">
        <v>0</v>
      </c>
      <c r="F2221">
        <v>2710236.08</v>
      </c>
      <c r="G2221" s="8" t="s">
        <v>1372</v>
      </c>
      <c r="K2221" s="2"/>
      <c r="L2221" s="232">
        <v>44207</v>
      </c>
      <c r="N2221">
        <f t="shared" si="31"/>
        <v>300000</v>
      </c>
    </row>
    <row r="2222" spans="1:14" hidden="1">
      <c r="A2222" s="232">
        <v>44212</v>
      </c>
      <c r="B2222" t="s">
        <v>1938</v>
      </c>
      <c r="C2222" t="s">
        <v>3150</v>
      </c>
      <c r="D2222" s="1">
        <v>117004</v>
      </c>
      <c r="E2222" s="1">
        <v>0</v>
      </c>
      <c r="F2222">
        <v>2593232.08</v>
      </c>
      <c r="G2222" s="8" t="s">
        <v>1383</v>
      </c>
      <c r="K2222" s="2"/>
      <c r="L2222" s="232">
        <v>44212</v>
      </c>
      <c r="N2222">
        <f t="shared" si="31"/>
        <v>117004</v>
      </c>
    </row>
    <row r="2223" spans="1:14" hidden="1">
      <c r="A2223" s="232">
        <v>44214</v>
      </c>
      <c r="B2223" t="s">
        <v>1914</v>
      </c>
      <c r="C2223" t="s">
        <v>3151</v>
      </c>
      <c r="D2223" s="1">
        <v>10000</v>
      </c>
      <c r="E2223" s="1">
        <v>0</v>
      </c>
      <c r="F2223">
        <v>2583232.08</v>
      </c>
      <c r="G2223" s="8" t="s">
        <v>1372</v>
      </c>
      <c r="K2223" s="2"/>
      <c r="L2223" s="232">
        <v>44214</v>
      </c>
      <c r="N2223">
        <f t="shared" si="31"/>
        <v>10000</v>
      </c>
    </row>
    <row r="2224" spans="1:14" hidden="1">
      <c r="A2224" s="232">
        <v>44214</v>
      </c>
      <c r="C2224" t="s">
        <v>3152</v>
      </c>
      <c r="D2224" s="1">
        <v>105</v>
      </c>
      <c r="E2224" s="1">
        <v>0</v>
      </c>
      <c r="F2224">
        <v>2583127.08</v>
      </c>
      <c r="K2224" s="2"/>
      <c r="L2224" s="232">
        <v>44214</v>
      </c>
      <c r="N2224">
        <f t="shared" si="31"/>
        <v>105</v>
      </c>
    </row>
    <row r="2225" spans="1:14" hidden="1">
      <c r="A2225" s="232">
        <v>44216</v>
      </c>
      <c r="C2225" t="s">
        <v>3153</v>
      </c>
      <c r="D2225" s="1">
        <v>290</v>
      </c>
      <c r="E2225" s="1">
        <v>0</v>
      </c>
      <c r="F2225">
        <v>2582837.08</v>
      </c>
      <c r="K2225" s="2"/>
      <c r="L2225" s="232">
        <v>44216</v>
      </c>
      <c r="N2225">
        <f t="shared" si="31"/>
        <v>290</v>
      </c>
    </row>
    <row r="2226" spans="1:14" hidden="1">
      <c r="A2226" s="232">
        <v>44221</v>
      </c>
      <c r="C2226" t="s">
        <v>3154</v>
      </c>
      <c r="D2226" s="1">
        <v>40</v>
      </c>
      <c r="E2226" s="1">
        <v>0</v>
      </c>
      <c r="F2226">
        <v>2582797.08</v>
      </c>
      <c r="K2226" s="2"/>
      <c r="L2226" s="232">
        <v>44221</v>
      </c>
      <c r="N2226">
        <f t="shared" si="31"/>
        <v>40</v>
      </c>
    </row>
    <row r="2227" spans="1:14" hidden="1">
      <c r="A2227" s="232">
        <v>44221</v>
      </c>
      <c r="C2227" t="s">
        <v>3155</v>
      </c>
      <c r="D2227" s="1">
        <v>1631</v>
      </c>
      <c r="E2227" s="1">
        <v>0</v>
      </c>
      <c r="F2227">
        <v>2581166.0800000001</v>
      </c>
      <c r="K2227" s="2"/>
      <c r="L2227" s="232">
        <v>44221</v>
      </c>
      <c r="N2227">
        <f t="shared" si="31"/>
        <v>1631</v>
      </c>
    </row>
    <row r="2228" spans="1:14" hidden="1">
      <c r="A2228" s="232">
        <v>44221</v>
      </c>
      <c r="C2228" t="s">
        <v>3156</v>
      </c>
      <c r="D2228" s="1">
        <v>0</v>
      </c>
      <c r="E2228" s="1">
        <v>233863</v>
      </c>
      <c r="F2228">
        <v>2815029.08</v>
      </c>
      <c r="G2228" s="8" t="s">
        <v>1380</v>
      </c>
      <c r="K2228" s="2"/>
      <c r="L2228" s="232">
        <v>44221</v>
      </c>
      <c r="N2228">
        <f t="shared" si="31"/>
        <v>0</v>
      </c>
    </row>
    <row r="2229" spans="1:14" hidden="1">
      <c r="A2229" s="232">
        <v>44221</v>
      </c>
      <c r="C2229" t="s">
        <v>3157</v>
      </c>
      <c r="D2229" s="1">
        <v>25000</v>
      </c>
      <c r="E2229" s="1">
        <v>0</v>
      </c>
      <c r="F2229">
        <v>2790029.08</v>
      </c>
      <c r="G2229" s="8" t="s">
        <v>1363</v>
      </c>
      <c r="K2229" s="2"/>
      <c r="L2229" s="232">
        <v>44221</v>
      </c>
      <c r="N2229">
        <f t="shared" si="31"/>
        <v>25000</v>
      </c>
    </row>
    <row r="2230" spans="1:14" hidden="1">
      <c r="A2230" s="232">
        <v>44221</v>
      </c>
      <c r="C2230" t="s">
        <v>3158</v>
      </c>
      <c r="D2230" s="1">
        <v>25000</v>
      </c>
      <c r="E2230" s="1">
        <v>0</v>
      </c>
      <c r="F2230">
        <v>2765029.08</v>
      </c>
      <c r="G2230" s="8" t="s">
        <v>1363</v>
      </c>
      <c r="K2230" s="2"/>
      <c r="L2230" s="232">
        <v>44221</v>
      </c>
      <c r="N2230">
        <f t="shared" si="31"/>
        <v>25000</v>
      </c>
    </row>
    <row r="2231" spans="1:14" hidden="1">
      <c r="A2231" s="232">
        <v>44221</v>
      </c>
      <c r="C2231" t="s">
        <v>3159</v>
      </c>
      <c r="D2231" s="1">
        <v>25000</v>
      </c>
      <c r="E2231" s="1">
        <v>0</v>
      </c>
      <c r="F2231">
        <v>2740029.08</v>
      </c>
      <c r="G2231" s="8" t="s">
        <v>1363</v>
      </c>
      <c r="K2231" s="2"/>
      <c r="L2231" s="232">
        <v>44221</v>
      </c>
      <c r="N2231">
        <f t="shared" si="31"/>
        <v>25000</v>
      </c>
    </row>
    <row r="2232" spans="1:14" hidden="1">
      <c r="A2232" s="232">
        <v>44223</v>
      </c>
      <c r="C2232" t="s">
        <v>3160</v>
      </c>
      <c r="D2232" s="1">
        <v>207</v>
      </c>
      <c r="E2232" s="1">
        <v>0</v>
      </c>
      <c r="F2232">
        <v>2739822.08</v>
      </c>
      <c r="K2232" s="2"/>
      <c r="L2232" s="232">
        <v>44223</v>
      </c>
      <c r="N2232">
        <f t="shared" si="31"/>
        <v>207</v>
      </c>
    </row>
    <row r="2233" spans="1:14" hidden="1">
      <c r="A2233" s="232">
        <v>44223</v>
      </c>
      <c r="C2233" t="s">
        <v>3161</v>
      </c>
      <c r="D2233" s="1">
        <v>25000</v>
      </c>
      <c r="E2233" s="1">
        <v>0</v>
      </c>
      <c r="F2233">
        <v>2714822.08</v>
      </c>
      <c r="G2233" s="8" t="s">
        <v>1363</v>
      </c>
      <c r="K2233" s="2"/>
      <c r="L2233" s="232">
        <v>44223</v>
      </c>
      <c r="N2233">
        <f t="shared" si="31"/>
        <v>25000</v>
      </c>
    </row>
    <row r="2234" spans="1:14" hidden="1">
      <c r="A2234" s="232">
        <v>44224</v>
      </c>
      <c r="B2234" t="s">
        <v>1938</v>
      </c>
      <c r="C2234" t="s">
        <v>3162</v>
      </c>
      <c r="D2234" s="1">
        <v>2000</v>
      </c>
      <c r="E2234" s="1">
        <v>0</v>
      </c>
      <c r="F2234">
        <v>2712822.08</v>
      </c>
      <c r="G2234" s="8" t="s">
        <v>1372</v>
      </c>
      <c r="K2234" s="2"/>
      <c r="L2234" s="232">
        <v>44224</v>
      </c>
      <c r="N2234">
        <f t="shared" si="31"/>
        <v>2000</v>
      </c>
    </row>
    <row r="2235" spans="1:14" hidden="1">
      <c r="A2235" s="232">
        <v>44225</v>
      </c>
      <c r="C2235" t="s">
        <v>3163</v>
      </c>
      <c r="D2235" s="1">
        <v>210</v>
      </c>
      <c r="E2235" s="1">
        <v>0</v>
      </c>
      <c r="F2235">
        <v>2712612.08</v>
      </c>
      <c r="K2235" s="2"/>
      <c r="L2235" s="232">
        <v>44225</v>
      </c>
      <c r="N2235">
        <f t="shared" si="31"/>
        <v>210</v>
      </c>
    </row>
    <row r="2236" spans="1:14" hidden="1">
      <c r="A2236" s="232">
        <v>44226</v>
      </c>
      <c r="C2236" t="s">
        <v>3164</v>
      </c>
      <c r="D2236" s="1">
        <v>11636</v>
      </c>
      <c r="E2236" s="1">
        <v>0</v>
      </c>
      <c r="F2236">
        <v>2700976.08</v>
      </c>
      <c r="K2236" s="2"/>
      <c r="L2236" s="232">
        <v>44226</v>
      </c>
      <c r="N2236">
        <f t="shared" si="31"/>
        <v>11636</v>
      </c>
    </row>
    <row r="2237" spans="1:14" hidden="1">
      <c r="A2237" s="232">
        <v>44226</v>
      </c>
      <c r="C2237" t="s">
        <v>3165</v>
      </c>
      <c r="D2237" s="1">
        <v>100</v>
      </c>
      <c r="E2237" s="1">
        <v>0</v>
      </c>
      <c r="F2237">
        <v>2700876.08</v>
      </c>
      <c r="K2237" s="2"/>
      <c r="L2237" s="232">
        <v>44226</v>
      </c>
      <c r="N2237">
        <f t="shared" si="31"/>
        <v>100</v>
      </c>
    </row>
    <row r="2238" spans="1:14" hidden="1">
      <c r="A2238" s="232">
        <v>44229</v>
      </c>
      <c r="C2238" t="s">
        <v>3166</v>
      </c>
      <c r="D2238" s="1">
        <v>2000</v>
      </c>
      <c r="E2238" s="1">
        <v>0</v>
      </c>
      <c r="F2238">
        <v>2698876.08</v>
      </c>
      <c r="K2238" s="2"/>
      <c r="L2238" s="232">
        <v>44229</v>
      </c>
      <c r="N2238">
        <f t="shared" si="31"/>
        <v>2000</v>
      </c>
    </row>
    <row r="2239" spans="1:14" hidden="1">
      <c r="A2239" s="232">
        <v>44230</v>
      </c>
      <c r="C2239" t="s">
        <v>3167</v>
      </c>
      <c r="D2239" s="1">
        <v>124</v>
      </c>
      <c r="E2239" s="1">
        <v>0</v>
      </c>
      <c r="F2239">
        <v>2698752.08</v>
      </c>
      <c r="K2239" s="2"/>
      <c r="L2239" s="232">
        <v>44230</v>
      </c>
      <c r="N2239">
        <f t="shared" si="31"/>
        <v>124</v>
      </c>
    </row>
    <row r="2240" spans="1:14" hidden="1">
      <c r="A2240" s="232">
        <v>44230</v>
      </c>
      <c r="B2240" t="s">
        <v>1997</v>
      </c>
      <c r="C2240" t="s">
        <v>3168</v>
      </c>
      <c r="D2240" s="1">
        <v>9336</v>
      </c>
      <c r="E2240" s="1">
        <v>0</v>
      </c>
      <c r="F2240">
        <v>2689416.08</v>
      </c>
      <c r="K2240" s="2"/>
      <c r="L2240" s="232">
        <v>44230</v>
      </c>
      <c r="N2240">
        <f t="shared" si="31"/>
        <v>9336</v>
      </c>
    </row>
    <row r="2241" spans="1:14" hidden="1">
      <c r="A2241" s="232">
        <v>44231</v>
      </c>
      <c r="C2241" t="s">
        <v>3169</v>
      </c>
      <c r="D2241" s="1">
        <v>100</v>
      </c>
      <c r="E2241" s="1">
        <v>0</v>
      </c>
      <c r="F2241">
        <v>2689316.08</v>
      </c>
      <c r="K2241" s="2"/>
      <c r="L2241" s="232">
        <v>44231</v>
      </c>
      <c r="N2241">
        <f t="shared" si="31"/>
        <v>100</v>
      </c>
    </row>
    <row r="2242" spans="1:14" hidden="1">
      <c r="A2242" s="232">
        <v>44232</v>
      </c>
      <c r="C2242" t="s">
        <v>3170</v>
      </c>
      <c r="D2242" s="1">
        <v>0</v>
      </c>
      <c r="E2242" s="1">
        <v>50000</v>
      </c>
      <c r="F2242">
        <v>2739316.08</v>
      </c>
      <c r="G2242" s="8" t="s">
        <v>1375</v>
      </c>
      <c r="K2242" s="2"/>
      <c r="L2242" s="232">
        <v>44232</v>
      </c>
      <c r="N2242">
        <f t="shared" si="31"/>
        <v>0</v>
      </c>
    </row>
    <row r="2243" spans="1:14" hidden="1">
      <c r="A2243" s="232">
        <v>44232</v>
      </c>
      <c r="C2243" t="s">
        <v>3171</v>
      </c>
      <c r="D2243" s="1">
        <v>323</v>
      </c>
      <c r="E2243" s="1">
        <v>0</v>
      </c>
      <c r="F2243">
        <v>2738993.08</v>
      </c>
      <c r="K2243" s="2"/>
      <c r="L2243" s="232">
        <v>44232</v>
      </c>
      <c r="N2243">
        <f t="shared" si="31"/>
        <v>323</v>
      </c>
    </row>
    <row r="2244" spans="1:14" hidden="1">
      <c r="A2244" s="232">
        <v>44235</v>
      </c>
      <c r="B2244" t="s">
        <v>1914</v>
      </c>
      <c r="C2244" t="s">
        <v>3172</v>
      </c>
      <c r="D2244" s="1">
        <v>10000</v>
      </c>
      <c r="E2244" s="1">
        <v>0</v>
      </c>
      <c r="F2244">
        <v>2728993.08</v>
      </c>
      <c r="G2244" s="8" t="s">
        <v>1372</v>
      </c>
      <c r="K2244" s="2"/>
      <c r="L2244" s="232">
        <v>44235</v>
      </c>
      <c r="N2244">
        <f t="shared" si="31"/>
        <v>10000</v>
      </c>
    </row>
    <row r="2245" spans="1:14" hidden="1">
      <c r="A2245" s="232">
        <v>44236</v>
      </c>
      <c r="B2245" t="s">
        <v>2737</v>
      </c>
      <c r="C2245" t="s">
        <v>2738</v>
      </c>
      <c r="D2245" s="1">
        <v>1194</v>
      </c>
      <c r="E2245" s="1">
        <v>0</v>
      </c>
      <c r="F2245">
        <v>2727799.08</v>
      </c>
      <c r="G2245" s="8" t="s">
        <v>1362</v>
      </c>
      <c r="K2245" s="2"/>
      <c r="L2245" s="232">
        <v>44236</v>
      </c>
      <c r="N2245">
        <f t="shared" si="31"/>
        <v>1194</v>
      </c>
    </row>
    <row r="2246" spans="1:14" hidden="1">
      <c r="A2246" s="232">
        <v>44236</v>
      </c>
      <c r="B2246" t="s">
        <v>1938</v>
      </c>
      <c r="C2246" t="s">
        <v>3173</v>
      </c>
      <c r="D2246" s="1">
        <v>0</v>
      </c>
      <c r="E2246" s="1">
        <v>316977</v>
      </c>
      <c r="F2246">
        <v>3044776.08</v>
      </c>
      <c r="G2246" s="8" t="s">
        <v>1375</v>
      </c>
      <c r="K2246" s="2"/>
      <c r="L2246" s="232">
        <v>44236</v>
      </c>
      <c r="N2246">
        <f t="shared" si="31"/>
        <v>0</v>
      </c>
    </row>
    <row r="2247" spans="1:14" hidden="1">
      <c r="A2247" s="232">
        <v>44236</v>
      </c>
      <c r="B2247" t="s">
        <v>1938</v>
      </c>
      <c r="C2247" t="s">
        <v>3174</v>
      </c>
      <c r="D2247" s="1">
        <v>0</v>
      </c>
      <c r="E2247" s="1">
        <v>324900.93</v>
      </c>
      <c r="F2247">
        <v>3369677.01</v>
      </c>
      <c r="G2247" s="8" t="s">
        <v>1375</v>
      </c>
      <c r="K2247" s="2"/>
      <c r="L2247" s="232">
        <v>44236</v>
      </c>
      <c r="N2247">
        <f t="shared" si="31"/>
        <v>0</v>
      </c>
    </row>
    <row r="2248" spans="1:14" hidden="1">
      <c r="A2248" s="232">
        <v>44238</v>
      </c>
      <c r="C2248" t="s">
        <v>3175</v>
      </c>
      <c r="D2248" s="1">
        <v>82</v>
      </c>
      <c r="E2248" s="1">
        <v>0</v>
      </c>
      <c r="F2248">
        <v>3369595.01</v>
      </c>
      <c r="K2248" s="2"/>
      <c r="L2248" s="232">
        <v>44238</v>
      </c>
      <c r="N2248">
        <f t="shared" si="31"/>
        <v>82</v>
      </c>
    </row>
    <row r="2249" spans="1:14" hidden="1">
      <c r="A2249" s="232">
        <v>44239</v>
      </c>
      <c r="C2249" t="s">
        <v>3176</v>
      </c>
      <c r="D2249" s="1">
        <v>94</v>
      </c>
      <c r="E2249" s="1">
        <v>0</v>
      </c>
      <c r="F2249">
        <v>3369501.01</v>
      </c>
      <c r="K2249" s="2"/>
      <c r="L2249" s="232">
        <v>44239</v>
      </c>
      <c r="N2249">
        <f t="shared" si="31"/>
        <v>94</v>
      </c>
    </row>
    <row r="2250" spans="1:14" hidden="1">
      <c r="A2250" s="232">
        <v>44239</v>
      </c>
      <c r="C2250" t="s">
        <v>3177</v>
      </c>
      <c r="D2250" s="1">
        <v>136</v>
      </c>
      <c r="E2250" s="1">
        <v>0</v>
      </c>
      <c r="F2250">
        <v>3369365.01</v>
      </c>
      <c r="K2250" s="2"/>
      <c r="L2250" s="232">
        <v>44239</v>
      </c>
      <c r="N2250">
        <f t="shared" si="31"/>
        <v>136</v>
      </c>
    </row>
    <row r="2251" spans="1:14" hidden="1">
      <c r="A2251" s="232">
        <v>44242</v>
      </c>
      <c r="C2251" t="s">
        <v>3178</v>
      </c>
      <c r="D2251" s="1">
        <v>822</v>
      </c>
      <c r="E2251" s="1">
        <v>0</v>
      </c>
      <c r="F2251">
        <v>3368543.01</v>
      </c>
      <c r="K2251" s="2"/>
      <c r="L2251" s="232">
        <v>44242</v>
      </c>
      <c r="N2251">
        <f t="shared" ref="N2251:N2314" si="32">D2251*1</f>
        <v>822</v>
      </c>
    </row>
    <row r="2252" spans="1:14" hidden="1">
      <c r="A2252" s="232">
        <v>44242</v>
      </c>
      <c r="C2252" t="s">
        <v>3179</v>
      </c>
      <c r="D2252" s="1">
        <v>0</v>
      </c>
      <c r="E2252" s="1">
        <v>3</v>
      </c>
      <c r="F2252">
        <v>3368546.01</v>
      </c>
      <c r="K2252" s="2"/>
      <c r="L2252" s="232">
        <v>44242</v>
      </c>
      <c r="N2252">
        <f t="shared" si="32"/>
        <v>0</v>
      </c>
    </row>
    <row r="2253" spans="1:14" hidden="1">
      <c r="A2253" s="232">
        <v>44242</v>
      </c>
      <c r="C2253" t="s">
        <v>3180</v>
      </c>
      <c r="D2253" s="1">
        <v>0</v>
      </c>
      <c r="E2253" s="1">
        <v>5</v>
      </c>
      <c r="F2253">
        <v>3368551.01</v>
      </c>
      <c r="K2253" s="2"/>
      <c r="L2253" s="232">
        <v>44242</v>
      </c>
      <c r="N2253">
        <f t="shared" si="32"/>
        <v>0</v>
      </c>
    </row>
    <row r="2254" spans="1:14" hidden="1">
      <c r="A2254" s="232">
        <v>44242</v>
      </c>
      <c r="C2254" t="s">
        <v>3181</v>
      </c>
      <c r="D2254" s="1">
        <v>450</v>
      </c>
      <c r="E2254" s="1">
        <v>0</v>
      </c>
      <c r="F2254">
        <v>3368101.01</v>
      </c>
      <c r="K2254" s="2"/>
      <c r="L2254" s="232">
        <v>44242</v>
      </c>
      <c r="N2254">
        <f t="shared" si="32"/>
        <v>450</v>
      </c>
    </row>
    <row r="2255" spans="1:14" hidden="1">
      <c r="A2255" s="232">
        <v>44245</v>
      </c>
      <c r="B2255" t="s">
        <v>1914</v>
      </c>
      <c r="C2255" t="s">
        <v>3182</v>
      </c>
      <c r="D2255" s="1">
        <v>10000</v>
      </c>
      <c r="E2255" s="1">
        <v>0</v>
      </c>
      <c r="F2255">
        <v>3358101.01</v>
      </c>
      <c r="G2255" s="8" t="s">
        <v>1372</v>
      </c>
      <c r="K2255" s="2"/>
      <c r="L2255" s="232">
        <v>44245</v>
      </c>
      <c r="N2255">
        <f t="shared" si="32"/>
        <v>10000</v>
      </c>
    </row>
    <row r="2256" spans="1:14" hidden="1">
      <c r="A2256" s="232">
        <v>44245</v>
      </c>
      <c r="C2256" t="s">
        <v>3183</v>
      </c>
      <c r="D2256" s="1">
        <v>1580</v>
      </c>
      <c r="E2256" s="1">
        <v>0</v>
      </c>
      <c r="F2256">
        <v>3356521.01</v>
      </c>
      <c r="K2256" s="2"/>
      <c r="L2256" s="232">
        <v>44245</v>
      </c>
      <c r="N2256">
        <f t="shared" si="32"/>
        <v>1580</v>
      </c>
    </row>
    <row r="2257" spans="1:14" hidden="1">
      <c r="A2257" s="232">
        <v>44245</v>
      </c>
      <c r="C2257" t="s">
        <v>3184</v>
      </c>
      <c r="D2257" s="1">
        <v>0</v>
      </c>
      <c r="E2257" s="1">
        <v>4</v>
      </c>
      <c r="F2257">
        <v>3356525.01</v>
      </c>
      <c r="K2257" s="2"/>
      <c r="L2257" s="232">
        <v>44245</v>
      </c>
      <c r="N2257">
        <f t="shared" si="32"/>
        <v>0</v>
      </c>
    </row>
    <row r="2258" spans="1:14" hidden="1">
      <c r="A2258" s="232">
        <v>44249</v>
      </c>
      <c r="C2258" t="s">
        <v>3185</v>
      </c>
      <c r="D2258" s="1">
        <v>400</v>
      </c>
      <c r="E2258" s="1">
        <v>0</v>
      </c>
      <c r="F2258">
        <v>3356125.01</v>
      </c>
      <c r="K2258" s="2"/>
      <c r="L2258" s="232">
        <v>44249</v>
      </c>
      <c r="N2258">
        <f t="shared" si="32"/>
        <v>400</v>
      </c>
    </row>
    <row r="2259" spans="1:14" hidden="1">
      <c r="A2259" s="232">
        <v>44250</v>
      </c>
      <c r="C2259" t="s">
        <v>3186</v>
      </c>
      <c r="D2259" s="1">
        <v>500</v>
      </c>
      <c r="E2259" s="1">
        <v>0</v>
      </c>
      <c r="F2259">
        <v>3355625.01</v>
      </c>
      <c r="G2259" s="8" t="s">
        <v>1363</v>
      </c>
      <c r="K2259" s="2"/>
      <c r="L2259" s="232">
        <v>44250</v>
      </c>
      <c r="N2259">
        <f t="shared" si="32"/>
        <v>500</v>
      </c>
    </row>
    <row r="2260" spans="1:14" hidden="1">
      <c r="A2260" s="232">
        <v>44253</v>
      </c>
      <c r="C2260" t="s">
        <v>3187</v>
      </c>
      <c r="D2260" s="1">
        <v>236</v>
      </c>
      <c r="E2260" s="1">
        <v>0</v>
      </c>
      <c r="F2260">
        <v>3355389.01</v>
      </c>
      <c r="K2260" s="2"/>
      <c r="L2260" s="232">
        <v>44253</v>
      </c>
      <c r="N2260">
        <f t="shared" si="32"/>
        <v>236</v>
      </c>
    </row>
    <row r="2261" spans="1:14" hidden="1">
      <c r="A2261" s="232">
        <v>44253</v>
      </c>
      <c r="C2261" t="s">
        <v>3188</v>
      </c>
      <c r="D2261" s="1">
        <v>0</v>
      </c>
      <c r="E2261" s="1">
        <v>233865</v>
      </c>
      <c r="F2261">
        <v>3589254.01</v>
      </c>
      <c r="G2261" s="8" t="s">
        <v>1380</v>
      </c>
      <c r="K2261" s="2"/>
      <c r="L2261" s="232">
        <v>44253</v>
      </c>
      <c r="N2261">
        <f t="shared" si="32"/>
        <v>0</v>
      </c>
    </row>
    <row r="2262" spans="1:14" hidden="1">
      <c r="A2262" s="232">
        <v>44253</v>
      </c>
      <c r="C2262" t="s">
        <v>3189</v>
      </c>
      <c r="D2262" s="1">
        <v>25000</v>
      </c>
      <c r="E2262" s="1">
        <v>0</v>
      </c>
      <c r="F2262">
        <v>3564254.01</v>
      </c>
      <c r="G2262" s="8" t="s">
        <v>1363</v>
      </c>
      <c r="K2262" s="2"/>
      <c r="L2262" s="232">
        <v>44253</v>
      </c>
      <c r="N2262">
        <f t="shared" si="32"/>
        <v>25000</v>
      </c>
    </row>
    <row r="2263" spans="1:14" hidden="1">
      <c r="A2263" s="232">
        <v>44253</v>
      </c>
      <c r="C2263" t="s">
        <v>3190</v>
      </c>
      <c r="D2263" s="1">
        <v>25000</v>
      </c>
      <c r="E2263" s="1">
        <v>0</v>
      </c>
      <c r="F2263">
        <v>3539254.01</v>
      </c>
      <c r="G2263" s="8" t="s">
        <v>1363</v>
      </c>
      <c r="K2263" s="2"/>
      <c r="L2263" s="232">
        <v>44253</v>
      </c>
      <c r="N2263">
        <f t="shared" si="32"/>
        <v>25000</v>
      </c>
    </row>
    <row r="2264" spans="1:14" hidden="1">
      <c r="A2264" s="232">
        <v>44253</v>
      </c>
      <c r="C2264" t="s">
        <v>3191</v>
      </c>
      <c r="D2264" s="1">
        <v>25000</v>
      </c>
      <c r="E2264" s="1">
        <v>0</v>
      </c>
      <c r="F2264">
        <v>3514254.01</v>
      </c>
      <c r="G2264" s="8" t="s">
        <v>1363</v>
      </c>
      <c r="K2264" s="2"/>
      <c r="L2264" s="232">
        <v>44253</v>
      </c>
      <c r="N2264">
        <f t="shared" si="32"/>
        <v>25000</v>
      </c>
    </row>
    <row r="2265" spans="1:14" hidden="1">
      <c r="A2265" s="232">
        <v>44256</v>
      </c>
      <c r="C2265" t="s">
        <v>3192</v>
      </c>
      <c r="D2265" s="1">
        <v>25000</v>
      </c>
      <c r="E2265" s="1">
        <v>0</v>
      </c>
      <c r="F2265">
        <v>3489254.01</v>
      </c>
      <c r="G2265" s="8" t="s">
        <v>1363</v>
      </c>
      <c r="K2265" s="2"/>
      <c r="L2265" s="232">
        <v>44256</v>
      </c>
      <c r="N2265">
        <f t="shared" si="32"/>
        <v>25000</v>
      </c>
    </row>
    <row r="2266" spans="1:14" hidden="1">
      <c r="A2266" s="232">
        <v>44256</v>
      </c>
      <c r="B2266" t="s">
        <v>1938</v>
      </c>
      <c r="C2266" t="s">
        <v>3193</v>
      </c>
      <c r="D2266" s="1">
        <v>2000</v>
      </c>
      <c r="E2266" s="1">
        <v>0</v>
      </c>
      <c r="F2266">
        <v>3487254.01</v>
      </c>
      <c r="G2266" s="8" t="s">
        <v>1372</v>
      </c>
      <c r="K2266" s="2"/>
      <c r="L2266" s="232">
        <v>44256</v>
      </c>
      <c r="N2266">
        <f t="shared" si="32"/>
        <v>2000</v>
      </c>
    </row>
    <row r="2267" spans="1:14" hidden="1">
      <c r="A2267" s="232">
        <v>44256</v>
      </c>
      <c r="C2267" t="s">
        <v>3194</v>
      </c>
      <c r="D2267" s="1">
        <v>500</v>
      </c>
      <c r="E2267" s="1">
        <v>0</v>
      </c>
      <c r="F2267">
        <v>3486754.01</v>
      </c>
      <c r="G2267" s="8" t="s">
        <v>1363</v>
      </c>
      <c r="K2267" s="2"/>
      <c r="L2267" s="232">
        <v>44256</v>
      </c>
      <c r="N2267">
        <f t="shared" si="32"/>
        <v>500</v>
      </c>
    </row>
    <row r="2268" spans="1:14" hidden="1">
      <c r="A2268" s="232">
        <v>44257</v>
      </c>
      <c r="C2268" t="s">
        <v>3195</v>
      </c>
      <c r="D2268" s="1">
        <v>2000</v>
      </c>
      <c r="E2268" s="1">
        <v>0</v>
      </c>
      <c r="F2268">
        <v>3484754.01</v>
      </c>
      <c r="K2268" s="2"/>
      <c r="L2268" s="232">
        <v>44257</v>
      </c>
      <c r="N2268">
        <f t="shared" si="32"/>
        <v>2000</v>
      </c>
    </row>
    <row r="2269" spans="1:14" hidden="1">
      <c r="A2269" s="232">
        <v>44259</v>
      </c>
      <c r="C2269" t="s">
        <v>3196</v>
      </c>
      <c r="D2269" s="1">
        <v>25</v>
      </c>
      <c r="E2269" s="1">
        <v>0</v>
      </c>
      <c r="F2269">
        <v>3484729.01</v>
      </c>
      <c r="K2269" s="2"/>
      <c r="L2269" s="232">
        <v>44259</v>
      </c>
      <c r="N2269">
        <f t="shared" si="32"/>
        <v>25</v>
      </c>
    </row>
    <row r="2270" spans="1:14" hidden="1">
      <c r="A2270" s="232">
        <v>44259</v>
      </c>
      <c r="C2270" t="s">
        <v>3197</v>
      </c>
      <c r="D2270" s="1">
        <v>8799</v>
      </c>
      <c r="E2270" s="1">
        <v>0</v>
      </c>
      <c r="F2270">
        <v>3475930.01</v>
      </c>
      <c r="K2270" s="2"/>
      <c r="L2270" s="232">
        <v>44259</v>
      </c>
      <c r="N2270">
        <f t="shared" si="32"/>
        <v>8799</v>
      </c>
    </row>
    <row r="2271" spans="1:14" hidden="1">
      <c r="A2271" s="232">
        <v>44260</v>
      </c>
      <c r="B2271" t="s">
        <v>1938</v>
      </c>
      <c r="C2271" t="s">
        <v>3198</v>
      </c>
      <c r="D2271" s="1">
        <v>0</v>
      </c>
      <c r="E2271" s="1">
        <v>500730.99</v>
      </c>
      <c r="F2271">
        <v>3976661</v>
      </c>
      <c r="G2271" s="8" t="s">
        <v>1375</v>
      </c>
      <c r="K2271" s="2"/>
      <c r="L2271" s="232">
        <v>44260</v>
      </c>
      <c r="N2271">
        <f t="shared" si="32"/>
        <v>0</v>
      </c>
    </row>
    <row r="2272" spans="1:14" hidden="1">
      <c r="A2272" s="232">
        <v>44263</v>
      </c>
      <c r="B2272" t="s">
        <v>1914</v>
      </c>
      <c r="C2272" t="s">
        <v>3199</v>
      </c>
      <c r="D2272" s="1">
        <v>10000</v>
      </c>
      <c r="E2272" s="1">
        <v>0</v>
      </c>
      <c r="F2272">
        <v>3966661</v>
      </c>
      <c r="G2272" s="8" t="s">
        <v>1372</v>
      </c>
      <c r="K2272" s="2"/>
      <c r="L2272" s="232">
        <v>44263</v>
      </c>
      <c r="N2272">
        <f t="shared" si="32"/>
        <v>10000</v>
      </c>
    </row>
    <row r="2273" spans="1:14" hidden="1">
      <c r="A2273" s="232">
        <v>44264</v>
      </c>
      <c r="C2273" t="s">
        <v>3200</v>
      </c>
      <c r="D2273" s="1">
        <v>501</v>
      </c>
      <c r="E2273" s="1">
        <v>0</v>
      </c>
      <c r="F2273">
        <v>3966160</v>
      </c>
      <c r="K2273" s="2"/>
      <c r="L2273" s="232">
        <v>44264</v>
      </c>
      <c r="N2273">
        <f t="shared" si="32"/>
        <v>501</v>
      </c>
    </row>
    <row r="2274" spans="1:14" hidden="1">
      <c r="A2274" s="232">
        <v>44264</v>
      </c>
      <c r="B2274" t="s">
        <v>2213</v>
      </c>
      <c r="C2274" t="s">
        <v>3201</v>
      </c>
      <c r="D2274" s="1">
        <v>0</v>
      </c>
      <c r="E2274" s="1">
        <v>54515.59</v>
      </c>
      <c r="F2274">
        <v>4020675.59</v>
      </c>
      <c r="G2274" s="8" t="s">
        <v>1380</v>
      </c>
      <c r="K2274" s="2"/>
      <c r="L2274" s="232">
        <v>44264</v>
      </c>
      <c r="N2274">
        <f t="shared" si="32"/>
        <v>0</v>
      </c>
    </row>
    <row r="2275" spans="1:14" hidden="1">
      <c r="A2275" s="232">
        <v>44264</v>
      </c>
      <c r="C2275" t="s">
        <v>3202</v>
      </c>
      <c r="D2275" s="1">
        <v>4000000</v>
      </c>
      <c r="E2275" s="1">
        <v>0</v>
      </c>
      <c r="F2275">
        <v>20675.59</v>
      </c>
      <c r="G2275" s="8" t="s">
        <v>1379</v>
      </c>
      <c r="K2275" s="2"/>
      <c r="L2275" s="232">
        <v>44264</v>
      </c>
      <c r="N2275">
        <f t="shared" si="32"/>
        <v>4000000</v>
      </c>
    </row>
    <row r="2276" spans="1:14" hidden="1">
      <c r="A2276" s="232">
        <v>44267</v>
      </c>
      <c r="C2276" t="s">
        <v>3203</v>
      </c>
      <c r="D2276" s="1">
        <v>171</v>
      </c>
      <c r="E2276" s="1">
        <v>0</v>
      </c>
      <c r="F2276">
        <v>20504.59</v>
      </c>
      <c r="K2276" s="2"/>
      <c r="L2276" s="232">
        <v>44267</v>
      </c>
      <c r="N2276">
        <f t="shared" si="32"/>
        <v>171</v>
      </c>
    </row>
    <row r="2277" spans="1:14" hidden="1">
      <c r="A2277" s="232">
        <v>44270</v>
      </c>
      <c r="B2277" t="s">
        <v>2737</v>
      </c>
      <c r="C2277" t="s">
        <v>2738</v>
      </c>
      <c r="D2277" s="1">
        <v>282</v>
      </c>
      <c r="E2277" s="1">
        <v>0</v>
      </c>
      <c r="F2277">
        <v>20222.59</v>
      </c>
      <c r="G2277" s="8" t="s">
        <v>1362</v>
      </c>
      <c r="K2277" s="2"/>
      <c r="L2277" s="232">
        <v>44270</v>
      </c>
      <c r="N2277">
        <f t="shared" si="32"/>
        <v>282</v>
      </c>
    </row>
    <row r="2278" spans="1:14" hidden="1">
      <c r="A2278" s="232">
        <v>44270</v>
      </c>
      <c r="C2278" t="s">
        <v>3204</v>
      </c>
      <c r="D2278" s="1">
        <v>192</v>
      </c>
      <c r="E2278" s="1">
        <v>0</v>
      </c>
      <c r="F2278">
        <v>20030.59</v>
      </c>
      <c r="K2278" s="2"/>
      <c r="L2278" s="232">
        <v>44270</v>
      </c>
      <c r="N2278">
        <f t="shared" si="32"/>
        <v>192</v>
      </c>
    </row>
    <row r="2279" spans="1:14" hidden="1">
      <c r="A2279" s="232">
        <v>44270</v>
      </c>
      <c r="C2279" t="s">
        <v>3205</v>
      </c>
      <c r="D2279" s="1">
        <v>28</v>
      </c>
      <c r="E2279" s="1">
        <v>0</v>
      </c>
      <c r="F2279">
        <v>20002.59</v>
      </c>
      <c r="K2279" s="2"/>
      <c r="L2279" s="232">
        <v>44270</v>
      </c>
      <c r="N2279">
        <f t="shared" si="32"/>
        <v>28</v>
      </c>
    </row>
    <row r="2280" spans="1:14" hidden="1">
      <c r="A2280" s="232">
        <v>44271</v>
      </c>
      <c r="C2280" t="s">
        <v>3206</v>
      </c>
      <c r="D2280" s="1">
        <v>369</v>
      </c>
      <c r="E2280" s="1">
        <v>0</v>
      </c>
      <c r="F2280">
        <v>19633.59</v>
      </c>
      <c r="K2280" s="2"/>
      <c r="L2280" s="232">
        <v>44271</v>
      </c>
      <c r="N2280">
        <f t="shared" si="32"/>
        <v>369</v>
      </c>
    </row>
    <row r="2281" spans="1:14" hidden="1">
      <c r="A2281" s="232">
        <v>44271</v>
      </c>
      <c r="C2281" t="s">
        <v>3207</v>
      </c>
      <c r="D2281" s="1">
        <v>78</v>
      </c>
      <c r="E2281" s="1">
        <v>0</v>
      </c>
      <c r="F2281">
        <v>19555.59</v>
      </c>
      <c r="K2281" s="2"/>
      <c r="L2281" s="232">
        <v>44271</v>
      </c>
      <c r="N2281">
        <f t="shared" si="32"/>
        <v>78</v>
      </c>
    </row>
    <row r="2282" spans="1:14" hidden="1">
      <c r="A2282" s="232">
        <v>44271</v>
      </c>
      <c r="C2282" t="s">
        <v>3208</v>
      </c>
      <c r="D2282" s="1">
        <v>200</v>
      </c>
      <c r="E2282" s="1">
        <v>0</v>
      </c>
      <c r="F2282">
        <v>19355.59</v>
      </c>
      <c r="K2282" s="2"/>
      <c r="L2282" s="232">
        <v>44271</v>
      </c>
      <c r="N2282">
        <f t="shared" si="32"/>
        <v>200</v>
      </c>
    </row>
    <row r="2283" spans="1:14" hidden="1">
      <c r="A2283" s="232">
        <v>44278</v>
      </c>
      <c r="C2283" t="s">
        <v>3209</v>
      </c>
      <c r="D2283" s="1">
        <v>32000</v>
      </c>
      <c r="E2283" s="1">
        <v>0</v>
      </c>
      <c r="F2283">
        <v>-12644.41</v>
      </c>
      <c r="G2283" s="8" t="s">
        <v>1372</v>
      </c>
      <c r="K2283" s="2"/>
      <c r="L2283" s="232">
        <v>44278</v>
      </c>
      <c r="N2283">
        <f t="shared" si="32"/>
        <v>32000</v>
      </c>
    </row>
    <row r="2284" spans="1:14" hidden="1">
      <c r="A2284" s="232">
        <v>44278</v>
      </c>
      <c r="C2284" t="s">
        <v>3210</v>
      </c>
      <c r="D2284" s="1">
        <v>0</v>
      </c>
      <c r="E2284" s="1">
        <v>32000</v>
      </c>
      <c r="F2284">
        <v>19355.59</v>
      </c>
      <c r="K2284" s="2"/>
      <c r="L2284" s="232">
        <v>44278</v>
      </c>
      <c r="N2284">
        <f t="shared" si="32"/>
        <v>0</v>
      </c>
    </row>
    <row r="2285" spans="1:14" hidden="1">
      <c r="A2285" s="232">
        <v>44278</v>
      </c>
      <c r="C2285" t="s">
        <v>3211</v>
      </c>
      <c r="D2285" s="1">
        <v>32000</v>
      </c>
      <c r="E2285" s="1">
        <v>0</v>
      </c>
      <c r="F2285">
        <v>-12644.41</v>
      </c>
      <c r="K2285" s="2"/>
      <c r="L2285" s="232">
        <v>44278</v>
      </c>
      <c r="N2285">
        <f t="shared" si="32"/>
        <v>32000</v>
      </c>
    </row>
    <row r="2286" spans="1:14" hidden="1">
      <c r="A2286" s="232">
        <v>44278</v>
      </c>
      <c r="C2286" t="s">
        <v>3212</v>
      </c>
      <c r="D2286" s="1">
        <v>0</v>
      </c>
      <c r="E2286" s="1">
        <v>32000</v>
      </c>
      <c r="F2286">
        <v>19355.59</v>
      </c>
      <c r="K2286" s="2"/>
      <c r="L2286" s="232">
        <v>44278</v>
      </c>
      <c r="N2286">
        <f t="shared" si="32"/>
        <v>0</v>
      </c>
    </row>
    <row r="2287" spans="1:14" hidden="1">
      <c r="A2287" s="232">
        <v>44278</v>
      </c>
      <c r="C2287" t="s">
        <v>3213</v>
      </c>
      <c r="D2287" s="1">
        <v>1478</v>
      </c>
      <c r="E2287" s="1">
        <v>0</v>
      </c>
      <c r="F2287">
        <v>17877.59</v>
      </c>
      <c r="K2287" s="2"/>
      <c r="L2287" s="232">
        <v>44278</v>
      </c>
      <c r="N2287">
        <f t="shared" si="32"/>
        <v>1478</v>
      </c>
    </row>
    <row r="2288" spans="1:14" hidden="1">
      <c r="A2288" s="232">
        <v>44281</v>
      </c>
      <c r="C2288" t="s">
        <v>3214</v>
      </c>
      <c r="D2288" s="1">
        <v>0</v>
      </c>
      <c r="E2288" s="1">
        <v>1079562</v>
      </c>
      <c r="F2288">
        <v>1097439.5900000001</v>
      </c>
      <c r="G2288" s="8" t="s">
        <v>1380</v>
      </c>
      <c r="K2288" s="2"/>
      <c r="L2288" s="232">
        <v>44281</v>
      </c>
      <c r="N2288">
        <f t="shared" si="32"/>
        <v>0</v>
      </c>
    </row>
    <row r="2289" spans="1:14" hidden="1">
      <c r="A2289" s="232">
        <v>44281</v>
      </c>
      <c r="C2289" t="s">
        <v>3215</v>
      </c>
      <c r="D2289" s="1">
        <v>500000</v>
      </c>
      <c r="E2289" s="1">
        <v>0</v>
      </c>
      <c r="F2289">
        <v>597439.59</v>
      </c>
      <c r="G2289" s="8" t="s">
        <v>1363</v>
      </c>
      <c r="K2289" s="2"/>
      <c r="L2289" s="232">
        <v>44281</v>
      </c>
      <c r="N2289">
        <f t="shared" si="32"/>
        <v>500000</v>
      </c>
    </row>
    <row r="2290" spans="1:14" hidden="1">
      <c r="A2290" s="232">
        <v>44284</v>
      </c>
      <c r="C2290" t="s">
        <v>3216</v>
      </c>
      <c r="D2290" s="1">
        <v>149</v>
      </c>
      <c r="E2290" s="1">
        <v>0</v>
      </c>
      <c r="F2290">
        <v>597290.59</v>
      </c>
      <c r="K2290" s="2"/>
      <c r="L2290" s="232">
        <v>44284</v>
      </c>
      <c r="N2290">
        <f t="shared" si="32"/>
        <v>149</v>
      </c>
    </row>
    <row r="2291" spans="1:14" hidden="1">
      <c r="A2291" s="232">
        <v>44284</v>
      </c>
      <c r="C2291" t="s">
        <v>3217</v>
      </c>
      <c r="D2291" s="1">
        <v>30</v>
      </c>
      <c r="E2291" s="1">
        <v>0</v>
      </c>
      <c r="F2291">
        <v>597260.59</v>
      </c>
      <c r="K2291" s="2"/>
      <c r="L2291" s="232">
        <v>44284</v>
      </c>
      <c r="N2291">
        <f t="shared" si="32"/>
        <v>30</v>
      </c>
    </row>
    <row r="2292" spans="1:14" hidden="1">
      <c r="A2292" s="232">
        <v>44285</v>
      </c>
      <c r="C2292" t="s">
        <v>3218</v>
      </c>
      <c r="D2292" s="1">
        <v>0</v>
      </c>
      <c r="E2292" s="1">
        <v>17310</v>
      </c>
      <c r="F2292">
        <v>614570.59</v>
      </c>
      <c r="G2292" s="8" t="s">
        <v>1368</v>
      </c>
      <c r="K2292" s="2"/>
      <c r="L2292" s="232">
        <v>44285</v>
      </c>
      <c r="N2292">
        <f t="shared" si="32"/>
        <v>0</v>
      </c>
    </row>
    <row r="2293" spans="1:14" hidden="1">
      <c r="A2293" s="239">
        <v>38720</v>
      </c>
      <c r="B2293" s="168" t="s">
        <v>3219</v>
      </c>
      <c r="C2293" s="168" t="s">
        <v>1394</v>
      </c>
      <c r="D2293" s="11"/>
      <c r="E2293" s="11">
        <v>0</v>
      </c>
      <c r="F2293" s="168" t="s">
        <v>3220</v>
      </c>
      <c r="K2293" s="2"/>
      <c r="L2293" s="239">
        <v>38720</v>
      </c>
      <c r="N2293">
        <f t="shared" si="32"/>
        <v>0</v>
      </c>
    </row>
    <row r="2294" spans="1:14" hidden="1">
      <c r="A2294" s="239">
        <v>38720</v>
      </c>
      <c r="B2294" s="168">
        <v>710485</v>
      </c>
      <c r="C2294" s="168" t="s">
        <v>3221</v>
      </c>
      <c r="D2294" s="11">
        <v>14030</v>
      </c>
      <c r="E2294" s="11">
        <v>0</v>
      </c>
      <c r="F2294" s="168" t="s">
        <v>3222</v>
      </c>
      <c r="G2294" s="8" t="s">
        <v>1366</v>
      </c>
      <c r="K2294" s="2"/>
      <c r="L2294" s="239">
        <v>38720</v>
      </c>
      <c r="N2294">
        <f t="shared" si="32"/>
        <v>14030</v>
      </c>
    </row>
    <row r="2295" spans="1:14" hidden="1">
      <c r="A2295" s="239">
        <v>38751</v>
      </c>
      <c r="B2295" s="168">
        <v>710484</v>
      </c>
      <c r="C2295" s="168" t="s">
        <v>3223</v>
      </c>
      <c r="D2295" s="11">
        <v>11588</v>
      </c>
      <c r="E2295" s="11">
        <v>0</v>
      </c>
      <c r="F2295" s="168" t="s">
        <v>3224</v>
      </c>
      <c r="G2295" s="8" t="s">
        <v>1366</v>
      </c>
      <c r="K2295" s="2"/>
      <c r="L2295" s="239">
        <v>38751</v>
      </c>
      <c r="N2295">
        <f t="shared" si="32"/>
        <v>11588</v>
      </c>
    </row>
    <row r="2296" spans="1:14" hidden="1">
      <c r="A2296" s="239">
        <v>38751</v>
      </c>
      <c r="B2296" s="168">
        <v>710486</v>
      </c>
      <c r="C2296" s="168" t="s">
        <v>3225</v>
      </c>
      <c r="D2296" s="11">
        <v>1900</v>
      </c>
      <c r="E2296" s="11">
        <v>0</v>
      </c>
      <c r="F2296" s="168" t="s">
        <v>3226</v>
      </c>
      <c r="K2296" s="2"/>
      <c r="L2296" s="239">
        <v>38751</v>
      </c>
      <c r="N2296">
        <f t="shared" si="32"/>
        <v>1900</v>
      </c>
    </row>
    <row r="2297" spans="1:14" hidden="1">
      <c r="A2297" s="239">
        <v>38810</v>
      </c>
      <c r="B2297" s="168" t="s">
        <v>3219</v>
      </c>
      <c r="C2297" s="168" t="s">
        <v>3227</v>
      </c>
      <c r="D2297" s="11">
        <v>0</v>
      </c>
      <c r="E2297" s="11">
        <v>1251</v>
      </c>
      <c r="F2297" s="168" t="s">
        <v>3228</v>
      </c>
      <c r="G2297" s="8" t="s">
        <v>1368</v>
      </c>
      <c r="K2297" s="2"/>
      <c r="L2297" s="239">
        <v>38810</v>
      </c>
      <c r="N2297">
        <f t="shared" si="32"/>
        <v>0</v>
      </c>
    </row>
    <row r="2298" spans="1:14" hidden="1">
      <c r="A2298" s="239">
        <v>38871</v>
      </c>
      <c r="B2298" s="168">
        <v>710487</v>
      </c>
      <c r="C2298" s="168" t="s">
        <v>3229</v>
      </c>
      <c r="D2298" s="11">
        <v>559</v>
      </c>
      <c r="E2298" s="11">
        <v>0</v>
      </c>
      <c r="F2298" s="168" t="s">
        <v>3230</v>
      </c>
      <c r="K2298" s="2"/>
      <c r="L2298" s="239">
        <v>38871</v>
      </c>
      <c r="N2298">
        <f t="shared" si="32"/>
        <v>559</v>
      </c>
    </row>
    <row r="2299" spans="1:14" hidden="1">
      <c r="A2299" s="239">
        <v>38932</v>
      </c>
      <c r="B2299" s="168" t="s">
        <v>3219</v>
      </c>
      <c r="C2299" s="168" t="s">
        <v>3231</v>
      </c>
      <c r="D2299" s="11">
        <v>0</v>
      </c>
      <c r="E2299" s="11">
        <v>10725</v>
      </c>
      <c r="F2299" s="168" t="s">
        <v>3232</v>
      </c>
      <c r="G2299" s="8" t="s">
        <v>1360</v>
      </c>
      <c r="K2299" s="2"/>
      <c r="L2299" s="239">
        <v>38932</v>
      </c>
      <c r="N2299">
        <f t="shared" si="32"/>
        <v>0</v>
      </c>
    </row>
    <row r="2300" spans="1:14" hidden="1">
      <c r="A2300" s="239">
        <v>38932</v>
      </c>
      <c r="B2300" s="168" t="s">
        <v>3219</v>
      </c>
      <c r="C2300" s="168" t="s">
        <v>3233</v>
      </c>
      <c r="D2300" s="11">
        <v>0</v>
      </c>
      <c r="E2300" s="11">
        <v>1650</v>
      </c>
      <c r="F2300" s="168" t="s">
        <v>3234</v>
      </c>
      <c r="G2300" s="8" t="s">
        <v>1360</v>
      </c>
      <c r="K2300" s="2"/>
      <c r="L2300" s="239">
        <v>38932</v>
      </c>
      <c r="N2300">
        <f t="shared" si="32"/>
        <v>0</v>
      </c>
    </row>
    <row r="2301" spans="1:14" hidden="1">
      <c r="A2301" s="239">
        <v>38932</v>
      </c>
      <c r="B2301" s="168" t="s">
        <v>3219</v>
      </c>
      <c r="C2301" s="168" t="s">
        <v>3235</v>
      </c>
      <c r="D2301" s="11">
        <v>0</v>
      </c>
      <c r="E2301" s="11">
        <v>550</v>
      </c>
      <c r="F2301" s="168" t="s">
        <v>3236</v>
      </c>
      <c r="G2301" s="8" t="s">
        <v>1360</v>
      </c>
      <c r="K2301" s="2"/>
      <c r="L2301" s="239">
        <v>38932</v>
      </c>
      <c r="N2301">
        <f t="shared" si="32"/>
        <v>0</v>
      </c>
    </row>
    <row r="2302" spans="1:14" hidden="1">
      <c r="A2302" s="239">
        <v>38932</v>
      </c>
      <c r="B2302" s="168" t="s">
        <v>3219</v>
      </c>
      <c r="C2302" s="168" t="s">
        <v>3237</v>
      </c>
      <c r="D2302" s="11">
        <v>0</v>
      </c>
      <c r="E2302" s="11">
        <v>12247</v>
      </c>
      <c r="F2302" s="168" t="s">
        <v>3238</v>
      </c>
      <c r="G2302" s="8" t="s">
        <v>1380</v>
      </c>
      <c r="K2302" s="2"/>
      <c r="L2302" s="239">
        <v>38932</v>
      </c>
      <c r="N2302">
        <f t="shared" si="32"/>
        <v>0</v>
      </c>
    </row>
    <row r="2303" spans="1:14" hidden="1">
      <c r="A2303" s="239">
        <v>38993</v>
      </c>
      <c r="B2303" s="168" t="s">
        <v>3219</v>
      </c>
      <c r="C2303" s="168" t="s">
        <v>3239</v>
      </c>
      <c r="D2303" s="11">
        <v>4000</v>
      </c>
      <c r="E2303" s="11">
        <v>0</v>
      </c>
      <c r="F2303" s="168" t="s">
        <v>3240</v>
      </c>
      <c r="G2303" s="8" t="s">
        <v>1361</v>
      </c>
      <c r="K2303" s="2"/>
      <c r="L2303" s="239">
        <v>38993</v>
      </c>
      <c r="N2303">
        <f t="shared" si="32"/>
        <v>4000</v>
      </c>
    </row>
    <row r="2304" spans="1:14" hidden="1">
      <c r="A2304" s="239">
        <v>38792</v>
      </c>
      <c r="B2304" s="168" t="s">
        <v>3219</v>
      </c>
      <c r="C2304" s="168" t="s">
        <v>3241</v>
      </c>
      <c r="D2304" s="11">
        <v>0</v>
      </c>
      <c r="E2304" s="11">
        <v>2123</v>
      </c>
      <c r="F2304" s="168" t="s">
        <v>3242</v>
      </c>
      <c r="G2304" s="8" t="s">
        <v>1360</v>
      </c>
      <c r="K2304" s="2"/>
      <c r="L2304" s="239">
        <v>38792</v>
      </c>
      <c r="M2304" s="240"/>
      <c r="N2304">
        <f t="shared" si="32"/>
        <v>0</v>
      </c>
    </row>
    <row r="2305" spans="1:14" hidden="1">
      <c r="A2305" s="239">
        <v>38794</v>
      </c>
      <c r="B2305" s="168" t="s">
        <v>3219</v>
      </c>
      <c r="C2305" s="168" t="s">
        <v>3243</v>
      </c>
      <c r="D2305" s="11">
        <v>3000</v>
      </c>
      <c r="E2305" s="11">
        <v>0</v>
      </c>
      <c r="F2305" s="168" t="s">
        <v>3244</v>
      </c>
      <c r="G2305" s="8" t="s">
        <v>1361</v>
      </c>
      <c r="K2305" s="2"/>
      <c r="L2305" s="239">
        <v>38794</v>
      </c>
      <c r="N2305">
        <f t="shared" si="32"/>
        <v>3000</v>
      </c>
    </row>
    <row r="2306" spans="1:14" hidden="1">
      <c r="A2306" s="239">
        <v>38800</v>
      </c>
      <c r="B2306" s="168" t="s">
        <v>3219</v>
      </c>
      <c r="C2306" s="168" t="s">
        <v>3245</v>
      </c>
      <c r="D2306" s="11">
        <v>2000</v>
      </c>
      <c r="E2306" s="11">
        <v>0</v>
      </c>
      <c r="F2306" s="168" t="s">
        <v>3246</v>
      </c>
      <c r="G2306" s="8" t="s">
        <v>1361</v>
      </c>
      <c r="K2306" s="2"/>
      <c r="L2306" s="239">
        <v>38800</v>
      </c>
      <c r="N2306">
        <f t="shared" si="32"/>
        <v>2000</v>
      </c>
    </row>
    <row r="2307" spans="1:14" hidden="1">
      <c r="A2307" s="239">
        <v>38800</v>
      </c>
      <c r="B2307" s="168" t="s">
        <v>3219</v>
      </c>
      <c r="C2307" s="168" t="s">
        <v>3247</v>
      </c>
      <c r="D2307" s="11">
        <v>0</v>
      </c>
      <c r="E2307" s="11">
        <v>36007</v>
      </c>
      <c r="F2307" s="168" t="s">
        <v>3248</v>
      </c>
      <c r="G2307" s="8" t="s">
        <v>1380</v>
      </c>
      <c r="K2307" s="2"/>
      <c r="L2307" s="239">
        <v>38800</v>
      </c>
      <c r="N2307">
        <f t="shared" si="32"/>
        <v>0</v>
      </c>
    </row>
    <row r="2308" spans="1:14" hidden="1">
      <c r="A2308" s="239">
        <v>38803</v>
      </c>
      <c r="B2308" s="168">
        <v>710491</v>
      </c>
      <c r="C2308" s="168" t="s">
        <v>3249</v>
      </c>
      <c r="D2308" s="11">
        <v>18000</v>
      </c>
      <c r="E2308" s="11">
        <v>0</v>
      </c>
      <c r="F2308" s="168" t="s">
        <v>3250</v>
      </c>
      <c r="G2308" s="8" t="s">
        <v>1372</v>
      </c>
      <c r="K2308" s="2"/>
      <c r="L2308" s="239">
        <v>38803</v>
      </c>
      <c r="N2308">
        <f t="shared" si="32"/>
        <v>18000</v>
      </c>
    </row>
    <row r="2309" spans="1:14" hidden="1">
      <c r="A2309" s="239">
        <v>38804</v>
      </c>
      <c r="B2309" s="168">
        <v>710488</v>
      </c>
      <c r="C2309" s="168" t="s">
        <v>3251</v>
      </c>
      <c r="D2309" s="11">
        <v>25000</v>
      </c>
      <c r="E2309" s="11">
        <v>0</v>
      </c>
      <c r="F2309" s="168" t="s">
        <v>3252</v>
      </c>
      <c r="G2309" s="8" t="s">
        <v>1359</v>
      </c>
      <c r="K2309" s="2"/>
      <c r="L2309" s="239">
        <v>38804</v>
      </c>
      <c r="N2309">
        <f t="shared" si="32"/>
        <v>25000</v>
      </c>
    </row>
    <row r="2310" spans="1:14" hidden="1">
      <c r="A2310" s="239">
        <v>38805</v>
      </c>
      <c r="B2310" s="168">
        <v>710489</v>
      </c>
      <c r="C2310" s="168" t="s">
        <v>3253</v>
      </c>
      <c r="D2310" s="11">
        <v>25000</v>
      </c>
      <c r="E2310" s="11">
        <v>0</v>
      </c>
      <c r="F2310" s="168" t="s">
        <v>3254</v>
      </c>
      <c r="G2310" s="8" t="s">
        <v>1372</v>
      </c>
      <c r="K2310" s="2"/>
      <c r="L2310" s="239">
        <v>38805</v>
      </c>
      <c r="N2310">
        <f t="shared" si="32"/>
        <v>25000</v>
      </c>
    </row>
    <row r="2311" spans="1:14" hidden="1">
      <c r="A2311" s="239">
        <v>38808</v>
      </c>
      <c r="B2311" s="168" t="s">
        <v>3219</v>
      </c>
      <c r="C2311" s="168" t="s">
        <v>1394</v>
      </c>
      <c r="D2311" s="11"/>
      <c r="E2311" s="11">
        <v>0</v>
      </c>
      <c r="F2311" s="168" t="s">
        <v>3255</v>
      </c>
      <c r="K2311" s="2"/>
      <c r="N2311">
        <f t="shared" si="32"/>
        <v>0</v>
      </c>
    </row>
    <row r="2312" spans="1:14" hidden="1">
      <c r="A2312" s="239">
        <v>38814</v>
      </c>
      <c r="B2312" s="168">
        <v>710493</v>
      </c>
      <c r="C2312" s="168" t="s">
        <v>3229</v>
      </c>
      <c r="D2312" s="11">
        <v>619</v>
      </c>
      <c r="E2312" s="11">
        <v>0</v>
      </c>
      <c r="F2312" s="168" t="s">
        <v>3256</v>
      </c>
      <c r="K2312" s="2"/>
      <c r="N2312">
        <f t="shared" si="32"/>
        <v>619</v>
      </c>
    </row>
    <row r="2313" spans="1:14" hidden="1">
      <c r="A2313" s="239">
        <v>38814</v>
      </c>
      <c r="B2313" s="168">
        <v>710492</v>
      </c>
      <c r="C2313" s="168" t="s">
        <v>3257</v>
      </c>
      <c r="D2313" s="11">
        <v>14545</v>
      </c>
      <c r="E2313" s="11">
        <v>0</v>
      </c>
      <c r="F2313" s="168" t="s">
        <v>3258</v>
      </c>
      <c r="G2313" s="8" t="s">
        <v>1366</v>
      </c>
      <c r="K2313" s="2"/>
      <c r="N2313">
        <f t="shared" si="32"/>
        <v>14545</v>
      </c>
    </row>
    <row r="2314" spans="1:14" hidden="1">
      <c r="A2314" s="239">
        <v>38817</v>
      </c>
      <c r="B2314" s="168" t="s">
        <v>3219</v>
      </c>
      <c r="C2314" s="168" t="s">
        <v>3259</v>
      </c>
      <c r="D2314" s="11">
        <v>4000</v>
      </c>
      <c r="E2314" s="11">
        <v>0</v>
      </c>
      <c r="F2314" s="168" t="s">
        <v>3260</v>
      </c>
      <c r="G2314" s="8" t="s">
        <v>1361</v>
      </c>
      <c r="K2314" s="2"/>
      <c r="N2314">
        <f t="shared" si="32"/>
        <v>4000</v>
      </c>
    </row>
    <row r="2315" spans="1:14" hidden="1">
      <c r="A2315" s="239">
        <v>38817</v>
      </c>
      <c r="B2315" s="168" t="s">
        <v>3219</v>
      </c>
      <c r="C2315" s="168" t="s">
        <v>3261</v>
      </c>
      <c r="D2315" s="11">
        <v>0</v>
      </c>
      <c r="E2315" s="11">
        <v>5306.6</v>
      </c>
      <c r="F2315" s="168" t="s">
        <v>3262</v>
      </c>
      <c r="G2315" s="8" t="s">
        <v>1375</v>
      </c>
      <c r="K2315" s="2"/>
      <c r="N2315">
        <f t="shared" ref="N2315:N2378" si="33">D2315*1</f>
        <v>0</v>
      </c>
    </row>
    <row r="2316" spans="1:14" hidden="1">
      <c r="A2316" s="239">
        <v>38817</v>
      </c>
      <c r="B2316" s="168" t="s">
        <v>3219</v>
      </c>
      <c r="C2316" s="168" t="s">
        <v>3263</v>
      </c>
      <c r="D2316" s="11">
        <v>10000</v>
      </c>
      <c r="E2316" s="11">
        <v>0</v>
      </c>
      <c r="F2316" s="168" t="s">
        <v>3264</v>
      </c>
      <c r="G2316" s="8" t="s">
        <v>1361</v>
      </c>
      <c r="K2316" s="2"/>
      <c r="N2316">
        <f t="shared" si="33"/>
        <v>10000</v>
      </c>
    </row>
    <row r="2317" spans="1:14" hidden="1">
      <c r="A2317" s="239">
        <v>38824</v>
      </c>
      <c r="B2317" s="168">
        <v>710490</v>
      </c>
      <c r="C2317" s="168" t="s">
        <v>3265</v>
      </c>
      <c r="D2317" s="11">
        <v>2000</v>
      </c>
      <c r="E2317" s="11">
        <v>0</v>
      </c>
      <c r="F2317" s="168" t="s">
        <v>3266</v>
      </c>
      <c r="K2317" s="2"/>
      <c r="N2317">
        <f t="shared" si="33"/>
        <v>2000</v>
      </c>
    </row>
    <row r="2318" spans="1:14" hidden="1">
      <c r="A2318" s="239">
        <v>38826</v>
      </c>
      <c r="B2318" s="168" t="s">
        <v>3219</v>
      </c>
      <c r="C2318" s="168" t="s">
        <v>3267</v>
      </c>
      <c r="D2318" s="11">
        <v>3000</v>
      </c>
      <c r="E2318" s="11">
        <v>0</v>
      </c>
      <c r="F2318" s="168" t="s">
        <v>3268</v>
      </c>
      <c r="G2318" s="8" t="s">
        <v>1361</v>
      </c>
      <c r="K2318" s="2"/>
      <c r="N2318">
        <f t="shared" si="33"/>
        <v>3000</v>
      </c>
    </row>
    <row r="2319" spans="1:14" hidden="1">
      <c r="A2319" s="239">
        <v>38827</v>
      </c>
      <c r="B2319" s="168" t="s">
        <v>3219</v>
      </c>
      <c r="C2319" s="168" t="s">
        <v>3269</v>
      </c>
      <c r="D2319" s="11">
        <v>3000</v>
      </c>
      <c r="E2319" s="11">
        <v>0</v>
      </c>
      <c r="F2319" s="168" t="s">
        <v>3270</v>
      </c>
      <c r="G2319" s="8" t="s">
        <v>1361</v>
      </c>
      <c r="K2319" s="2"/>
      <c r="N2319">
        <f t="shared" si="33"/>
        <v>3000</v>
      </c>
    </row>
    <row r="2320" spans="1:14" hidden="1">
      <c r="A2320" s="239">
        <v>38836</v>
      </c>
      <c r="B2320" s="168">
        <v>710496</v>
      </c>
      <c r="C2320" s="168" t="s">
        <v>3271</v>
      </c>
      <c r="D2320" s="11">
        <v>97452</v>
      </c>
      <c r="E2320" s="11">
        <v>0</v>
      </c>
      <c r="F2320" s="168" t="s">
        <v>3272</v>
      </c>
      <c r="K2320" s="2"/>
      <c r="N2320">
        <f t="shared" si="33"/>
        <v>97452</v>
      </c>
    </row>
    <row r="2321" spans="1:14" hidden="1">
      <c r="A2321" s="239">
        <v>38836</v>
      </c>
      <c r="B2321" s="168" t="s">
        <v>3219</v>
      </c>
      <c r="C2321" s="168" t="s">
        <v>3273</v>
      </c>
      <c r="D2321" s="11">
        <v>0</v>
      </c>
      <c r="E2321" s="11">
        <v>100914</v>
      </c>
      <c r="F2321" s="168" t="s">
        <v>3274</v>
      </c>
      <c r="G2321" s="8" t="s">
        <v>1380</v>
      </c>
      <c r="K2321" s="2"/>
      <c r="N2321">
        <f t="shared" si="33"/>
        <v>0</v>
      </c>
    </row>
    <row r="2322" spans="1:14" hidden="1">
      <c r="A2322" s="239">
        <v>38838</v>
      </c>
      <c r="B2322" s="168" t="s">
        <v>3219</v>
      </c>
      <c r="C2322" s="168" t="s">
        <v>1394</v>
      </c>
      <c r="D2322" s="11"/>
      <c r="E2322" s="11">
        <v>0</v>
      </c>
      <c r="F2322" s="168" t="s">
        <v>3275</v>
      </c>
      <c r="K2322" s="2"/>
      <c r="L2322" s="2">
        <f>A2322*1</f>
        <v>38838</v>
      </c>
      <c r="N2322">
        <f t="shared" si="33"/>
        <v>0</v>
      </c>
    </row>
    <row r="2323" spans="1:14" hidden="1">
      <c r="A2323" s="239">
        <v>38839</v>
      </c>
      <c r="B2323" s="168">
        <v>710494</v>
      </c>
      <c r="C2323" s="168" t="s">
        <v>1473</v>
      </c>
      <c r="D2323" s="11">
        <v>6331</v>
      </c>
      <c r="E2323" s="11">
        <v>0</v>
      </c>
      <c r="F2323" s="168" t="s">
        <v>3276</v>
      </c>
      <c r="G2323" s="8" t="s">
        <v>1370</v>
      </c>
      <c r="K2323" s="2"/>
      <c r="N2323">
        <f t="shared" si="33"/>
        <v>6331</v>
      </c>
    </row>
    <row r="2324" spans="1:14" hidden="1">
      <c r="A2324" s="239">
        <v>38840</v>
      </c>
      <c r="B2324" s="168" t="s">
        <v>3219</v>
      </c>
      <c r="C2324" s="168" t="s">
        <v>3277</v>
      </c>
      <c r="D2324" s="11">
        <v>1000</v>
      </c>
      <c r="E2324" s="11">
        <v>0</v>
      </c>
      <c r="F2324" s="168" t="s">
        <v>3278</v>
      </c>
      <c r="G2324" s="8" t="s">
        <v>1361</v>
      </c>
      <c r="K2324" s="2"/>
      <c r="N2324">
        <f t="shared" si="33"/>
        <v>1000</v>
      </c>
    </row>
    <row r="2325" spans="1:14" hidden="1">
      <c r="A2325" s="239">
        <v>38841</v>
      </c>
      <c r="B2325" s="168">
        <v>710495</v>
      </c>
      <c r="C2325" s="168" t="s">
        <v>3257</v>
      </c>
      <c r="D2325" s="11">
        <v>14545</v>
      </c>
      <c r="E2325" s="11">
        <v>0</v>
      </c>
      <c r="F2325" s="168" t="s">
        <v>3279</v>
      </c>
      <c r="G2325" s="8" t="s">
        <v>1366</v>
      </c>
      <c r="K2325" s="2"/>
      <c r="N2325">
        <f t="shared" si="33"/>
        <v>14545</v>
      </c>
    </row>
    <row r="2326" spans="1:14" hidden="1">
      <c r="A2326" s="239">
        <v>38843</v>
      </c>
      <c r="B2326" s="168">
        <v>710497</v>
      </c>
      <c r="C2326" s="168" t="s">
        <v>3280</v>
      </c>
      <c r="D2326" s="11">
        <v>7260</v>
      </c>
      <c r="E2326" s="11">
        <v>0</v>
      </c>
      <c r="F2326" s="168" t="s">
        <v>3281</v>
      </c>
      <c r="K2326" s="2"/>
      <c r="N2326">
        <f t="shared" si="33"/>
        <v>7260</v>
      </c>
    </row>
    <row r="2327" spans="1:14" hidden="1">
      <c r="A2327" s="239">
        <v>38846</v>
      </c>
      <c r="B2327" s="168" t="s">
        <v>3219</v>
      </c>
      <c r="C2327" s="168" t="s">
        <v>3282</v>
      </c>
      <c r="D2327" s="11">
        <v>1500</v>
      </c>
      <c r="E2327" s="11">
        <v>0</v>
      </c>
      <c r="F2327" s="168" t="s">
        <v>3283</v>
      </c>
      <c r="G2327" s="8" t="s">
        <v>1361</v>
      </c>
      <c r="K2327" s="2"/>
      <c r="N2327">
        <f t="shared" si="33"/>
        <v>1500</v>
      </c>
    </row>
    <row r="2328" spans="1:14" hidden="1">
      <c r="A2328" s="239">
        <v>38848</v>
      </c>
      <c r="B2328" s="168" t="s">
        <v>3219</v>
      </c>
      <c r="C2328" s="168" t="s">
        <v>3284</v>
      </c>
      <c r="D2328" s="11">
        <v>2000</v>
      </c>
      <c r="E2328" s="11">
        <v>0</v>
      </c>
      <c r="F2328" s="168" t="s">
        <v>3285</v>
      </c>
      <c r="G2328" s="8" t="s">
        <v>1361</v>
      </c>
      <c r="K2328" s="2"/>
      <c r="N2328">
        <f t="shared" si="33"/>
        <v>2000</v>
      </c>
    </row>
    <row r="2329" spans="1:14" hidden="1">
      <c r="A2329" s="239">
        <v>38849</v>
      </c>
      <c r="B2329" s="168" t="s">
        <v>3219</v>
      </c>
      <c r="C2329" s="168" t="s">
        <v>3286</v>
      </c>
      <c r="D2329" s="11">
        <v>800</v>
      </c>
      <c r="E2329" s="11">
        <v>0</v>
      </c>
      <c r="F2329" s="168" t="s">
        <v>3287</v>
      </c>
      <c r="G2329" s="8" t="s">
        <v>1361</v>
      </c>
      <c r="K2329" s="2"/>
      <c r="N2329">
        <f t="shared" si="33"/>
        <v>800</v>
      </c>
    </row>
    <row r="2330" spans="1:14" hidden="1">
      <c r="A2330" s="239">
        <v>38862</v>
      </c>
      <c r="B2330" s="168" t="s">
        <v>3219</v>
      </c>
      <c r="C2330" s="168" t="s">
        <v>3288</v>
      </c>
      <c r="D2330" s="11">
        <v>1000</v>
      </c>
      <c r="E2330" s="11">
        <v>0</v>
      </c>
      <c r="F2330" s="168" t="s">
        <v>3289</v>
      </c>
      <c r="G2330" s="8" t="s">
        <v>1361</v>
      </c>
      <c r="K2330" s="2"/>
      <c r="N2330">
        <f t="shared" si="33"/>
        <v>1000</v>
      </c>
    </row>
    <row r="2331" spans="1:14" hidden="1">
      <c r="A2331" s="239">
        <v>38863</v>
      </c>
      <c r="B2331" s="168" t="s">
        <v>3219</v>
      </c>
      <c r="C2331" s="168" t="s">
        <v>3290</v>
      </c>
      <c r="D2331" s="11">
        <v>0</v>
      </c>
      <c r="E2331" s="11">
        <v>35516</v>
      </c>
      <c r="F2331" s="168" t="s">
        <v>3291</v>
      </c>
      <c r="G2331" s="8" t="s">
        <v>1380</v>
      </c>
      <c r="K2331" s="2"/>
      <c r="N2331">
        <f t="shared" si="33"/>
        <v>0</v>
      </c>
    </row>
    <row r="2332" spans="1:14" hidden="1">
      <c r="A2332" s="239">
        <v>38867</v>
      </c>
      <c r="B2332" s="168" t="s">
        <v>3219</v>
      </c>
      <c r="C2332" s="168" t="s">
        <v>3292</v>
      </c>
      <c r="D2332" s="11">
        <v>600</v>
      </c>
      <c r="E2332" s="11">
        <v>0</v>
      </c>
      <c r="F2332" s="168" t="s">
        <v>3293</v>
      </c>
      <c r="G2332" s="8" t="s">
        <v>1361</v>
      </c>
      <c r="K2332" s="2"/>
      <c r="N2332">
        <f t="shared" si="33"/>
        <v>600</v>
      </c>
    </row>
    <row r="2333" spans="1:14" hidden="1">
      <c r="A2333" s="239">
        <v>38869</v>
      </c>
      <c r="B2333" s="168" t="s">
        <v>3219</v>
      </c>
      <c r="C2333" s="168" t="s">
        <v>1394</v>
      </c>
      <c r="D2333" s="11"/>
      <c r="E2333" s="11">
        <v>0</v>
      </c>
      <c r="F2333" s="168" t="s">
        <v>3293</v>
      </c>
      <c r="K2333" s="2"/>
      <c r="N2333">
        <f t="shared" si="33"/>
        <v>0</v>
      </c>
    </row>
    <row r="2334" spans="1:14" hidden="1">
      <c r="A2334" s="239">
        <v>38869</v>
      </c>
      <c r="B2334" s="168">
        <v>710499</v>
      </c>
      <c r="C2334" s="168" t="s">
        <v>3221</v>
      </c>
      <c r="D2334" s="11">
        <v>14545</v>
      </c>
      <c r="E2334" s="11">
        <v>0</v>
      </c>
      <c r="F2334" s="168" t="s">
        <v>3294</v>
      </c>
      <c r="G2334" s="8" t="s">
        <v>1366</v>
      </c>
      <c r="K2334" s="2"/>
      <c r="N2334">
        <f t="shared" si="33"/>
        <v>14545</v>
      </c>
    </row>
    <row r="2335" spans="1:14" hidden="1">
      <c r="A2335" s="239">
        <v>38876</v>
      </c>
      <c r="B2335" s="168">
        <v>710500</v>
      </c>
      <c r="C2335" s="168" t="s">
        <v>3295</v>
      </c>
      <c r="D2335" s="11">
        <v>1190</v>
      </c>
      <c r="E2335" s="11">
        <v>0</v>
      </c>
      <c r="F2335" s="168" t="s">
        <v>3296</v>
      </c>
      <c r="K2335" s="2"/>
      <c r="N2335">
        <f t="shared" si="33"/>
        <v>1190</v>
      </c>
    </row>
    <row r="2336" spans="1:14" hidden="1">
      <c r="A2336" s="239">
        <v>38878</v>
      </c>
      <c r="B2336" s="168">
        <v>469226</v>
      </c>
      <c r="C2336" s="168" t="s">
        <v>3297</v>
      </c>
      <c r="D2336" s="11">
        <v>20000</v>
      </c>
      <c r="E2336" s="11">
        <v>0</v>
      </c>
      <c r="F2336" s="168" t="s">
        <v>3298</v>
      </c>
      <c r="G2336" s="8" t="s">
        <v>1372</v>
      </c>
      <c r="K2336" s="2"/>
      <c r="N2336">
        <f t="shared" si="33"/>
        <v>20000</v>
      </c>
    </row>
    <row r="2337" spans="1:14" hidden="1">
      <c r="A2337" s="239">
        <v>38894</v>
      </c>
      <c r="B2337" s="168" t="s">
        <v>3219</v>
      </c>
      <c r="C2337" s="168" t="s">
        <v>3299</v>
      </c>
      <c r="D2337" s="11">
        <v>5000</v>
      </c>
      <c r="E2337" s="11">
        <v>0</v>
      </c>
      <c r="F2337" s="168" t="s">
        <v>3300</v>
      </c>
      <c r="G2337" s="8" t="s">
        <v>1361</v>
      </c>
      <c r="K2337" s="2"/>
      <c r="N2337">
        <f t="shared" si="33"/>
        <v>5000</v>
      </c>
    </row>
    <row r="2338" spans="1:14" hidden="1">
      <c r="A2338" s="239">
        <v>38895</v>
      </c>
      <c r="B2338" s="168" t="s">
        <v>3219</v>
      </c>
      <c r="C2338" s="168" t="s">
        <v>3301</v>
      </c>
      <c r="D2338" s="11">
        <v>0</v>
      </c>
      <c r="E2338" s="11">
        <v>40302</v>
      </c>
      <c r="F2338" s="168" t="s">
        <v>3302</v>
      </c>
      <c r="G2338" s="8" t="s">
        <v>1380</v>
      </c>
      <c r="K2338" s="2"/>
      <c r="N2338">
        <f t="shared" si="33"/>
        <v>0</v>
      </c>
    </row>
    <row r="2339" spans="1:14" hidden="1">
      <c r="A2339" s="239">
        <v>38897</v>
      </c>
      <c r="B2339" s="168">
        <v>469251</v>
      </c>
      <c r="C2339" s="168" t="s">
        <v>3303</v>
      </c>
      <c r="D2339" s="11">
        <v>1220</v>
      </c>
      <c r="E2339" s="11">
        <v>0</v>
      </c>
      <c r="F2339" s="168" t="s">
        <v>3304</v>
      </c>
      <c r="K2339" s="2"/>
      <c r="N2339">
        <f t="shared" si="33"/>
        <v>1220</v>
      </c>
    </row>
    <row r="2340" spans="1:14" hidden="1">
      <c r="A2340" s="239">
        <v>38899</v>
      </c>
      <c r="B2340" s="168" t="s">
        <v>3219</v>
      </c>
      <c r="C2340" s="168" t="s">
        <v>1394</v>
      </c>
      <c r="D2340" s="11"/>
      <c r="E2340" s="11">
        <v>0</v>
      </c>
      <c r="F2340" s="168" t="s">
        <v>3304</v>
      </c>
      <c r="K2340" s="2"/>
      <c r="N2340">
        <f t="shared" si="33"/>
        <v>0</v>
      </c>
    </row>
    <row r="2341" spans="1:14" hidden="1">
      <c r="A2341" s="239">
        <v>38902</v>
      </c>
      <c r="B2341" s="168">
        <v>469253</v>
      </c>
      <c r="C2341" s="168" t="s">
        <v>1473</v>
      </c>
      <c r="D2341" s="11">
        <v>6331</v>
      </c>
      <c r="E2341" s="11">
        <v>0</v>
      </c>
      <c r="F2341" s="168" t="s">
        <v>3305</v>
      </c>
      <c r="G2341" s="8" t="s">
        <v>1370</v>
      </c>
      <c r="K2341" s="2"/>
      <c r="N2341">
        <f t="shared" si="33"/>
        <v>6331</v>
      </c>
    </row>
    <row r="2342" spans="1:14" hidden="1">
      <c r="A2342" s="239">
        <v>38902</v>
      </c>
      <c r="B2342" s="168">
        <v>469252</v>
      </c>
      <c r="C2342" s="168" t="s">
        <v>3221</v>
      </c>
      <c r="D2342" s="11">
        <v>14890</v>
      </c>
      <c r="E2342" s="11">
        <v>0</v>
      </c>
      <c r="F2342" s="168" t="s">
        <v>3306</v>
      </c>
      <c r="G2342" s="8" t="s">
        <v>1366</v>
      </c>
      <c r="K2342" s="2"/>
      <c r="N2342">
        <f t="shared" si="33"/>
        <v>14890</v>
      </c>
    </row>
    <row r="2343" spans="1:14" hidden="1">
      <c r="A2343" s="239">
        <v>38913</v>
      </c>
      <c r="B2343" s="168" t="s">
        <v>3219</v>
      </c>
      <c r="C2343" s="168" t="s">
        <v>3307</v>
      </c>
      <c r="D2343" s="11">
        <v>3000</v>
      </c>
      <c r="E2343" s="11">
        <v>0</v>
      </c>
      <c r="F2343" s="168" t="s">
        <v>3308</v>
      </c>
      <c r="G2343" s="8" t="s">
        <v>1361</v>
      </c>
      <c r="K2343" s="2"/>
      <c r="N2343">
        <f t="shared" si="33"/>
        <v>3000</v>
      </c>
    </row>
    <row r="2344" spans="1:14" hidden="1">
      <c r="A2344" s="239">
        <v>38916</v>
      </c>
      <c r="B2344" s="168">
        <v>469227</v>
      </c>
      <c r="C2344" s="168" t="s">
        <v>3309</v>
      </c>
      <c r="D2344" s="11">
        <v>40000</v>
      </c>
      <c r="E2344" s="11">
        <v>0</v>
      </c>
      <c r="F2344" s="168" t="s">
        <v>3310</v>
      </c>
      <c r="K2344" s="2"/>
      <c r="N2344">
        <f t="shared" si="33"/>
        <v>40000</v>
      </c>
    </row>
    <row r="2345" spans="1:14" hidden="1">
      <c r="A2345" s="239">
        <v>38918</v>
      </c>
      <c r="B2345" s="168" t="s">
        <v>3219</v>
      </c>
      <c r="C2345" s="168" t="s">
        <v>3311</v>
      </c>
      <c r="D2345" s="11">
        <v>300</v>
      </c>
      <c r="E2345" s="11">
        <v>0</v>
      </c>
      <c r="F2345" s="168" t="s">
        <v>3312</v>
      </c>
      <c r="G2345" s="8" t="s">
        <v>1361</v>
      </c>
      <c r="K2345" s="2"/>
      <c r="N2345">
        <f t="shared" si="33"/>
        <v>300</v>
      </c>
    </row>
    <row r="2346" spans="1:14" hidden="1">
      <c r="A2346" s="239">
        <v>38925</v>
      </c>
      <c r="B2346" s="168" t="s">
        <v>3219</v>
      </c>
      <c r="C2346" s="168" t="s">
        <v>3313</v>
      </c>
      <c r="D2346" s="11">
        <v>0</v>
      </c>
      <c r="E2346" s="11">
        <v>35516</v>
      </c>
      <c r="F2346" s="168" t="s">
        <v>3314</v>
      </c>
      <c r="G2346" s="8" t="s">
        <v>1380</v>
      </c>
      <c r="K2346" s="2"/>
      <c r="N2346">
        <f t="shared" si="33"/>
        <v>0</v>
      </c>
    </row>
    <row r="2347" spans="1:14" hidden="1">
      <c r="A2347" s="239">
        <v>38930</v>
      </c>
      <c r="B2347" s="168" t="s">
        <v>3219</v>
      </c>
      <c r="C2347" s="168" t="s">
        <v>1394</v>
      </c>
      <c r="D2347" s="11"/>
      <c r="E2347" s="11">
        <v>0</v>
      </c>
      <c r="F2347" s="168" t="s">
        <v>3314</v>
      </c>
      <c r="K2347" s="2"/>
      <c r="N2347">
        <f t="shared" si="33"/>
        <v>0</v>
      </c>
    </row>
    <row r="2348" spans="1:14" hidden="1">
      <c r="A2348" s="239">
        <v>38930</v>
      </c>
      <c r="B2348" s="168">
        <v>469254</v>
      </c>
      <c r="C2348" s="168" t="s">
        <v>3221</v>
      </c>
      <c r="D2348" s="11">
        <v>14908</v>
      </c>
      <c r="E2348" s="11">
        <v>0</v>
      </c>
      <c r="F2348" s="168" t="s">
        <v>3315</v>
      </c>
      <c r="G2348" s="8" t="s">
        <v>1366</v>
      </c>
      <c r="K2348" s="2"/>
      <c r="N2348">
        <f t="shared" si="33"/>
        <v>14908</v>
      </c>
    </row>
    <row r="2349" spans="1:14" hidden="1">
      <c r="A2349" s="239">
        <v>38931</v>
      </c>
      <c r="B2349" s="168">
        <v>469256</v>
      </c>
      <c r="C2349" s="168" t="s">
        <v>3316</v>
      </c>
      <c r="D2349" s="11">
        <v>2414</v>
      </c>
      <c r="E2349" s="11">
        <v>0</v>
      </c>
      <c r="F2349" s="168" t="s">
        <v>3317</v>
      </c>
      <c r="K2349" s="2"/>
      <c r="N2349">
        <f t="shared" si="33"/>
        <v>2414</v>
      </c>
    </row>
    <row r="2350" spans="1:14" hidden="1">
      <c r="A2350" s="239">
        <v>38931</v>
      </c>
      <c r="B2350" s="168">
        <v>469255</v>
      </c>
      <c r="C2350" s="168" t="s">
        <v>3318</v>
      </c>
      <c r="D2350" s="11">
        <v>780</v>
      </c>
      <c r="E2350" s="11">
        <v>0</v>
      </c>
      <c r="F2350" s="168" t="s">
        <v>3319</v>
      </c>
      <c r="K2350" s="2"/>
      <c r="N2350">
        <f t="shared" si="33"/>
        <v>780</v>
      </c>
    </row>
    <row r="2351" spans="1:14" hidden="1">
      <c r="A2351" s="239">
        <v>38952</v>
      </c>
      <c r="B2351" s="168" t="s">
        <v>3219</v>
      </c>
      <c r="C2351" s="168" t="s">
        <v>3320</v>
      </c>
      <c r="D2351" s="11">
        <v>600</v>
      </c>
      <c r="E2351" s="11">
        <v>0</v>
      </c>
      <c r="F2351" s="168" t="s">
        <v>3321</v>
      </c>
      <c r="G2351" s="8" t="s">
        <v>1361</v>
      </c>
      <c r="K2351" s="2"/>
      <c r="N2351">
        <f t="shared" si="33"/>
        <v>600</v>
      </c>
    </row>
    <row r="2352" spans="1:14" hidden="1">
      <c r="A2352" s="239">
        <v>38953</v>
      </c>
      <c r="B2352" s="168">
        <v>469257</v>
      </c>
      <c r="C2352" s="168" t="s">
        <v>3322</v>
      </c>
      <c r="D2352" s="11">
        <v>3862</v>
      </c>
      <c r="E2352" s="11">
        <v>0</v>
      </c>
      <c r="F2352" s="168" t="s">
        <v>3323</v>
      </c>
      <c r="K2352" s="2"/>
      <c r="N2352">
        <f t="shared" si="33"/>
        <v>3862</v>
      </c>
    </row>
    <row r="2353" spans="1:14" hidden="1">
      <c r="A2353" s="239">
        <v>38954</v>
      </c>
      <c r="B2353" s="168" t="s">
        <v>3219</v>
      </c>
      <c r="C2353" s="168" t="s">
        <v>3324</v>
      </c>
      <c r="D2353" s="11">
        <v>2000</v>
      </c>
      <c r="E2353" s="11">
        <v>0</v>
      </c>
      <c r="F2353" s="168" t="s">
        <v>3325</v>
      </c>
      <c r="G2353" s="8" t="s">
        <v>1361</v>
      </c>
      <c r="K2353" s="2"/>
      <c r="N2353">
        <f t="shared" si="33"/>
        <v>2000</v>
      </c>
    </row>
    <row r="2354" spans="1:14" hidden="1">
      <c r="A2354" s="239">
        <v>38955</v>
      </c>
      <c r="B2354" s="168" t="s">
        <v>3219</v>
      </c>
      <c r="C2354" s="168" t="s">
        <v>3326</v>
      </c>
      <c r="D2354" s="11">
        <v>0</v>
      </c>
      <c r="E2354" s="11">
        <v>35515</v>
      </c>
      <c r="F2354" s="168" t="s">
        <v>3327</v>
      </c>
      <c r="G2354" s="8" t="s">
        <v>1380</v>
      </c>
      <c r="K2354" s="2"/>
      <c r="N2354">
        <f t="shared" si="33"/>
        <v>0</v>
      </c>
    </row>
    <row r="2355" spans="1:14" hidden="1">
      <c r="A2355" s="239">
        <v>38961</v>
      </c>
      <c r="B2355" s="168" t="s">
        <v>3219</v>
      </c>
      <c r="C2355" s="168" t="s">
        <v>1394</v>
      </c>
      <c r="D2355" s="11"/>
      <c r="E2355" s="11">
        <v>0</v>
      </c>
      <c r="F2355" s="168" t="s">
        <v>3327</v>
      </c>
      <c r="K2355" s="2"/>
      <c r="N2355">
        <f t="shared" si="33"/>
        <v>0</v>
      </c>
    </row>
    <row r="2356" spans="1:14" hidden="1">
      <c r="A2356" s="239">
        <v>38961</v>
      </c>
      <c r="B2356" s="168">
        <v>469258</v>
      </c>
      <c r="C2356" s="168" t="s">
        <v>3221</v>
      </c>
      <c r="D2356" s="11">
        <v>14890</v>
      </c>
      <c r="E2356" s="11">
        <v>0</v>
      </c>
      <c r="F2356" s="168" t="s">
        <v>3328</v>
      </c>
      <c r="G2356" s="8" t="s">
        <v>1366</v>
      </c>
      <c r="K2356" s="2"/>
      <c r="N2356">
        <f t="shared" si="33"/>
        <v>14890</v>
      </c>
    </row>
    <row r="2357" spans="1:14" hidden="1">
      <c r="A2357" s="239">
        <v>38962</v>
      </c>
      <c r="B2357" s="168" t="s">
        <v>3219</v>
      </c>
      <c r="C2357" s="168" t="s">
        <v>3329</v>
      </c>
      <c r="D2357" s="11">
        <v>0</v>
      </c>
      <c r="E2357" s="11">
        <v>4776</v>
      </c>
      <c r="F2357" s="168" t="s">
        <v>3330</v>
      </c>
      <c r="G2357" s="8" t="s">
        <v>1368</v>
      </c>
      <c r="K2357" s="2"/>
      <c r="N2357">
        <f t="shared" si="33"/>
        <v>0</v>
      </c>
    </row>
    <row r="2358" spans="1:14" hidden="1">
      <c r="A2358" s="239">
        <v>38968</v>
      </c>
      <c r="B2358" s="168">
        <v>469259</v>
      </c>
      <c r="C2358" s="168" t="s">
        <v>3303</v>
      </c>
      <c r="D2358" s="11">
        <v>540</v>
      </c>
      <c r="E2358" s="11">
        <v>0</v>
      </c>
      <c r="F2358" s="168" t="s">
        <v>3331</v>
      </c>
      <c r="K2358" s="2"/>
      <c r="N2358">
        <f t="shared" si="33"/>
        <v>540</v>
      </c>
    </row>
    <row r="2359" spans="1:14" hidden="1">
      <c r="A2359" s="239">
        <v>38971</v>
      </c>
      <c r="B2359" s="168" t="s">
        <v>3219</v>
      </c>
      <c r="C2359" s="168" t="s">
        <v>3332</v>
      </c>
      <c r="D2359" s="11">
        <v>3000</v>
      </c>
      <c r="E2359" s="11">
        <v>0</v>
      </c>
      <c r="F2359" s="168" t="s">
        <v>3333</v>
      </c>
      <c r="G2359" s="8" t="s">
        <v>1361</v>
      </c>
      <c r="K2359" s="2"/>
      <c r="N2359">
        <f t="shared" si="33"/>
        <v>3000</v>
      </c>
    </row>
    <row r="2360" spans="1:14" hidden="1">
      <c r="A2360" s="239">
        <v>38972</v>
      </c>
      <c r="B2360" s="168" t="s">
        <v>3219</v>
      </c>
      <c r="C2360" s="168" t="s">
        <v>3334</v>
      </c>
      <c r="D2360" s="11">
        <v>0</v>
      </c>
      <c r="E2360" s="11">
        <v>26959</v>
      </c>
      <c r="F2360" s="168" t="s">
        <v>3335</v>
      </c>
      <c r="G2360" s="8" t="s">
        <v>1360</v>
      </c>
      <c r="K2360" s="2"/>
      <c r="N2360">
        <f t="shared" si="33"/>
        <v>0</v>
      </c>
    </row>
    <row r="2361" spans="1:14" hidden="1">
      <c r="A2361" s="239">
        <v>38972</v>
      </c>
      <c r="B2361" s="168" t="s">
        <v>3219</v>
      </c>
      <c r="C2361" s="168" t="s">
        <v>3336</v>
      </c>
      <c r="D2361" s="11">
        <v>200</v>
      </c>
      <c r="E2361" s="11">
        <v>0</v>
      </c>
      <c r="F2361" s="168" t="s">
        <v>3337</v>
      </c>
      <c r="G2361" s="8" t="s">
        <v>1361</v>
      </c>
      <c r="K2361" s="2"/>
      <c r="N2361">
        <f t="shared" si="33"/>
        <v>200</v>
      </c>
    </row>
    <row r="2362" spans="1:14" hidden="1">
      <c r="A2362" s="239">
        <v>38987</v>
      </c>
      <c r="B2362" s="168" t="s">
        <v>3219</v>
      </c>
      <c r="C2362" s="168" t="s">
        <v>3338</v>
      </c>
      <c r="D2362" s="11">
        <v>0</v>
      </c>
      <c r="E2362" s="11">
        <v>35516</v>
      </c>
      <c r="F2362" s="168" t="s">
        <v>3339</v>
      </c>
      <c r="G2362" s="8" t="s">
        <v>1380</v>
      </c>
      <c r="K2362" s="2"/>
      <c r="N2362">
        <f t="shared" si="33"/>
        <v>0</v>
      </c>
    </row>
    <row r="2363" spans="1:14" hidden="1">
      <c r="A2363" s="239">
        <v>38989</v>
      </c>
      <c r="B2363" s="168">
        <v>469260</v>
      </c>
      <c r="C2363" s="168" t="s">
        <v>959</v>
      </c>
      <c r="D2363" s="11">
        <v>6331</v>
      </c>
      <c r="E2363" s="11">
        <v>0</v>
      </c>
      <c r="F2363" s="168" t="s">
        <v>3340</v>
      </c>
      <c r="G2363" s="8" t="s">
        <v>1370</v>
      </c>
      <c r="K2363" s="2"/>
      <c r="N2363">
        <f t="shared" si="33"/>
        <v>6331</v>
      </c>
    </row>
    <row r="2364" spans="1:14" hidden="1">
      <c r="A2364" s="239">
        <v>38991</v>
      </c>
      <c r="B2364" s="168" t="s">
        <v>3219</v>
      </c>
      <c r="C2364" s="168" t="s">
        <v>1394</v>
      </c>
      <c r="D2364" s="11"/>
      <c r="E2364" s="11">
        <v>0</v>
      </c>
      <c r="F2364" s="168" t="s">
        <v>3340</v>
      </c>
      <c r="K2364" s="2"/>
      <c r="N2364">
        <f t="shared" si="33"/>
        <v>0</v>
      </c>
    </row>
    <row r="2365" spans="1:14" hidden="1">
      <c r="A2365" s="239">
        <v>38995</v>
      </c>
      <c r="B2365" s="168">
        <v>469261</v>
      </c>
      <c r="C2365" s="168" t="s">
        <v>3221</v>
      </c>
      <c r="D2365" s="11">
        <v>15232</v>
      </c>
      <c r="E2365" s="11">
        <v>0</v>
      </c>
      <c r="F2365" s="168" t="s">
        <v>3341</v>
      </c>
      <c r="G2365" s="8" t="s">
        <v>1366</v>
      </c>
      <c r="K2365" s="2"/>
      <c r="N2365">
        <f t="shared" si="33"/>
        <v>15232</v>
      </c>
    </row>
    <row r="2366" spans="1:14" hidden="1">
      <c r="A2366" s="239">
        <v>39003</v>
      </c>
      <c r="B2366" s="168">
        <v>469262</v>
      </c>
      <c r="C2366" s="168" t="s">
        <v>3295</v>
      </c>
      <c r="D2366" s="11">
        <v>690</v>
      </c>
      <c r="E2366" s="11">
        <v>0</v>
      </c>
      <c r="F2366" s="168" t="s">
        <v>3342</v>
      </c>
      <c r="K2366" s="2"/>
      <c r="N2366">
        <f t="shared" si="33"/>
        <v>690</v>
      </c>
    </row>
    <row r="2367" spans="1:14" hidden="1">
      <c r="A2367" s="239">
        <v>39006</v>
      </c>
      <c r="B2367" s="168" t="s">
        <v>3219</v>
      </c>
      <c r="C2367" s="168" t="s">
        <v>3343</v>
      </c>
      <c r="D2367" s="11">
        <v>5000</v>
      </c>
      <c r="E2367" s="11">
        <v>0</v>
      </c>
      <c r="F2367" s="168" t="s">
        <v>3344</v>
      </c>
      <c r="G2367" s="8" t="s">
        <v>1361</v>
      </c>
      <c r="K2367" s="2"/>
      <c r="N2367">
        <f t="shared" si="33"/>
        <v>5000</v>
      </c>
    </row>
    <row r="2368" spans="1:14" hidden="1">
      <c r="A2368" s="239">
        <v>39010</v>
      </c>
      <c r="B2368" s="168" t="s">
        <v>3219</v>
      </c>
      <c r="C2368" s="168" t="s">
        <v>3345</v>
      </c>
      <c r="D2368" s="11">
        <v>0</v>
      </c>
      <c r="E2368" s="11">
        <v>35515</v>
      </c>
      <c r="F2368" s="168" t="s">
        <v>3346</v>
      </c>
      <c r="G2368" s="8" t="s">
        <v>1380</v>
      </c>
      <c r="K2368" s="2"/>
      <c r="N2368">
        <f t="shared" si="33"/>
        <v>0</v>
      </c>
    </row>
    <row r="2369" spans="1:14" hidden="1">
      <c r="A2369" s="239">
        <v>39011</v>
      </c>
      <c r="B2369" s="168" t="s">
        <v>3219</v>
      </c>
      <c r="C2369" s="168" t="s">
        <v>3347</v>
      </c>
      <c r="D2369" s="11">
        <v>5000</v>
      </c>
      <c r="E2369" s="11">
        <v>0</v>
      </c>
      <c r="F2369" s="168" t="s">
        <v>3348</v>
      </c>
      <c r="G2369" s="8" t="s">
        <v>1361</v>
      </c>
      <c r="K2369" s="2"/>
      <c r="N2369">
        <f t="shared" si="33"/>
        <v>5000</v>
      </c>
    </row>
    <row r="2370" spans="1:14" hidden="1">
      <c r="A2370" s="239">
        <v>39011</v>
      </c>
      <c r="B2370" s="168" t="s">
        <v>3219</v>
      </c>
      <c r="C2370" s="168" t="s">
        <v>3349</v>
      </c>
      <c r="D2370" s="11">
        <v>3000</v>
      </c>
      <c r="E2370" s="11">
        <v>0</v>
      </c>
      <c r="F2370" s="168" t="s">
        <v>3350</v>
      </c>
      <c r="G2370" s="8" t="s">
        <v>1361</v>
      </c>
      <c r="K2370" s="2"/>
      <c r="N2370">
        <f t="shared" si="33"/>
        <v>3000</v>
      </c>
    </row>
    <row r="2371" spans="1:14" hidden="1">
      <c r="A2371" s="239">
        <v>39021</v>
      </c>
      <c r="B2371" s="168" t="s">
        <v>3219</v>
      </c>
      <c r="C2371" s="168" t="s">
        <v>3351</v>
      </c>
      <c r="D2371" s="11">
        <v>3000</v>
      </c>
      <c r="E2371" s="11">
        <v>0</v>
      </c>
      <c r="F2371" s="168" t="s">
        <v>3352</v>
      </c>
      <c r="G2371" s="8" t="s">
        <v>1361</v>
      </c>
      <c r="K2371" s="2"/>
      <c r="N2371">
        <f t="shared" si="33"/>
        <v>3000</v>
      </c>
    </row>
    <row r="2372" spans="1:14" hidden="1">
      <c r="A2372" s="239">
        <v>39021</v>
      </c>
      <c r="B2372" s="168">
        <v>469263</v>
      </c>
      <c r="C2372" s="168" t="s">
        <v>3353</v>
      </c>
      <c r="D2372" s="11">
        <v>2245</v>
      </c>
      <c r="E2372" s="11">
        <v>0</v>
      </c>
      <c r="F2372" s="168" t="s">
        <v>3354</v>
      </c>
      <c r="K2372" s="2"/>
      <c r="N2372">
        <f t="shared" si="33"/>
        <v>2245</v>
      </c>
    </row>
    <row r="2373" spans="1:14" hidden="1">
      <c r="A2373" s="239">
        <v>39021</v>
      </c>
      <c r="B2373" s="168">
        <v>469264</v>
      </c>
      <c r="C2373" s="168" t="s">
        <v>3221</v>
      </c>
      <c r="D2373" s="11">
        <v>15232</v>
      </c>
      <c r="E2373" s="11">
        <v>0</v>
      </c>
      <c r="F2373" s="168" t="s">
        <v>3355</v>
      </c>
      <c r="G2373" s="8" t="s">
        <v>1366</v>
      </c>
      <c r="K2373" s="2"/>
      <c r="N2373">
        <f t="shared" si="33"/>
        <v>15232</v>
      </c>
    </row>
    <row r="2374" spans="1:14" hidden="1">
      <c r="A2374" s="239">
        <v>39021</v>
      </c>
      <c r="B2374" s="168" t="s">
        <v>3219</v>
      </c>
      <c r="C2374" s="168" t="s">
        <v>3356</v>
      </c>
      <c r="D2374" s="11">
        <v>0</v>
      </c>
      <c r="E2374" s="11">
        <v>56442</v>
      </c>
      <c r="F2374" s="168" t="s">
        <v>3357</v>
      </c>
      <c r="G2374" s="8" t="s">
        <v>1380</v>
      </c>
      <c r="K2374" s="2"/>
      <c r="N2374">
        <f t="shared" si="33"/>
        <v>0</v>
      </c>
    </row>
    <row r="2375" spans="1:14" hidden="1">
      <c r="A2375" s="239">
        <v>39022</v>
      </c>
      <c r="B2375" s="168" t="s">
        <v>3219</v>
      </c>
      <c r="C2375" s="168" t="s">
        <v>1394</v>
      </c>
      <c r="D2375" s="11"/>
      <c r="E2375" s="11">
        <v>0</v>
      </c>
      <c r="F2375" s="168" t="s">
        <v>3357</v>
      </c>
      <c r="K2375" s="2"/>
      <c r="N2375">
        <f t="shared" si="33"/>
        <v>0</v>
      </c>
    </row>
    <row r="2376" spans="1:14" hidden="1">
      <c r="A2376" s="239">
        <v>39025</v>
      </c>
      <c r="B2376" s="168">
        <v>469265</v>
      </c>
      <c r="C2376" s="168" t="s">
        <v>3295</v>
      </c>
      <c r="D2376" s="11">
        <v>620</v>
      </c>
      <c r="E2376" s="11">
        <v>0</v>
      </c>
      <c r="F2376" s="168" t="s">
        <v>3358</v>
      </c>
      <c r="K2376" s="2"/>
      <c r="N2376">
        <f t="shared" si="33"/>
        <v>620</v>
      </c>
    </row>
    <row r="2377" spans="1:14" hidden="1">
      <c r="A2377" s="239">
        <v>39037</v>
      </c>
      <c r="B2377" s="168" t="s">
        <v>3219</v>
      </c>
      <c r="C2377" s="168" t="s">
        <v>3359</v>
      </c>
      <c r="D2377" s="11">
        <v>3000</v>
      </c>
      <c r="E2377" s="11">
        <v>0</v>
      </c>
      <c r="F2377" s="168" t="s">
        <v>3360</v>
      </c>
      <c r="G2377" s="8" t="s">
        <v>1361</v>
      </c>
      <c r="K2377" s="2"/>
      <c r="N2377">
        <f t="shared" si="33"/>
        <v>3000</v>
      </c>
    </row>
    <row r="2378" spans="1:14" hidden="1">
      <c r="A2378" s="239">
        <v>39048</v>
      </c>
      <c r="B2378" s="168" t="s">
        <v>3219</v>
      </c>
      <c r="C2378" s="168" t="s">
        <v>3361</v>
      </c>
      <c r="D2378" s="11">
        <v>0</v>
      </c>
      <c r="E2378" s="11">
        <v>35515</v>
      </c>
      <c r="F2378" s="168" t="s">
        <v>3362</v>
      </c>
      <c r="G2378" s="8" t="s">
        <v>1380</v>
      </c>
      <c r="K2378" s="2"/>
      <c r="N2378">
        <f t="shared" si="33"/>
        <v>0</v>
      </c>
    </row>
    <row r="2379" spans="1:14" hidden="1">
      <c r="A2379" s="239">
        <v>39050</v>
      </c>
      <c r="B2379" s="168" t="s">
        <v>3219</v>
      </c>
      <c r="C2379" s="168" t="s">
        <v>3363</v>
      </c>
      <c r="D2379" s="11">
        <v>5000</v>
      </c>
      <c r="E2379" s="11">
        <v>0</v>
      </c>
      <c r="F2379" s="168" t="s">
        <v>3364</v>
      </c>
      <c r="G2379" s="8" t="s">
        <v>1361</v>
      </c>
      <c r="K2379" s="2"/>
      <c r="N2379">
        <f t="shared" ref="N2379:N2442" si="34">D2379*1</f>
        <v>5000</v>
      </c>
    </row>
    <row r="2380" spans="1:14" hidden="1">
      <c r="A2380" s="239">
        <v>39052</v>
      </c>
      <c r="B2380" s="168" t="s">
        <v>3219</v>
      </c>
      <c r="C2380" s="168" t="s">
        <v>1394</v>
      </c>
      <c r="D2380" s="11"/>
      <c r="E2380" s="11">
        <v>0</v>
      </c>
      <c r="F2380" s="168" t="s">
        <v>3364</v>
      </c>
      <c r="K2380" s="2"/>
      <c r="N2380">
        <f t="shared" si="34"/>
        <v>0</v>
      </c>
    </row>
    <row r="2381" spans="1:14" hidden="1">
      <c r="A2381" s="239">
        <v>39052</v>
      </c>
      <c r="B2381" s="168">
        <v>469266</v>
      </c>
      <c r="C2381" s="168" t="s">
        <v>3365</v>
      </c>
      <c r="D2381" s="11">
        <v>1170</v>
      </c>
      <c r="E2381" s="11">
        <v>0</v>
      </c>
      <c r="F2381" s="168" t="s">
        <v>3366</v>
      </c>
      <c r="K2381" s="2"/>
      <c r="N2381">
        <f t="shared" si="34"/>
        <v>1170</v>
      </c>
    </row>
    <row r="2382" spans="1:14" hidden="1">
      <c r="A2382" s="239">
        <v>39053</v>
      </c>
      <c r="B2382" s="168">
        <v>469267</v>
      </c>
      <c r="C2382" s="168" t="s">
        <v>3221</v>
      </c>
      <c r="D2382" s="11">
        <v>15232</v>
      </c>
      <c r="E2382" s="11">
        <v>0</v>
      </c>
      <c r="F2382" s="168" t="s">
        <v>3367</v>
      </c>
      <c r="G2382" s="8" t="s">
        <v>1366</v>
      </c>
      <c r="K2382" s="2"/>
      <c r="N2382">
        <f t="shared" si="34"/>
        <v>15232</v>
      </c>
    </row>
    <row r="2383" spans="1:14" hidden="1">
      <c r="A2383" s="239">
        <v>39055</v>
      </c>
      <c r="B2383" s="168" t="s">
        <v>3219</v>
      </c>
      <c r="C2383" s="168" t="s">
        <v>3368</v>
      </c>
      <c r="D2383" s="11">
        <v>3000</v>
      </c>
      <c r="E2383" s="11">
        <v>0</v>
      </c>
      <c r="F2383" s="168" t="s">
        <v>3369</v>
      </c>
      <c r="G2383" s="8" t="s">
        <v>1361</v>
      </c>
      <c r="K2383" s="2"/>
      <c r="N2383">
        <f t="shared" si="34"/>
        <v>3000</v>
      </c>
    </row>
    <row r="2384" spans="1:14" hidden="1">
      <c r="A2384" s="239">
        <v>39055</v>
      </c>
      <c r="B2384" s="168" t="s">
        <v>3219</v>
      </c>
      <c r="C2384" s="168" t="s">
        <v>3370</v>
      </c>
      <c r="D2384" s="11">
        <v>5000</v>
      </c>
      <c r="E2384" s="11">
        <v>0</v>
      </c>
      <c r="F2384" s="168" t="s">
        <v>3371</v>
      </c>
      <c r="G2384" s="8" t="s">
        <v>1361</v>
      </c>
      <c r="K2384" s="2"/>
      <c r="N2384">
        <f t="shared" si="34"/>
        <v>5000</v>
      </c>
    </row>
    <row r="2385" spans="1:14" hidden="1">
      <c r="A2385" s="239">
        <v>39060</v>
      </c>
      <c r="B2385" s="168" t="s">
        <v>3219</v>
      </c>
      <c r="C2385" s="168" t="s">
        <v>3372</v>
      </c>
      <c r="D2385" s="11">
        <v>10000</v>
      </c>
      <c r="E2385" s="11">
        <v>0</v>
      </c>
      <c r="F2385" s="168" t="s">
        <v>3373</v>
      </c>
      <c r="G2385" s="8" t="s">
        <v>1361</v>
      </c>
      <c r="K2385" s="2"/>
      <c r="N2385">
        <f t="shared" si="34"/>
        <v>10000</v>
      </c>
    </row>
    <row r="2386" spans="1:14" hidden="1">
      <c r="A2386" s="239">
        <v>39060</v>
      </c>
      <c r="B2386" s="168">
        <v>469268</v>
      </c>
      <c r="C2386" s="168" t="s">
        <v>3374</v>
      </c>
      <c r="D2386" s="11">
        <v>800</v>
      </c>
      <c r="E2386" s="11">
        <v>0</v>
      </c>
      <c r="F2386" s="168" t="s">
        <v>3375</v>
      </c>
      <c r="K2386" s="2"/>
      <c r="N2386">
        <f t="shared" si="34"/>
        <v>800</v>
      </c>
    </row>
    <row r="2387" spans="1:14" hidden="1">
      <c r="A2387" s="239">
        <v>39069</v>
      </c>
      <c r="B2387" s="168" t="s">
        <v>3219</v>
      </c>
      <c r="C2387" s="168" t="s">
        <v>3376</v>
      </c>
      <c r="D2387" s="11">
        <v>3000</v>
      </c>
      <c r="E2387" s="11">
        <v>0</v>
      </c>
      <c r="F2387" s="168" t="s">
        <v>3377</v>
      </c>
      <c r="G2387" s="8" t="s">
        <v>1361</v>
      </c>
      <c r="K2387" s="2"/>
      <c r="N2387">
        <f t="shared" si="34"/>
        <v>3000</v>
      </c>
    </row>
    <row r="2388" spans="1:14" hidden="1">
      <c r="A2388" s="239">
        <v>39074</v>
      </c>
      <c r="B2388" s="168" t="s">
        <v>3219</v>
      </c>
      <c r="C2388" s="168" t="s">
        <v>3378</v>
      </c>
      <c r="D2388" s="11">
        <v>5000</v>
      </c>
      <c r="E2388" s="11">
        <v>0</v>
      </c>
      <c r="F2388" s="168" t="s">
        <v>3379</v>
      </c>
      <c r="G2388" s="8" t="s">
        <v>1361</v>
      </c>
      <c r="K2388" s="2"/>
      <c r="N2388">
        <f t="shared" si="34"/>
        <v>5000</v>
      </c>
    </row>
    <row r="2389" spans="1:14" hidden="1">
      <c r="A2389" s="239">
        <v>39078</v>
      </c>
      <c r="B2389" s="168" t="s">
        <v>3219</v>
      </c>
      <c r="C2389" s="168" t="s">
        <v>3380</v>
      </c>
      <c r="D2389" s="11">
        <v>0</v>
      </c>
      <c r="E2389" s="11">
        <v>35515</v>
      </c>
      <c r="F2389" s="168" t="s">
        <v>3381</v>
      </c>
      <c r="G2389" s="8" t="s">
        <v>1380</v>
      </c>
      <c r="K2389" s="2"/>
      <c r="N2389">
        <f t="shared" si="34"/>
        <v>0</v>
      </c>
    </row>
    <row r="2390" spans="1:14" hidden="1">
      <c r="A2390" s="239">
        <v>39083</v>
      </c>
      <c r="B2390" s="168" t="s">
        <v>3219</v>
      </c>
      <c r="C2390" s="168" t="s">
        <v>1394</v>
      </c>
      <c r="D2390" s="11"/>
      <c r="E2390" s="11">
        <v>0</v>
      </c>
      <c r="F2390" s="168" t="s">
        <v>3381</v>
      </c>
      <c r="K2390" s="2"/>
      <c r="N2390">
        <f t="shared" si="34"/>
        <v>0</v>
      </c>
    </row>
    <row r="2391" spans="1:14" hidden="1">
      <c r="A2391" s="239">
        <v>39085</v>
      </c>
      <c r="B2391" s="168">
        <v>469269</v>
      </c>
      <c r="C2391" s="168" t="s">
        <v>3221</v>
      </c>
      <c r="D2391" s="11">
        <v>15232</v>
      </c>
      <c r="E2391" s="11">
        <v>0</v>
      </c>
      <c r="F2391" s="168" t="s">
        <v>3382</v>
      </c>
      <c r="G2391" s="8" t="s">
        <v>1366</v>
      </c>
      <c r="K2391" s="2"/>
      <c r="N2391">
        <f t="shared" si="34"/>
        <v>15232</v>
      </c>
    </row>
    <row r="2392" spans="1:14" hidden="1">
      <c r="A2392" s="239">
        <v>39086</v>
      </c>
      <c r="B2392" s="168">
        <v>469271</v>
      </c>
      <c r="C2392" s="168" t="s">
        <v>3383</v>
      </c>
      <c r="D2392" s="11">
        <v>768</v>
      </c>
      <c r="E2392" s="11">
        <v>0</v>
      </c>
      <c r="F2392" s="168" t="s">
        <v>3384</v>
      </c>
      <c r="K2392" s="2"/>
      <c r="N2392">
        <f t="shared" si="34"/>
        <v>768</v>
      </c>
    </row>
    <row r="2393" spans="1:14" hidden="1">
      <c r="A2393" s="239">
        <v>39086</v>
      </c>
      <c r="B2393" s="168">
        <v>469270</v>
      </c>
      <c r="C2393" s="168" t="s">
        <v>3385</v>
      </c>
      <c r="D2393" s="11">
        <v>800</v>
      </c>
      <c r="E2393" s="11">
        <v>0</v>
      </c>
      <c r="F2393" s="168" t="s">
        <v>3386</v>
      </c>
      <c r="K2393" s="2"/>
      <c r="N2393">
        <f t="shared" si="34"/>
        <v>800</v>
      </c>
    </row>
    <row r="2394" spans="1:14" hidden="1">
      <c r="A2394" s="239">
        <v>39090</v>
      </c>
      <c r="B2394" s="168" t="s">
        <v>3219</v>
      </c>
      <c r="C2394" s="168" t="s">
        <v>3387</v>
      </c>
      <c r="D2394" s="11">
        <v>3000</v>
      </c>
      <c r="E2394" s="11">
        <v>0</v>
      </c>
      <c r="F2394" s="168" t="s">
        <v>3388</v>
      </c>
      <c r="G2394" s="8" t="s">
        <v>1361</v>
      </c>
      <c r="K2394" s="2"/>
      <c r="N2394">
        <f t="shared" si="34"/>
        <v>3000</v>
      </c>
    </row>
    <row r="2395" spans="1:14" hidden="1">
      <c r="A2395" s="239">
        <v>39093</v>
      </c>
      <c r="B2395" s="168">
        <v>469274</v>
      </c>
      <c r="C2395" s="168" t="s">
        <v>3389</v>
      </c>
      <c r="D2395" s="11">
        <v>35000</v>
      </c>
      <c r="E2395" s="11">
        <v>0</v>
      </c>
      <c r="F2395" s="168" t="s">
        <v>3390</v>
      </c>
      <c r="K2395" s="2"/>
      <c r="N2395">
        <f t="shared" si="34"/>
        <v>35000</v>
      </c>
    </row>
    <row r="2396" spans="1:14" hidden="1">
      <c r="A2396" s="239">
        <v>39093</v>
      </c>
      <c r="B2396" s="168">
        <v>469272</v>
      </c>
      <c r="C2396" s="168" t="s">
        <v>3391</v>
      </c>
      <c r="D2396" s="11">
        <v>30000</v>
      </c>
      <c r="E2396" s="11">
        <v>0</v>
      </c>
      <c r="F2396" s="168" t="s">
        <v>3392</v>
      </c>
      <c r="G2396" s="8" t="s">
        <v>1372</v>
      </c>
      <c r="K2396" s="2"/>
      <c r="N2396">
        <f t="shared" si="34"/>
        <v>30000</v>
      </c>
    </row>
    <row r="2397" spans="1:14" hidden="1">
      <c r="A2397" s="239">
        <v>39093</v>
      </c>
      <c r="B2397" s="168">
        <v>469273</v>
      </c>
      <c r="C2397" s="168" t="s">
        <v>3389</v>
      </c>
      <c r="D2397" s="11">
        <v>34586</v>
      </c>
      <c r="E2397" s="11">
        <v>0</v>
      </c>
      <c r="F2397" s="168" t="s">
        <v>3393</v>
      </c>
      <c r="K2397" s="2"/>
      <c r="N2397">
        <f t="shared" si="34"/>
        <v>34586</v>
      </c>
    </row>
    <row r="2398" spans="1:14" hidden="1">
      <c r="A2398" s="239">
        <v>39097</v>
      </c>
      <c r="B2398" s="168" t="s">
        <v>3219</v>
      </c>
      <c r="C2398" s="168" t="s">
        <v>3394</v>
      </c>
      <c r="D2398" s="11">
        <v>500</v>
      </c>
      <c r="E2398" s="11">
        <v>0</v>
      </c>
      <c r="F2398" s="168" t="s">
        <v>3395</v>
      </c>
      <c r="G2398" s="8" t="s">
        <v>1361</v>
      </c>
      <c r="K2398" s="2"/>
      <c r="N2398">
        <f t="shared" si="34"/>
        <v>500</v>
      </c>
    </row>
    <row r="2399" spans="1:14" hidden="1">
      <c r="A2399" s="239">
        <v>39106</v>
      </c>
      <c r="B2399" s="168">
        <v>469228</v>
      </c>
      <c r="C2399" s="168" t="s">
        <v>1473</v>
      </c>
      <c r="D2399" s="11">
        <v>5622</v>
      </c>
      <c r="E2399" s="11">
        <v>0</v>
      </c>
      <c r="F2399" s="168" t="s">
        <v>3396</v>
      </c>
      <c r="G2399" s="8" t="s">
        <v>1370</v>
      </c>
      <c r="K2399" s="2"/>
      <c r="N2399">
        <f t="shared" si="34"/>
        <v>5622</v>
      </c>
    </row>
    <row r="2400" spans="1:14" hidden="1">
      <c r="A2400" s="239">
        <v>39106</v>
      </c>
      <c r="B2400" s="168">
        <v>469275</v>
      </c>
      <c r="C2400" s="168" t="s">
        <v>1473</v>
      </c>
      <c r="D2400" s="11">
        <v>6331</v>
      </c>
      <c r="E2400" s="11">
        <v>0</v>
      </c>
      <c r="F2400" s="168" t="s">
        <v>3397</v>
      </c>
      <c r="G2400" s="8" t="s">
        <v>1370</v>
      </c>
      <c r="K2400" s="2"/>
      <c r="N2400">
        <f t="shared" si="34"/>
        <v>6331</v>
      </c>
    </row>
    <row r="2401" spans="1:14" hidden="1">
      <c r="A2401" s="239">
        <v>39107</v>
      </c>
      <c r="B2401" s="168" t="s">
        <v>3219</v>
      </c>
      <c r="C2401" s="168" t="s">
        <v>3398</v>
      </c>
      <c r="D2401" s="11">
        <v>0</v>
      </c>
      <c r="E2401" s="11">
        <v>35516</v>
      </c>
      <c r="F2401" s="168" t="s">
        <v>3399</v>
      </c>
      <c r="G2401" s="8" t="s">
        <v>1380</v>
      </c>
      <c r="K2401" s="2"/>
      <c r="N2401">
        <f t="shared" si="34"/>
        <v>0</v>
      </c>
    </row>
    <row r="2402" spans="1:14" hidden="1">
      <c r="A2402" s="239">
        <v>39109</v>
      </c>
      <c r="B2402" s="168" t="s">
        <v>3219</v>
      </c>
      <c r="C2402" s="168" t="s">
        <v>3400</v>
      </c>
      <c r="D2402" s="11">
        <v>5000</v>
      </c>
      <c r="E2402" s="11">
        <v>0</v>
      </c>
      <c r="F2402" s="168" t="s">
        <v>3401</v>
      </c>
      <c r="G2402" s="8" t="s">
        <v>1361</v>
      </c>
      <c r="K2402" s="2"/>
      <c r="N2402">
        <f t="shared" si="34"/>
        <v>5000</v>
      </c>
    </row>
    <row r="2403" spans="1:14" hidden="1">
      <c r="A2403" s="239">
        <v>39111</v>
      </c>
      <c r="B2403" s="168" t="s">
        <v>3219</v>
      </c>
      <c r="C2403" s="168" t="s">
        <v>3402</v>
      </c>
      <c r="D2403" s="11">
        <v>0</v>
      </c>
      <c r="E2403" s="11">
        <v>4520.96</v>
      </c>
      <c r="F2403" s="168" t="s">
        <v>3403</v>
      </c>
      <c r="G2403" s="8" t="s">
        <v>1375</v>
      </c>
      <c r="K2403" s="2"/>
      <c r="N2403">
        <f t="shared" si="34"/>
        <v>0</v>
      </c>
    </row>
    <row r="2404" spans="1:14" hidden="1">
      <c r="A2404" s="239">
        <v>39114</v>
      </c>
      <c r="B2404" s="168" t="s">
        <v>3219</v>
      </c>
      <c r="C2404" s="168" t="s">
        <v>1394</v>
      </c>
      <c r="D2404" s="11"/>
      <c r="E2404" s="11">
        <v>0</v>
      </c>
      <c r="F2404" s="168" t="s">
        <v>3403</v>
      </c>
      <c r="K2404" s="2"/>
      <c r="N2404">
        <f t="shared" si="34"/>
        <v>0</v>
      </c>
    </row>
    <row r="2405" spans="1:14" hidden="1">
      <c r="A2405" s="239">
        <v>39116</v>
      </c>
      <c r="B2405" s="168">
        <v>469230</v>
      </c>
      <c r="C2405" s="168" t="s">
        <v>3221</v>
      </c>
      <c r="D2405" s="11">
        <v>15232</v>
      </c>
      <c r="E2405" s="11">
        <v>0</v>
      </c>
      <c r="F2405" s="168" t="s">
        <v>3404</v>
      </c>
      <c r="G2405" s="8" t="s">
        <v>1366</v>
      </c>
      <c r="K2405" s="2"/>
      <c r="N2405">
        <f t="shared" si="34"/>
        <v>15232</v>
      </c>
    </row>
    <row r="2406" spans="1:14" hidden="1">
      <c r="A2406" s="239">
        <v>39118</v>
      </c>
      <c r="B2406" s="168">
        <v>469231</v>
      </c>
      <c r="C2406" s="168" t="s">
        <v>3405</v>
      </c>
      <c r="D2406" s="11">
        <v>1320</v>
      </c>
      <c r="E2406" s="11">
        <v>0</v>
      </c>
      <c r="F2406" s="168" t="s">
        <v>3406</v>
      </c>
      <c r="K2406" s="2"/>
      <c r="N2406">
        <f t="shared" si="34"/>
        <v>1320</v>
      </c>
    </row>
    <row r="2407" spans="1:14" hidden="1">
      <c r="A2407" s="239">
        <v>39121</v>
      </c>
      <c r="B2407" s="168">
        <v>469232</v>
      </c>
      <c r="C2407" s="168" t="s">
        <v>3374</v>
      </c>
      <c r="D2407" s="11">
        <v>778</v>
      </c>
      <c r="E2407" s="11">
        <v>0</v>
      </c>
      <c r="F2407" s="168" t="s">
        <v>3407</v>
      </c>
      <c r="K2407" s="2"/>
      <c r="N2407">
        <f t="shared" si="34"/>
        <v>778</v>
      </c>
    </row>
    <row r="2408" spans="1:14" hidden="1">
      <c r="A2408" s="239">
        <v>39125</v>
      </c>
      <c r="B2408" s="168" t="s">
        <v>3219</v>
      </c>
      <c r="C2408" s="168" t="s">
        <v>3408</v>
      </c>
      <c r="D2408" s="11">
        <v>3000</v>
      </c>
      <c r="E2408" s="11">
        <v>0</v>
      </c>
      <c r="F2408" s="168" t="s">
        <v>3409</v>
      </c>
      <c r="G2408" s="8" t="s">
        <v>1361</v>
      </c>
      <c r="K2408" s="2"/>
      <c r="N2408">
        <f t="shared" si="34"/>
        <v>3000</v>
      </c>
    </row>
    <row r="2409" spans="1:14" hidden="1">
      <c r="A2409" s="239">
        <v>39126</v>
      </c>
      <c r="B2409" s="168">
        <v>469229</v>
      </c>
      <c r="C2409" s="168" t="s">
        <v>3410</v>
      </c>
      <c r="D2409" s="11">
        <v>7724</v>
      </c>
      <c r="E2409" s="11">
        <v>0</v>
      </c>
      <c r="F2409" s="168" t="s">
        <v>3411</v>
      </c>
      <c r="K2409" s="2"/>
      <c r="N2409">
        <f t="shared" si="34"/>
        <v>7724</v>
      </c>
    </row>
    <row r="2410" spans="1:14" hidden="1">
      <c r="A2410" s="239">
        <v>39127</v>
      </c>
      <c r="B2410" s="168">
        <v>469233</v>
      </c>
      <c r="C2410" s="168" t="s">
        <v>3412</v>
      </c>
      <c r="D2410" s="11">
        <v>3000</v>
      </c>
      <c r="E2410" s="11">
        <v>0</v>
      </c>
      <c r="F2410" s="168" t="s">
        <v>3413</v>
      </c>
      <c r="K2410" s="2"/>
      <c r="N2410">
        <f t="shared" si="34"/>
        <v>3000</v>
      </c>
    </row>
    <row r="2411" spans="1:14" hidden="1">
      <c r="A2411" s="239">
        <v>39135</v>
      </c>
      <c r="B2411" s="168" t="s">
        <v>3219</v>
      </c>
      <c r="C2411" s="168" t="s">
        <v>3414</v>
      </c>
      <c r="D2411" s="11">
        <v>5000</v>
      </c>
      <c r="E2411" s="11">
        <v>0</v>
      </c>
      <c r="F2411" s="168" t="s">
        <v>3415</v>
      </c>
      <c r="G2411" s="8" t="s">
        <v>1361</v>
      </c>
      <c r="K2411" s="2"/>
      <c r="N2411">
        <f t="shared" si="34"/>
        <v>5000</v>
      </c>
    </row>
    <row r="2412" spans="1:14" hidden="1">
      <c r="A2412" s="239">
        <v>39139</v>
      </c>
      <c r="B2412" s="168" t="s">
        <v>3219</v>
      </c>
      <c r="C2412" s="168" t="s">
        <v>3416</v>
      </c>
      <c r="D2412" s="11">
        <v>0</v>
      </c>
      <c r="E2412" s="11">
        <v>36756</v>
      </c>
      <c r="F2412" s="168" t="s">
        <v>3417</v>
      </c>
      <c r="G2412" s="8" t="s">
        <v>1380</v>
      </c>
      <c r="K2412" s="2"/>
      <c r="N2412">
        <f t="shared" si="34"/>
        <v>0</v>
      </c>
    </row>
    <row r="2413" spans="1:14" hidden="1">
      <c r="A2413" s="239">
        <v>39142</v>
      </c>
      <c r="B2413" s="168" t="s">
        <v>3219</v>
      </c>
      <c r="C2413" s="168" t="s">
        <v>1394</v>
      </c>
      <c r="D2413" s="11"/>
      <c r="E2413" s="11">
        <v>0</v>
      </c>
      <c r="F2413" s="168" t="s">
        <v>3417</v>
      </c>
      <c r="K2413" s="2"/>
      <c r="N2413">
        <f t="shared" si="34"/>
        <v>0</v>
      </c>
    </row>
    <row r="2414" spans="1:14" hidden="1">
      <c r="A2414" s="239">
        <v>39143</v>
      </c>
      <c r="B2414" s="168">
        <v>469234</v>
      </c>
      <c r="C2414" s="168" t="s">
        <v>3221</v>
      </c>
      <c r="D2414" s="11">
        <v>15232</v>
      </c>
      <c r="E2414" s="11">
        <v>0</v>
      </c>
      <c r="F2414" s="168" t="s">
        <v>3418</v>
      </c>
      <c r="G2414" s="8" t="s">
        <v>1366</v>
      </c>
      <c r="K2414" s="2"/>
      <c r="N2414">
        <f t="shared" si="34"/>
        <v>15232</v>
      </c>
    </row>
    <row r="2415" spans="1:14" hidden="1">
      <c r="A2415" s="239">
        <v>39144</v>
      </c>
      <c r="B2415" s="168">
        <v>469235</v>
      </c>
      <c r="C2415" s="168" t="s">
        <v>3419</v>
      </c>
      <c r="D2415" s="11">
        <v>743</v>
      </c>
      <c r="E2415" s="11">
        <v>0</v>
      </c>
      <c r="F2415" s="168" t="s">
        <v>3420</v>
      </c>
      <c r="K2415" s="2"/>
      <c r="N2415">
        <f t="shared" si="34"/>
        <v>743</v>
      </c>
    </row>
    <row r="2416" spans="1:14" hidden="1">
      <c r="A2416" s="239">
        <v>39144</v>
      </c>
      <c r="B2416" s="168" t="s">
        <v>3219</v>
      </c>
      <c r="C2416" s="168" t="s">
        <v>3421</v>
      </c>
      <c r="D2416" s="11">
        <v>0</v>
      </c>
      <c r="E2416" s="11">
        <v>5230</v>
      </c>
      <c r="F2416" s="168" t="s">
        <v>3422</v>
      </c>
      <c r="G2416" s="8" t="s">
        <v>1368</v>
      </c>
      <c r="K2416" s="2"/>
      <c r="N2416">
        <f t="shared" si="34"/>
        <v>0</v>
      </c>
    </row>
    <row r="2417" spans="1:14" hidden="1">
      <c r="A2417" s="239">
        <v>39147</v>
      </c>
      <c r="B2417" s="168">
        <v>469236</v>
      </c>
      <c r="C2417" s="168" t="s">
        <v>3221</v>
      </c>
      <c r="D2417" s="11">
        <v>30674</v>
      </c>
      <c r="E2417" s="11">
        <v>0</v>
      </c>
      <c r="F2417" s="168" t="s">
        <v>3423</v>
      </c>
      <c r="G2417" s="8" t="s">
        <v>1366</v>
      </c>
      <c r="K2417" s="2"/>
      <c r="N2417">
        <f t="shared" si="34"/>
        <v>30674</v>
      </c>
    </row>
    <row r="2418" spans="1:14" hidden="1">
      <c r="A2418" s="239">
        <v>39149</v>
      </c>
      <c r="B2418" s="168">
        <v>469237</v>
      </c>
      <c r="C2418" s="168" t="s">
        <v>3424</v>
      </c>
      <c r="D2418" s="11">
        <v>1210</v>
      </c>
      <c r="E2418" s="11">
        <v>0</v>
      </c>
      <c r="F2418" s="168" t="s">
        <v>3425</v>
      </c>
      <c r="K2418" s="2"/>
      <c r="N2418">
        <f t="shared" si="34"/>
        <v>1210</v>
      </c>
    </row>
    <row r="2419" spans="1:14" hidden="1">
      <c r="A2419" s="239">
        <v>39153</v>
      </c>
      <c r="B2419" s="168" t="s">
        <v>3219</v>
      </c>
      <c r="C2419" s="168" t="s">
        <v>3426</v>
      </c>
      <c r="D2419" s="11">
        <v>0</v>
      </c>
      <c r="E2419" s="11">
        <v>31650</v>
      </c>
      <c r="F2419" s="168" t="s">
        <v>3427</v>
      </c>
      <c r="G2419" s="8" t="s">
        <v>1360</v>
      </c>
      <c r="K2419" s="2"/>
      <c r="N2419">
        <f t="shared" si="34"/>
        <v>0</v>
      </c>
    </row>
    <row r="2420" spans="1:14" hidden="1">
      <c r="A2420" s="239">
        <v>39153</v>
      </c>
      <c r="B2420" s="168" t="s">
        <v>3219</v>
      </c>
      <c r="C2420" s="168" t="s">
        <v>3428</v>
      </c>
      <c r="D2420" s="11">
        <v>0</v>
      </c>
      <c r="E2420" s="11">
        <v>10550</v>
      </c>
      <c r="F2420" s="168" t="s">
        <v>3429</v>
      </c>
      <c r="G2420" s="8" t="s">
        <v>1360</v>
      </c>
      <c r="K2420" s="2"/>
      <c r="N2420">
        <f t="shared" si="34"/>
        <v>0</v>
      </c>
    </row>
    <row r="2421" spans="1:14" hidden="1">
      <c r="A2421" s="239">
        <v>39156</v>
      </c>
      <c r="B2421" s="168" t="s">
        <v>3219</v>
      </c>
      <c r="C2421" s="168" t="s">
        <v>3241</v>
      </c>
      <c r="D2421" s="11">
        <v>0</v>
      </c>
      <c r="E2421" s="11">
        <v>2100</v>
      </c>
      <c r="F2421" s="168" t="s">
        <v>3430</v>
      </c>
      <c r="G2421" s="8" t="s">
        <v>1360</v>
      </c>
      <c r="K2421" s="2"/>
      <c r="N2421">
        <f t="shared" si="34"/>
        <v>0</v>
      </c>
    </row>
    <row r="2422" spans="1:14" hidden="1">
      <c r="A2422" s="239">
        <v>39157</v>
      </c>
      <c r="B2422" s="168" t="s">
        <v>3219</v>
      </c>
      <c r="C2422" s="168" t="s">
        <v>3431</v>
      </c>
      <c r="D2422" s="11">
        <v>8000</v>
      </c>
      <c r="E2422" s="11">
        <v>0</v>
      </c>
      <c r="F2422" s="168" t="s">
        <v>3432</v>
      </c>
      <c r="G2422" s="8" t="s">
        <v>1361</v>
      </c>
      <c r="K2422" s="2"/>
      <c r="N2422">
        <f t="shared" si="34"/>
        <v>8000</v>
      </c>
    </row>
    <row r="2423" spans="1:14" hidden="1">
      <c r="A2423" s="239">
        <v>39164</v>
      </c>
      <c r="B2423" s="168">
        <v>469238</v>
      </c>
      <c r="C2423" s="168" t="s">
        <v>3433</v>
      </c>
      <c r="D2423" s="11">
        <v>2025</v>
      </c>
      <c r="E2423" s="11">
        <v>0</v>
      </c>
      <c r="F2423" s="168" t="s">
        <v>3434</v>
      </c>
      <c r="K2423" s="2"/>
      <c r="N2423">
        <f t="shared" si="34"/>
        <v>2025</v>
      </c>
    </row>
    <row r="2424" spans="1:14" hidden="1">
      <c r="A2424" s="239">
        <v>39167</v>
      </c>
      <c r="B2424" s="168" t="s">
        <v>3219</v>
      </c>
      <c r="C2424" s="168" t="s">
        <v>3435</v>
      </c>
      <c r="D2424" s="11">
        <v>505.08</v>
      </c>
      <c r="E2424" s="11">
        <v>0</v>
      </c>
      <c r="F2424" s="168" t="s">
        <v>3436</v>
      </c>
      <c r="K2424" s="2"/>
      <c r="N2424">
        <f t="shared" si="34"/>
        <v>505.08</v>
      </c>
    </row>
    <row r="2425" spans="1:14" hidden="1">
      <c r="A2425" s="239">
        <v>39167</v>
      </c>
      <c r="B2425" s="168" t="s">
        <v>3219</v>
      </c>
      <c r="C2425" s="168" t="s">
        <v>3437</v>
      </c>
      <c r="D2425" s="11">
        <v>0</v>
      </c>
      <c r="E2425" s="11">
        <v>91944</v>
      </c>
      <c r="F2425" s="168" t="s">
        <v>3438</v>
      </c>
      <c r="G2425" s="8" t="s">
        <v>1380</v>
      </c>
      <c r="K2425" s="2"/>
      <c r="N2425">
        <f t="shared" si="34"/>
        <v>0</v>
      </c>
    </row>
    <row r="2426" spans="1:14" hidden="1">
      <c r="A2426" s="239">
        <v>39171</v>
      </c>
      <c r="B2426" s="168" t="s">
        <v>3219</v>
      </c>
      <c r="C2426" s="168" t="s">
        <v>3439</v>
      </c>
      <c r="D2426" s="11">
        <v>0</v>
      </c>
      <c r="E2426" s="11">
        <v>8694.15</v>
      </c>
      <c r="F2426" s="168" t="s">
        <v>3440</v>
      </c>
      <c r="G2426" s="8" t="s">
        <v>1375</v>
      </c>
      <c r="K2426" s="2"/>
      <c r="N2426">
        <f t="shared" si="34"/>
        <v>0</v>
      </c>
    </row>
    <row r="2427" spans="1:14" hidden="1">
      <c r="A2427" s="239">
        <v>39172</v>
      </c>
      <c r="B2427" s="168">
        <v>469239</v>
      </c>
      <c r="C2427" s="168" t="s">
        <v>3221</v>
      </c>
      <c r="D2427" s="11">
        <v>15169</v>
      </c>
      <c r="E2427" s="11">
        <v>0</v>
      </c>
      <c r="F2427" s="168" t="s">
        <v>3441</v>
      </c>
      <c r="G2427" s="8" t="s">
        <v>1366</v>
      </c>
      <c r="K2427" s="2"/>
      <c r="N2427">
        <f t="shared" si="34"/>
        <v>15169</v>
      </c>
    </row>
    <row r="2428" spans="1:14" hidden="1">
      <c r="A2428" s="239">
        <v>39173</v>
      </c>
      <c r="B2428" s="168" t="s">
        <v>3219</v>
      </c>
      <c r="C2428" s="168" t="s">
        <v>1394</v>
      </c>
      <c r="D2428" s="11"/>
      <c r="E2428" s="11">
        <v>0</v>
      </c>
      <c r="F2428" s="168" t="s">
        <v>3441</v>
      </c>
      <c r="K2428" s="2"/>
      <c r="N2428">
        <f t="shared" si="34"/>
        <v>0</v>
      </c>
    </row>
    <row r="2429" spans="1:14" hidden="1">
      <c r="A2429" s="239">
        <v>39175</v>
      </c>
      <c r="B2429" s="168" t="s">
        <v>3219</v>
      </c>
      <c r="C2429" s="168" t="s">
        <v>3442</v>
      </c>
      <c r="D2429" s="11">
        <v>1000</v>
      </c>
      <c r="E2429" s="11">
        <v>0</v>
      </c>
      <c r="F2429" s="168" t="s">
        <v>3443</v>
      </c>
      <c r="G2429" s="8" t="s">
        <v>1361</v>
      </c>
      <c r="K2429" s="2"/>
      <c r="N2429">
        <f t="shared" si="34"/>
        <v>1000</v>
      </c>
    </row>
    <row r="2430" spans="1:14" hidden="1">
      <c r="A2430" s="239">
        <v>39176</v>
      </c>
      <c r="B2430" s="168">
        <v>469241</v>
      </c>
      <c r="C2430" s="168" t="s">
        <v>3229</v>
      </c>
      <c r="D2430" s="11">
        <v>733</v>
      </c>
      <c r="E2430" s="11">
        <v>0</v>
      </c>
      <c r="F2430" s="168" t="s">
        <v>3444</v>
      </c>
      <c r="K2430" s="2"/>
      <c r="N2430">
        <f t="shared" si="34"/>
        <v>733</v>
      </c>
    </row>
    <row r="2431" spans="1:14" hidden="1">
      <c r="A2431" s="239">
        <v>39177</v>
      </c>
      <c r="B2431" s="168">
        <v>469240</v>
      </c>
      <c r="C2431" s="168" t="s">
        <v>3221</v>
      </c>
      <c r="D2431" s="11">
        <f>102245*1</f>
        <v>102245</v>
      </c>
      <c r="E2431" s="11">
        <v>0</v>
      </c>
      <c r="F2431" s="168" t="s">
        <v>3445</v>
      </c>
      <c r="G2431" s="8" t="s">
        <v>1366</v>
      </c>
      <c r="K2431" s="2"/>
      <c r="N2431">
        <f t="shared" si="34"/>
        <v>102245</v>
      </c>
    </row>
    <row r="2432" spans="1:14" hidden="1">
      <c r="A2432" s="239">
        <v>39181</v>
      </c>
      <c r="B2432" s="168" t="s">
        <v>3219</v>
      </c>
      <c r="C2432" s="168" t="s">
        <v>3446</v>
      </c>
      <c r="D2432" s="11">
        <v>5000</v>
      </c>
      <c r="E2432" s="11">
        <v>0</v>
      </c>
      <c r="F2432" s="168" t="s">
        <v>3447</v>
      </c>
      <c r="G2432" s="8" t="s">
        <v>1361</v>
      </c>
      <c r="K2432" s="2"/>
      <c r="N2432">
        <f t="shared" si="34"/>
        <v>5000</v>
      </c>
    </row>
    <row r="2433" spans="1:14" hidden="1">
      <c r="A2433" s="239">
        <v>39182</v>
      </c>
      <c r="B2433" s="168">
        <v>469242</v>
      </c>
      <c r="C2433" s="168" t="s">
        <v>3365</v>
      </c>
      <c r="D2433" s="11">
        <v>1050</v>
      </c>
      <c r="E2433" s="11">
        <v>0</v>
      </c>
      <c r="F2433" s="168" t="s">
        <v>3448</v>
      </c>
      <c r="K2433" s="2"/>
      <c r="N2433">
        <f t="shared" si="34"/>
        <v>1050</v>
      </c>
    </row>
    <row r="2434" spans="1:14" hidden="1">
      <c r="A2434" s="239">
        <v>39200</v>
      </c>
      <c r="B2434" s="168" t="s">
        <v>3219</v>
      </c>
      <c r="C2434" s="168" t="s">
        <v>3449</v>
      </c>
      <c r="D2434" s="11">
        <v>400</v>
      </c>
      <c r="E2434" s="11">
        <v>0</v>
      </c>
      <c r="F2434" s="168" t="s">
        <v>3450</v>
      </c>
      <c r="G2434" s="8" t="s">
        <v>1361</v>
      </c>
      <c r="K2434" s="2"/>
      <c r="N2434">
        <f t="shared" si="34"/>
        <v>400</v>
      </c>
    </row>
    <row r="2435" spans="1:14" hidden="1">
      <c r="A2435" s="239">
        <v>39202</v>
      </c>
      <c r="B2435" s="168" t="s">
        <v>3219</v>
      </c>
      <c r="C2435" s="168" t="s">
        <v>3451</v>
      </c>
      <c r="D2435" s="11">
        <v>0</v>
      </c>
      <c r="E2435" s="11">
        <v>201763</v>
      </c>
      <c r="F2435" s="168" t="s">
        <v>3452</v>
      </c>
      <c r="G2435" s="8" t="s">
        <v>1380</v>
      </c>
      <c r="K2435" s="2"/>
      <c r="N2435">
        <f t="shared" si="34"/>
        <v>0</v>
      </c>
    </row>
    <row r="2436" spans="1:14" hidden="1">
      <c r="A2436" s="239">
        <v>39203</v>
      </c>
      <c r="B2436" s="168" t="s">
        <v>3219</v>
      </c>
      <c r="C2436" s="168" t="s">
        <v>1394</v>
      </c>
      <c r="D2436" s="11"/>
      <c r="E2436" s="11">
        <v>0</v>
      </c>
      <c r="F2436" s="168" t="s">
        <v>3452</v>
      </c>
      <c r="K2436" s="2"/>
      <c r="N2436">
        <f t="shared" si="34"/>
        <v>0</v>
      </c>
    </row>
    <row r="2437" spans="1:14" hidden="1">
      <c r="A2437" s="239">
        <v>39205</v>
      </c>
      <c r="B2437" s="168">
        <v>469244</v>
      </c>
      <c r="C2437" s="168" t="s">
        <v>3453</v>
      </c>
      <c r="D2437" s="11">
        <v>4675.03</v>
      </c>
      <c r="E2437" s="11">
        <v>0</v>
      </c>
      <c r="F2437" s="168" t="s">
        <v>3454</v>
      </c>
      <c r="G2437" s="8" t="s">
        <v>1362</v>
      </c>
      <c r="K2437" s="2"/>
      <c r="N2437">
        <f t="shared" si="34"/>
        <v>4675.03</v>
      </c>
    </row>
    <row r="2438" spans="1:14" hidden="1">
      <c r="A2438" s="239">
        <v>39207</v>
      </c>
      <c r="B2438" s="168">
        <v>469247</v>
      </c>
      <c r="C2438" s="168" t="s">
        <v>3221</v>
      </c>
      <c r="D2438" s="11">
        <v>102245</v>
      </c>
      <c r="E2438" s="11">
        <v>0</v>
      </c>
      <c r="F2438" s="168" t="s">
        <v>3455</v>
      </c>
      <c r="G2438" s="8" t="s">
        <v>1366</v>
      </c>
      <c r="K2438" s="2"/>
      <c r="N2438">
        <f t="shared" si="34"/>
        <v>102245</v>
      </c>
    </row>
    <row r="2439" spans="1:14" hidden="1">
      <c r="A2439" s="239">
        <v>39207</v>
      </c>
      <c r="B2439" s="168">
        <v>469249</v>
      </c>
      <c r="C2439" s="168" t="s">
        <v>3229</v>
      </c>
      <c r="D2439" s="11">
        <v>732</v>
      </c>
      <c r="E2439" s="11">
        <v>0</v>
      </c>
      <c r="F2439" s="168" t="s">
        <v>3456</v>
      </c>
      <c r="K2439" s="2"/>
      <c r="N2439">
        <f t="shared" si="34"/>
        <v>732</v>
      </c>
    </row>
    <row r="2440" spans="1:14" hidden="1">
      <c r="A2440" s="239">
        <v>39207</v>
      </c>
      <c r="B2440" s="168">
        <v>469245</v>
      </c>
      <c r="C2440" s="168" t="s">
        <v>1473</v>
      </c>
      <c r="D2440" s="11">
        <v>6331</v>
      </c>
      <c r="E2440" s="11">
        <v>0</v>
      </c>
      <c r="F2440" s="168" t="s">
        <v>3457</v>
      </c>
      <c r="G2440" s="8" t="s">
        <v>1370</v>
      </c>
      <c r="K2440" s="2"/>
      <c r="N2440">
        <f t="shared" si="34"/>
        <v>6331</v>
      </c>
    </row>
    <row r="2441" spans="1:14" hidden="1">
      <c r="A2441" s="239">
        <v>39207</v>
      </c>
      <c r="B2441" s="168">
        <v>469246</v>
      </c>
      <c r="C2441" s="168" t="s">
        <v>3221</v>
      </c>
      <c r="D2441" s="11">
        <v>14443</v>
      </c>
      <c r="E2441" s="11">
        <v>0</v>
      </c>
      <c r="F2441" s="168" t="s">
        <v>3458</v>
      </c>
      <c r="G2441" s="8" t="s">
        <v>1366</v>
      </c>
      <c r="K2441" s="2"/>
      <c r="N2441">
        <f t="shared" si="34"/>
        <v>14443</v>
      </c>
    </row>
    <row r="2442" spans="1:14" hidden="1">
      <c r="A2442" s="239">
        <v>39209</v>
      </c>
      <c r="B2442" s="168">
        <v>469250</v>
      </c>
      <c r="C2442" s="168" t="s">
        <v>3385</v>
      </c>
      <c r="D2442" s="11">
        <v>880</v>
      </c>
      <c r="E2442" s="11">
        <v>0</v>
      </c>
      <c r="F2442" s="168" t="s">
        <v>3459</v>
      </c>
      <c r="K2442" s="2"/>
      <c r="N2442">
        <f t="shared" si="34"/>
        <v>880</v>
      </c>
    </row>
    <row r="2443" spans="1:14" hidden="1">
      <c r="A2443" s="239">
        <v>39213</v>
      </c>
      <c r="B2443" s="168">
        <v>810301</v>
      </c>
      <c r="C2443" s="168" t="s">
        <v>3460</v>
      </c>
      <c r="D2443" s="11">
        <v>2000</v>
      </c>
      <c r="E2443" s="11">
        <v>0</v>
      </c>
      <c r="F2443" s="168" t="s">
        <v>3461</v>
      </c>
      <c r="K2443" s="2"/>
      <c r="N2443">
        <f t="shared" ref="N2443:N2506" si="35">D2443*1</f>
        <v>2000</v>
      </c>
    </row>
    <row r="2444" spans="1:14" hidden="1">
      <c r="A2444" s="239">
        <v>39230</v>
      </c>
      <c r="B2444" s="168" t="s">
        <v>3219</v>
      </c>
      <c r="C2444" s="168" t="s">
        <v>3462</v>
      </c>
      <c r="D2444" s="11">
        <v>0</v>
      </c>
      <c r="E2444" s="11">
        <v>65890</v>
      </c>
      <c r="F2444" s="168" t="s">
        <v>3463</v>
      </c>
      <c r="G2444" s="8" t="s">
        <v>1380</v>
      </c>
      <c r="K2444" s="2"/>
      <c r="N2444">
        <f t="shared" si="35"/>
        <v>0</v>
      </c>
    </row>
    <row r="2445" spans="1:14" hidden="1">
      <c r="A2445" s="239">
        <v>39231</v>
      </c>
      <c r="B2445" s="168">
        <v>810302</v>
      </c>
      <c r="C2445" s="168" t="s">
        <v>3453</v>
      </c>
      <c r="D2445" s="11">
        <v>1038</v>
      </c>
      <c r="E2445" s="11">
        <v>0</v>
      </c>
      <c r="F2445" s="168" t="s">
        <v>3464</v>
      </c>
      <c r="G2445" s="8" t="s">
        <v>1362</v>
      </c>
      <c r="K2445" s="2"/>
      <c r="N2445">
        <f t="shared" si="35"/>
        <v>1038</v>
      </c>
    </row>
    <row r="2446" spans="1:14" hidden="1">
      <c r="A2446" s="239">
        <v>39234</v>
      </c>
      <c r="B2446" s="168" t="s">
        <v>3219</v>
      </c>
      <c r="C2446" s="168" t="s">
        <v>1394</v>
      </c>
      <c r="D2446" s="11"/>
      <c r="E2446" s="11">
        <v>0</v>
      </c>
      <c r="F2446" s="168" t="s">
        <v>3464</v>
      </c>
      <c r="K2446" s="2"/>
      <c r="N2446">
        <f t="shared" si="35"/>
        <v>0</v>
      </c>
    </row>
    <row r="2447" spans="1:14" hidden="1">
      <c r="A2447" s="239">
        <v>39235</v>
      </c>
      <c r="B2447" s="168">
        <v>810303</v>
      </c>
      <c r="C2447" s="168" t="s">
        <v>3221</v>
      </c>
      <c r="D2447" s="11">
        <v>13326</v>
      </c>
      <c r="E2447" s="11">
        <v>0</v>
      </c>
      <c r="F2447" s="168" t="s">
        <v>3465</v>
      </c>
      <c r="G2447" s="8" t="s">
        <v>1366</v>
      </c>
      <c r="K2447" s="2"/>
      <c r="N2447">
        <f t="shared" si="35"/>
        <v>13326</v>
      </c>
    </row>
    <row r="2448" spans="1:14" hidden="1">
      <c r="A2448" s="239">
        <v>39237</v>
      </c>
      <c r="B2448" s="168">
        <v>810304</v>
      </c>
      <c r="C2448" s="168" t="s">
        <v>3229</v>
      </c>
      <c r="D2448" s="11">
        <v>725</v>
      </c>
      <c r="E2448" s="11">
        <v>0</v>
      </c>
      <c r="F2448" s="168" t="s">
        <v>3466</v>
      </c>
      <c r="K2448" s="2"/>
      <c r="N2448">
        <f t="shared" si="35"/>
        <v>725</v>
      </c>
    </row>
    <row r="2449" spans="1:14" hidden="1">
      <c r="A2449" s="239">
        <v>39240</v>
      </c>
      <c r="B2449" s="168">
        <v>810305</v>
      </c>
      <c r="C2449" s="168" t="s">
        <v>3280</v>
      </c>
      <c r="D2449" s="11">
        <v>360</v>
      </c>
      <c r="E2449" s="11">
        <v>0</v>
      </c>
      <c r="F2449" s="168" t="s">
        <v>3467</v>
      </c>
      <c r="K2449" s="2"/>
      <c r="N2449">
        <f t="shared" si="35"/>
        <v>360</v>
      </c>
    </row>
    <row r="2450" spans="1:14" hidden="1">
      <c r="A2450" s="239">
        <v>39258</v>
      </c>
      <c r="B2450" s="168" t="s">
        <v>3219</v>
      </c>
      <c r="C2450" s="168" t="s">
        <v>3468</v>
      </c>
      <c r="D2450" s="11">
        <v>5000</v>
      </c>
      <c r="E2450" s="11">
        <v>0</v>
      </c>
      <c r="F2450" s="168" t="s">
        <v>3469</v>
      </c>
      <c r="G2450" s="8" t="s">
        <v>1361</v>
      </c>
      <c r="K2450" s="2"/>
      <c r="N2450">
        <f t="shared" si="35"/>
        <v>5000</v>
      </c>
    </row>
    <row r="2451" spans="1:14" hidden="1">
      <c r="A2451" s="239">
        <v>39259</v>
      </c>
      <c r="B2451" s="168" t="s">
        <v>3219</v>
      </c>
      <c r="C2451" s="168" t="s">
        <v>3470</v>
      </c>
      <c r="D2451" s="11">
        <v>0</v>
      </c>
      <c r="E2451" s="11">
        <v>58492</v>
      </c>
      <c r="F2451" s="168" t="s">
        <v>3471</v>
      </c>
      <c r="G2451" s="8" t="s">
        <v>1380</v>
      </c>
      <c r="K2451" s="2"/>
      <c r="N2451">
        <f t="shared" si="35"/>
        <v>0</v>
      </c>
    </row>
    <row r="2452" spans="1:14" hidden="1">
      <c r="A2452" s="239">
        <v>39264</v>
      </c>
      <c r="B2452" s="168" t="s">
        <v>3219</v>
      </c>
      <c r="C2452" s="168" t="s">
        <v>1394</v>
      </c>
      <c r="D2452" s="11"/>
      <c r="E2452" s="11">
        <v>0</v>
      </c>
      <c r="F2452" s="168" t="s">
        <v>3471</v>
      </c>
      <c r="K2452" s="2"/>
      <c r="N2452">
        <f t="shared" si="35"/>
        <v>0</v>
      </c>
    </row>
    <row r="2453" spans="1:14" hidden="1">
      <c r="A2453" s="239">
        <v>39266</v>
      </c>
      <c r="B2453" s="168">
        <v>810306</v>
      </c>
      <c r="C2453" s="168" t="s">
        <v>3221</v>
      </c>
      <c r="D2453" s="11">
        <v>13326</v>
      </c>
      <c r="E2453" s="11">
        <v>0</v>
      </c>
      <c r="F2453" s="168" t="s">
        <v>3472</v>
      </c>
      <c r="G2453" s="8" t="s">
        <v>1366</v>
      </c>
      <c r="K2453" s="2"/>
      <c r="N2453">
        <f t="shared" si="35"/>
        <v>13326</v>
      </c>
    </row>
    <row r="2454" spans="1:14" hidden="1">
      <c r="A2454" s="239">
        <v>39268</v>
      </c>
      <c r="B2454" s="168">
        <v>810308</v>
      </c>
      <c r="C2454" s="168" t="s">
        <v>3385</v>
      </c>
      <c r="D2454" s="11">
        <v>1230</v>
      </c>
      <c r="E2454" s="11">
        <v>0</v>
      </c>
      <c r="F2454" s="168" t="s">
        <v>3473</v>
      </c>
      <c r="K2454" s="2"/>
      <c r="N2454">
        <f t="shared" si="35"/>
        <v>1230</v>
      </c>
    </row>
    <row r="2455" spans="1:14" hidden="1">
      <c r="A2455" s="239">
        <v>39268</v>
      </c>
      <c r="B2455" s="168">
        <v>810309</v>
      </c>
      <c r="C2455" s="168" t="s">
        <v>3453</v>
      </c>
      <c r="D2455" s="11">
        <v>727.98</v>
      </c>
      <c r="E2455" s="11">
        <v>0</v>
      </c>
      <c r="F2455" s="168" t="s">
        <v>3474</v>
      </c>
      <c r="G2455" s="8" t="s">
        <v>1362</v>
      </c>
      <c r="K2455" s="2"/>
      <c r="N2455">
        <f t="shared" si="35"/>
        <v>727.98</v>
      </c>
    </row>
    <row r="2456" spans="1:14" hidden="1">
      <c r="A2456" s="239">
        <v>39269</v>
      </c>
      <c r="B2456" s="168">
        <v>810307</v>
      </c>
      <c r="C2456" s="168" t="s">
        <v>3229</v>
      </c>
      <c r="D2456" s="11">
        <v>634</v>
      </c>
      <c r="E2456" s="11">
        <v>0</v>
      </c>
      <c r="F2456" s="168" t="s">
        <v>3475</v>
      </c>
      <c r="K2456" s="2"/>
      <c r="N2456">
        <f t="shared" si="35"/>
        <v>634</v>
      </c>
    </row>
    <row r="2457" spans="1:14" hidden="1">
      <c r="A2457" s="239">
        <v>39286</v>
      </c>
      <c r="B2457" s="168" t="s">
        <v>3219</v>
      </c>
      <c r="C2457" s="168" t="s">
        <v>3476</v>
      </c>
      <c r="D2457" s="11">
        <v>5000</v>
      </c>
      <c r="E2457" s="11">
        <v>0</v>
      </c>
      <c r="F2457" s="168" t="s">
        <v>3477</v>
      </c>
      <c r="G2457" s="8" t="s">
        <v>1361</v>
      </c>
      <c r="K2457" s="2"/>
      <c r="N2457">
        <f t="shared" si="35"/>
        <v>5000</v>
      </c>
    </row>
    <row r="2458" spans="1:14" hidden="1">
      <c r="A2458" s="239">
        <v>39294</v>
      </c>
      <c r="B2458" s="168">
        <v>810312</v>
      </c>
      <c r="C2458" s="168" t="s">
        <v>3453</v>
      </c>
      <c r="D2458" s="11">
        <v>1816.2</v>
      </c>
      <c r="E2458" s="11">
        <v>0</v>
      </c>
      <c r="F2458" s="168" t="s">
        <v>3478</v>
      </c>
      <c r="G2458" s="8" t="s">
        <v>1362</v>
      </c>
      <c r="K2458" s="2"/>
      <c r="N2458">
        <f t="shared" si="35"/>
        <v>1816.2</v>
      </c>
    </row>
    <row r="2459" spans="1:14" hidden="1">
      <c r="A2459" s="239">
        <v>39295</v>
      </c>
      <c r="B2459" s="168" t="s">
        <v>3219</v>
      </c>
      <c r="C2459" s="168" t="s">
        <v>1394</v>
      </c>
      <c r="D2459" s="11"/>
      <c r="E2459" s="11">
        <v>0</v>
      </c>
      <c r="F2459" s="168" t="s">
        <v>3478</v>
      </c>
      <c r="K2459" s="2"/>
      <c r="N2459">
        <f t="shared" si="35"/>
        <v>0</v>
      </c>
    </row>
    <row r="2460" spans="1:14" hidden="1">
      <c r="A2460" s="239">
        <v>39295</v>
      </c>
      <c r="B2460" s="168">
        <v>810310</v>
      </c>
      <c r="C2460" s="168" t="s">
        <v>3479</v>
      </c>
      <c r="D2460" s="11">
        <v>5292</v>
      </c>
      <c r="E2460" s="11">
        <v>0</v>
      </c>
      <c r="F2460" s="168" t="s">
        <v>3480</v>
      </c>
      <c r="K2460" s="2"/>
      <c r="N2460">
        <f t="shared" si="35"/>
        <v>5292</v>
      </c>
    </row>
    <row r="2461" spans="1:14" hidden="1">
      <c r="A2461" s="239">
        <v>39295</v>
      </c>
      <c r="B2461" s="168" t="s">
        <v>3219</v>
      </c>
      <c r="C2461" s="168" t="s">
        <v>3481</v>
      </c>
      <c r="D2461" s="11">
        <v>0</v>
      </c>
      <c r="E2461" s="11">
        <v>306499</v>
      </c>
      <c r="F2461" s="168" t="s">
        <v>3482</v>
      </c>
      <c r="G2461" s="8" t="s">
        <v>1380</v>
      </c>
      <c r="K2461" s="2"/>
      <c r="N2461">
        <f t="shared" si="35"/>
        <v>0</v>
      </c>
    </row>
    <row r="2462" spans="1:14" hidden="1">
      <c r="A2462" s="239">
        <v>39296</v>
      </c>
      <c r="B2462" s="168">
        <v>810314</v>
      </c>
      <c r="C2462" s="168" t="s">
        <v>3483</v>
      </c>
      <c r="D2462" s="11">
        <v>200000</v>
      </c>
      <c r="E2462" s="11">
        <v>0</v>
      </c>
      <c r="F2462" s="168" t="s">
        <v>3484</v>
      </c>
      <c r="G2462" s="8" t="s">
        <v>1366</v>
      </c>
      <c r="K2462" s="2"/>
      <c r="N2462">
        <f t="shared" si="35"/>
        <v>200000</v>
      </c>
    </row>
    <row r="2463" spans="1:14" hidden="1">
      <c r="A2463" s="239">
        <v>39296</v>
      </c>
      <c r="B2463" s="168">
        <v>810316</v>
      </c>
      <c r="C2463" s="168" t="s">
        <v>3485</v>
      </c>
      <c r="D2463" s="11">
        <v>788</v>
      </c>
      <c r="E2463" s="11">
        <v>0</v>
      </c>
      <c r="F2463" s="168" t="s">
        <v>3486</v>
      </c>
      <c r="K2463" s="2"/>
      <c r="N2463">
        <f t="shared" si="35"/>
        <v>788</v>
      </c>
    </row>
    <row r="2464" spans="1:14" hidden="1">
      <c r="A2464" s="239">
        <v>39296</v>
      </c>
      <c r="B2464" s="168">
        <v>810315</v>
      </c>
      <c r="C2464" s="168" t="s">
        <v>1473</v>
      </c>
      <c r="D2464" s="11">
        <v>6331</v>
      </c>
      <c r="E2464" s="11">
        <v>0</v>
      </c>
      <c r="F2464" s="168" t="s">
        <v>3487</v>
      </c>
      <c r="G2464" s="8" t="s">
        <v>1370</v>
      </c>
      <c r="K2464" s="2"/>
      <c r="N2464">
        <f t="shared" si="35"/>
        <v>6331</v>
      </c>
    </row>
    <row r="2465" spans="1:14" hidden="1">
      <c r="A2465" s="239">
        <v>39300</v>
      </c>
      <c r="B2465" s="168">
        <v>810313</v>
      </c>
      <c r="C2465" s="168" t="s">
        <v>3221</v>
      </c>
      <c r="D2465" s="11">
        <v>13326</v>
      </c>
      <c r="E2465" s="11">
        <v>0</v>
      </c>
      <c r="F2465" s="168" t="s">
        <v>3488</v>
      </c>
      <c r="G2465" s="8" t="s">
        <v>1366</v>
      </c>
      <c r="K2465" s="2"/>
      <c r="N2465">
        <f t="shared" si="35"/>
        <v>13326</v>
      </c>
    </row>
    <row r="2466" spans="1:14" hidden="1">
      <c r="A2466" s="239">
        <v>39302</v>
      </c>
      <c r="B2466" s="168">
        <v>810317</v>
      </c>
      <c r="C2466" s="168" t="s">
        <v>3489</v>
      </c>
      <c r="D2466" s="11">
        <v>960</v>
      </c>
      <c r="E2466" s="11">
        <v>0</v>
      </c>
      <c r="F2466" s="168" t="s">
        <v>3490</v>
      </c>
      <c r="K2466" s="2"/>
      <c r="N2466">
        <f t="shared" si="35"/>
        <v>960</v>
      </c>
    </row>
    <row r="2467" spans="1:14" hidden="1">
      <c r="A2467" s="239">
        <v>39302</v>
      </c>
      <c r="B2467" s="168" t="s">
        <v>3219</v>
      </c>
      <c r="C2467" s="168" t="s">
        <v>3491</v>
      </c>
      <c r="D2467" s="11">
        <v>1500</v>
      </c>
      <c r="E2467" s="11">
        <v>0</v>
      </c>
      <c r="F2467" s="168" t="s">
        <v>3492</v>
      </c>
      <c r="G2467" s="8" t="s">
        <v>1361</v>
      </c>
      <c r="K2467" s="2"/>
      <c r="N2467">
        <f t="shared" si="35"/>
        <v>1500</v>
      </c>
    </row>
    <row r="2468" spans="1:14" hidden="1">
      <c r="A2468" s="239">
        <v>39304</v>
      </c>
      <c r="B2468" s="168">
        <v>810311</v>
      </c>
      <c r="C2468" s="168" t="s">
        <v>3493</v>
      </c>
      <c r="D2468" s="11">
        <v>30000</v>
      </c>
      <c r="E2468" s="11">
        <v>0</v>
      </c>
      <c r="F2468" s="168" t="s">
        <v>3494</v>
      </c>
      <c r="G2468" s="8" t="s">
        <v>1372</v>
      </c>
      <c r="K2468" s="2"/>
      <c r="N2468">
        <f t="shared" si="35"/>
        <v>30000</v>
      </c>
    </row>
    <row r="2469" spans="1:14" hidden="1">
      <c r="A2469" s="239">
        <v>39308</v>
      </c>
      <c r="B2469" s="168">
        <v>810318</v>
      </c>
      <c r="C2469" s="168" t="s">
        <v>3495</v>
      </c>
      <c r="D2469" s="11">
        <v>7724</v>
      </c>
      <c r="E2469" s="11">
        <v>0</v>
      </c>
      <c r="F2469" s="168" t="s">
        <v>3496</v>
      </c>
      <c r="K2469" s="2"/>
      <c r="N2469">
        <f t="shared" si="35"/>
        <v>7724</v>
      </c>
    </row>
    <row r="2470" spans="1:14" hidden="1">
      <c r="A2470" s="239">
        <v>39321</v>
      </c>
      <c r="B2470" s="168" t="s">
        <v>3219</v>
      </c>
      <c r="C2470" s="168" t="s">
        <v>3497</v>
      </c>
      <c r="D2470" s="11">
        <v>0</v>
      </c>
      <c r="E2470" s="11">
        <v>55958</v>
      </c>
      <c r="F2470" s="168" t="s">
        <v>3498</v>
      </c>
      <c r="G2470" s="8" t="s">
        <v>1380</v>
      </c>
      <c r="K2470" s="2"/>
      <c r="N2470">
        <f t="shared" si="35"/>
        <v>0</v>
      </c>
    </row>
    <row r="2471" spans="1:14" hidden="1">
      <c r="A2471" s="239">
        <v>39323</v>
      </c>
      <c r="B2471" s="168" t="s">
        <v>3219</v>
      </c>
      <c r="C2471" s="168" t="s">
        <v>3499</v>
      </c>
      <c r="D2471" s="11">
        <v>0</v>
      </c>
      <c r="E2471" s="11">
        <v>9160</v>
      </c>
      <c r="F2471" s="168" t="s">
        <v>3500</v>
      </c>
      <c r="G2471" s="8" t="s">
        <v>1380</v>
      </c>
      <c r="K2471" s="2"/>
      <c r="N2471">
        <f t="shared" si="35"/>
        <v>0</v>
      </c>
    </row>
    <row r="2472" spans="1:14" hidden="1">
      <c r="A2472" s="239">
        <v>39325</v>
      </c>
      <c r="B2472" s="168" t="s">
        <v>3219</v>
      </c>
      <c r="C2472" s="168" t="s">
        <v>3501</v>
      </c>
      <c r="D2472" s="11">
        <v>5000</v>
      </c>
      <c r="E2472" s="11">
        <v>0</v>
      </c>
      <c r="F2472" s="168" t="s">
        <v>3502</v>
      </c>
      <c r="G2472" s="8" t="s">
        <v>1361</v>
      </c>
      <c r="K2472" s="2"/>
      <c r="N2472">
        <f t="shared" si="35"/>
        <v>5000</v>
      </c>
    </row>
    <row r="2473" spans="1:14" hidden="1">
      <c r="A2473" s="239">
        <v>39326</v>
      </c>
      <c r="B2473" s="168" t="s">
        <v>3219</v>
      </c>
      <c r="C2473" s="168" t="s">
        <v>1394</v>
      </c>
      <c r="D2473" s="11"/>
      <c r="E2473" s="11">
        <v>0</v>
      </c>
      <c r="F2473" s="168" t="s">
        <v>3502</v>
      </c>
      <c r="K2473" s="2"/>
      <c r="N2473">
        <f t="shared" si="35"/>
        <v>0</v>
      </c>
    </row>
    <row r="2474" spans="1:14" hidden="1">
      <c r="A2474" s="239">
        <v>39328</v>
      </c>
      <c r="B2474" s="168" t="s">
        <v>3219</v>
      </c>
      <c r="C2474" s="168" t="s">
        <v>3503</v>
      </c>
      <c r="D2474" s="11">
        <v>0</v>
      </c>
      <c r="E2474" s="11">
        <v>6004</v>
      </c>
      <c r="F2474" s="168" t="s">
        <v>3504</v>
      </c>
      <c r="G2474" s="8" t="s">
        <v>1368</v>
      </c>
      <c r="K2474" s="2"/>
      <c r="N2474">
        <f t="shared" si="35"/>
        <v>0</v>
      </c>
    </row>
    <row r="2475" spans="1:14" hidden="1">
      <c r="A2475" s="239">
        <v>39328</v>
      </c>
      <c r="B2475" s="168">
        <v>810322</v>
      </c>
      <c r="C2475" s="168" t="s">
        <v>3280</v>
      </c>
      <c r="D2475" s="11">
        <v>880</v>
      </c>
      <c r="E2475" s="11">
        <v>0</v>
      </c>
      <c r="F2475" s="168" t="s">
        <v>3505</v>
      </c>
      <c r="K2475" s="2"/>
      <c r="N2475">
        <f t="shared" si="35"/>
        <v>880</v>
      </c>
    </row>
    <row r="2476" spans="1:14" hidden="1">
      <c r="A2476" s="239">
        <v>39329</v>
      </c>
      <c r="B2476" s="168">
        <v>810320</v>
      </c>
      <c r="C2476" s="168" t="s">
        <v>3221</v>
      </c>
      <c r="D2476" s="11">
        <v>13242</v>
      </c>
      <c r="E2476" s="11">
        <v>0</v>
      </c>
      <c r="F2476" s="168" t="s">
        <v>3506</v>
      </c>
      <c r="G2476" s="8" t="s">
        <v>1366</v>
      </c>
      <c r="K2476" s="2"/>
      <c r="N2476">
        <f t="shared" si="35"/>
        <v>13242</v>
      </c>
    </row>
    <row r="2477" spans="1:14" hidden="1">
      <c r="A2477" s="239">
        <v>39329</v>
      </c>
      <c r="B2477" s="168">
        <v>810319</v>
      </c>
      <c r="C2477" s="168" t="s">
        <v>3453</v>
      </c>
      <c r="D2477" s="11">
        <v>14880.52</v>
      </c>
      <c r="E2477" s="11">
        <v>0</v>
      </c>
      <c r="F2477" s="168" t="s">
        <v>3507</v>
      </c>
      <c r="G2477" s="8" t="s">
        <v>1362</v>
      </c>
      <c r="K2477" s="2"/>
      <c r="N2477">
        <f t="shared" si="35"/>
        <v>14880.52</v>
      </c>
    </row>
    <row r="2478" spans="1:14" hidden="1">
      <c r="A2478" s="239">
        <v>39330</v>
      </c>
      <c r="B2478" s="168">
        <v>810323</v>
      </c>
      <c r="C2478" s="168" t="s">
        <v>3508</v>
      </c>
      <c r="D2478" s="11">
        <v>786</v>
      </c>
      <c r="E2478" s="11">
        <v>0</v>
      </c>
      <c r="F2478" s="168" t="s">
        <v>3509</v>
      </c>
      <c r="K2478" s="2"/>
      <c r="N2478">
        <f t="shared" si="35"/>
        <v>786</v>
      </c>
    </row>
    <row r="2479" spans="1:14" hidden="1">
      <c r="A2479" s="239">
        <v>39332</v>
      </c>
      <c r="B2479" s="168">
        <v>810321</v>
      </c>
      <c r="C2479" s="168" t="s">
        <v>3257</v>
      </c>
      <c r="D2479" s="11">
        <v>300000</v>
      </c>
      <c r="E2479" s="11">
        <v>0</v>
      </c>
      <c r="F2479" s="168" t="s">
        <v>3510</v>
      </c>
      <c r="G2479" s="8" t="s">
        <v>1366</v>
      </c>
      <c r="K2479" s="2"/>
      <c r="N2479">
        <f t="shared" si="35"/>
        <v>300000</v>
      </c>
    </row>
    <row r="2480" spans="1:14" hidden="1">
      <c r="A2480" s="239">
        <v>39333</v>
      </c>
      <c r="B2480" s="168" t="s">
        <v>3219</v>
      </c>
      <c r="C2480" s="168" t="s">
        <v>3511</v>
      </c>
      <c r="D2480" s="11">
        <v>8000</v>
      </c>
      <c r="E2480" s="11">
        <v>0</v>
      </c>
      <c r="F2480" s="168" t="s">
        <v>3512</v>
      </c>
      <c r="G2480" s="8" t="s">
        <v>1361</v>
      </c>
      <c r="K2480" s="2"/>
      <c r="N2480">
        <f t="shared" si="35"/>
        <v>8000</v>
      </c>
    </row>
    <row r="2481" spans="1:14" hidden="1">
      <c r="A2481" s="239">
        <v>39335</v>
      </c>
      <c r="B2481" s="168" t="s">
        <v>3219</v>
      </c>
      <c r="C2481" s="168" t="s">
        <v>3513</v>
      </c>
      <c r="D2481" s="11">
        <v>5000</v>
      </c>
      <c r="E2481" s="11">
        <v>0</v>
      </c>
      <c r="F2481" s="168" t="s">
        <v>3514</v>
      </c>
      <c r="G2481" s="8" t="s">
        <v>1361</v>
      </c>
      <c r="K2481" s="2"/>
      <c r="N2481">
        <f t="shared" si="35"/>
        <v>5000</v>
      </c>
    </row>
    <row r="2482" spans="1:14" hidden="1">
      <c r="A2482" s="239">
        <v>39335</v>
      </c>
      <c r="B2482" s="168" t="s">
        <v>3219</v>
      </c>
      <c r="C2482" s="168" t="s">
        <v>3515</v>
      </c>
      <c r="D2482" s="11">
        <v>3000</v>
      </c>
      <c r="E2482" s="11">
        <v>0</v>
      </c>
      <c r="F2482" s="168" t="s">
        <v>3516</v>
      </c>
      <c r="G2482" s="8" t="s">
        <v>1361</v>
      </c>
      <c r="K2482" s="2"/>
      <c r="N2482">
        <f t="shared" si="35"/>
        <v>3000</v>
      </c>
    </row>
    <row r="2483" spans="1:14" hidden="1">
      <c r="A2483" s="239">
        <v>39351</v>
      </c>
      <c r="B2483" s="168" t="s">
        <v>3219</v>
      </c>
      <c r="C2483" s="168" t="s">
        <v>3517</v>
      </c>
      <c r="D2483" s="11">
        <v>0</v>
      </c>
      <c r="E2483" s="11">
        <v>160844</v>
      </c>
      <c r="F2483" s="168" t="s">
        <v>3518</v>
      </c>
      <c r="G2483" s="8" t="s">
        <v>1380</v>
      </c>
      <c r="K2483" s="2"/>
      <c r="N2483">
        <f t="shared" si="35"/>
        <v>0</v>
      </c>
    </row>
    <row r="2484" spans="1:14" hidden="1">
      <c r="A2484" s="239">
        <v>39353</v>
      </c>
      <c r="B2484" s="168" t="s">
        <v>3219</v>
      </c>
      <c r="C2484" s="168" t="s">
        <v>3519</v>
      </c>
      <c r="D2484" s="11">
        <v>10000</v>
      </c>
      <c r="E2484" s="11">
        <v>0</v>
      </c>
      <c r="F2484" s="168" t="s">
        <v>3520</v>
      </c>
      <c r="G2484" s="8" t="s">
        <v>1361</v>
      </c>
      <c r="K2484" s="2"/>
      <c r="N2484">
        <f t="shared" si="35"/>
        <v>10000</v>
      </c>
    </row>
    <row r="2485" spans="1:14" hidden="1">
      <c r="A2485" s="239">
        <v>39356</v>
      </c>
      <c r="B2485" s="168" t="s">
        <v>3219</v>
      </c>
      <c r="C2485" s="168" t="s">
        <v>1394</v>
      </c>
      <c r="D2485" s="11"/>
      <c r="E2485" s="11">
        <v>0</v>
      </c>
      <c r="F2485" s="168" t="s">
        <v>3520</v>
      </c>
      <c r="K2485" s="2"/>
      <c r="N2485">
        <f t="shared" si="35"/>
        <v>0</v>
      </c>
    </row>
    <row r="2486" spans="1:14" hidden="1">
      <c r="A2486" s="239">
        <v>39356</v>
      </c>
      <c r="B2486" s="168">
        <v>810325</v>
      </c>
      <c r="C2486" s="168" t="s">
        <v>3257</v>
      </c>
      <c r="D2486" s="11">
        <v>13192</v>
      </c>
      <c r="E2486" s="11">
        <v>0</v>
      </c>
      <c r="F2486" s="168" t="s">
        <v>3521</v>
      </c>
      <c r="G2486" s="8" t="s">
        <v>1366</v>
      </c>
      <c r="K2486" s="2"/>
      <c r="N2486">
        <f t="shared" si="35"/>
        <v>13192</v>
      </c>
    </row>
    <row r="2487" spans="1:14" hidden="1">
      <c r="A2487" s="239">
        <v>39358</v>
      </c>
      <c r="B2487" s="168" t="s">
        <v>3219</v>
      </c>
      <c r="C2487" s="168" t="s">
        <v>3522</v>
      </c>
      <c r="D2487" s="11">
        <v>15000</v>
      </c>
      <c r="E2487" s="11">
        <v>0</v>
      </c>
      <c r="F2487" s="168" t="s">
        <v>3523</v>
      </c>
      <c r="G2487" s="8" t="s">
        <v>1361</v>
      </c>
      <c r="K2487" s="2"/>
      <c r="N2487">
        <f t="shared" si="35"/>
        <v>15000</v>
      </c>
    </row>
    <row r="2488" spans="1:14" hidden="1">
      <c r="A2488" s="239">
        <v>39358</v>
      </c>
      <c r="B2488" s="168">
        <v>810324</v>
      </c>
      <c r="C2488" s="168" t="s">
        <v>3524</v>
      </c>
      <c r="D2488" s="11">
        <v>3142</v>
      </c>
      <c r="E2488" s="11">
        <v>0</v>
      </c>
      <c r="F2488" s="168" t="s">
        <v>3525</v>
      </c>
      <c r="K2488" s="2"/>
      <c r="N2488">
        <f t="shared" si="35"/>
        <v>3142</v>
      </c>
    </row>
    <row r="2489" spans="1:14" hidden="1">
      <c r="A2489" s="239">
        <v>39359</v>
      </c>
      <c r="B2489" s="168">
        <v>940701</v>
      </c>
      <c r="C2489" s="168" t="s">
        <v>3453</v>
      </c>
      <c r="D2489" s="11">
        <v>9818</v>
      </c>
      <c r="E2489" s="11">
        <v>0</v>
      </c>
      <c r="F2489" s="168" t="s">
        <v>3526</v>
      </c>
      <c r="G2489" s="8" t="s">
        <v>1362</v>
      </c>
      <c r="K2489" s="2"/>
      <c r="N2489">
        <f t="shared" si="35"/>
        <v>9818</v>
      </c>
    </row>
    <row r="2490" spans="1:14" hidden="1">
      <c r="A2490" s="239">
        <v>39363</v>
      </c>
      <c r="B2490" s="168">
        <v>940702</v>
      </c>
      <c r="C2490" s="168" t="s">
        <v>3527</v>
      </c>
      <c r="D2490" s="11">
        <v>771</v>
      </c>
      <c r="E2490" s="11">
        <v>0</v>
      </c>
      <c r="F2490" s="168" t="s">
        <v>3528</v>
      </c>
      <c r="K2490" s="2"/>
      <c r="N2490">
        <f t="shared" si="35"/>
        <v>771</v>
      </c>
    </row>
    <row r="2491" spans="1:14" hidden="1">
      <c r="A2491" s="239">
        <v>39364</v>
      </c>
      <c r="B2491" s="168" t="s">
        <v>3219</v>
      </c>
      <c r="C2491" s="168" t="s">
        <v>3529</v>
      </c>
      <c r="D2491" s="11">
        <v>2000</v>
      </c>
      <c r="E2491" s="11">
        <v>0</v>
      </c>
      <c r="F2491" s="168" t="s">
        <v>3530</v>
      </c>
      <c r="G2491" s="8" t="s">
        <v>1361</v>
      </c>
      <c r="K2491" s="2"/>
      <c r="N2491">
        <f t="shared" si="35"/>
        <v>2000</v>
      </c>
    </row>
    <row r="2492" spans="1:14" hidden="1">
      <c r="A2492" s="239">
        <v>39366</v>
      </c>
      <c r="B2492" s="168">
        <v>940703</v>
      </c>
      <c r="C2492" s="168" t="s">
        <v>3385</v>
      </c>
      <c r="D2492" s="11">
        <v>890</v>
      </c>
      <c r="E2492" s="11">
        <v>0</v>
      </c>
      <c r="F2492" s="168" t="s">
        <v>3531</v>
      </c>
      <c r="K2492" s="2"/>
      <c r="N2492">
        <f t="shared" si="35"/>
        <v>890</v>
      </c>
    </row>
    <row r="2493" spans="1:14" hidden="1">
      <c r="A2493" s="239">
        <v>39374</v>
      </c>
      <c r="B2493" s="168" t="s">
        <v>3219</v>
      </c>
      <c r="C2493" s="168" t="s">
        <v>3532</v>
      </c>
      <c r="D2493" s="11">
        <v>3000</v>
      </c>
      <c r="E2493" s="11">
        <v>0</v>
      </c>
      <c r="F2493" s="168" t="s">
        <v>3533</v>
      </c>
      <c r="G2493" s="8" t="s">
        <v>1361</v>
      </c>
      <c r="K2493" s="2"/>
      <c r="N2493">
        <f t="shared" si="35"/>
        <v>3000</v>
      </c>
    </row>
    <row r="2494" spans="1:14" hidden="1">
      <c r="A2494" s="239">
        <v>39381</v>
      </c>
      <c r="B2494" s="168" t="s">
        <v>3219</v>
      </c>
      <c r="C2494" s="168" t="s">
        <v>3534</v>
      </c>
      <c r="D2494" s="11">
        <v>0</v>
      </c>
      <c r="E2494" s="11">
        <v>5040</v>
      </c>
      <c r="F2494" s="168" t="s">
        <v>3535</v>
      </c>
      <c r="G2494" s="8" t="s">
        <v>1360</v>
      </c>
      <c r="K2494" s="2"/>
      <c r="N2494">
        <f t="shared" si="35"/>
        <v>0</v>
      </c>
    </row>
    <row r="2495" spans="1:14" hidden="1">
      <c r="A2495" s="239">
        <v>39381</v>
      </c>
      <c r="B2495" s="168" t="s">
        <v>3219</v>
      </c>
      <c r="C2495" s="168" t="s">
        <v>1404</v>
      </c>
      <c r="D2495" s="11">
        <v>0</v>
      </c>
      <c r="E2495" s="11">
        <v>306499</v>
      </c>
      <c r="F2495" s="168" t="s">
        <v>3536</v>
      </c>
      <c r="G2495" s="8" t="s">
        <v>1380</v>
      </c>
      <c r="K2495" s="2"/>
      <c r="N2495">
        <f t="shared" si="35"/>
        <v>0</v>
      </c>
    </row>
    <row r="2496" spans="1:14" hidden="1">
      <c r="A2496" s="239">
        <v>39384</v>
      </c>
      <c r="B2496" s="168" t="s">
        <v>3219</v>
      </c>
      <c r="C2496" s="168" t="s">
        <v>3537</v>
      </c>
      <c r="D2496" s="11">
        <v>2000</v>
      </c>
      <c r="E2496" s="11">
        <v>0</v>
      </c>
      <c r="F2496" s="168" t="s">
        <v>3538</v>
      </c>
      <c r="G2496" s="8" t="s">
        <v>1361</v>
      </c>
      <c r="K2496" s="2"/>
      <c r="N2496">
        <f t="shared" si="35"/>
        <v>2000</v>
      </c>
    </row>
    <row r="2497" spans="1:14" hidden="1">
      <c r="A2497" s="239">
        <v>39387</v>
      </c>
      <c r="B2497" s="168" t="s">
        <v>3219</v>
      </c>
      <c r="C2497" s="168" t="s">
        <v>1394</v>
      </c>
      <c r="D2497" s="11"/>
      <c r="E2497" s="11">
        <v>0</v>
      </c>
      <c r="F2497" s="168" t="s">
        <v>3538</v>
      </c>
      <c r="K2497" s="2"/>
      <c r="N2497">
        <f t="shared" si="35"/>
        <v>0</v>
      </c>
    </row>
    <row r="2498" spans="1:14" hidden="1">
      <c r="A2498" s="239">
        <v>39387</v>
      </c>
      <c r="B2498" s="168" t="s">
        <v>3219</v>
      </c>
      <c r="C2498" s="168" t="s">
        <v>3539</v>
      </c>
      <c r="D2498" s="11">
        <v>10000</v>
      </c>
      <c r="E2498" s="11">
        <v>0</v>
      </c>
      <c r="F2498" s="168" t="s">
        <v>3540</v>
      </c>
      <c r="G2498" s="8" t="s">
        <v>1361</v>
      </c>
      <c r="K2498" s="2"/>
      <c r="N2498">
        <f t="shared" si="35"/>
        <v>10000</v>
      </c>
    </row>
    <row r="2499" spans="1:14" hidden="1">
      <c r="A2499" s="239">
        <v>39388</v>
      </c>
      <c r="B2499" s="168">
        <v>940713</v>
      </c>
      <c r="C2499" s="168" t="s">
        <v>1473</v>
      </c>
      <c r="D2499" s="11">
        <v>6331</v>
      </c>
      <c r="E2499" s="11">
        <v>0</v>
      </c>
      <c r="F2499" s="168" t="s">
        <v>3541</v>
      </c>
      <c r="G2499" s="8" t="s">
        <v>1370</v>
      </c>
      <c r="K2499" s="2"/>
      <c r="N2499">
        <f t="shared" si="35"/>
        <v>6331</v>
      </c>
    </row>
    <row r="2500" spans="1:14" hidden="1">
      <c r="A2500" s="239">
        <v>39389</v>
      </c>
      <c r="B2500" s="168">
        <v>940711</v>
      </c>
      <c r="C2500" s="168" t="s">
        <v>3542</v>
      </c>
      <c r="D2500" s="11">
        <v>832</v>
      </c>
      <c r="E2500" s="11">
        <v>0</v>
      </c>
      <c r="F2500" s="168" t="s">
        <v>3543</v>
      </c>
      <c r="K2500" s="2"/>
      <c r="N2500">
        <f t="shared" si="35"/>
        <v>832</v>
      </c>
    </row>
    <row r="2501" spans="1:14" hidden="1">
      <c r="A2501" s="239">
        <v>39389</v>
      </c>
      <c r="B2501" s="168">
        <v>940710</v>
      </c>
      <c r="C2501" s="168" t="s">
        <v>3221</v>
      </c>
      <c r="D2501" s="11">
        <v>13192</v>
      </c>
      <c r="E2501" s="11">
        <v>0</v>
      </c>
      <c r="F2501" s="168" t="s">
        <v>3544</v>
      </c>
      <c r="G2501" s="8" t="s">
        <v>1366</v>
      </c>
      <c r="K2501" s="2"/>
      <c r="N2501">
        <f t="shared" si="35"/>
        <v>13192</v>
      </c>
    </row>
    <row r="2502" spans="1:14" hidden="1">
      <c r="A2502" s="239">
        <v>39396</v>
      </c>
      <c r="B2502" s="168" t="s">
        <v>3219</v>
      </c>
      <c r="C2502" s="168" t="s">
        <v>3545</v>
      </c>
      <c r="D2502" s="11">
        <v>10000</v>
      </c>
      <c r="E2502" s="11">
        <v>0</v>
      </c>
      <c r="F2502" s="168" t="s">
        <v>3546</v>
      </c>
      <c r="G2502" s="8" t="s">
        <v>1361</v>
      </c>
      <c r="K2502" s="2"/>
      <c r="N2502">
        <f t="shared" si="35"/>
        <v>10000</v>
      </c>
    </row>
    <row r="2503" spans="1:14" hidden="1">
      <c r="A2503" s="239">
        <v>39405</v>
      </c>
      <c r="B2503" s="168" t="s">
        <v>3219</v>
      </c>
      <c r="C2503" s="168" t="s">
        <v>3547</v>
      </c>
      <c r="D2503" s="11">
        <v>1500</v>
      </c>
      <c r="E2503" s="11">
        <v>0</v>
      </c>
      <c r="F2503" s="168" t="s">
        <v>3548</v>
      </c>
      <c r="G2503" s="8" t="s">
        <v>1361</v>
      </c>
      <c r="K2503" s="2"/>
      <c r="N2503">
        <f t="shared" si="35"/>
        <v>1500</v>
      </c>
    </row>
    <row r="2504" spans="1:14" hidden="1">
      <c r="A2504" s="239">
        <v>39408</v>
      </c>
      <c r="B2504" s="168" t="s">
        <v>3219</v>
      </c>
      <c r="C2504" s="168" t="s">
        <v>3549</v>
      </c>
      <c r="D2504" s="11">
        <v>10000</v>
      </c>
      <c r="E2504" s="11">
        <v>0</v>
      </c>
      <c r="F2504" s="168" t="s">
        <v>3550</v>
      </c>
      <c r="G2504" s="8" t="s">
        <v>1361</v>
      </c>
      <c r="K2504" s="2"/>
      <c r="N2504">
        <f t="shared" si="35"/>
        <v>10000</v>
      </c>
    </row>
    <row r="2505" spans="1:14" hidden="1">
      <c r="A2505" s="239">
        <v>39412</v>
      </c>
      <c r="B2505" s="168" t="s">
        <v>3219</v>
      </c>
      <c r="C2505" s="168" t="s">
        <v>1404</v>
      </c>
      <c r="D2505" s="11">
        <v>0</v>
      </c>
      <c r="E2505" s="11">
        <v>59719</v>
      </c>
      <c r="F2505" s="168" t="s">
        <v>3551</v>
      </c>
      <c r="G2505" s="8" t="s">
        <v>1380</v>
      </c>
      <c r="K2505" s="2"/>
      <c r="N2505">
        <f t="shared" si="35"/>
        <v>0</v>
      </c>
    </row>
    <row r="2506" spans="1:14" hidden="1">
      <c r="A2506" s="239">
        <v>39414</v>
      </c>
      <c r="B2506" s="168">
        <v>940714</v>
      </c>
      <c r="C2506" s="168" t="s">
        <v>3489</v>
      </c>
      <c r="D2506" s="11">
        <v>1390</v>
      </c>
      <c r="E2506" s="11">
        <v>0</v>
      </c>
      <c r="F2506" s="168" t="s">
        <v>3552</v>
      </c>
      <c r="K2506" s="2"/>
      <c r="N2506">
        <f t="shared" si="35"/>
        <v>1390</v>
      </c>
    </row>
    <row r="2507" spans="1:14" hidden="1">
      <c r="A2507" s="239">
        <v>39417</v>
      </c>
      <c r="B2507" s="168" t="s">
        <v>3219</v>
      </c>
      <c r="C2507" s="168" t="s">
        <v>1394</v>
      </c>
      <c r="D2507" s="11"/>
      <c r="E2507" s="11">
        <v>0</v>
      </c>
      <c r="F2507" s="168" t="s">
        <v>3552</v>
      </c>
      <c r="K2507" s="2"/>
      <c r="N2507">
        <f t="shared" ref="N2507:N2570" si="36">D2507*1</f>
        <v>0</v>
      </c>
    </row>
    <row r="2508" spans="1:14" hidden="1">
      <c r="A2508" s="239">
        <v>39420</v>
      </c>
      <c r="B2508" s="168">
        <v>940715</v>
      </c>
      <c r="C2508" s="168" t="s">
        <v>3542</v>
      </c>
      <c r="D2508" s="11">
        <v>632</v>
      </c>
      <c r="E2508" s="11">
        <v>0</v>
      </c>
      <c r="F2508" s="168" t="s">
        <v>3553</v>
      </c>
      <c r="K2508" s="2"/>
      <c r="N2508">
        <f t="shared" si="36"/>
        <v>632</v>
      </c>
    </row>
    <row r="2509" spans="1:14" hidden="1">
      <c r="A2509" s="239">
        <v>39420</v>
      </c>
      <c r="B2509" s="168">
        <v>940716</v>
      </c>
      <c r="C2509" s="168" t="s">
        <v>3453</v>
      </c>
      <c r="D2509" s="11">
        <v>14780</v>
      </c>
      <c r="E2509" s="11">
        <v>0</v>
      </c>
      <c r="F2509" s="168" t="s">
        <v>3554</v>
      </c>
      <c r="G2509" s="8" t="s">
        <v>1362</v>
      </c>
      <c r="K2509" s="2"/>
      <c r="N2509">
        <f t="shared" si="36"/>
        <v>14780</v>
      </c>
    </row>
    <row r="2510" spans="1:14" hidden="1">
      <c r="A2510" s="239">
        <v>39420</v>
      </c>
      <c r="B2510" s="168" t="s">
        <v>3219</v>
      </c>
      <c r="C2510" s="168" t="s">
        <v>3555</v>
      </c>
      <c r="D2510" s="11">
        <v>2000</v>
      </c>
      <c r="E2510" s="11">
        <v>0</v>
      </c>
      <c r="F2510" s="168" t="s">
        <v>3556</v>
      </c>
      <c r="G2510" s="8" t="s">
        <v>1361</v>
      </c>
      <c r="K2510" s="2"/>
      <c r="N2510">
        <f t="shared" si="36"/>
        <v>2000</v>
      </c>
    </row>
    <row r="2511" spans="1:14" hidden="1">
      <c r="A2511" s="239">
        <v>39423</v>
      </c>
      <c r="B2511" s="168">
        <v>940704</v>
      </c>
      <c r="C2511" s="168" t="s">
        <v>1407</v>
      </c>
      <c r="D2511" s="11">
        <v>40000</v>
      </c>
      <c r="E2511" s="11">
        <v>0</v>
      </c>
      <c r="F2511" s="168" t="s">
        <v>3557</v>
      </c>
      <c r="G2511" s="8" t="s">
        <v>1379</v>
      </c>
      <c r="K2511" s="2"/>
      <c r="N2511">
        <f t="shared" si="36"/>
        <v>40000</v>
      </c>
    </row>
    <row r="2512" spans="1:14" hidden="1">
      <c r="A2512" s="239">
        <v>39442</v>
      </c>
      <c r="B2512" s="168" t="s">
        <v>3219</v>
      </c>
      <c r="C2512" s="168" t="s">
        <v>1404</v>
      </c>
      <c r="D2512" s="11">
        <v>0</v>
      </c>
      <c r="E2512" s="11">
        <v>55958</v>
      </c>
      <c r="F2512" s="168" t="s">
        <v>3558</v>
      </c>
      <c r="G2512" s="8" t="s">
        <v>1380</v>
      </c>
      <c r="K2512" s="2"/>
      <c r="N2512">
        <f t="shared" si="36"/>
        <v>0</v>
      </c>
    </row>
    <row r="2513" spans="1:14" hidden="1">
      <c r="A2513" s="239">
        <v>39443</v>
      </c>
      <c r="B2513" s="168" t="s">
        <v>3219</v>
      </c>
      <c r="C2513" s="168">
        <v>414608496</v>
      </c>
      <c r="D2513" s="11">
        <v>45000</v>
      </c>
      <c r="E2513" s="11">
        <v>0</v>
      </c>
      <c r="F2513" s="168" t="s">
        <v>3559</v>
      </c>
      <c r="K2513" s="2"/>
      <c r="N2513">
        <f t="shared" si="36"/>
        <v>45000</v>
      </c>
    </row>
    <row r="2514" spans="1:14" hidden="1">
      <c r="A2514" s="239">
        <v>39448</v>
      </c>
      <c r="B2514" s="168" t="s">
        <v>3219</v>
      </c>
      <c r="C2514" s="168" t="s">
        <v>1394</v>
      </c>
      <c r="D2514" s="11"/>
      <c r="E2514" s="11">
        <v>0</v>
      </c>
      <c r="F2514" s="168" t="s">
        <v>3559</v>
      </c>
      <c r="K2514" s="2"/>
      <c r="N2514">
        <f t="shared" si="36"/>
        <v>0</v>
      </c>
    </row>
    <row r="2515" spans="1:14" hidden="1">
      <c r="A2515" s="239">
        <v>39448</v>
      </c>
      <c r="B2515" s="168">
        <v>940717</v>
      </c>
      <c r="C2515" s="168" t="s">
        <v>3560</v>
      </c>
      <c r="D2515" s="11">
        <v>1001</v>
      </c>
      <c r="E2515" s="11">
        <v>0</v>
      </c>
      <c r="F2515" s="168" t="s">
        <v>3561</v>
      </c>
      <c r="K2515" s="2"/>
      <c r="N2515">
        <f t="shared" si="36"/>
        <v>1001</v>
      </c>
    </row>
    <row r="2516" spans="1:14" hidden="1">
      <c r="A2516" s="239">
        <v>39449</v>
      </c>
      <c r="B2516" s="168">
        <v>940718</v>
      </c>
      <c r="C2516" s="168" t="s">
        <v>3562</v>
      </c>
      <c r="D2516" s="11">
        <v>700</v>
      </c>
      <c r="E2516" s="11">
        <v>0</v>
      </c>
      <c r="F2516" s="168" t="s">
        <v>3563</v>
      </c>
      <c r="K2516" s="2"/>
      <c r="N2516">
        <f t="shared" si="36"/>
        <v>700</v>
      </c>
    </row>
    <row r="2517" spans="1:14" hidden="1">
      <c r="A2517" s="239">
        <v>39450</v>
      </c>
      <c r="B2517" s="168" t="s">
        <v>3219</v>
      </c>
      <c r="C2517" s="168" t="s">
        <v>3564</v>
      </c>
      <c r="D2517" s="11">
        <v>3000</v>
      </c>
      <c r="E2517" s="11">
        <v>0</v>
      </c>
      <c r="F2517" s="168" t="s">
        <v>3565</v>
      </c>
      <c r="G2517" s="8" t="s">
        <v>1361</v>
      </c>
      <c r="K2517" s="2"/>
      <c r="N2517">
        <f t="shared" si="36"/>
        <v>3000</v>
      </c>
    </row>
    <row r="2518" spans="1:14" hidden="1">
      <c r="A2518" s="239">
        <v>39454</v>
      </c>
      <c r="B2518" s="168">
        <v>940719</v>
      </c>
      <c r="C2518" s="168" t="s">
        <v>3453</v>
      </c>
      <c r="D2518" s="11">
        <v>2123.9499999999998</v>
      </c>
      <c r="E2518" s="11">
        <v>0</v>
      </c>
      <c r="F2518" s="168" t="s">
        <v>3566</v>
      </c>
      <c r="G2518" s="8" t="s">
        <v>1362</v>
      </c>
      <c r="K2518" s="2"/>
      <c r="N2518">
        <f t="shared" si="36"/>
        <v>2123.9499999999998</v>
      </c>
    </row>
    <row r="2519" spans="1:14" hidden="1">
      <c r="A2519" s="239">
        <v>39461</v>
      </c>
      <c r="B2519" s="168" t="s">
        <v>3219</v>
      </c>
      <c r="C2519" s="168" t="s">
        <v>3567</v>
      </c>
      <c r="D2519" s="11">
        <v>3000</v>
      </c>
      <c r="E2519" s="11">
        <v>0</v>
      </c>
      <c r="F2519" s="168" t="s">
        <v>3568</v>
      </c>
      <c r="G2519" s="8" t="s">
        <v>1361</v>
      </c>
      <c r="K2519" s="2"/>
      <c r="N2519">
        <f t="shared" si="36"/>
        <v>3000</v>
      </c>
    </row>
    <row r="2520" spans="1:14" hidden="1">
      <c r="A2520" s="239">
        <v>39461</v>
      </c>
      <c r="B2520" s="168">
        <v>940720</v>
      </c>
      <c r="C2520" s="168" t="s">
        <v>1473</v>
      </c>
      <c r="D2520" s="11">
        <v>6331</v>
      </c>
      <c r="E2520" s="11">
        <v>0</v>
      </c>
      <c r="F2520" s="168" t="s">
        <v>3569</v>
      </c>
      <c r="G2520" s="8" t="s">
        <v>1370</v>
      </c>
      <c r="K2520" s="2"/>
      <c r="N2520">
        <f t="shared" si="36"/>
        <v>6331</v>
      </c>
    </row>
    <row r="2521" spans="1:14" hidden="1">
      <c r="A2521" s="239">
        <v>39461</v>
      </c>
      <c r="B2521" s="168">
        <v>940721</v>
      </c>
      <c r="C2521" s="168" t="s">
        <v>1473</v>
      </c>
      <c r="D2521" s="11">
        <v>5622</v>
      </c>
      <c r="E2521" s="11">
        <v>0</v>
      </c>
      <c r="F2521" s="168" t="s">
        <v>3570</v>
      </c>
      <c r="G2521" s="8" t="s">
        <v>1370</v>
      </c>
      <c r="K2521" s="2"/>
      <c r="N2521">
        <f t="shared" si="36"/>
        <v>5622</v>
      </c>
    </row>
    <row r="2522" spans="1:14" hidden="1">
      <c r="A2522" s="239">
        <v>39463</v>
      </c>
      <c r="B2522" s="168" t="s">
        <v>3219</v>
      </c>
      <c r="C2522" s="168" t="s">
        <v>3571</v>
      </c>
      <c r="D2522" s="11">
        <v>5000</v>
      </c>
      <c r="E2522" s="11">
        <v>0</v>
      </c>
      <c r="F2522" s="168" t="s">
        <v>3572</v>
      </c>
      <c r="G2522" s="8" t="s">
        <v>1361</v>
      </c>
      <c r="K2522" s="2"/>
      <c r="N2522">
        <f t="shared" si="36"/>
        <v>5000</v>
      </c>
    </row>
    <row r="2523" spans="1:14" hidden="1">
      <c r="A2523" s="239">
        <v>39466</v>
      </c>
      <c r="B2523" s="168" t="s">
        <v>3219</v>
      </c>
      <c r="C2523" s="168" t="s">
        <v>3573</v>
      </c>
      <c r="D2523" s="11">
        <v>15000</v>
      </c>
      <c r="E2523" s="11">
        <v>0</v>
      </c>
      <c r="F2523" s="168" t="s">
        <v>3574</v>
      </c>
      <c r="G2523" s="8" t="s">
        <v>1361</v>
      </c>
      <c r="K2523" s="2"/>
      <c r="N2523">
        <f t="shared" si="36"/>
        <v>15000</v>
      </c>
    </row>
    <row r="2524" spans="1:14" hidden="1">
      <c r="A2524" s="239">
        <v>39466</v>
      </c>
      <c r="B2524" s="168" t="s">
        <v>3219</v>
      </c>
      <c r="C2524" s="168" t="s">
        <v>3575</v>
      </c>
      <c r="D2524" s="11">
        <v>8000</v>
      </c>
      <c r="E2524" s="11">
        <v>0</v>
      </c>
      <c r="F2524" s="168" t="s">
        <v>3576</v>
      </c>
      <c r="G2524" s="8" t="s">
        <v>1361</v>
      </c>
      <c r="K2524" s="2"/>
      <c r="N2524">
        <f t="shared" si="36"/>
        <v>8000</v>
      </c>
    </row>
    <row r="2525" spans="1:14" hidden="1">
      <c r="A2525" s="239">
        <v>39475</v>
      </c>
      <c r="B2525" s="168" t="s">
        <v>3219</v>
      </c>
      <c r="C2525" s="168" t="s">
        <v>1404</v>
      </c>
      <c r="D2525" s="11">
        <v>0</v>
      </c>
      <c r="E2525" s="11">
        <v>52826</v>
      </c>
      <c r="F2525" s="168" t="s">
        <v>3577</v>
      </c>
      <c r="G2525" s="8" t="s">
        <v>1380</v>
      </c>
      <c r="K2525" s="2"/>
      <c r="N2525">
        <f t="shared" si="36"/>
        <v>0</v>
      </c>
    </row>
    <row r="2526" spans="1:14" hidden="1">
      <c r="A2526" s="239">
        <v>39477</v>
      </c>
      <c r="B2526" s="168" t="s">
        <v>3219</v>
      </c>
      <c r="C2526" s="168" t="s">
        <v>3578</v>
      </c>
      <c r="D2526" s="11">
        <v>4000</v>
      </c>
      <c r="E2526" s="11">
        <v>0</v>
      </c>
      <c r="F2526" s="168" t="s">
        <v>3579</v>
      </c>
      <c r="G2526" s="8" t="s">
        <v>1361</v>
      </c>
      <c r="K2526" s="2"/>
      <c r="N2526">
        <f t="shared" si="36"/>
        <v>4000</v>
      </c>
    </row>
    <row r="2527" spans="1:14" hidden="1">
      <c r="A2527" s="239">
        <v>39479</v>
      </c>
      <c r="B2527" s="168" t="s">
        <v>3219</v>
      </c>
      <c r="C2527" s="168" t="s">
        <v>1394</v>
      </c>
      <c r="D2527" s="11"/>
      <c r="E2527" s="11">
        <v>0</v>
      </c>
      <c r="F2527" s="168" t="s">
        <v>3580</v>
      </c>
      <c r="K2527" s="2"/>
      <c r="N2527">
        <f t="shared" si="36"/>
        <v>0</v>
      </c>
    </row>
    <row r="2528" spans="1:14" hidden="1">
      <c r="A2528" s="239">
        <v>39479</v>
      </c>
      <c r="B2528" s="168" t="s">
        <v>3219</v>
      </c>
      <c r="C2528" s="168" t="s">
        <v>3581</v>
      </c>
      <c r="D2528" s="11">
        <v>12000</v>
      </c>
      <c r="E2528" s="11">
        <v>0</v>
      </c>
      <c r="F2528" s="168" t="s">
        <v>3582</v>
      </c>
      <c r="G2528" s="8" t="s">
        <v>1361</v>
      </c>
      <c r="K2528" s="2"/>
      <c r="N2528">
        <f t="shared" si="36"/>
        <v>12000</v>
      </c>
    </row>
    <row r="2529" spans="1:14" hidden="1">
      <c r="A2529" s="239">
        <v>39482</v>
      </c>
      <c r="B2529" s="168">
        <v>940723</v>
      </c>
      <c r="C2529" s="168" t="s">
        <v>3229</v>
      </c>
      <c r="D2529" s="11">
        <v>848</v>
      </c>
      <c r="E2529" s="11">
        <v>0</v>
      </c>
      <c r="F2529" s="168" t="s">
        <v>3583</v>
      </c>
      <c r="K2529" s="2"/>
      <c r="N2529">
        <f t="shared" si="36"/>
        <v>848</v>
      </c>
    </row>
    <row r="2530" spans="1:14" hidden="1">
      <c r="A2530" s="239">
        <v>39483</v>
      </c>
      <c r="B2530" s="168">
        <v>940722</v>
      </c>
      <c r="C2530" s="168" t="s">
        <v>3584</v>
      </c>
      <c r="D2530" s="11">
        <v>5820</v>
      </c>
      <c r="E2530" s="11">
        <v>0</v>
      </c>
      <c r="F2530" s="168" t="s">
        <v>3585</v>
      </c>
      <c r="K2530" s="2"/>
      <c r="N2530">
        <f t="shared" si="36"/>
        <v>5820</v>
      </c>
    </row>
    <row r="2531" spans="1:14" hidden="1">
      <c r="A2531" s="239">
        <v>39486</v>
      </c>
      <c r="B2531" s="168">
        <v>940705</v>
      </c>
      <c r="C2531" s="168" t="s">
        <v>1430</v>
      </c>
      <c r="D2531" s="11">
        <v>40000</v>
      </c>
      <c r="E2531" s="11">
        <v>0</v>
      </c>
      <c r="F2531" s="168" t="s">
        <v>3586</v>
      </c>
      <c r="G2531" s="8" t="s">
        <v>1379</v>
      </c>
      <c r="K2531" s="2"/>
      <c r="N2531">
        <f t="shared" si="36"/>
        <v>40000</v>
      </c>
    </row>
    <row r="2532" spans="1:14" hidden="1">
      <c r="A2532" s="239">
        <v>39486</v>
      </c>
      <c r="B2532" s="168" t="s">
        <v>3219</v>
      </c>
      <c r="C2532" s="168" t="s">
        <v>3587</v>
      </c>
      <c r="D2532" s="11">
        <v>4000</v>
      </c>
      <c r="E2532" s="11">
        <v>0</v>
      </c>
      <c r="F2532" s="168" t="s">
        <v>3588</v>
      </c>
      <c r="G2532" s="8" t="s">
        <v>1361</v>
      </c>
      <c r="K2532" s="2"/>
      <c r="N2532">
        <f t="shared" si="36"/>
        <v>4000</v>
      </c>
    </row>
    <row r="2533" spans="1:14" hidden="1">
      <c r="A2533" s="239">
        <v>39499</v>
      </c>
      <c r="B2533" s="168" t="s">
        <v>3219</v>
      </c>
      <c r="C2533" s="168" t="s">
        <v>3589</v>
      </c>
      <c r="D2533" s="11">
        <v>400</v>
      </c>
      <c r="E2533" s="11">
        <v>0</v>
      </c>
      <c r="F2533" s="168" t="s">
        <v>3590</v>
      </c>
      <c r="G2533" s="8" t="s">
        <v>1361</v>
      </c>
      <c r="K2533" s="2"/>
      <c r="N2533">
        <f t="shared" si="36"/>
        <v>400</v>
      </c>
    </row>
    <row r="2534" spans="1:14" hidden="1">
      <c r="A2534" s="239">
        <v>39505</v>
      </c>
      <c r="B2534" s="168" t="s">
        <v>3219</v>
      </c>
      <c r="C2534" s="168" t="s">
        <v>1404</v>
      </c>
      <c r="D2534" s="11">
        <v>0</v>
      </c>
      <c r="E2534" s="11">
        <v>45975</v>
      </c>
      <c r="F2534" s="168" t="s">
        <v>3591</v>
      </c>
      <c r="G2534" s="8" t="s">
        <v>1380</v>
      </c>
      <c r="K2534" s="2"/>
      <c r="N2534">
        <f t="shared" si="36"/>
        <v>0</v>
      </c>
    </row>
    <row r="2535" spans="1:14" hidden="1">
      <c r="A2535" s="239">
        <v>39508</v>
      </c>
      <c r="B2535" s="168" t="s">
        <v>3219</v>
      </c>
      <c r="C2535" s="168" t="s">
        <v>1394</v>
      </c>
      <c r="D2535" s="11"/>
      <c r="E2535" s="11">
        <v>0</v>
      </c>
      <c r="F2535" s="168" t="s">
        <v>3591</v>
      </c>
      <c r="K2535" s="2"/>
      <c r="N2535">
        <f t="shared" si="36"/>
        <v>0</v>
      </c>
    </row>
    <row r="2536" spans="1:14" hidden="1">
      <c r="A2536" s="239">
        <v>39508</v>
      </c>
      <c r="B2536" s="168" t="s">
        <v>3219</v>
      </c>
      <c r="C2536" s="168" t="s">
        <v>3592</v>
      </c>
      <c r="D2536" s="11">
        <v>0</v>
      </c>
      <c r="E2536" s="11">
        <v>7202</v>
      </c>
      <c r="F2536" s="168" t="s">
        <v>3593</v>
      </c>
      <c r="G2536" s="8" t="s">
        <v>1368</v>
      </c>
      <c r="K2536" s="2"/>
      <c r="N2536">
        <f t="shared" si="36"/>
        <v>0</v>
      </c>
    </row>
    <row r="2537" spans="1:14" hidden="1">
      <c r="A2537" s="239">
        <v>39510</v>
      </c>
      <c r="B2537" s="168" t="s">
        <v>3219</v>
      </c>
      <c r="C2537" s="168" t="s">
        <v>3594</v>
      </c>
      <c r="D2537" s="11">
        <v>400</v>
      </c>
      <c r="E2537" s="11">
        <v>0</v>
      </c>
      <c r="F2537" s="168" t="s">
        <v>3595</v>
      </c>
      <c r="G2537" s="8" t="s">
        <v>1361</v>
      </c>
      <c r="K2537" s="2"/>
      <c r="N2537">
        <f t="shared" si="36"/>
        <v>400</v>
      </c>
    </row>
    <row r="2538" spans="1:14" hidden="1">
      <c r="A2538" s="239">
        <v>39512</v>
      </c>
      <c r="B2538" s="168">
        <v>940724</v>
      </c>
      <c r="C2538" s="168" t="s">
        <v>1470</v>
      </c>
      <c r="D2538" s="11">
        <v>15864.6</v>
      </c>
      <c r="E2538" s="11">
        <v>0</v>
      </c>
      <c r="F2538" s="168" t="s">
        <v>3596</v>
      </c>
      <c r="G2538" s="8" t="s">
        <v>1362</v>
      </c>
      <c r="K2538" s="2"/>
      <c r="N2538">
        <f t="shared" si="36"/>
        <v>15864.6</v>
      </c>
    </row>
    <row r="2539" spans="1:14" hidden="1">
      <c r="A2539" s="239">
        <v>39514</v>
      </c>
      <c r="B2539" s="168" t="s">
        <v>3219</v>
      </c>
      <c r="C2539" s="168" t="s">
        <v>3597</v>
      </c>
      <c r="D2539" s="11">
        <v>15000</v>
      </c>
      <c r="E2539" s="11">
        <v>0</v>
      </c>
      <c r="F2539" s="168" t="s">
        <v>3598</v>
      </c>
      <c r="G2539" s="8" t="s">
        <v>1361</v>
      </c>
      <c r="K2539" s="2"/>
      <c r="N2539">
        <f t="shared" si="36"/>
        <v>15000</v>
      </c>
    </row>
    <row r="2540" spans="1:14" hidden="1">
      <c r="A2540" s="239">
        <v>39515</v>
      </c>
      <c r="B2540" s="168">
        <v>940725</v>
      </c>
      <c r="C2540" s="168" t="s">
        <v>3229</v>
      </c>
      <c r="D2540" s="11">
        <v>694</v>
      </c>
      <c r="E2540" s="11">
        <v>0</v>
      </c>
      <c r="F2540" s="168" t="s">
        <v>3599</v>
      </c>
      <c r="K2540" s="2"/>
      <c r="N2540">
        <f t="shared" si="36"/>
        <v>694</v>
      </c>
    </row>
    <row r="2541" spans="1:14" hidden="1">
      <c r="A2541" s="239">
        <v>39518</v>
      </c>
      <c r="B2541" s="168">
        <v>940726</v>
      </c>
      <c r="C2541" s="168" t="s">
        <v>3600</v>
      </c>
      <c r="D2541" s="11">
        <v>10800</v>
      </c>
      <c r="E2541" s="11">
        <v>0</v>
      </c>
      <c r="F2541" s="168" t="s">
        <v>3601</v>
      </c>
      <c r="K2541" s="2"/>
      <c r="N2541">
        <f t="shared" si="36"/>
        <v>10800</v>
      </c>
    </row>
    <row r="2542" spans="1:14" hidden="1">
      <c r="A2542" s="239">
        <v>39518</v>
      </c>
      <c r="B2542" s="168" t="s">
        <v>3219</v>
      </c>
      <c r="C2542" s="168" t="s">
        <v>3602</v>
      </c>
      <c r="D2542" s="11">
        <v>2000</v>
      </c>
      <c r="E2542" s="11">
        <v>0</v>
      </c>
      <c r="F2542" s="168" t="s">
        <v>3603</v>
      </c>
      <c r="G2542" s="8" t="s">
        <v>1361</v>
      </c>
      <c r="K2542" s="2"/>
      <c r="N2542">
        <f t="shared" si="36"/>
        <v>2000</v>
      </c>
    </row>
    <row r="2543" spans="1:14" hidden="1">
      <c r="A2543" s="239">
        <v>39522</v>
      </c>
      <c r="B2543" s="168" t="s">
        <v>3219</v>
      </c>
      <c r="C2543" s="168" t="s">
        <v>3241</v>
      </c>
      <c r="D2543" s="11">
        <v>0</v>
      </c>
      <c r="E2543" s="11">
        <v>2100</v>
      </c>
      <c r="F2543" s="168" t="s">
        <v>3604</v>
      </c>
      <c r="G2543" s="8" t="s">
        <v>1360</v>
      </c>
      <c r="K2543" s="2"/>
      <c r="N2543">
        <f t="shared" si="36"/>
        <v>0</v>
      </c>
    </row>
    <row r="2544" spans="1:14" hidden="1">
      <c r="A2544" s="239">
        <v>39528</v>
      </c>
      <c r="B2544" s="168" t="s">
        <v>3219</v>
      </c>
      <c r="C2544" s="168" t="s">
        <v>3605</v>
      </c>
      <c r="D2544" s="11">
        <v>10000</v>
      </c>
      <c r="E2544" s="11">
        <v>0</v>
      </c>
      <c r="F2544" s="168" t="s">
        <v>3606</v>
      </c>
      <c r="G2544" s="8" t="s">
        <v>1361</v>
      </c>
      <c r="K2544" s="2"/>
      <c r="N2544">
        <f t="shared" si="36"/>
        <v>10000</v>
      </c>
    </row>
    <row r="2545" spans="1:14" hidden="1">
      <c r="A2545" s="239">
        <v>39532</v>
      </c>
      <c r="B2545" s="168">
        <v>940730</v>
      </c>
      <c r="C2545" s="168" t="s">
        <v>3607</v>
      </c>
      <c r="D2545" s="11">
        <v>25672.25</v>
      </c>
      <c r="E2545" s="11">
        <v>0</v>
      </c>
      <c r="F2545" s="168" t="s">
        <v>3608</v>
      </c>
      <c r="K2545" s="2"/>
      <c r="N2545">
        <f t="shared" si="36"/>
        <v>25672.25</v>
      </c>
    </row>
    <row r="2546" spans="1:14" hidden="1">
      <c r="A2546" s="239">
        <v>39533</v>
      </c>
      <c r="B2546" s="168">
        <v>940727</v>
      </c>
      <c r="C2546" s="168" t="s">
        <v>3609</v>
      </c>
      <c r="D2546" s="11">
        <v>40000</v>
      </c>
      <c r="E2546" s="11">
        <v>0</v>
      </c>
      <c r="F2546" s="168" t="s">
        <v>3610</v>
      </c>
      <c r="G2546" s="8" t="s">
        <v>1379</v>
      </c>
      <c r="K2546" s="2"/>
      <c r="N2546">
        <f t="shared" si="36"/>
        <v>40000</v>
      </c>
    </row>
    <row r="2547" spans="1:14" hidden="1">
      <c r="A2547" s="239">
        <v>39535</v>
      </c>
      <c r="B2547" s="168">
        <v>940728</v>
      </c>
      <c r="C2547" s="168" t="s">
        <v>1503</v>
      </c>
      <c r="D2547" s="11">
        <v>11586</v>
      </c>
      <c r="E2547" s="11">
        <v>0</v>
      </c>
      <c r="F2547" s="168" t="s">
        <v>3611</v>
      </c>
      <c r="K2547" s="2"/>
      <c r="N2547">
        <f t="shared" si="36"/>
        <v>11586</v>
      </c>
    </row>
    <row r="2548" spans="1:14" hidden="1">
      <c r="A2548" s="239">
        <v>39535</v>
      </c>
      <c r="B2548" s="168" t="s">
        <v>3219</v>
      </c>
      <c r="C2548" s="168" t="s">
        <v>1404</v>
      </c>
      <c r="D2548" s="11">
        <v>0</v>
      </c>
      <c r="E2548" s="11">
        <v>63194</v>
      </c>
      <c r="F2548" s="168" t="s">
        <v>3612</v>
      </c>
      <c r="G2548" s="8" t="s">
        <v>1380</v>
      </c>
      <c r="K2548" s="2"/>
      <c r="N2548">
        <f t="shared" si="36"/>
        <v>0</v>
      </c>
    </row>
    <row r="2549" spans="1:14" hidden="1">
      <c r="A2549" s="239">
        <v>39538</v>
      </c>
      <c r="B2549" s="168" t="s">
        <v>3219</v>
      </c>
      <c r="C2549" s="168" t="s">
        <v>3613</v>
      </c>
      <c r="D2549" s="11">
        <v>20000</v>
      </c>
      <c r="E2549" s="11">
        <v>0</v>
      </c>
      <c r="F2549" s="168" t="s">
        <v>3614</v>
      </c>
      <c r="G2549" s="8" t="s">
        <v>1361</v>
      </c>
      <c r="K2549" s="2"/>
      <c r="N2549">
        <f t="shared" si="36"/>
        <v>20000</v>
      </c>
    </row>
    <row r="2550" spans="1:14" hidden="1">
      <c r="A2550" s="239">
        <v>39539</v>
      </c>
      <c r="B2550" s="168" t="s">
        <v>3219</v>
      </c>
      <c r="C2550" s="168" t="s">
        <v>1394</v>
      </c>
      <c r="D2550" s="11"/>
      <c r="E2550" s="11">
        <v>0</v>
      </c>
      <c r="F2550" s="168" t="s">
        <v>3614</v>
      </c>
      <c r="K2550" s="2"/>
      <c r="N2550">
        <f t="shared" si="36"/>
        <v>0</v>
      </c>
    </row>
    <row r="2551" spans="1:14" hidden="1">
      <c r="A2551" s="239">
        <v>39545</v>
      </c>
      <c r="B2551" s="168" t="s">
        <v>3219</v>
      </c>
      <c r="C2551" s="168" t="s">
        <v>3615</v>
      </c>
      <c r="D2551" s="11">
        <v>18000</v>
      </c>
      <c r="E2551" s="11">
        <v>0</v>
      </c>
      <c r="F2551" s="168" t="s">
        <v>3616</v>
      </c>
      <c r="G2551" s="8" t="s">
        <v>1361</v>
      </c>
      <c r="K2551" s="2"/>
      <c r="N2551">
        <f t="shared" si="36"/>
        <v>18000</v>
      </c>
    </row>
    <row r="2552" spans="1:14" hidden="1">
      <c r="A2552" s="239">
        <v>39546</v>
      </c>
      <c r="B2552" s="168" t="s">
        <v>3219</v>
      </c>
      <c r="C2552" s="168" t="s">
        <v>3617</v>
      </c>
      <c r="D2552" s="11">
        <v>112</v>
      </c>
      <c r="E2552" s="11">
        <v>0</v>
      </c>
      <c r="F2552" s="168" t="s">
        <v>3618</v>
      </c>
      <c r="K2552" s="2"/>
      <c r="N2552">
        <f t="shared" si="36"/>
        <v>112</v>
      </c>
    </row>
    <row r="2553" spans="1:14" hidden="1">
      <c r="A2553" s="239">
        <v>39546</v>
      </c>
      <c r="B2553" s="168">
        <v>940706</v>
      </c>
      <c r="C2553" s="168" t="s">
        <v>1444</v>
      </c>
      <c r="D2553" s="11">
        <v>40000</v>
      </c>
      <c r="E2553" s="11">
        <v>0</v>
      </c>
      <c r="F2553" s="168" t="s">
        <v>3619</v>
      </c>
      <c r="G2553" s="8" t="s">
        <v>1379</v>
      </c>
      <c r="K2553" s="2"/>
      <c r="N2553">
        <f t="shared" si="36"/>
        <v>40000</v>
      </c>
    </row>
    <row r="2554" spans="1:14" hidden="1">
      <c r="A2554" s="239">
        <v>39546</v>
      </c>
      <c r="B2554" s="168">
        <v>940729</v>
      </c>
      <c r="C2554" s="168" t="s">
        <v>1473</v>
      </c>
      <c r="D2554" s="11">
        <v>6331</v>
      </c>
      <c r="E2554" s="11">
        <v>0</v>
      </c>
      <c r="F2554" s="168" t="s">
        <v>3620</v>
      </c>
      <c r="G2554" s="8" t="s">
        <v>1370</v>
      </c>
      <c r="K2554" s="2"/>
      <c r="N2554">
        <f t="shared" si="36"/>
        <v>6331</v>
      </c>
    </row>
    <row r="2555" spans="1:14" hidden="1">
      <c r="A2555" s="239">
        <v>39549</v>
      </c>
      <c r="B2555" s="168" t="s">
        <v>3219</v>
      </c>
      <c r="C2555" s="168" t="s">
        <v>3621</v>
      </c>
      <c r="D2555" s="11">
        <v>0</v>
      </c>
      <c r="E2555" s="11">
        <v>3477.66</v>
      </c>
      <c r="F2555" s="168" t="s">
        <v>3622</v>
      </c>
      <c r="G2555" s="8" t="s">
        <v>1375</v>
      </c>
      <c r="K2555" s="2"/>
      <c r="N2555">
        <f t="shared" si="36"/>
        <v>0</v>
      </c>
    </row>
    <row r="2556" spans="1:14" hidden="1">
      <c r="A2556" s="239">
        <v>39559</v>
      </c>
      <c r="B2556" s="168" t="s">
        <v>3219</v>
      </c>
      <c r="C2556" s="168" t="s">
        <v>3623</v>
      </c>
      <c r="D2556" s="11">
        <v>3000</v>
      </c>
      <c r="E2556" s="11">
        <v>0</v>
      </c>
      <c r="F2556" s="168" t="s">
        <v>3624</v>
      </c>
      <c r="G2556" s="8" t="s">
        <v>1361</v>
      </c>
      <c r="K2556" s="2"/>
      <c r="N2556">
        <f t="shared" si="36"/>
        <v>3000</v>
      </c>
    </row>
    <row r="2557" spans="1:14" hidden="1">
      <c r="A2557" s="239">
        <v>39563</v>
      </c>
      <c r="B2557" s="168" t="s">
        <v>3219</v>
      </c>
      <c r="C2557" s="168" t="s">
        <v>3625</v>
      </c>
      <c r="D2557" s="11">
        <v>5000</v>
      </c>
      <c r="E2557" s="11">
        <v>0</v>
      </c>
      <c r="F2557" s="168" t="s">
        <v>3626</v>
      </c>
      <c r="G2557" s="8" t="s">
        <v>1361</v>
      </c>
      <c r="K2557" s="2"/>
      <c r="N2557">
        <f t="shared" si="36"/>
        <v>5000</v>
      </c>
    </row>
    <row r="2558" spans="1:14" hidden="1">
      <c r="A2558" s="239">
        <v>39566</v>
      </c>
      <c r="B2558" s="168" t="s">
        <v>3219</v>
      </c>
      <c r="C2558" s="168" t="s">
        <v>3627</v>
      </c>
      <c r="D2558" s="11">
        <v>4000</v>
      </c>
      <c r="E2558" s="11">
        <v>0</v>
      </c>
      <c r="F2558" s="168" t="s">
        <v>3628</v>
      </c>
      <c r="G2558" s="8" t="s">
        <v>1361</v>
      </c>
      <c r="K2558" s="2"/>
      <c r="N2558">
        <f t="shared" si="36"/>
        <v>4000</v>
      </c>
    </row>
    <row r="2559" spans="1:14" hidden="1">
      <c r="A2559" s="239">
        <v>39566</v>
      </c>
      <c r="B2559" s="168" t="s">
        <v>3219</v>
      </c>
      <c r="C2559" s="168" t="s">
        <v>1404</v>
      </c>
      <c r="D2559" s="11">
        <v>0</v>
      </c>
      <c r="E2559" s="11">
        <v>210654</v>
      </c>
      <c r="F2559" s="168" t="s">
        <v>3629</v>
      </c>
      <c r="G2559" s="8" t="s">
        <v>1380</v>
      </c>
      <c r="K2559" s="2"/>
      <c r="N2559">
        <f t="shared" si="36"/>
        <v>0</v>
      </c>
    </row>
    <row r="2560" spans="1:14" hidden="1">
      <c r="A2560" s="239">
        <v>39567</v>
      </c>
      <c r="B2560" s="168">
        <v>940731</v>
      </c>
      <c r="C2560" s="168" t="s">
        <v>1424</v>
      </c>
      <c r="D2560" s="11">
        <v>19486.099999999999</v>
      </c>
      <c r="E2560" s="11">
        <v>0</v>
      </c>
      <c r="F2560" s="168" t="s">
        <v>3630</v>
      </c>
      <c r="G2560" s="8" t="s">
        <v>1362</v>
      </c>
      <c r="K2560" s="2"/>
      <c r="N2560">
        <f t="shared" si="36"/>
        <v>19486.099999999999</v>
      </c>
    </row>
    <row r="2561" spans="1:14" hidden="1">
      <c r="A2561" s="239">
        <v>39453</v>
      </c>
      <c r="B2561" s="168" t="s">
        <v>3219</v>
      </c>
      <c r="C2561" s="168" t="s">
        <v>1394</v>
      </c>
      <c r="D2561" s="11"/>
      <c r="E2561" s="11">
        <v>0</v>
      </c>
      <c r="F2561" s="168" t="s">
        <v>3631</v>
      </c>
      <c r="K2561" s="2"/>
      <c r="N2561">
        <f t="shared" si="36"/>
        <v>0</v>
      </c>
    </row>
    <row r="2562" spans="1:14" hidden="1">
      <c r="A2562" s="239">
        <v>39484</v>
      </c>
      <c r="B2562" s="168" t="s">
        <v>3219</v>
      </c>
      <c r="C2562" s="168" t="s">
        <v>3632</v>
      </c>
      <c r="D2562" s="11">
        <v>4000</v>
      </c>
      <c r="E2562" s="11">
        <v>0</v>
      </c>
      <c r="F2562" s="168" t="s">
        <v>3633</v>
      </c>
      <c r="G2562" s="8" t="s">
        <v>1361</v>
      </c>
      <c r="K2562" s="2"/>
      <c r="N2562">
        <f t="shared" si="36"/>
        <v>4000</v>
      </c>
    </row>
    <row r="2563" spans="1:14" hidden="1">
      <c r="A2563" s="239">
        <v>39484</v>
      </c>
      <c r="B2563" s="168" t="s">
        <v>3219</v>
      </c>
      <c r="C2563" s="168" t="s">
        <v>3634</v>
      </c>
      <c r="D2563" s="11">
        <v>4000</v>
      </c>
      <c r="E2563" s="11">
        <v>0</v>
      </c>
      <c r="F2563" s="168" t="s">
        <v>3635</v>
      </c>
      <c r="G2563" s="8" t="s">
        <v>1361</v>
      </c>
      <c r="K2563" s="2"/>
      <c r="N2563">
        <f t="shared" si="36"/>
        <v>4000</v>
      </c>
    </row>
    <row r="2564" spans="1:14" hidden="1">
      <c r="A2564" s="239">
        <v>39484</v>
      </c>
      <c r="B2564" s="168" t="s">
        <v>3219</v>
      </c>
      <c r="C2564" s="168" t="s">
        <v>3636</v>
      </c>
      <c r="D2564" s="11">
        <v>4000</v>
      </c>
      <c r="E2564" s="11">
        <v>0</v>
      </c>
      <c r="F2564" s="168" t="s">
        <v>3637</v>
      </c>
      <c r="G2564" s="8" t="s">
        <v>1361</v>
      </c>
      <c r="K2564" s="2"/>
      <c r="N2564">
        <f t="shared" si="36"/>
        <v>4000</v>
      </c>
    </row>
    <row r="2565" spans="1:14" hidden="1">
      <c r="A2565" s="239">
        <v>39635</v>
      </c>
      <c r="B2565" s="168" t="s">
        <v>3219</v>
      </c>
      <c r="C2565" s="168" t="s">
        <v>3638</v>
      </c>
      <c r="D2565" s="11">
        <v>4000</v>
      </c>
      <c r="E2565" s="11">
        <v>0</v>
      </c>
      <c r="F2565" s="168" t="s">
        <v>3639</v>
      </c>
      <c r="G2565" s="8" t="s">
        <v>1361</v>
      </c>
      <c r="K2565" s="2"/>
      <c r="N2565">
        <f t="shared" si="36"/>
        <v>4000</v>
      </c>
    </row>
    <row r="2566" spans="1:14" hidden="1">
      <c r="A2566" s="239">
        <v>39727</v>
      </c>
      <c r="B2566" s="168">
        <v>940707</v>
      </c>
      <c r="C2566" s="168" t="s">
        <v>3640</v>
      </c>
      <c r="D2566" s="11">
        <v>40000</v>
      </c>
      <c r="E2566" s="11">
        <v>0</v>
      </c>
      <c r="F2566" s="168" t="s">
        <v>3641</v>
      </c>
      <c r="G2566" s="8" t="s">
        <v>1379</v>
      </c>
      <c r="K2566" s="2"/>
      <c r="N2566">
        <f t="shared" si="36"/>
        <v>40000</v>
      </c>
    </row>
    <row r="2567" spans="1:14" hidden="1">
      <c r="A2567" s="239">
        <v>39758</v>
      </c>
      <c r="B2567" s="168" t="s">
        <v>3219</v>
      </c>
      <c r="C2567" s="168" t="s">
        <v>3642</v>
      </c>
      <c r="D2567" s="11">
        <v>5000</v>
      </c>
      <c r="E2567" s="11">
        <v>0</v>
      </c>
      <c r="F2567" s="168" t="s">
        <v>3643</v>
      </c>
      <c r="G2567" s="8" t="s">
        <v>1361</v>
      </c>
      <c r="K2567" s="2"/>
      <c r="N2567">
        <f t="shared" si="36"/>
        <v>5000</v>
      </c>
    </row>
    <row r="2568" spans="1:14" hidden="1">
      <c r="A2568" s="239">
        <v>39909</v>
      </c>
      <c r="B2568" s="168" t="s">
        <v>3219</v>
      </c>
      <c r="C2568" s="168" t="s">
        <v>3644</v>
      </c>
      <c r="D2568" s="11">
        <v>10000</v>
      </c>
      <c r="E2568" s="11">
        <v>0</v>
      </c>
      <c r="F2568" s="168" t="s">
        <v>3645</v>
      </c>
      <c r="G2568" s="8" t="s">
        <v>1361</v>
      </c>
      <c r="K2568" s="2"/>
      <c r="N2568">
        <f t="shared" si="36"/>
        <v>10000</v>
      </c>
    </row>
    <row r="2569" spans="1:14" hidden="1">
      <c r="A2569" s="239">
        <v>39909</v>
      </c>
      <c r="B2569" s="168">
        <v>940733</v>
      </c>
      <c r="C2569" s="168" t="s">
        <v>3646</v>
      </c>
      <c r="D2569" s="11">
        <v>98917</v>
      </c>
      <c r="E2569" s="11">
        <v>0</v>
      </c>
      <c r="F2569" s="168" t="s">
        <v>3647</v>
      </c>
      <c r="K2569" s="2"/>
      <c r="N2569">
        <f t="shared" si="36"/>
        <v>98917</v>
      </c>
    </row>
    <row r="2570" spans="1:14" hidden="1">
      <c r="A2570" s="239">
        <v>40215</v>
      </c>
      <c r="B2570" s="168" t="s">
        <v>3219</v>
      </c>
      <c r="C2570" s="168" t="s">
        <v>1404</v>
      </c>
      <c r="D2570" s="11">
        <v>0</v>
      </c>
      <c r="E2570" s="11">
        <v>65364</v>
      </c>
      <c r="F2570" s="168" t="s">
        <v>3648</v>
      </c>
      <c r="G2570" s="8" t="s">
        <v>1380</v>
      </c>
      <c r="K2570" s="2"/>
      <c r="N2570">
        <f t="shared" si="36"/>
        <v>0</v>
      </c>
    </row>
    <row r="2571" spans="1:14" hidden="1">
      <c r="A2571" s="239">
        <v>39454</v>
      </c>
      <c r="B2571" s="168" t="s">
        <v>3219</v>
      </c>
      <c r="C2571" s="168" t="s">
        <v>1394</v>
      </c>
      <c r="D2571" s="11"/>
      <c r="E2571" s="11">
        <v>0</v>
      </c>
      <c r="F2571" s="168" t="s">
        <v>3648</v>
      </c>
      <c r="K2571" s="2"/>
      <c r="N2571">
        <f t="shared" ref="N2571:N2634" si="37">D2571*1</f>
        <v>0</v>
      </c>
    </row>
    <row r="2572" spans="1:14" hidden="1">
      <c r="A2572" s="239">
        <v>39514</v>
      </c>
      <c r="B2572" s="168" t="s">
        <v>3219</v>
      </c>
      <c r="C2572" s="168" t="s">
        <v>3649</v>
      </c>
      <c r="D2572" s="11">
        <v>18000</v>
      </c>
      <c r="E2572" s="11">
        <v>0</v>
      </c>
      <c r="F2572" s="168" t="s">
        <v>3650</v>
      </c>
      <c r="G2572" s="8" t="s">
        <v>1361</v>
      </c>
      <c r="K2572" s="2"/>
      <c r="N2572">
        <f t="shared" si="37"/>
        <v>18000</v>
      </c>
    </row>
    <row r="2573" spans="1:14" hidden="1">
      <c r="A2573" s="239">
        <v>39545</v>
      </c>
      <c r="B2573" s="168">
        <v>940734</v>
      </c>
      <c r="C2573" s="168" t="s">
        <v>1424</v>
      </c>
      <c r="D2573" s="11">
        <v>3334.75</v>
      </c>
      <c r="E2573" s="11">
        <v>0</v>
      </c>
      <c r="F2573" s="168" t="s">
        <v>3651</v>
      </c>
      <c r="G2573" s="8" t="s">
        <v>1362</v>
      </c>
      <c r="K2573" s="2"/>
      <c r="N2573">
        <f t="shared" si="37"/>
        <v>3334.75</v>
      </c>
    </row>
    <row r="2574" spans="1:14" hidden="1">
      <c r="A2574" s="239">
        <v>39879</v>
      </c>
      <c r="B2574" s="168" t="s">
        <v>3219</v>
      </c>
      <c r="C2574" s="168" t="s">
        <v>3652</v>
      </c>
      <c r="D2574" s="11">
        <v>0</v>
      </c>
      <c r="E2574" s="11">
        <v>869.42</v>
      </c>
      <c r="F2574" s="168" t="s">
        <v>3653</v>
      </c>
      <c r="G2574" s="8" t="s">
        <v>1375</v>
      </c>
      <c r="K2574" s="2"/>
      <c r="N2574">
        <f t="shared" si="37"/>
        <v>0</v>
      </c>
    </row>
    <row r="2575" spans="1:14" hidden="1">
      <c r="A2575" s="239">
        <v>39455</v>
      </c>
      <c r="B2575" s="168" t="s">
        <v>3219</v>
      </c>
      <c r="C2575" s="168" t="s">
        <v>1394</v>
      </c>
      <c r="D2575" s="11"/>
      <c r="E2575" s="11">
        <v>0</v>
      </c>
      <c r="F2575" s="168" t="s">
        <v>3653</v>
      </c>
      <c r="K2575" s="2"/>
      <c r="N2575">
        <f t="shared" si="37"/>
        <v>0</v>
      </c>
    </row>
    <row r="2576" spans="1:14" hidden="1">
      <c r="A2576" s="239">
        <v>39607</v>
      </c>
      <c r="B2576" s="168" t="s">
        <v>3219</v>
      </c>
      <c r="C2576" s="168" t="s">
        <v>3654</v>
      </c>
      <c r="D2576" s="11">
        <v>3000</v>
      </c>
      <c r="E2576" s="11">
        <v>0</v>
      </c>
      <c r="F2576" s="168" t="s">
        <v>3655</v>
      </c>
      <c r="G2576" s="8" t="s">
        <v>1361</v>
      </c>
      <c r="K2576" s="2"/>
      <c r="N2576">
        <f t="shared" si="37"/>
        <v>3000</v>
      </c>
    </row>
    <row r="2577" spans="1:14" hidden="1">
      <c r="A2577" s="239">
        <v>39607</v>
      </c>
      <c r="B2577" s="168" t="s">
        <v>3219</v>
      </c>
      <c r="C2577" s="168" t="s">
        <v>3656</v>
      </c>
      <c r="D2577" s="11">
        <v>15000</v>
      </c>
      <c r="E2577" s="11">
        <v>0</v>
      </c>
      <c r="F2577" s="168" t="s">
        <v>3657</v>
      </c>
      <c r="G2577" s="8" t="s">
        <v>1361</v>
      </c>
      <c r="K2577" s="2"/>
      <c r="N2577">
        <f t="shared" si="37"/>
        <v>15000</v>
      </c>
    </row>
    <row r="2578" spans="1:14" hidden="1">
      <c r="A2578" s="239">
        <v>39790</v>
      </c>
      <c r="B2578" s="168">
        <v>940708</v>
      </c>
      <c r="C2578" s="168" t="s">
        <v>1430</v>
      </c>
      <c r="D2578" s="11">
        <v>40000</v>
      </c>
      <c r="E2578" s="11">
        <v>0</v>
      </c>
      <c r="F2578" s="168" t="s">
        <v>3658</v>
      </c>
      <c r="G2578" s="8" t="s">
        <v>1379</v>
      </c>
      <c r="K2578" s="2"/>
      <c r="N2578">
        <f t="shared" si="37"/>
        <v>40000</v>
      </c>
    </row>
    <row r="2579" spans="1:14" hidden="1">
      <c r="A2579" s="239">
        <v>39852</v>
      </c>
      <c r="B2579" s="168">
        <v>413226</v>
      </c>
      <c r="C2579" s="168" t="s">
        <v>1424</v>
      </c>
      <c r="D2579" s="11">
        <v>9703</v>
      </c>
      <c r="E2579" s="11">
        <v>0</v>
      </c>
      <c r="F2579" s="168" t="s">
        <v>3659</v>
      </c>
      <c r="G2579" s="8" t="s">
        <v>1362</v>
      </c>
      <c r="K2579" s="2"/>
      <c r="N2579">
        <f t="shared" si="37"/>
        <v>9703</v>
      </c>
    </row>
    <row r="2580" spans="1:14" hidden="1">
      <c r="A2580" s="239">
        <v>40064</v>
      </c>
      <c r="B2580" s="168" t="s">
        <v>3219</v>
      </c>
      <c r="C2580" s="168" t="s">
        <v>3660</v>
      </c>
      <c r="D2580" s="11">
        <v>0</v>
      </c>
      <c r="E2580" s="11">
        <v>28727</v>
      </c>
      <c r="F2580" s="168" t="s">
        <v>3661</v>
      </c>
      <c r="G2580" s="8" t="s">
        <v>1360</v>
      </c>
      <c r="K2580" s="2"/>
      <c r="N2580">
        <f t="shared" si="37"/>
        <v>0</v>
      </c>
    </row>
    <row r="2581" spans="1:14" hidden="1">
      <c r="A2581" s="239">
        <v>40125</v>
      </c>
      <c r="B2581" s="168" t="s">
        <v>3219</v>
      </c>
      <c r="C2581" s="168" t="s">
        <v>3662</v>
      </c>
      <c r="D2581" s="11">
        <v>7000</v>
      </c>
      <c r="E2581" s="11">
        <v>0</v>
      </c>
      <c r="F2581" s="168" t="s">
        <v>3663</v>
      </c>
      <c r="G2581" s="8" t="s">
        <v>1361</v>
      </c>
      <c r="K2581" s="2"/>
      <c r="N2581">
        <f t="shared" si="37"/>
        <v>7000</v>
      </c>
    </row>
    <row r="2582" spans="1:14" hidden="1">
      <c r="A2582" s="239">
        <v>40245</v>
      </c>
      <c r="B2582" s="168" t="s">
        <v>3219</v>
      </c>
      <c r="C2582" s="168" t="s">
        <v>1404</v>
      </c>
      <c r="D2582" s="11">
        <v>0</v>
      </c>
      <c r="E2582" s="11">
        <v>81252</v>
      </c>
      <c r="F2582" s="168" t="s">
        <v>3664</v>
      </c>
      <c r="G2582" s="8" t="s">
        <v>1380</v>
      </c>
      <c r="K2582" s="2"/>
      <c r="N2582">
        <f t="shared" si="37"/>
        <v>0</v>
      </c>
    </row>
    <row r="2583" spans="1:14" hidden="1">
      <c r="A2583" s="239">
        <v>40306</v>
      </c>
      <c r="B2583" s="168" t="s">
        <v>3219</v>
      </c>
      <c r="C2583" s="168" t="s">
        <v>3665</v>
      </c>
      <c r="D2583" s="11">
        <v>3000</v>
      </c>
      <c r="E2583" s="11">
        <v>0</v>
      </c>
      <c r="F2583" s="168" t="s">
        <v>3666</v>
      </c>
      <c r="G2583" s="8" t="s">
        <v>1361</v>
      </c>
      <c r="K2583" s="2"/>
      <c r="N2583">
        <f t="shared" si="37"/>
        <v>3000</v>
      </c>
    </row>
    <row r="2584" spans="1:14" hidden="1">
      <c r="A2584" s="239">
        <v>39456</v>
      </c>
      <c r="B2584" s="168" t="s">
        <v>3219</v>
      </c>
      <c r="C2584" s="168" t="s">
        <v>1394</v>
      </c>
      <c r="D2584" s="11"/>
      <c r="E2584" s="11">
        <v>0</v>
      </c>
      <c r="F2584" s="168" t="s">
        <v>3666</v>
      </c>
      <c r="K2584" s="2"/>
      <c r="N2584">
        <f t="shared" si="37"/>
        <v>0</v>
      </c>
    </row>
    <row r="2585" spans="1:14" hidden="1">
      <c r="A2585" s="239">
        <v>39456</v>
      </c>
      <c r="B2585" s="168" t="s">
        <v>3219</v>
      </c>
      <c r="C2585" s="168" t="s">
        <v>3667</v>
      </c>
      <c r="D2585" s="11">
        <v>0</v>
      </c>
      <c r="E2585" s="11">
        <v>8015</v>
      </c>
      <c r="F2585" s="168" t="s">
        <v>3668</v>
      </c>
      <c r="G2585" s="8" t="s">
        <v>1368</v>
      </c>
      <c r="K2585" s="2"/>
      <c r="N2585">
        <f t="shared" si="37"/>
        <v>0</v>
      </c>
    </row>
    <row r="2586" spans="1:14" hidden="1">
      <c r="A2586" s="239">
        <v>39547</v>
      </c>
      <c r="B2586" s="168">
        <v>413227</v>
      </c>
      <c r="C2586" s="168" t="s">
        <v>3669</v>
      </c>
      <c r="D2586" s="11">
        <v>7335</v>
      </c>
      <c r="E2586" s="11">
        <v>0</v>
      </c>
      <c r="F2586" s="168" t="s">
        <v>3670</v>
      </c>
      <c r="K2586" s="2"/>
      <c r="N2586">
        <f t="shared" si="37"/>
        <v>7335</v>
      </c>
    </row>
    <row r="2587" spans="1:14" hidden="1">
      <c r="A2587" s="239">
        <v>39547</v>
      </c>
      <c r="B2587" s="168">
        <v>413228</v>
      </c>
      <c r="C2587" s="168" t="s">
        <v>3671</v>
      </c>
      <c r="D2587" s="11">
        <v>2000</v>
      </c>
      <c r="E2587" s="11">
        <v>0</v>
      </c>
      <c r="F2587" s="168" t="s">
        <v>3672</v>
      </c>
      <c r="G2587" s="8" t="s">
        <v>1372</v>
      </c>
      <c r="K2587" s="2"/>
      <c r="N2587">
        <f t="shared" si="37"/>
        <v>2000</v>
      </c>
    </row>
    <row r="2588" spans="1:14" hidden="1">
      <c r="A2588" s="239">
        <v>39547</v>
      </c>
      <c r="B2588" s="168">
        <v>413229</v>
      </c>
      <c r="C2588" s="168" t="s">
        <v>3673</v>
      </c>
      <c r="D2588" s="11">
        <v>2000</v>
      </c>
      <c r="E2588" s="11">
        <v>0</v>
      </c>
      <c r="F2588" s="168" t="s">
        <v>3674</v>
      </c>
      <c r="G2588" s="8" t="s">
        <v>1372</v>
      </c>
      <c r="K2588" s="2"/>
      <c r="N2588">
        <f t="shared" si="37"/>
        <v>2000</v>
      </c>
    </row>
    <row r="2589" spans="1:14" hidden="1">
      <c r="A2589" s="239">
        <v>39577</v>
      </c>
      <c r="B2589" s="168" t="s">
        <v>3219</v>
      </c>
      <c r="C2589" s="168" t="s">
        <v>3675</v>
      </c>
      <c r="D2589" s="11">
        <v>5000</v>
      </c>
      <c r="E2589" s="11">
        <v>0</v>
      </c>
      <c r="F2589" s="168" t="s">
        <v>3676</v>
      </c>
      <c r="G2589" s="8" t="s">
        <v>1361</v>
      </c>
      <c r="K2589" s="2"/>
      <c r="N2589">
        <f t="shared" si="37"/>
        <v>5000</v>
      </c>
    </row>
    <row r="2590" spans="1:14" hidden="1">
      <c r="A2590" s="239">
        <v>39608</v>
      </c>
      <c r="B2590" s="168">
        <v>940738</v>
      </c>
      <c r="C2590" s="168" t="s">
        <v>3677</v>
      </c>
      <c r="D2590" s="11">
        <v>4028.88</v>
      </c>
      <c r="E2590" s="11">
        <v>0</v>
      </c>
      <c r="F2590" s="168" t="s">
        <v>3678</v>
      </c>
      <c r="G2590" s="8" t="s">
        <v>1362</v>
      </c>
      <c r="K2590" s="2"/>
      <c r="N2590">
        <f t="shared" si="37"/>
        <v>4028.88</v>
      </c>
    </row>
    <row r="2591" spans="1:14" hidden="1">
      <c r="A2591" s="239">
        <v>39669</v>
      </c>
      <c r="B2591" s="168" t="s">
        <v>3219</v>
      </c>
      <c r="C2591" s="168" t="s">
        <v>3679</v>
      </c>
      <c r="D2591" s="11">
        <v>20000</v>
      </c>
      <c r="E2591" s="11">
        <v>0</v>
      </c>
      <c r="F2591" s="168" t="s">
        <v>3680</v>
      </c>
      <c r="G2591" s="8" t="s">
        <v>1361</v>
      </c>
      <c r="K2591" s="2"/>
      <c r="N2591">
        <f t="shared" si="37"/>
        <v>20000</v>
      </c>
    </row>
    <row r="2592" spans="1:14" hidden="1">
      <c r="A2592" s="239">
        <v>39669</v>
      </c>
      <c r="B2592" s="168">
        <v>940739</v>
      </c>
      <c r="C2592" s="168" t="s">
        <v>3681</v>
      </c>
      <c r="D2592" s="11">
        <v>5200</v>
      </c>
      <c r="E2592" s="11">
        <v>0</v>
      </c>
      <c r="F2592" s="168" t="s">
        <v>3682</v>
      </c>
      <c r="K2592" s="2"/>
      <c r="N2592">
        <f t="shared" si="37"/>
        <v>5200</v>
      </c>
    </row>
    <row r="2593" spans="1:14" hidden="1">
      <c r="A2593" s="239">
        <v>39700</v>
      </c>
      <c r="B2593" s="168">
        <v>940740</v>
      </c>
      <c r="C2593" s="168" t="s">
        <v>3681</v>
      </c>
      <c r="D2593" s="11">
        <v>10000</v>
      </c>
      <c r="E2593" s="11">
        <v>0</v>
      </c>
      <c r="F2593" s="168" t="s">
        <v>3683</v>
      </c>
      <c r="K2593" s="2"/>
      <c r="N2593">
        <f t="shared" si="37"/>
        <v>10000</v>
      </c>
    </row>
    <row r="2594" spans="1:14" hidden="1">
      <c r="A2594" s="239">
        <v>39730</v>
      </c>
      <c r="B2594" s="168" t="s">
        <v>3219</v>
      </c>
      <c r="C2594" s="168" t="s">
        <v>3684</v>
      </c>
      <c r="D2594" s="11">
        <v>10000</v>
      </c>
      <c r="E2594" s="11">
        <v>0</v>
      </c>
      <c r="F2594" s="168" t="s">
        <v>3685</v>
      </c>
      <c r="G2594" s="8" t="s">
        <v>1361</v>
      </c>
      <c r="K2594" s="2"/>
      <c r="N2594">
        <f t="shared" si="37"/>
        <v>10000</v>
      </c>
    </row>
    <row r="2595" spans="1:14" hidden="1">
      <c r="A2595" s="239">
        <v>39730</v>
      </c>
      <c r="B2595" s="168">
        <v>940748</v>
      </c>
      <c r="C2595" s="168" t="s">
        <v>3686</v>
      </c>
      <c r="D2595" s="11">
        <v>12524</v>
      </c>
      <c r="E2595" s="11">
        <v>0</v>
      </c>
      <c r="F2595" s="168" t="s">
        <v>3687</v>
      </c>
      <c r="K2595" s="2"/>
      <c r="N2595">
        <f t="shared" si="37"/>
        <v>12524</v>
      </c>
    </row>
    <row r="2596" spans="1:14" hidden="1">
      <c r="A2596" s="239">
        <v>39730</v>
      </c>
      <c r="B2596" s="168">
        <v>940747</v>
      </c>
      <c r="C2596" s="168" t="s">
        <v>3229</v>
      </c>
      <c r="D2596" s="11">
        <v>669</v>
      </c>
      <c r="E2596" s="11">
        <v>0</v>
      </c>
      <c r="F2596" s="168" t="s">
        <v>3688</v>
      </c>
      <c r="K2596" s="2"/>
      <c r="N2596">
        <f t="shared" si="37"/>
        <v>669</v>
      </c>
    </row>
    <row r="2597" spans="1:14" hidden="1">
      <c r="A2597" s="239">
        <v>39730</v>
      </c>
      <c r="B2597" s="168">
        <v>940746</v>
      </c>
      <c r="C2597" s="168" t="s">
        <v>1473</v>
      </c>
      <c r="D2597" s="11">
        <v>6331</v>
      </c>
      <c r="E2597" s="11">
        <v>0</v>
      </c>
      <c r="F2597" s="168" t="s">
        <v>3689</v>
      </c>
      <c r="G2597" s="8" t="s">
        <v>1370</v>
      </c>
      <c r="K2597" s="2"/>
      <c r="N2597">
        <f t="shared" si="37"/>
        <v>6331</v>
      </c>
    </row>
    <row r="2598" spans="1:14" hidden="1">
      <c r="A2598" s="239">
        <v>40095</v>
      </c>
      <c r="B2598" s="168">
        <v>413230</v>
      </c>
      <c r="C2598" s="168" t="s">
        <v>3690</v>
      </c>
      <c r="D2598" s="11">
        <v>10726</v>
      </c>
      <c r="E2598" s="11">
        <v>0</v>
      </c>
      <c r="F2598" s="168" t="s">
        <v>3691</v>
      </c>
      <c r="K2598" s="2"/>
      <c r="N2598">
        <f t="shared" si="37"/>
        <v>10726</v>
      </c>
    </row>
    <row r="2599" spans="1:14" hidden="1">
      <c r="A2599" s="239">
        <v>40218</v>
      </c>
      <c r="B2599" s="168" t="s">
        <v>3219</v>
      </c>
      <c r="C2599" s="168" t="s">
        <v>1404</v>
      </c>
      <c r="D2599" s="11">
        <v>0</v>
      </c>
      <c r="E2599" s="11">
        <v>70015</v>
      </c>
      <c r="F2599" s="168" t="s">
        <v>3692</v>
      </c>
      <c r="G2599" s="8" t="s">
        <v>1380</v>
      </c>
      <c r="K2599" s="2"/>
      <c r="N2599">
        <f t="shared" si="37"/>
        <v>0</v>
      </c>
    </row>
    <row r="2600" spans="1:14" hidden="1">
      <c r="A2600" s="239">
        <v>40246</v>
      </c>
      <c r="B2600" s="168">
        <v>940749</v>
      </c>
      <c r="C2600" s="168" t="s">
        <v>3693</v>
      </c>
      <c r="D2600" s="11">
        <v>3862</v>
      </c>
      <c r="E2600" s="11">
        <v>0</v>
      </c>
      <c r="F2600" s="168" t="s">
        <v>3694</v>
      </c>
      <c r="K2600" s="2"/>
      <c r="N2600">
        <f t="shared" si="37"/>
        <v>3862</v>
      </c>
    </row>
    <row r="2601" spans="1:14" hidden="1">
      <c r="A2601" s="239">
        <v>39457</v>
      </c>
      <c r="B2601" s="168" t="s">
        <v>3219</v>
      </c>
      <c r="C2601" s="168" t="s">
        <v>1394</v>
      </c>
      <c r="D2601" s="11"/>
      <c r="E2601" s="11">
        <v>0</v>
      </c>
      <c r="F2601" s="168" t="s">
        <v>3694</v>
      </c>
      <c r="K2601" s="2"/>
      <c r="N2601">
        <f t="shared" si="37"/>
        <v>0</v>
      </c>
    </row>
    <row r="2602" spans="1:14" hidden="1">
      <c r="A2602" s="239">
        <v>39457</v>
      </c>
      <c r="B2602" s="168" t="s">
        <v>3219</v>
      </c>
      <c r="C2602" s="168" t="s">
        <v>3695</v>
      </c>
      <c r="D2602" s="11">
        <v>20000</v>
      </c>
      <c r="E2602" s="11">
        <v>0</v>
      </c>
      <c r="F2602" s="168" t="s">
        <v>3696</v>
      </c>
      <c r="G2602" s="8" t="s">
        <v>1361</v>
      </c>
      <c r="K2602" s="2"/>
      <c r="N2602">
        <f t="shared" si="37"/>
        <v>20000</v>
      </c>
    </row>
    <row r="2603" spans="1:14" hidden="1">
      <c r="A2603" s="239">
        <v>39548</v>
      </c>
      <c r="B2603" s="168">
        <v>413231</v>
      </c>
      <c r="C2603" s="168" t="s">
        <v>1424</v>
      </c>
      <c r="D2603" s="11">
        <v>3000</v>
      </c>
      <c r="E2603" s="11">
        <v>0</v>
      </c>
      <c r="F2603" s="168" t="s">
        <v>3697</v>
      </c>
      <c r="G2603" s="8" t="s">
        <v>1362</v>
      </c>
      <c r="K2603" s="2"/>
      <c r="N2603">
        <f t="shared" si="37"/>
        <v>3000</v>
      </c>
    </row>
    <row r="2604" spans="1:14" hidden="1">
      <c r="A2604" s="239">
        <v>39731</v>
      </c>
      <c r="B2604" s="168">
        <v>940709</v>
      </c>
      <c r="C2604" s="168" t="s">
        <v>1430</v>
      </c>
      <c r="D2604" s="11">
        <v>40000</v>
      </c>
      <c r="E2604" s="11">
        <v>0</v>
      </c>
      <c r="F2604" s="168" t="s">
        <v>3698</v>
      </c>
      <c r="G2604" s="8" t="s">
        <v>1379</v>
      </c>
      <c r="K2604" s="2"/>
      <c r="N2604">
        <f t="shared" si="37"/>
        <v>40000</v>
      </c>
    </row>
    <row r="2605" spans="1:14" hidden="1">
      <c r="A2605" s="239">
        <v>39731</v>
      </c>
      <c r="B2605" s="168" t="s">
        <v>3219</v>
      </c>
      <c r="C2605" s="168" t="s">
        <v>3699</v>
      </c>
      <c r="D2605" s="11">
        <v>2000</v>
      </c>
      <c r="E2605" s="11">
        <v>0</v>
      </c>
      <c r="F2605" s="168" t="s">
        <v>3700</v>
      </c>
      <c r="G2605" s="8" t="s">
        <v>1372</v>
      </c>
      <c r="K2605" s="2"/>
      <c r="N2605">
        <f t="shared" si="37"/>
        <v>2000</v>
      </c>
    </row>
    <row r="2606" spans="1:14" hidden="1">
      <c r="A2606" s="239">
        <v>39882</v>
      </c>
      <c r="B2606" s="168">
        <v>413233</v>
      </c>
      <c r="C2606" s="168" t="s">
        <v>3701</v>
      </c>
      <c r="D2606" s="11">
        <v>50000</v>
      </c>
      <c r="E2606" s="11">
        <v>0</v>
      </c>
      <c r="F2606" s="168" t="s">
        <v>3702</v>
      </c>
      <c r="G2606" s="8" t="s">
        <v>1363</v>
      </c>
      <c r="K2606" s="2"/>
      <c r="N2606">
        <f t="shared" si="37"/>
        <v>50000</v>
      </c>
    </row>
    <row r="2607" spans="1:14" hidden="1">
      <c r="A2607" s="239">
        <v>40096</v>
      </c>
      <c r="B2607" s="168" t="s">
        <v>3219</v>
      </c>
      <c r="C2607" s="168" t="s">
        <v>3703</v>
      </c>
      <c r="D2607" s="11">
        <v>16000</v>
      </c>
      <c r="E2607" s="11">
        <v>0</v>
      </c>
      <c r="F2607" s="168" t="s">
        <v>3704</v>
      </c>
      <c r="K2607" s="2"/>
      <c r="N2607">
        <f t="shared" si="37"/>
        <v>16000</v>
      </c>
    </row>
    <row r="2608" spans="1:14" hidden="1">
      <c r="A2608" s="239">
        <v>40127</v>
      </c>
      <c r="B2608" s="168" t="s">
        <v>3219</v>
      </c>
      <c r="C2608" s="168" t="s">
        <v>3705</v>
      </c>
      <c r="D2608" s="11">
        <v>3000</v>
      </c>
      <c r="E2608" s="11">
        <v>0</v>
      </c>
      <c r="F2608" s="168" t="s">
        <v>3706</v>
      </c>
      <c r="G2608" s="8" t="s">
        <v>1361</v>
      </c>
      <c r="K2608" s="2"/>
      <c r="N2608">
        <f t="shared" si="37"/>
        <v>3000</v>
      </c>
    </row>
    <row r="2609" spans="1:14" hidden="1">
      <c r="A2609" s="239">
        <v>40188</v>
      </c>
      <c r="B2609" s="168" t="s">
        <v>3219</v>
      </c>
      <c r="C2609" s="168" t="s">
        <v>3707</v>
      </c>
      <c r="D2609" s="11">
        <v>3000</v>
      </c>
      <c r="E2609" s="11">
        <v>0</v>
      </c>
      <c r="F2609" s="168" t="s">
        <v>3708</v>
      </c>
      <c r="G2609" s="8" t="s">
        <v>1361</v>
      </c>
      <c r="K2609" s="2"/>
      <c r="N2609">
        <f t="shared" si="37"/>
        <v>3000</v>
      </c>
    </row>
    <row r="2610" spans="1:14" hidden="1">
      <c r="A2610" s="239">
        <v>40188</v>
      </c>
      <c r="B2610" s="168" t="s">
        <v>3219</v>
      </c>
      <c r="C2610" s="168" t="s">
        <v>1404</v>
      </c>
      <c r="D2610" s="11">
        <v>0</v>
      </c>
      <c r="E2610" s="11">
        <v>236830</v>
      </c>
      <c r="F2610" s="168" t="s">
        <v>3709</v>
      </c>
      <c r="G2610" s="8" t="s">
        <v>1380</v>
      </c>
      <c r="K2610" s="2"/>
      <c r="N2610">
        <f t="shared" si="37"/>
        <v>0</v>
      </c>
    </row>
    <row r="2611" spans="1:14" hidden="1">
      <c r="A2611" s="239">
        <v>40339</v>
      </c>
      <c r="B2611" s="168">
        <v>413234</v>
      </c>
      <c r="C2611" s="168" t="s">
        <v>1421</v>
      </c>
      <c r="D2611" s="11">
        <v>100000</v>
      </c>
      <c r="E2611" s="11">
        <v>0</v>
      </c>
      <c r="F2611" s="168" t="s">
        <v>3710</v>
      </c>
      <c r="G2611" s="8" t="s">
        <v>1363</v>
      </c>
      <c r="K2611" s="2"/>
      <c r="N2611">
        <f t="shared" si="37"/>
        <v>100000</v>
      </c>
    </row>
    <row r="2612" spans="1:14" hidden="1">
      <c r="A2612" s="239">
        <v>39458</v>
      </c>
      <c r="B2612" s="168" t="s">
        <v>3219</v>
      </c>
      <c r="C2612" s="168" t="s">
        <v>1394</v>
      </c>
      <c r="D2612" s="11"/>
      <c r="E2612" s="11">
        <v>0</v>
      </c>
      <c r="F2612" s="168" t="s">
        <v>3710</v>
      </c>
      <c r="K2612" s="2"/>
      <c r="N2612">
        <f t="shared" si="37"/>
        <v>0</v>
      </c>
    </row>
    <row r="2613" spans="1:14" hidden="1">
      <c r="A2613" s="239">
        <v>39732</v>
      </c>
      <c r="B2613" s="168" t="s">
        <v>3219</v>
      </c>
      <c r="C2613" s="168" t="s">
        <v>3699</v>
      </c>
      <c r="D2613" s="11">
        <v>2000</v>
      </c>
      <c r="E2613" s="11">
        <v>0</v>
      </c>
      <c r="F2613" s="168" t="s">
        <v>3711</v>
      </c>
      <c r="G2613" s="8" t="s">
        <v>1372</v>
      </c>
      <c r="K2613" s="2"/>
      <c r="N2613">
        <f t="shared" si="37"/>
        <v>2000</v>
      </c>
    </row>
    <row r="2614" spans="1:14" hidden="1">
      <c r="A2614" s="239">
        <v>40097</v>
      </c>
      <c r="B2614" s="168" t="s">
        <v>3219</v>
      </c>
      <c r="C2614" s="168" t="s">
        <v>3712</v>
      </c>
      <c r="D2614" s="11">
        <v>5000</v>
      </c>
      <c r="E2614" s="11">
        <v>0</v>
      </c>
      <c r="F2614" s="168" t="s">
        <v>3713</v>
      </c>
      <c r="G2614" s="8" t="s">
        <v>1361</v>
      </c>
      <c r="K2614" s="2"/>
      <c r="N2614">
        <f t="shared" si="37"/>
        <v>5000</v>
      </c>
    </row>
    <row r="2615" spans="1:14" hidden="1">
      <c r="A2615" s="239">
        <v>40279</v>
      </c>
      <c r="B2615" s="168" t="s">
        <v>3219</v>
      </c>
      <c r="C2615" s="168" t="s">
        <v>1404</v>
      </c>
      <c r="D2615" s="11">
        <v>0</v>
      </c>
      <c r="E2615" s="11">
        <v>70015</v>
      </c>
      <c r="F2615" s="168" t="s">
        <v>3714</v>
      </c>
      <c r="G2615" s="8" t="s">
        <v>1380</v>
      </c>
      <c r="K2615" s="2"/>
      <c r="N2615">
        <f t="shared" si="37"/>
        <v>0</v>
      </c>
    </row>
    <row r="2616" spans="1:14" hidden="1">
      <c r="A2616" s="239">
        <v>40309</v>
      </c>
      <c r="B2616" s="168" t="s">
        <v>3219</v>
      </c>
      <c r="C2616" s="168" t="s">
        <v>3715</v>
      </c>
      <c r="D2616" s="11">
        <v>5000</v>
      </c>
      <c r="E2616" s="11">
        <v>0</v>
      </c>
      <c r="F2616" s="168" t="s">
        <v>3716</v>
      </c>
      <c r="G2616" s="8" t="s">
        <v>1361</v>
      </c>
      <c r="K2616" s="2"/>
      <c r="N2616">
        <f t="shared" si="37"/>
        <v>5000</v>
      </c>
    </row>
    <row r="2617" spans="1:14" hidden="1">
      <c r="A2617" s="239">
        <v>39459</v>
      </c>
      <c r="B2617" s="168" t="s">
        <v>3219</v>
      </c>
      <c r="C2617" s="168" t="s">
        <v>1394</v>
      </c>
      <c r="D2617" s="11"/>
      <c r="E2617" s="11">
        <v>0</v>
      </c>
      <c r="F2617" s="168" t="s">
        <v>3716</v>
      </c>
      <c r="K2617" s="2"/>
      <c r="N2617">
        <f t="shared" si="37"/>
        <v>0</v>
      </c>
    </row>
    <row r="2618" spans="1:14" hidden="1">
      <c r="A2618" s="239">
        <v>39519</v>
      </c>
      <c r="B2618" s="168" t="s">
        <v>3219</v>
      </c>
      <c r="C2618" s="168" t="s">
        <v>3717</v>
      </c>
      <c r="D2618" s="11">
        <v>20000</v>
      </c>
      <c r="E2618" s="11">
        <v>0</v>
      </c>
      <c r="F2618" s="168" t="s">
        <v>3718</v>
      </c>
      <c r="G2618" s="8" t="s">
        <v>1361</v>
      </c>
      <c r="K2618" s="2"/>
      <c r="N2618">
        <f t="shared" si="37"/>
        <v>20000</v>
      </c>
    </row>
    <row r="2619" spans="1:14" hidden="1">
      <c r="A2619" s="239">
        <v>39580</v>
      </c>
      <c r="B2619" s="168" t="s">
        <v>3219</v>
      </c>
      <c r="C2619" s="168" t="s">
        <v>3719</v>
      </c>
      <c r="D2619" s="11">
        <v>20000</v>
      </c>
      <c r="E2619" s="11">
        <v>0</v>
      </c>
      <c r="F2619" s="168" t="s">
        <v>3720</v>
      </c>
      <c r="G2619" s="8" t="s">
        <v>1361</v>
      </c>
      <c r="K2619" s="2"/>
      <c r="N2619">
        <f t="shared" si="37"/>
        <v>20000</v>
      </c>
    </row>
    <row r="2620" spans="1:14" hidden="1">
      <c r="A2620" s="239">
        <v>39611</v>
      </c>
      <c r="B2620" s="168" t="s">
        <v>3219</v>
      </c>
      <c r="C2620" s="168" t="s">
        <v>3721</v>
      </c>
      <c r="D2620" s="11">
        <v>5000</v>
      </c>
      <c r="E2620" s="11">
        <v>0</v>
      </c>
      <c r="F2620" s="168" t="s">
        <v>3722</v>
      </c>
      <c r="G2620" s="8" t="s">
        <v>1361</v>
      </c>
      <c r="K2620" s="2"/>
      <c r="N2620">
        <f t="shared" si="37"/>
        <v>5000</v>
      </c>
    </row>
    <row r="2621" spans="1:14" hidden="1">
      <c r="A2621" s="239">
        <v>39733</v>
      </c>
      <c r="B2621" s="168" t="s">
        <v>3219</v>
      </c>
      <c r="C2621" s="168" t="s">
        <v>3699</v>
      </c>
      <c r="D2621" s="11">
        <v>2000</v>
      </c>
      <c r="E2621" s="11">
        <v>0</v>
      </c>
      <c r="F2621" s="168" t="s">
        <v>3723</v>
      </c>
      <c r="G2621" s="8" t="s">
        <v>1372</v>
      </c>
      <c r="K2621" s="2"/>
      <c r="N2621">
        <f t="shared" si="37"/>
        <v>2000</v>
      </c>
    </row>
    <row r="2622" spans="1:14" hidden="1">
      <c r="A2622" s="239">
        <v>39976</v>
      </c>
      <c r="B2622" s="168" t="s">
        <v>3219</v>
      </c>
      <c r="C2622" s="168" t="s">
        <v>3724</v>
      </c>
      <c r="D2622" s="11">
        <v>3000</v>
      </c>
      <c r="E2622" s="11">
        <v>0</v>
      </c>
      <c r="F2622" s="168" t="s">
        <v>3725</v>
      </c>
      <c r="G2622" s="8" t="s">
        <v>1361</v>
      </c>
      <c r="K2622" s="2"/>
      <c r="N2622">
        <f t="shared" si="37"/>
        <v>3000</v>
      </c>
    </row>
    <row r="2623" spans="1:14" hidden="1">
      <c r="A2623" s="239">
        <v>40098</v>
      </c>
      <c r="B2623" s="168" t="s">
        <v>3219</v>
      </c>
      <c r="C2623" s="168" t="s">
        <v>3726</v>
      </c>
      <c r="D2623" s="11">
        <v>15000</v>
      </c>
      <c r="E2623" s="11">
        <v>0</v>
      </c>
      <c r="F2623" s="168" t="s">
        <v>3727</v>
      </c>
      <c r="G2623" s="8" t="s">
        <v>1361</v>
      </c>
      <c r="K2623" s="2"/>
      <c r="N2623">
        <f t="shared" si="37"/>
        <v>15000</v>
      </c>
    </row>
    <row r="2624" spans="1:14" hidden="1">
      <c r="A2624" s="239">
        <v>40129</v>
      </c>
      <c r="B2624" s="168" t="s">
        <v>3219</v>
      </c>
      <c r="C2624" s="168" t="s">
        <v>3728</v>
      </c>
      <c r="D2624" s="11">
        <v>15000</v>
      </c>
      <c r="E2624" s="11">
        <v>0</v>
      </c>
      <c r="F2624" s="168" t="s">
        <v>3729</v>
      </c>
      <c r="G2624" s="8" t="s">
        <v>1361</v>
      </c>
      <c r="K2624" s="2"/>
      <c r="N2624">
        <f t="shared" si="37"/>
        <v>15000</v>
      </c>
    </row>
    <row r="2625" spans="1:14" hidden="1">
      <c r="A2625" s="239">
        <v>40129</v>
      </c>
      <c r="B2625" s="168" t="s">
        <v>3219</v>
      </c>
      <c r="C2625" s="168" t="s">
        <v>3730</v>
      </c>
      <c r="D2625" s="11"/>
      <c r="E2625" s="11">
        <v>0</v>
      </c>
      <c r="F2625" s="168" t="s">
        <v>3727</v>
      </c>
      <c r="G2625" s="8" t="s">
        <v>1361</v>
      </c>
      <c r="K2625" s="2"/>
      <c r="N2625">
        <f t="shared" si="37"/>
        <v>0</v>
      </c>
    </row>
    <row r="2626" spans="1:14" hidden="1">
      <c r="A2626" s="239">
        <v>40129</v>
      </c>
      <c r="B2626" s="168" t="s">
        <v>3219</v>
      </c>
      <c r="C2626" s="168" t="s">
        <v>3731</v>
      </c>
      <c r="D2626" s="11">
        <v>3000</v>
      </c>
      <c r="E2626" s="11">
        <v>0</v>
      </c>
      <c r="F2626" s="168" t="s">
        <v>3732</v>
      </c>
      <c r="G2626" s="8" t="s">
        <v>1361</v>
      </c>
      <c r="K2626" s="2"/>
      <c r="N2626">
        <f t="shared" si="37"/>
        <v>3000</v>
      </c>
    </row>
    <row r="2627" spans="1:14" hidden="1">
      <c r="A2627" s="239">
        <v>40159</v>
      </c>
      <c r="B2627" s="168" t="s">
        <v>3219</v>
      </c>
      <c r="C2627" s="168" t="s">
        <v>3733</v>
      </c>
      <c r="D2627" s="11">
        <v>4000</v>
      </c>
      <c r="E2627" s="11">
        <v>0</v>
      </c>
      <c r="F2627" s="168" t="s">
        <v>3734</v>
      </c>
      <c r="G2627" s="8" t="s">
        <v>1361</v>
      </c>
      <c r="K2627" s="2"/>
      <c r="N2627">
        <f t="shared" si="37"/>
        <v>4000</v>
      </c>
    </row>
    <row r="2628" spans="1:14" hidden="1">
      <c r="A2628" s="239">
        <v>40159</v>
      </c>
      <c r="B2628" s="168" t="s">
        <v>3219</v>
      </c>
      <c r="C2628" s="168" t="s">
        <v>3735</v>
      </c>
      <c r="D2628" s="11">
        <v>4000</v>
      </c>
      <c r="E2628" s="11">
        <v>0</v>
      </c>
      <c r="F2628" s="168" t="s">
        <v>3736</v>
      </c>
      <c r="G2628" s="8" t="s">
        <v>1361</v>
      </c>
      <c r="K2628" s="2"/>
      <c r="N2628">
        <f t="shared" si="37"/>
        <v>4000</v>
      </c>
    </row>
    <row r="2629" spans="1:14" hidden="1">
      <c r="A2629" s="239">
        <v>40159</v>
      </c>
      <c r="B2629" s="168">
        <v>612726</v>
      </c>
      <c r="C2629" s="168" t="s">
        <v>3737</v>
      </c>
      <c r="D2629" s="11">
        <v>3862</v>
      </c>
      <c r="E2629" s="11">
        <v>0</v>
      </c>
      <c r="F2629" s="168" t="s">
        <v>3738</v>
      </c>
      <c r="K2629" s="2"/>
      <c r="N2629">
        <f t="shared" si="37"/>
        <v>3862</v>
      </c>
    </row>
    <row r="2630" spans="1:14" hidden="1">
      <c r="A2630" s="239">
        <v>40221</v>
      </c>
      <c r="B2630" s="168" t="s">
        <v>3219</v>
      </c>
      <c r="C2630" s="168" t="s">
        <v>1404</v>
      </c>
      <c r="D2630" s="11">
        <v>0</v>
      </c>
      <c r="E2630" s="11">
        <v>78095</v>
      </c>
      <c r="F2630" s="168" t="s">
        <v>3739</v>
      </c>
      <c r="G2630" s="8" t="s">
        <v>1380</v>
      </c>
      <c r="K2630" s="2"/>
      <c r="N2630">
        <f t="shared" si="37"/>
        <v>0</v>
      </c>
    </row>
    <row r="2631" spans="1:14" hidden="1">
      <c r="A2631" s="239">
        <v>40221</v>
      </c>
      <c r="B2631" s="168" t="s">
        <v>3219</v>
      </c>
      <c r="C2631" s="168" t="s">
        <v>3740</v>
      </c>
      <c r="D2631" s="11">
        <v>0</v>
      </c>
      <c r="E2631" s="11">
        <v>114900</v>
      </c>
      <c r="F2631" s="168" t="s">
        <v>3741</v>
      </c>
      <c r="G2631" s="8" t="s">
        <v>1380</v>
      </c>
      <c r="K2631" s="2"/>
      <c r="N2631">
        <f t="shared" si="37"/>
        <v>0</v>
      </c>
    </row>
    <row r="2632" spans="1:14" hidden="1">
      <c r="A2632" s="239">
        <v>39814</v>
      </c>
      <c r="B2632" s="168" t="s">
        <v>3219</v>
      </c>
      <c r="C2632" s="168" t="s">
        <v>1394</v>
      </c>
      <c r="D2632" s="11"/>
      <c r="E2632" s="11">
        <v>0</v>
      </c>
      <c r="F2632" s="168" t="s">
        <v>3741</v>
      </c>
      <c r="K2632" s="2"/>
      <c r="N2632">
        <f t="shared" si="37"/>
        <v>0</v>
      </c>
    </row>
    <row r="2633" spans="1:14" hidden="1">
      <c r="A2633" s="239">
        <v>39814</v>
      </c>
      <c r="B2633" s="168" t="s">
        <v>3219</v>
      </c>
      <c r="C2633" s="168" t="s">
        <v>3742</v>
      </c>
      <c r="D2633" s="11">
        <v>6000</v>
      </c>
      <c r="E2633" s="11">
        <v>0</v>
      </c>
      <c r="F2633" s="168" t="s">
        <v>3743</v>
      </c>
      <c r="G2633" s="8" t="s">
        <v>1361</v>
      </c>
      <c r="K2633" s="2"/>
      <c r="N2633">
        <f t="shared" si="37"/>
        <v>6000</v>
      </c>
    </row>
    <row r="2634" spans="1:14" hidden="1">
      <c r="A2634" s="239">
        <v>39934</v>
      </c>
      <c r="B2634" s="168" t="s">
        <v>3219</v>
      </c>
      <c r="C2634" s="168" t="s">
        <v>3744</v>
      </c>
      <c r="D2634" s="11">
        <v>25000</v>
      </c>
      <c r="E2634" s="11">
        <v>0</v>
      </c>
      <c r="F2634" s="168" t="s">
        <v>3745</v>
      </c>
      <c r="G2634" s="8" t="s">
        <v>1361</v>
      </c>
      <c r="K2634" s="2"/>
      <c r="N2634">
        <f t="shared" si="37"/>
        <v>25000</v>
      </c>
    </row>
    <row r="2635" spans="1:14" hidden="1">
      <c r="A2635" s="239">
        <v>39965</v>
      </c>
      <c r="B2635" s="168" t="s">
        <v>3219</v>
      </c>
      <c r="C2635" s="168" t="s">
        <v>3746</v>
      </c>
      <c r="D2635" s="11">
        <v>4000</v>
      </c>
      <c r="E2635" s="11">
        <v>0</v>
      </c>
      <c r="F2635" s="168" t="s">
        <v>3747</v>
      </c>
      <c r="G2635" s="8" t="s">
        <v>1361</v>
      </c>
      <c r="K2635" s="2"/>
      <c r="N2635">
        <f t="shared" ref="N2635:N2698" si="38">D2635*1</f>
        <v>4000</v>
      </c>
    </row>
    <row r="2636" spans="1:14" hidden="1">
      <c r="A2636" s="239">
        <v>39965</v>
      </c>
      <c r="B2636" s="168" t="s">
        <v>3219</v>
      </c>
      <c r="C2636" s="168" t="s">
        <v>3748</v>
      </c>
      <c r="D2636" s="11">
        <v>4000</v>
      </c>
      <c r="E2636" s="11">
        <v>0</v>
      </c>
      <c r="F2636" s="168" t="s">
        <v>3749</v>
      </c>
      <c r="G2636" s="8" t="s">
        <v>1361</v>
      </c>
      <c r="K2636" s="2"/>
      <c r="N2636">
        <f t="shared" si="38"/>
        <v>4000</v>
      </c>
    </row>
    <row r="2637" spans="1:14" hidden="1">
      <c r="A2637" s="239">
        <v>39965</v>
      </c>
      <c r="B2637" s="168">
        <v>413236</v>
      </c>
      <c r="C2637" s="168" t="s">
        <v>1416</v>
      </c>
      <c r="D2637" s="11">
        <v>146509.29999999999</v>
      </c>
      <c r="E2637" s="11">
        <v>0</v>
      </c>
      <c r="F2637" s="168" t="s">
        <v>3750</v>
      </c>
      <c r="G2637" s="8" t="s">
        <v>1362</v>
      </c>
      <c r="K2637" s="2"/>
      <c r="N2637">
        <f t="shared" si="38"/>
        <v>146509.29999999999</v>
      </c>
    </row>
    <row r="2638" spans="1:14" hidden="1">
      <c r="A2638" s="239">
        <v>40057</v>
      </c>
      <c r="B2638" s="168" t="s">
        <v>3219</v>
      </c>
      <c r="C2638" s="168" t="s">
        <v>3751</v>
      </c>
      <c r="D2638" s="11">
        <v>20000</v>
      </c>
      <c r="E2638" s="11">
        <v>0</v>
      </c>
      <c r="F2638" s="168" t="s">
        <v>3752</v>
      </c>
      <c r="G2638" s="8" t="s">
        <v>1361</v>
      </c>
      <c r="K2638" s="2"/>
      <c r="N2638">
        <f t="shared" si="38"/>
        <v>20000</v>
      </c>
    </row>
    <row r="2639" spans="1:14" hidden="1">
      <c r="A2639" s="239">
        <v>40087</v>
      </c>
      <c r="B2639" s="168" t="s">
        <v>3219</v>
      </c>
      <c r="C2639" s="168" t="s">
        <v>3753</v>
      </c>
      <c r="D2639" s="11">
        <v>3000</v>
      </c>
      <c r="E2639" s="11">
        <v>0</v>
      </c>
      <c r="F2639" s="168" t="s">
        <v>3754</v>
      </c>
      <c r="G2639" s="8" t="s">
        <v>1361</v>
      </c>
      <c r="K2639" s="2"/>
      <c r="N2639">
        <f t="shared" si="38"/>
        <v>3000</v>
      </c>
    </row>
    <row r="2640" spans="1:14" hidden="1">
      <c r="A2640" s="239">
        <v>40087</v>
      </c>
      <c r="B2640" s="168" t="s">
        <v>3219</v>
      </c>
      <c r="C2640" s="168" t="s">
        <v>3699</v>
      </c>
      <c r="D2640" s="11">
        <v>2000</v>
      </c>
      <c r="E2640" s="11">
        <v>0</v>
      </c>
      <c r="F2640" s="168" t="s">
        <v>3755</v>
      </c>
      <c r="G2640" s="8" t="s">
        <v>1372</v>
      </c>
      <c r="K2640" s="2"/>
      <c r="N2640">
        <f t="shared" si="38"/>
        <v>2000</v>
      </c>
    </row>
    <row r="2641" spans="1:14" hidden="1">
      <c r="A2641" s="239">
        <v>40179</v>
      </c>
      <c r="B2641" s="168" t="s">
        <v>3219</v>
      </c>
      <c r="C2641" s="168" t="s">
        <v>3756</v>
      </c>
      <c r="D2641" s="11">
        <v>5000</v>
      </c>
      <c r="E2641" s="11">
        <v>0</v>
      </c>
      <c r="F2641" s="168" t="s">
        <v>3757</v>
      </c>
      <c r="G2641" s="8" t="s">
        <v>1361</v>
      </c>
      <c r="K2641" s="2"/>
      <c r="N2641">
        <f t="shared" si="38"/>
        <v>5000</v>
      </c>
    </row>
    <row r="2642" spans="1:14" hidden="1">
      <c r="A2642" s="239">
        <v>40179</v>
      </c>
      <c r="B2642" s="168">
        <v>413238</v>
      </c>
      <c r="C2642" s="168" t="s">
        <v>1470</v>
      </c>
      <c r="D2642" s="11">
        <v>36265.199999999997</v>
      </c>
      <c r="E2642" s="11">
        <v>0</v>
      </c>
      <c r="F2642" s="168" t="s">
        <v>3758</v>
      </c>
      <c r="G2642" s="8" t="s">
        <v>1362</v>
      </c>
      <c r="K2642" s="2"/>
      <c r="N2642">
        <f t="shared" si="38"/>
        <v>36265.199999999997</v>
      </c>
    </row>
    <row r="2643" spans="1:14" hidden="1">
      <c r="A2643" s="239">
        <v>40238</v>
      </c>
      <c r="B2643" s="168">
        <v>413239</v>
      </c>
      <c r="C2643" s="168" t="s">
        <v>1473</v>
      </c>
      <c r="D2643" s="11">
        <v>30142</v>
      </c>
      <c r="E2643" s="11">
        <v>0</v>
      </c>
      <c r="F2643" s="168" t="s">
        <v>3759</v>
      </c>
      <c r="G2643" s="8" t="s">
        <v>1370</v>
      </c>
      <c r="K2643" s="2"/>
      <c r="N2643">
        <f t="shared" si="38"/>
        <v>30142</v>
      </c>
    </row>
    <row r="2644" spans="1:14" hidden="1">
      <c r="A2644" s="239">
        <v>40299</v>
      </c>
      <c r="B2644" s="168" t="s">
        <v>3219</v>
      </c>
      <c r="C2644" s="168" t="s">
        <v>3760</v>
      </c>
      <c r="D2644" s="11">
        <v>3000</v>
      </c>
      <c r="E2644" s="11">
        <v>0</v>
      </c>
      <c r="F2644" s="168" t="s">
        <v>3761</v>
      </c>
      <c r="G2644" s="8" t="s">
        <v>1361</v>
      </c>
      <c r="K2644" s="2"/>
      <c r="N2644">
        <f t="shared" si="38"/>
        <v>3000</v>
      </c>
    </row>
    <row r="2645" spans="1:14" hidden="1">
      <c r="A2645" s="239">
        <v>40513</v>
      </c>
      <c r="B2645" s="168" t="s">
        <v>3219</v>
      </c>
      <c r="C2645" s="168" t="s">
        <v>3762</v>
      </c>
      <c r="D2645" s="11">
        <v>5000</v>
      </c>
      <c r="E2645" s="11">
        <v>0</v>
      </c>
      <c r="F2645" s="168" t="s">
        <v>3763</v>
      </c>
      <c r="G2645" s="8" t="s">
        <v>1361</v>
      </c>
      <c r="K2645" s="2"/>
      <c r="N2645">
        <f t="shared" si="38"/>
        <v>5000</v>
      </c>
    </row>
    <row r="2646" spans="1:14" hidden="1">
      <c r="A2646" s="239">
        <v>40634</v>
      </c>
      <c r="B2646" s="168" t="s">
        <v>3219</v>
      </c>
      <c r="C2646" s="168" t="s">
        <v>1404</v>
      </c>
      <c r="D2646" s="11">
        <v>0</v>
      </c>
      <c r="E2646" s="11">
        <v>72675</v>
      </c>
      <c r="F2646" s="168" t="s">
        <v>3764</v>
      </c>
      <c r="G2646" s="8" t="s">
        <v>1380</v>
      </c>
      <c r="K2646" s="2"/>
      <c r="N2646">
        <f t="shared" si="38"/>
        <v>0</v>
      </c>
    </row>
    <row r="2647" spans="1:14" hidden="1">
      <c r="A2647" s="239">
        <v>39815</v>
      </c>
      <c r="B2647" s="168" t="s">
        <v>3219</v>
      </c>
      <c r="C2647" s="168" t="s">
        <v>1394</v>
      </c>
      <c r="D2647" s="11"/>
      <c r="E2647" s="11">
        <v>0</v>
      </c>
      <c r="F2647" s="168" t="s">
        <v>3764</v>
      </c>
      <c r="K2647" s="2"/>
      <c r="N2647">
        <f t="shared" si="38"/>
        <v>0</v>
      </c>
    </row>
    <row r="2648" spans="1:14" hidden="1">
      <c r="A2648" s="239">
        <v>39874</v>
      </c>
      <c r="B2648" s="168" t="s">
        <v>3219</v>
      </c>
      <c r="C2648" s="168" t="s">
        <v>3765</v>
      </c>
      <c r="D2648" s="11">
        <v>15000</v>
      </c>
      <c r="E2648" s="11">
        <v>0</v>
      </c>
      <c r="F2648" s="168" t="s">
        <v>3766</v>
      </c>
      <c r="G2648" s="8" t="s">
        <v>1361</v>
      </c>
      <c r="K2648" s="2"/>
      <c r="N2648">
        <f t="shared" si="38"/>
        <v>15000</v>
      </c>
    </row>
    <row r="2649" spans="1:14" hidden="1">
      <c r="A2649" s="239">
        <v>39935</v>
      </c>
      <c r="B2649" s="168" t="s">
        <v>3219</v>
      </c>
      <c r="C2649" s="168" t="s">
        <v>1537</v>
      </c>
      <c r="D2649" s="11">
        <v>0</v>
      </c>
      <c r="E2649" s="11">
        <v>2161</v>
      </c>
      <c r="F2649" s="168" t="s">
        <v>3767</v>
      </c>
      <c r="G2649" s="8" t="s">
        <v>1380</v>
      </c>
      <c r="K2649" s="2"/>
      <c r="N2649">
        <f t="shared" si="38"/>
        <v>0</v>
      </c>
    </row>
    <row r="2650" spans="1:14" hidden="1">
      <c r="A2650" s="239">
        <v>40119</v>
      </c>
      <c r="B2650" s="168" t="s">
        <v>3219</v>
      </c>
      <c r="C2650" s="168" t="s">
        <v>3699</v>
      </c>
      <c r="D2650" s="11">
        <v>2000</v>
      </c>
      <c r="E2650" s="11">
        <v>0</v>
      </c>
      <c r="F2650" s="168" t="s">
        <v>3768</v>
      </c>
      <c r="G2650" s="8" t="s">
        <v>1372</v>
      </c>
      <c r="K2650" s="2"/>
      <c r="N2650">
        <f t="shared" si="38"/>
        <v>2000</v>
      </c>
    </row>
    <row r="2651" spans="1:14" hidden="1">
      <c r="A2651" s="239">
        <v>40270</v>
      </c>
      <c r="B2651" s="168" t="s">
        <v>3219</v>
      </c>
      <c r="C2651" s="168" t="s">
        <v>3769</v>
      </c>
      <c r="D2651" s="11">
        <v>10000</v>
      </c>
      <c r="E2651" s="11">
        <v>0</v>
      </c>
      <c r="F2651" s="168" t="s">
        <v>3770</v>
      </c>
      <c r="G2651" s="8" t="s">
        <v>1361</v>
      </c>
      <c r="K2651" s="2"/>
      <c r="N2651">
        <f t="shared" si="38"/>
        <v>10000</v>
      </c>
    </row>
    <row r="2652" spans="1:14" hidden="1">
      <c r="A2652" s="239">
        <v>40361</v>
      </c>
      <c r="B2652" s="168" t="s">
        <v>3219</v>
      </c>
      <c r="C2652" s="168" t="s">
        <v>1537</v>
      </c>
      <c r="D2652" s="11">
        <v>0</v>
      </c>
      <c r="E2652" s="11">
        <v>2034</v>
      </c>
      <c r="F2652" s="168" t="s">
        <v>3771</v>
      </c>
      <c r="G2652" s="8" t="s">
        <v>1380</v>
      </c>
      <c r="K2652" s="2"/>
      <c r="N2652">
        <f t="shared" si="38"/>
        <v>0</v>
      </c>
    </row>
    <row r="2653" spans="1:14" hidden="1">
      <c r="A2653" s="239">
        <v>40604</v>
      </c>
      <c r="B2653" s="168" t="s">
        <v>3219</v>
      </c>
      <c r="C2653" s="168" t="s">
        <v>1404</v>
      </c>
      <c r="D2653" s="11">
        <v>0</v>
      </c>
      <c r="E2653" s="11">
        <v>69150</v>
      </c>
      <c r="F2653" s="168" t="s">
        <v>3772</v>
      </c>
      <c r="G2653" s="8" t="s">
        <v>1380</v>
      </c>
      <c r="K2653" s="2"/>
      <c r="N2653">
        <f t="shared" si="38"/>
        <v>0</v>
      </c>
    </row>
    <row r="2654" spans="1:14" hidden="1">
      <c r="A2654" s="239">
        <v>39816</v>
      </c>
      <c r="B2654" s="168" t="s">
        <v>3219</v>
      </c>
      <c r="C2654" s="168" t="s">
        <v>1394</v>
      </c>
      <c r="D2654" s="11"/>
      <c r="E2654" s="11">
        <v>0</v>
      </c>
      <c r="F2654" s="168" t="s">
        <v>3772</v>
      </c>
      <c r="K2654" s="2"/>
      <c r="N2654">
        <f t="shared" si="38"/>
        <v>0</v>
      </c>
    </row>
    <row r="2655" spans="1:14" hidden="1">
      <c r="A2655" s="239">
        <v>39847</v>
      </c>
      <c r="B2655" s="168" t="s">
        <v>3219</v>
      </c>
      <c r="C2655" s="168" t="s">
        <v>3773</v>
      </c>
      <c r="D2655" s="11">
        <v>0</v>
      </c>
      <c r="E2655" s="11">
        <v>7838</v>
      </c>
      <c r="F2655" s="168" t="s">
        <v>3774</v>
      </c>
      <c r="G2655" s="8" t="s">
        <v>1368</v>
      </c>
      <c r="K2655" s="2"/>
      <c r="N2655">
        <f t="shared" si="38"/>
        <v>0</v>
      </c>
    </row>
    <row r="2656" spans="1:14" hidden="1">
      <c r="A2656" s="239">
        <v>39997</v>
      </c>
      <c r="B2656" s="168" t="s">
        <v>3219</v>
      </c>
      <c r="C2656" s="168" t="s">
        <v>3775</v>
      </c>
      <c r="D2656" s="11">
        <v>20000</v>
      </c>
      <c r="E2656" s="11">
        <v>0</v>
      </c>
      <c r="F2656" s="168" t="s">
        <v>3776</v>
      </c>
      <c r="G2656" s="8" t="s">
        <v>1361</v>
      </c>
      <c r="K2656" s="2"/>
      <c r="N2656">
        <f t="shared" si="38"/>
        <v>20000</v>
      </c>
    </row>
    <row r="2657" spans="1:14" hidden="1">
      <c r="A2657" s="239">
        <v>40059</v>
      </c>
      <c r="B2657" s="168" t="s">
        <v>3219</v>
      </c>
      <c r="C2657" s="168" t="s">
        <v>3777</v>
      </c>
      <c r="D2657" s="11">
        <v>12240</v>
      </c>
      <c r="E2657" s="11">
        <v>0</v>
      </c>
      <c r="F2657" s="168" t="s">
        <v>3778</v>
      </c>
      <c r="K2657" s="2"/>
      <c r="N2657">
        <f t="shared" si="38"/>
        <v>12240</v>
      </c>
    </row>
    <row r="2658" spans="1:14" hidden="1">
      <c r="A2658" s="239">
        <v>40150</v>
      </c>
      <c r="B2658" s="168" t="s">
        <v>3219</v>
      </c>
      <c r="C2658" s="168" t="s">
        <v>3699</v>
      </c>
      <c r="D2658" s="11">
        <v>2000</v>
      </c>
      <c r="E2658" s="11">
        <v>0</v>
      </c>
      <c r="F2658" s="168" t="s">
        <v>3779</v>
      </c>
      <c r="G2658" s="8" t="s">
        <v>1372</v>
      </c>
      <c r="K2658" s="2"/>
      <c r="N2658">
        <f t="shared" si="38"/>
        <v>2000</v>
      </c>
    </row>
    <row r="2659" spans="1:14" hidden="1">
      <c r="A2659" s="239">
        <v>40271</v>
      </c>
      <c r="B2659" s="168" t="s">
        <v>3219</v>
      </c>
      <c r="C2659" s="168" t="s">
        <v>3241</v>
      </c>
      <c r="D2659" s="11">
        <v>0</v>
      </c>
      <c r="E2659" s="11">
        <v>2100</v>
      </c>
      <c r="F2659" s="168" t="s">
        <v>3780</v>
      </c>
      <c r="G2659" s="8" t="s">
        <v>1360</v>
      </c>
      <c r="K2659" s="2"/>
      <c r="N2659">
        <f t="shared" si="38"/>
        <v>0</v>
      </c>
    </row>
    <row r="2660" spans="1:14" hidden="1">
      <c r="A2660" s="239">
        <v>40332</v>
      </c>
      <c r="B2660" s="168" t="s">
        <v>3219</v>
      </c>
      <c r="C2660" s="168" t="s">
        <v>3781</v>
      </c>
      <c r="D2660" s="11">
        <v>0</v>
      </c>
      <c r="E2660" s="11">
        <v>46148</v>
      </c>
      <c r="F2660" s="168" t="s">
        <v>3782</v>
      </c>
      <c r="G2660" s="8" t="s">
        <v>1380</v>
      </c>
      <c r="K2660" s="2"/>
      <c r="N2660">
        <f t="shared" si="38"/>
        <v>0</v>
      </c>
    </row>
    <row r="2661" spans="1:14" hidden="1">
      <c r="A2661" s="239">
        <v>40332</v>
      </c>
      <c r="B2661" s="168" t="s">
        <v>3219</v>
      </c>
      <c r="C2661" s="168" t="s">
        <v>3783</v>
      </c>
      <c r="D2661" s="11">
        <v>5000</v>
      </c>
      <c r="E2661" s="11">
        <v>0</v>
      </c>
      <c r="F2661" s="168" t="s">
        <v>3784</v>
      </c>
      <c r="G2661" s="8" t="s">
        <v>1361</v>
      </c>
      <c r="K2661" s="2"/>
      <c r="N2661">
        <f t="shared" si="38"/>
        <v>5000</v>
      </c>
    </row>
    <row r="2662" spans="1:14" hidden="1">
      <c r="A2662" s="239">
        <v>40393</v>
      </c>
      <c r="B2662" s="168">
        <v>413240</v>
      </c>
      <c r="C2662" s="168" t="s">
        <v>3785</v>
      </c>
      <c r="D2662" s="11">
        <v>46147.839999999997</v>
      </c>
      <c r="E2662" s="11">
        <v>0</v>
      </c>
      <c r="F2662" s="168" t="s">
        <v>3786</v>
      </c>
      <c r="G2662" s="8" t="s">
        <v>1362</v>
      </c>
      <c r="K2662" s="2"/>
      <c r="N2662">
        <f t="shared" si="38"/>
        <v>46147.839999999997</v>
      </c>
    </row>
    <row r="2663" spans="1:14" hidden="1">
      <c r="A2663" s="239">
        <v>40393</v>
      </c>
      <c r="B2663" s="168" t="s">
        <v>3219</v>
      </c>
      <c r="C2663" s="168" t="s">
        <v>3787</v>
      </c>
      <c r="D2663" s="11">
        <v>5000</v>
      </c>
      <c r="E2663" s="11">
        <v>0</v>
      </c>
      <c r="F2663" s="168" t="s">
        <v>3788</v>
      </c>
      <c r="G2663" s="8" t="s">
        <v>1361</v>
      </c>
      <c r="K2663" s="2"/>
      <c r="N2663">
        <f t="shared" si="38"/>
        <v>5000</v>
      </c>
    </row>
    <row r="2664" spans="1:14" hidden="1">
      <c r="A2664" s="239">
        <v>40546</v>
      </c>
      <c r="B2664" s="168">
        <v>413241</v>
      </c>
      <c r="C2664" s="168" t="s">
        <v>3673</v>
      </c>
      <c r="D2664" s="11">
        <v>2000</v>
      </c>
      <c r="E2664" s="11">
        <v>0</v>
      </c>
      <c r="F2664" s="168" t="s">
        <v>3789</v>
      </c>
      <c r="G2664" s="8" t="s">
        <v>1372</v>
      </c>
      <c r="K2664" s="2"/>
      <c r="N2664">
        <f t="shared" si="38"/>
        <v>2000</v>
      </c>
    </row>
    <row r="2665" spans="1:14" hidden="1">
      <c r="A2665" s="239">
        <v>40577</v>
      </c>
      <c r="B2665" s="168" t="s">
        <v>3219</v>
      </c>
      <c r="C2665" s="168" t="s">
        <v>1404</v>
      </c>
      <c r="D2665" s="11">
        <v>0</v>
      </c>
      <c r="E2665" s="11">
        <v>108925</v>
      </c>
      <c r="F2665" s="168" t="s">
        <v>3790</v>
      </c>
      <c r="G2665" s="8" t="s">
        <v>1380</v>
      </c>
      <c r="K2665" s="2"/>
      <c r="N2665">
        <f t="shared" si="38"/>
        <v>0</v>
      </c>
    </row>
    <row r="2666" spans="1:14" hidden="1">
      <c r="A2666" s="239">
        <v>40727</v>
      </c>
      <c r="B2666" s="168">
        <v>413243</v>
      </c>
      <c r="C2666" s="168" t="s">
        <v>1424</v>
      </c>
      <c r="D2666" s="11">
        <v>3000</v>
      </c>
      <c r="E2666" s="11">
        <v>0</v>
      </c>
      <c r="F2666" s="168" t="s">
        <v>3791</v>
      </c>
      <c r="G2666" s="8" t="s">
        <v>1362</v>
      </c>
      <c r="K2666" s="2"/>
      <c r="N2666">
        <f t="shared" si="38"/>
        <v>3000</v>
      </c>
    </row>
    <row r="2667" spans="1:14" hidden="1">
      <c r="A2667" s="232">
        <v>37093</v>
      </c>
      <c r="C2667" t="s">
        <v>3792</v>
      </c>
      <c r="E2667" s="1">
        <v>9940</v>
      </c>
      <c r="F2667" t="s">
        <v>3793</v>
      </c>
      <c r="G2667" s="8" t="s">
        <v>1380</v>
      </c>
      <c r="K2667" s="2"/>
      <c r="N2667">
        <f t="shared" si="38"/>
        <v>0</v>
      </c>
    </row>
    <row r="2668" spans="1:14" hidden="1">
      <c r="A2668" s="232">
        <v>37127</v>
      </c>
      <c r="C2668" t="s">
        <v>3794</v>
      </c>
      <c r="E2668" s="1">
        <v>10625</v>
      </c>
      <c r="F2668" t="s">
        <v>3795</v>
      </c>
      <c r="G2668" s="8" t="s">
        <v>1380</v>
      </c>
      <c r="K2668" s="2"/>
      <c r="N2668">
        <f t="shared" si="38"/>
        <v>0</v>
      </c>
    </row>
    <row r="2669" spans="1:14" hidden="1">
      <c r="A2669" s="232">
        <v>37127</v>
      </c>
      <c r="C2669" t="s">
        <v>3796</v>
      </c>
      <c r="D2669" s="1">
        <v>10000</v>
      </c>
      <c r="E2669" s="1">
        <v>0</v>
      </c>
      <c r="F2669" t="s">
        <v>3797</v>
      </c>
      <c r="G2669" s="8" t="s">
        <v>1379</v>
      </c>
      <c r="K2669" s="2"/>
      <c r="N2669">
        <f t="shared" si="38"/>
        <v>10000</v>
      </c>
    </row>
    <row r="2670" spans="1:14" hidden="1">
      <c r="A2670" s="232">
        <v>37810</v>
      </c>
      <c r="C2670" t="s">
        <v>3798</v>
      </c>
      <c r="E2670" s="1">
        <v>33</v>
      </c>
      <c r="F2670" t="s">
        <v>3799</v>
      </c>
      <c r="G2670" s="8" t="s">
        <v>1368</v>
      </c>
      <c r="K2670" s="2"/>
      <c r="N2670">
        <f t="shared" si="38"/>
        <v>0</v>
      </c>
    </row>
    <row r="2671" spans="1:14" hidden="1">
      <c r="A2671" s="232">
        <v>37142</v>
      </c>
      <c r="C2671" t="s">
        <v>3800</v>
      </c>
      <c r="D2671" s="1">
        <v>3000</v>
      </c>
      <c r="E2671" s="1">
        <v>0</v>
      </c>
      <c r="F2671" t="s">
        <v>3801</v>
      </c>
      <c r="G2671" s="8" t="s">
        <v>1361</v>
      </c>
      <c r="K2671" s="2"/>
      <c r="N2671">
        <f t="shared" si="38"/>
        <v>3000</v>
      </c>
    </row>
    <row r="2672" spans="1:14" hidden="1">
      <c r="A2672" s="232">
        <v>37630</v>
      </c>
      <c r="C2672" t="s">
        <v>3802</v>
      </c>
      <c r="E2672" s="1">
        <v>10455</v>
      </c>
      <c r="F2672" t="s">
        <v>3803</v>
      </c>
      <c r="G2672" s="8" t="s">
        <v>1380</v>
      </c>
      <c r="K2672" s="2"/>
      <c r="N2672">
        <f t="shared" si="38"/>
        <v>0</v>
      </c>
    </row>
    <row r="2673" spans="1:14" hidden="1">
      <c r="A2673" s="232">
        <v>37630</v>
      </c>
      <c r="C2673" t="s">
        <v>3804</v>
      </c>
      <c r="D2673" s="1">
        <v>5000</v>
      </c>
      <c r="E2673" s="1">
        <v>0</v>
      </c>
      <c r="F2673" t="s">
        <v>3805</v>
      </c>
      <c r="G2673" s="8" t="s">
        <v>1379</v>
      </c>
      <c r="K2673" s="2"/>
      <c r="N2673">
        <f t="shared" si="38"/>
        <v>5000</v>
      </c>
    </row>
    <row r="2674" spans="1:14" hidden="1">
      <c r="A2674" s="232">
        <v>37600</v>
      </c>
      <c r="C2674" t="s">
        <v>3806</v>
      </c>
      <c r="E2674" s="1">
        <v>10455</v>
      </c>
      <c r="F2674" t="s">
        <v>3807</v>
      </c>
      <c r="G2674" s="8" t="s">
        <v>1380</v>
      </c>
      <c r="K2674" s="2"/>
      <c r="N2674">
        <f t="shared" si="38"/>
        <v>0</v>
      </c>
    </row>
    <row r="2675" spans="1:14" hidden="1">
      <c r="A2675" s="232">
        <v>37600</v>
      </c>
      <c r="C2675" t="s">
        <v>3808</v>
      </c>
      <c r="D2675" s="1">
        <v>10000</v>
      </c>
      <c r="E2675" s="1">
        <v>0</v>
      </c>
      <c r="F2675" t="s">
        <v>3809</v>
      </c>
      <c r="G2675" s="8" t="s">
        <v>1379</v>
      </c>
      <c r="K2675" s="2"/>
      <c r="N2675">
        <f t="shared" si="38"/>
        <v>10000</v>
      </c>
    </row>
    <row r="2676" spans="1:14" hidden="1">
      <c r="A2676" s="232">
        <v>37510</v>
      </c>
      <c r="C2676" t="s">
        <v>3810</v>
      </c>
      <c r="E2676" s="1">
        <v>100</v>
      </c>
      <c r="F2676" t="s">
        <v>3811</v>
      </c>
      <c r="G2676" s="8" t="s">
        <v>1380</v>
      </c>
      <c r="K2676" s="2"/>
      <c r="N2676">
        <f t="shared" si="38"/>
        <v>0</v>
      </c>
    </row>
    <row r="2677" spans="1:14" hidden="1">
      <c r="A2677" s="232">
        <v>37571</v>
      </c>
      <c r="C2677" t="s">
        <v>3812</v>
      </c>
      <c r="E2677" s="1">
        <v>10455</v>
      </c>
      <c r="F2677" t="s">
        <v>3813</v>
      </c>
      <c r="G2677" s="8" t="s">
        <v>1380</v>
      </c>
      <c r="K2677" s="2"/>
      <c r="N2677">
        <f t="shared" si="38"/>
        <v>0</v>
      </c>
    </row>
    <row r="2678" spans="1:14" hidden="1">
      <c r="A2678" s="232">
        <v>37571</v>
      </c>
      <c r="C2678" t="s">
        <v>3814</v>
      </c>
      <c r="D2678" s="1">
        <v>10000</v>
      </c>
      <c r="E2678" s="1">
        <v>0</v>
      </c>
      <c r="F2678" t="s">
        <v>3815</v>
      </c>
      <c r="G2678" s="8" t="s">
        <v>1379</v>
      </c>
      <c r="K2678" s="2"/>
      <c r="N2678">
        <f t="shared" si="38"/>
        <v>10000</v>
      </c>
    </row>
    <row r="2679" spans="1:14" hidden="1">
      <c r="A2679" s="232">
        <v>37783</v>
      </c>
      <c r="C2679" t="s">
        <v>3816</v>
      </c>
      <c r="E2679" s="1">
        <v>114</v>
      </c>
      <c r="F2679" t="s">
        <v>3817</v>
      </c>
      <c r="G2679" s="8" t="s">
        <v>1368</v>
      </c>
      <c r="K2679" s="2"/>
      <c r="N2679">
        <f t="shared" si="38"/>
        <v>0</v>
      </c>
    </row>
    <row r="2680" spans="1:14" hidden="1">
      <c r="A2680" s="232">
        <v>37692</v>
      </c>
      <c r="C2680" t="s">
        <v>3818</v>
      </c>
      <c r="E2680" s="1">
        <v>10375</v>
      </c>
      <c r="F2680" t="s">
        <v>3819</v>
      </c>
      <c r="G2680" s="8" t="s">
        <v>1380</v>
      </c>
      <c r="K2680" s="2"/>
      <c r="N2680">
        <f t="shared" si="38"/>
        <v>0</v>
      </c>
    </row>
    <row r="2681" spans="1:14" hidden="1">
      <c r="A2681" s="232">
        <v>37692</v>
      </c>
      <c r="C2681" t="s">
        <v>3820</v>
      </c>
      <c r="D2681" s="1">
        <v>10000</v>
      </c>
      <c r="E2681" s="1">
        <v>0</v>
      </c>
      <c r="F2681" t="s">
        <v>3821</v>
      </c>
      <c r="G2681" s="8" t="s">
        <v>1379</v>
      </c>
      <c r="K2681" s="2"/>
      <c r="N2681">
        <f t="shared" si="38"/>
        <v>10000</v>
      </c>
    </row>
    <row r="2682" spans="1:14" hidden="1">
      <c r="A2682" s="232">
        <v>37561</v>
      </c>
      <c r="C2682" t="s">
        <v>3822</v>
      </c>
      <c r="D2682" s="1">
        <v>8000</v>
      </c>
      <c r="E2682" s="1">
        <v>0</v>
      </c>
      <c r="F2682" t="s">
        <v>3823</v>
      </c>
      <c r="K2682" s="2"/>
      <c r="N2682">
        <f t="shared" si="38"/>
        <v>8000</v>
      </c>
    </row>
    <row r="2683" spans="1:14" hidden="1">
      <c r="A2683" s="232">
        <v>37712</v>
      </c>
      <c r="C2683" t="s">
        <v>3824</v>
      </c>
      <c r="D2683" s="1">
        <v>5000</v>
      </c>
      <c r="E2683" s="1">
        <v>0</v>
      </c>
      <c r="F2683" t="s">
        <v>3825</v>
      </c>
      <c r="K2683" s="2"/>
      <c r="N2683">
        <f t="shared" si="38"/>
        <v>5000</v>
      </c>
    </row>
    <row r="2684" spans="1:14" hidden="1">
      <c r="A2684" s="232">
        <v>37895</v>
      </c>
      <c r="C2684" t="s">
        <v>3826</v>
      </c>
      <c r="D2684" s="1">
        <v>5000</v>
      </c>
      <c r="E2684" s="1">
        <v>0</v>
      </c>
      <c r="F2684" t="s">
        <v>3827</v>
      </c>
      <c r="K2684" s="2"/>
      <c r="N2684">
        <f t="shared" si="38"/>
        <v>5000</v>
      </c>
    </row>
    <row r="2685" spans="1:14" hidden="1">
      <c r="A2685" s="232">
        <v>37895</v>
      </c>
      <c r="C2685" t="s">
        <v>3828</v>
      </c>
      <c r="E2685" s="1">
        <v>9032</v>
      </c>
      <c r="F2685" t="s">
        <v>3829</v>
      </c>
      <c r="G2685" s="8" t="s">
        <v>1379</v>
      </c>
      <c r="K2685" s="2"/>
      <c r="N2685">
        <f t="shared" si="38"/>
        <v>0</v>
      </c>
    </row>
    <row r="2686" spans="1:14" hidden="1">
      <c r="A2686" s="232">
        <v>38169</v>
      </c>
      <c r="C2686" t="s">
        <v>3830</v>
      </c>
      <c r="D2686" s="1">
        <v>6331</v>
      </c>
      <c r="E2686" s="1">
        <v>0</v>
      </c>
      <c r="F2686" t="s">
        <v>3831</v>
      </c>
      <c r="G2686" s="8" t="s">
        <v>1370</v>
      </c>
      <c r="K2686" s="2"/>
      <c r="N2686">
        <f t="shared" si="38"/>
        <v>6331</v>
      </c>
    </row>
    <row r="2687" spans="1:14" hidden="1">
      <c r="A2687" s="232">
        <v>38169</v>
      </c>
      <c r="C2687" t="s">
        <v>3832</v>
      </c>
      <c r="E2687" s="1">
        <v>11680</v>
      </c>
      <c r="F2687" t="s">
        <v>3833</v>
      </c>
      <c r="G2687" s="8" t="s">
        <v>1380</v>
      </c>
      <c r="K2687" s="2"/>
      <c r="N2687">
        <f t="shared" si="38"/>
        <v>0</v>
      </c>
    </row>
    <row r="2688" spans="1:14" hidden="1">
      <c r="A2688" s="232">
        <v>37378</v>
      </c>
      <c r="C2688" t="s">
        <v>3834</v>
      </c>
      <c r="E2688" s="1">
        <v>50</v>
      </c>
      <c r="F2688" t="s">
        <v>3835</v>
      </c>
      <c r="G2688" s="8" t="s">
        <v>1380</v>
      </c>
      <c r="K2688" s="2"/>
      <c r="N2688">
        <f t="shared" si="38"/>
        <v>0</v>
      </c>
    </row>
    <row r="2689" spans="1:14" hidden="1">
      <c r="A2689" s="232">
        <v>38019</v>
      </c>
      <c r="C2689" t="s">
        <v>3836</v>
      </c>
      <c r="E2689" s="1">
        <v>11680</v>
      </c>
      <c r="F2689" t="s">
        <v>3837</v>
      </c>
      <c r="G2689" s="8" t="s">
        <v>1380</v>
      </c>
      <c r="K2689" s="2"/>
      <c r="N2689">
        <f t="shared" si="38"/>
        <v>0</v>
      </c>
    </row>
    <row r="2690" spans="1:14" hidden="1">
      <c r="A2690" s="232">
        <v>38019</v>
      </c>
      <c r="C2690" t="s">
        <v>3838</v>
      </c>
      <c r="D2690" s="1">
        <v>10000</v>
      </c>
      <c r="E2690" s="1">
        <v>0</v>
      </c>
      <c r="F2690" t="s">
        <v>3839</v>
      </c>
      <c r="G2690" s="8" t="s">
        <v>1379</v>
      </c>
      <c r="K2690" s="2"/>
      <c r="N2690">
        <f t="shared" si="38"/>
        <v>10000</v>
      </c>
    </row>
    <row r="2691" spans="1:14" hidden="1">
      <c r="A2691" s="232">
        <v>38079</v>
      </c>
      <c r="C2691" t="s">
        <v>3840</v>
      </c>
      <c r="E2691" s="1">
        <v>89</v>
      </c>
      <c r="F2691" t="s">
        <v>3841</v>
      </c>
      <c r="G2691" s="8" t="s">
        <v>1368</v>
      </c>
      <c r="K2691" s="2"/>
      <c r="N2691">
        <f t="shared" si="38"/>
        <v>0</v>
      </c>
    </row>
    <row r="2692" spans="1:14" hidden="1">
      <c r="A2692" s="232">
        <v>38020</v>
      </c>
      <c r="C2692" t="s">
        <v>3842</v>
      </c>
      <c r="E2692" s="1">
        <v>11585</v>
      </c>
      <c r="F2692" t="s">
        <v>3843</v>
      </c>
      <c r="G2692" s="8" t="s">
        <v>1380</v>
      </c>
      <c r="K2692" s="2"/>
      <c r="N2692">
        <f t="shared" si="38"/>
        <v>0</v>
      </c>
    </row>
    <row r="2693" spans="1:14" hidden="1">
      <c r="A2693" s="232">
        <v>38020</v>
      </c>
      <c r="C2693" t="s">
        <v>3844</v>
      </c>
      <c r="D2693" s="1">
        <v>10000</v>
      </c>
      <c r="E2693" s="1">
        <v>0</v>
      </c>
      <c r="F2693" t="s">
        <v>3845</v>
      </c>
      <c r="G2693" s="8" t="s">
        <v>1379</v>
      </c>
      <c r="K2693" s="2"/>
      <c r="N2693">
        <f t="shared" si="38"/>
        <v>10000</v>
      </c>
    </row>
    <row r="2694" spans="1:14" hidden="1">
      <c r="A2694" s="232">
        <v>38080</v>
      </c>
      <c r="C2694" t="s">
        <v>3846</v>
      </c>
      <c r="E2694" s="1">
        <v>150</v>
      </c>
      <c r="F2694" t="s">
        <v>3847</v>
      </c>
      <c r="G2694" s="8" t="s">
        <v>1380</v>
      </c>
      <c r="K2694" s="2"/>
      <c r="N2694">
        <f t="shared" si="38"/>
        <v>0</v>
      </c>
    </row>
    <row r="2695" spans="1:14" hidden="1">
      <c r="A2695" s="232">
        <v>37598</v>
      </c>
      <c r="C2695" t="s">
        <v>3848</v>
      </c>
      <c r="E2695" s="1">
        <v>10000</v>
      </c>
      <c r="F2695" t="s">
        <v>3849</v>
      </c>
      <c r="G2695" s="8" t="s">
        <v>1379</v>
      </c>
      <c r="K2695" s="2"/>
      <c r="N2695">
        <f t="shared" si="38"/>
        <v>0</v>
      </c>
    </row>
    <row r="2696" spans="1:14" hidden="1">
      <c r="A2696" s="232">
        <v>38141</v>
      </c>
      <c r="C2696" t="s">
        <v>3850</v>
      </c>
      <c r="E2696" s="1">
        <v>491</v>
      </c>
      <c r="F2696" t="s">
        <v>3851</v>
      </c>
      <c r="G2696" s="8" t="s">
        <v>1368</v>
      </c>
      <c r="K2696" s="2"/>
      <c r="N2696">
        <f t="shared" si="38"/>
        <v>0</v>
      </c>
    </row>
    <row r="2697" spans="1:14" hidden="1">
      <c r="A2697" s="232">
        <v>37929</v>
      </c>
      <c r="C2697" t="s">
        <v>3852</v>
      </c>
      <c r="E2697" s="1">
        <v>11685</v>
      </c>
      <c r="F2697" t="s">
        <v>3853</v>
      </c>
      <c r="G2697" s="8" t="s">
        <v>1380</v>
      </c>
      <c r="K2697" s="2"/>
      <c r="N2697">
        <f t="shared" si="38"/>
        <v>0</v>
      </c>
    </row>
    <row r="2698" spans="1:14" hidden="1">
      <c r="A2698" s="232">
        <v>37929</v>
      </c>
      <c r="C2698" t="s">
        <v>3854</v>
      </c>
      <c r="D2698" s="1">
        <v>15000</v>
      </c>
      <c r="E2698" s="1">
        <v>0</v>
      </c>
      <c r="F2698" t="s">
        <v>3855</v>
      </c>
      <c r="G2698" s="8" t="s">
        <v>1379</v>
      </c>
      <c r="K2698" s="2"/>
      <c r="N2698">
        <f t="shared" si="38"/>
        <v>15000</v>
      </c>
    </row>
    <row r="2699" spans="1:14" hidden="1">
      <c r="A2699" s="232">
        <v>38142</v>
      </c>
      <c r="C2699" t="s">
        <v>3856</v>
      </c>
      <c r="E2699" s="1">
        <v>14730</v>
      </c>
      <c r="F2699" t="s">
        <v>3857</v>
      </c>
      <c r="G2699" s="8" t="s">
        <v>1380</v>
      </c>
      <c r="K2699" s="2"/>
      <c r="N2699">
        <f t="shared" ref="N2699:N2762" si="39">D2699*1</f>
        <v>0</v>
      </c>
    </row>
    <row r="2700" spans="1:14" hidden="1">
      <c r="A2700" s="232">
        <v>38142</v>
      </c>
      <c r="C2700" t="s">
        <v>3858</v>
      </c>
      <c r="E2700" s="1">
        <v>100</v>
      </c>
      <c r="F2700" t="s">
        <v>3859</v>
      </c>
      <c r="G2700" s="8" t="s">
        <v>1380</v>
      </c>
      <c r="K2700" s="2"/>
      <c r="N2700">
        <f t="shared" si="39"/>
        <v>0</v>
      </c>
    </row>
    <row r="2701" spans="1:14" hidden="1">
      <c r="A2701" s="232">
        <v>38142</v>
      </c>
      <c r="C2701" t="s">
        <v>3860</v>
      </c>
      <c r="D2701" s="1">
        <v>15000</v>
      </c>
      <c r="E2701" s="1">
        <v>0</v>
      </c>
      <c r="F2701" t="s">
        <v>3861</v>
      </c>
      <c r="G2701" s="8" t="s">
        <v>1379</v>
      </c>
      <c r="K2701" s="2"/>
      <c r="N2701">
        <f t="shared" si="39"/>
        <v>15000</v>
      </c>
    </row>
    <row r="2702" spans="1:14" hidden="1">
      <c r="A2702" s="232">
        <v>37351</v>
      </c>
      <c r="C2702" t="s">
        <v>3862</v>
      </c>
      <c r="D2702" s="1">
        <v>6331</v>
      </c>
      <c r="E2702" s="1">
        <v>0</v>
      </c>
      <c r="F2702" t="s">
        <v>3863</v>
      </c>
      <c r="G2702" s="8" t="s">
        <v>1370</v>
      </c>
      <c r="K2702" s="2"/>
      <c r="N2702">
        <f t="shared" si="39"/>
        <v>6331</v>
      </c>
    </row>
    <row r="2703" spans="1:14" hidden="1">
      <c r="A2703" s="232">
        <v>37960</v>
      </c>
      <c r="C2703" t="s">
        <v>3864</v>
      </c>
      <c r="E2703" s="1">
        <v>11685</v>
      </c>
      <c r="F2703" t="s">
        <v>3865</v>
      </c>
      <c r="G2703" s="8" t="s">
        <v>1380</v>
      </c>
      <c r="K2703" s="2"/>
      <c r="N2703">
        <f t="shared" si="39"/>
        <v>0</v>
      </c>
    </row>
    <row r="2704" spans="1:14" hidden="1">
      <c r="A2704" s="232">
        <v>37960</v>
      </c>
      <c r="C2704" t="s">
        <v>3866</v>
      </c>
      <c r="D2704" s="1">
        <v>5000</v>
      </c>
      <c r="E2704" s="1">
        <v>0</v>
      </c>
      <c r="F2704" t="s">
        <v>3867</v>
      </c>
      <c r="G2704" s="8" t="s">
        <v>1379</v>
      </c>
      <c r="K2704" s="2"/>
      <c r="N2704">
        <f t="shared" si="39"/>
        <v>5000</v>
      </c>
    </row>
    <row r="2705" spans="1:14" hidden="1">
      <c r="A2705" s="232">
        <v>38052</v>
      </c>
      <c r="C2705" t="s">
        <v>3868</v>
      </c>
      <c r="E2705" s="1">
        <v>11345</v>
      </c>
      <c r="F2705" t="s">
        <v>3869</v>
      </c>
      <c r="G2705" s="8" t="s">
        <v>1380</v>
      </c>
      <c r="K2705" s="2"/>
      <c r="N2705">
        <f t="shared" si="39"/>
        <v>0</v>
      </c>
    </row>
    <row r="2706" spans="1:14" hidden="1">
      <c r="A2706" s="232">
        <v>38052</v>
      </c>
      <c r="C2706" t="s">
        <v>3870</v>
      </c>
      <c r="D2706" s="1">
        <v>10000</v>
      </c>
      <c r="E2706" s="1">
        <v>0</v>
      </c>
      <c r="F2706" t="s">
        <v>3871</v>
      </c>
      <c r="G2706" s="8" t="s">
        <v>1379</v>
      </c>
      <c r="K2706" s="2"/>
      <c r="N2706">
        <f t="shared" si="39"/>
        <v>10000</v>
      </c>
    </row>
    <row r="2707" spans="1:14" hidden="1">
      <c r="A2707" s="232">
        <v>37383</v>
      </c>
      <c r="C2707" t="s">
        <v>3872</v>
      </c>
      <c r="E2707" s="1">
        <v>120</v>
      </c>
      <c r="F2707" t="s">
        <v>3873</v>
      </c>
      <c r="G2707" s="8" t="s">
        <v>1380</v>
      </c>
      <c r="K2707" s="2"/>
      <c r="N2707">
        <f t="shared" si="39"/>
        <v>0</v>
      </c>
    </row>
    <row r="2708" spans="1:14" hidden="1">
      <c r="A2708" s="232">
        <v>37932</v>
      </c>
      <c r="C2708" t="s">
        <v>3874</v>
      </c>
      <c r="E2708" s="1">
        <v>23325</v>
      </c>
      <c r="F2708" t="s">
        <v>3875</v>
      </c>
      <c r="G2708" s="8" t="s">
        <v>1380</v>
      </c>
      <c r="K2708" s="2"/>
      <c r="N2708">
        <f t="shared" si="39"/>
        <v>0</v>
      </c>
    </row>
    <row r="2709" spans="1:14" hidden="1">
      <c r="A2709" s="232">
        <v>37932</v>
      </c>
      <c r="C2709" t="s">
        <v>3876</v>
      </c>
      <c r="D2709" s="1">
        <v>25000</v>
      </c>
      <c r="E2709" s="1">
        <v>0</v>
      </c>
      <c r="F2709" t="s">
        <v>3877</v>
      </c>
      <c r="G2709" s="8" t="s">
        <v>1379</v>
      </c>
      <c r="K2709" s="2"/>
      <c r="N2709">
        <f t="shared" si="39"/>
        <v>25000</v>
      </c>
    </row>
    <row r="2710" spans="1:14" hidden="1">
      <c r="A2710" s="232">
        <v>37295</v>
      </c>
      <c r="C2710" t="s">
        <v>3878</v>
      </c>
      <c r="D2710" s="1">
        <v>10000</v>
      </c>
      <c r="E2710" s="1">
        <v>0</v>
      </c>
      <c r="F2710" t="s">
        <v>3879</v>
      </c>
      <c r="G2710" s="8" t="s">
        <v>1361</v>
      </c>
      <c r="K2710" s="2"/>
      <c r="N2710">
        <f t="shared" si="39"/>
        <v>10000</v>
      </c>
    </row>
    <row r="2711" spans="1:14" hidden="1">
      <c r="A2711" s="232">
        <v>37415</v>
      </c>
      <c r="C2711" t="s">
        <v>3880</v>
      </c>
      <c r="D2711" s="1">
        <v>6331</v>
      </c>
      <c r="E2711" s="1">
        <v>0</v>
      </c>
      <c r="F2711" t="s">
        <v>3881</v>
      </c>
      <c r="G2711" s="8" t="s">
        <v>1370</v>
      </c>
      <c r="K2711" s="2"/>
      <c r="N2711">
        <f t="shared" si="39"/>
        <v>6331</v>
      </c>
    </row>
    <row r="2712" spans="1:14" hidden="1">
      <c r="A2712" s="232">
        <v>37415</v>
      </c>
      <c r="C2712" t="s">
        <v>3882</v>
      </c>
      <c r="E2712" s="1">
        <v>11000</v>
      </c>
      <c r="F2712" t="s">
        <v>3883</v>
      </c>
      <c r="G2712" s="8" t="s">
        <v>1379</v>
      </c>
      <c r="K2712" s="2"/>
      <c r="N2712">
        <f t="shared" si="39"/>
        <v>0</v>
      </c>
    </row>
    <row r="2713" spans="1:14" hidden="1">
      <c r="A2713" s="232">
        <v>37872</v>
      </c>
      <c r="C2713" t="s">
        <v>3884</v>
      </c>
      <c r="E2713" s="1">
        <v>240</v>
      </c>
      <c r="F2713" t="s">
        <v>3885</v>
      </c>
      <c r="G2713" s="8" t="s">
        <v>1380</v>
      </c>
      <c r="K2713" s="2"/>
      <c r="N2713">
        <f t="shared" si="39"/>
        <v>0</v>
      </c>
    </row>
    <row r="2714" spans="1:14" hidden="1">
      <c r="A2714" s="232">
        <v>37933</v>
      </c>
      <c r="C2714" t="s">
        <v>3886</v>
      </c>
      <c r="E2714" s="1">
        <v>13570</v>
      </c>
      <c r="F2714" t="s">
        <v>3887</v>
      </c>
      <c r="G2714" s="8" t="s">
        <v>1380</v>
      </c>
      <c r="K2714" s="2"/>
      <c r="N2714">
        <f t="shared" si="39"/>
        <v>0</v>
      </c>
    </row>
    <row r="2715" spans="1:14" hidden="1">
      <c r="A2715" s="232">
        <v>37933</v>
      </c>
      <c r="C2715" t="s">
        <v>3888</v>
      </c>
      <c r="D2715" s="1">
        <v>5000</v>
      </c>
      <c r="E2715" s="1">
        <v>0</v>
      </c>
      <c r="F2715" t="s">
        <v>3889</v>
      </c>
      <c r="G2715" s="8" t="s">
        <v>1379</v>
      </c>
      <c r="K2715" s="2"/>
      <c r="N2715">
        <f t="shared" si="39"/>
        <v>5000</v>
      </c>
    </row>
    <row r="2716" spans="1:14" hidden="1">
      <c r="A2716" s="232">
        <v>38176</v>
      </c>
      <c r="C2716" t="s">
        <v>3890</v>
      </c>
      <c r="E2716" s="1">
        <v>189</v>
      </c>
      <c r="F2716" t="s">
        <v>3891</v>
      </c>
      <c r="G2716" s="8" t="s">
        <v>1368</v>
      </c>
      <c r="K2716" s="2"/>
      <c r="N2716">
        <f t="shared" si="39"/>
        <v>0</v>
      </c>
    </row>
    <row r="2717" spans="1:14" hidden="1">
      <c r="A2717" s="232">
        <v>37934</v>
      </c>
      <c r="C2717" t="s">
        <v>3892</v>
      </c>
      <c r="E2717" s="1">
        <v>13085</v>
      </c>
      <c r="F2717" t="s">
        <v>3893</v>
      </c>
      <c r="G2717" s="8" t="s">
        <v>1380</v>
      </c>
      <c r="K2717" s="2"/>
      <c r="N2717">
        <f t="shared" si="39"/>
        <v>0</v>
      </c>
    </row>
    <row r="2718" spans="1:14" hidden="1">
      <c r="A2718" s="232">
        <v>37934</v>
      </c>
      <c r="C2718" t="s">
        <v>3894</v>
      </c>
      <c r="D2718" s="1">
        <v>15000</v>
      </c>
      <c r="E2718" s="1">
        <v>0</v>
      </c>
      <c r="F2718" t="s">
        <v>3895</v>
      </c>
      <c r="G2718" s="8" t="s">
        <v>1379</v>
      </c>
      <c r="K2718" s="2"/>
      <c r="N2718">
        <f t="shared" si="39"/>
        <v>15000</v>
      </c>
    </row>
    <row r="2719" spans="1:14" hidden="1">
      <c r="A2719" s="232">
        <v>37570</v>
      </c>
      <c r="C2719" t="s">
        <v>3896</v>
      </c>
      <c r="E2719" s="1">
        <v>240</v>
      </c>
      <c r="F2719" t="s">
        <v>3897</v>
      </c>
      <c r="G2719" s="8" t="s">
        <v>1380</v>
      </c>
      <c r="K2719" s="2"/>
      <c r="N2719">
        <f t="shared" si="39"/>
        <v>0</v>
      </c>
    </row>
    <row r="2720" spans="1:14" hidden="1">
      <c r="A2720" s="232">
        <v>37751</v>
      </c>
      <c r="C2720" t="s">
        <v>3898</v>
      </c>
      <c r="D2720" s="1">
        <v>3000</v>
      </c>
      <c r="E2720" s="1">
        <v>0</v>
      </c>
      <c r="F2720" t="s">
        <v>3899</v>
      </c>
      <c r="G2720" s="8" t="s">
        <v>1361</v>
      </c>
      <c r="K2720" s="2"/>
      <c r="N2720">
        <f t="shared" si="39"/>
        <v>3000</v>
      </c>
    </row>
    <row r="2721" spans="1:14" hidden="1">
      <c r="A2721" s="232">
        <v>37935</v>
      </c>
      <c r="C2721" t="s">
        <v>3900</v>
      </c>
      <c r="E2721" s="1">
        <v>13755</v>
      </c>
      <c r="F2721" t="s">
        <v>3901</v>
      </c>
      <c r="G2721" s="8" t="s">
        <v>1380</v>
      </c>
      <c r="K2721" s="2"/>
      <c r="N2721">
        <f t="shared" si="39"/>
        <v>0</v>
      </c>
    </row>
    <row r="2722" spans="1:14" hidden="1">
      <c r="A2722" s="232">
        <v>37935</v>
      </c>
      <c r="C2722" t="s">
        <v>3902</v>
      </c>
      <c r="D2722" s="1">
        <v>10000</v>
      </c>
      <c r="E2722" s="1">
        <v>0</v>
      </c>
      <c r="F2722" t="s">
        <v>3903</v>
      </c>
      <c r="G2722" s="8" t="s">
        <v>1379</v>
      </c>
      <c r="K2722" s="2"/>
      <c r="N2722">
        <f t="shared" si="39"/>
        <v>10000</v>
      </c>
    </row>
    <row r="2723" spans="1:14" hidden="1">
      <c r="A2723" s="232">
        <v>37418</v>
      </c>
      <c r="C2723" t="s">
        <v>3904</v>
      </c>
      <c r="D2723" s="1">
        <v>6331</v>
      </c>
      <c r="E2723" s="1">
        <v>0</v>
      </c>
      <c r="F2723" t="s">
        <v>3905</v>
      </c>
      <c r="G2723" s="8" t="s">
        <v>1370</v>
      </c>
      <c r="K2723" s="2"/>
      <c r="N2723">
        <f t="shared" si="39"/>
        <v>6331</v>
      </c>
    </row>
    <row r="2724" spans="1:14" hidden="1">
      <c r="A2724" s="232">
        <v>37905</v>
      </c>
      <c r="C2724" t="s">
        <v>3906</v>
      </c>
      <c r="E2724" s="1">
        <v>12480</v>
      </c>
      <c r="F2724" t="s">
        <v>3907</v>
      </c>
      <c r="G2724" s="8" t="s">
        <v>1380</v>
      </c>
      <c r="K2724" s="2"/>
      <c r="N2724">
        <f t="shared" si="39"/>
        <v>0</v>
      </c>
    </row>
    <row r="2725" spans="1:14" hidden="1">
      <c r="A2725" s="232">
        <v>37905</v>
      </c>
      <c r="C2725" t="s">
        <v>3908</v>
      </c>
      <c r="D2725" s="1">
        <v>10000</v>
      </c>
      <c r="E2725" s="1">
        <v>0</v>
      </c>
      <c r="F2725" t="s">
        <v>3909</v>
      </c>
      <c r="G2725" s="8" t="s">
        <v>1379</v>
      </c>
      <c r="K2725" s="2"/>
      <c r="N2725">
        <f t="shared" si="39"/>
        <v>10000</v>
      </c>
    </row>
    <row r="2726" spans="1:14" hidden="1">
      <c r="A2726" s="232">
        <v>38088</v>
      </c>
      <c r="C2726" t="s">
        <v>3910</v>
      </c>
      <c r="D2726" s="1">
        <v>3000</v>
      </c>
      <c r="E2726" s="1">
        <v>0</v>
      </c>
      <c r="F2726" t="s">
        <v>3911</v>
      </c>
      <c r="G2726" s="8" t="s">
        <v>1361</v>
      </c>
      <c r="K2726" s="2"/>
      <c r="N2726">
        <f t="shared" si="39"/>
        <v>3000</v>
      </c>
    </row>
    <row r="2727" spans="1:14" hidden="1">
      <c r="A2727" s="232">
        <v>38088</v>
      </c>
      <c r="C2727" t="s">
        <v>3912</v>
      </c>
      <c r="D2727" s="1">
        <v>7000</v>
      </c>
      <c r="E2727" s="1">
        <v>0</v>
      </c>
      <c r="F2727" t="s">
        <v>3913</v>
      </c>
      <c r="G2727" s="8" t="s">
        <v>1361</v>
      </c>
      <c r="K2727" s="2"/>
      <c r="N2727">
        <f t="shared" si="39"/>
        <v>7000</v>
      </c>
    </row>
    <row r="2728" spans="1:14" hidden="1">
      <c r="A2728" s="232">
        <v>37511</v>
      </c>
      <c r="C2728" t="s">
        <v>3914</v>
      </c>
      <c r="D2728" s="1">
        <v>3000</v>
      </c>
      <c r="E2728" s="1">
        <v>0</v>
      </c>
      <c r="F2728" t="s">
        <v>3915</v>
      </c>
      <c r="G2728" s="8" t="s">
        <v>1361</v>
      </c>
      <c r="K2728" s="2"/>
      <c r="N2728">
        <f t="shared" si="39"/>
        <v>3000</v>
      </c>
    </row>
    <row r="2729" spans="1:14" hidden="1">
      <c r="A2729" s="232">
        <v>37511</v>
      </c>
      <c r="C2729" t="s">
        <v>3916</v>
      </c>
      <c r="E2729" s="1">
        <v>8011</v>
      </c>
      <c r="F2729" t="s">
        <v>3917</v>
      </c>
      <c r="G2729" s="8" t="s">
        <v>1379</v>
      </c>
      <c r="K2729" s="2"/>
      <c r="N2729">
        <f t="shared" si="39"/>
        <v>0</v>
      </c>
    </row>
    <row r="2730" spans="1:14" hidden="1">
      <c r="A2730" s="232">
        <v>38029</v>
      </c>
      <c r="C2730" t="s">
        <v>3918</v>
      </c>
      <c r="E2730" s="1">
        <v>11840</v>
      </c>
      <c r="F2730" t="s">
        <v>3919</v>
      </c>
      <c r="G2730" s="8" t="s">
        <v>1380</v>
      </c>
      <c r="K2730" s="2"/>
      <c r="N2730">
        <f t="shared" si="39"/>
        <v>0</v>
      </c>
    </row>
    <row r="2731" spans="1:14" hidden="1">
      <c r="A2731" s="232">
        <v>38029</v>
      </c>
      <c r="C2731" t="s">
        <v>3920</v>
      </c>
      <c r="D2731" s="1">
        <v>5000</v>
      </c>
      <c r="E2731" s="1">
        <v>0</v>
      </c>
      <c r="F2731" t="s">
        <v>3921</v>
      </c>
      <c r="G2731" s="8" t="s">
        <v>1379</v>
      </c>
      <c r="K2731" s="2"/>
      <c r="N2731">
        <f t="shared" si="39"/>
        <v>5000</v>
      </c>
    </row>
    <row r="2732" spans="1:14" hidden="1">
      <c r="A2732" s="232">
        <v>38322</v>
      </c>
      <c r="C2732" t="s">
        <v>3922</v>
      </c>
      <c r="E2732" s="1">
        <v>11840</v>
      </c>
      <c r="F2732" t="s">
        <v>3923</v>
      </c>
      <c r="G2732" s="8" t="s">
        <v>1380</v>
      </c>
      <c r="K2732" s="2"/>
      <c r="N2732">
        <f t="shared" si="39"/>
        <v>0</v>
      </c>
    </row>
    <row r="2733" spans="1:14" hidden="1">
      <c r="A2733" s="232">
        <v>38322</v>
      </c>
      <c r="C2733" t="s">
        <v>3924</v>
      </c>
      <c r="D2733" s="1">
        <v>10000</v>
      </c>
      <c r="E2733" s="1">
        <v>0</v>
      </c>
      <c r="F2733" t="s">
        <v>3925</v>
      </c>
      <c r="G2733" s="8" t="s">
        <v>1379</v>
      </c>
      <c r="K2733" s="2"/>
      <c r="N2733">
        <f t="shared" si="39"/>
        <v>10000</v>
      </c>
    </row>
    <row r="2734" spans="1:14" hidden="1">
      <c r="A2734" s="232">
        <v>38443</v>
      </c>
      <c r="C2734" t="s">
        <v>3926</v>
      </c>
      <c r="D2734" s="1">
        <v>25000</v>
      </c>
      <c r="E2734" s="1">
        <v>0</v>
      </c>
      <c r="F2734" t="s">
        <v>3927</v>
      </c>
      <c r="G2734" s="8" t="s">
        <v>1360</v>
      </c>
      <c r="K2734" s="2"/>
      <c r="N2734">
        <f t="shared" si="39"/>
        <v>25000</v>
      </c>
    </row>
    <row r="2735" spans="1:14" hidden="1">
      <c r="A2735" s="232">
        <v>38443</v>
      </c>
      <c r="C2735" t="s">
        <v>3928</v>
      </c>
      <c r="E2735" s="1">
        <v>10000</v>
      </c>
      <c r="F2735" t="s">
        <v>3929</v>
      </c>
      <c r="G2735" s="8" t="s">
        <v>1379</v>
      </c>
      <c r="K2735" s="2"/>
      <c r="N2735">
        <f t="shared" si="39"/>
        <v>0</v>
      </c>
    </row>
    <row r="2736" spans="1:14" hidden="1">
      <c r="A2736" s="232">
        <v>38443</v>
      </c>
      <c r="C2736" t="s">
        <v>3930</v>
      </c>
      <c r="E2736" s="1">
        <v>1091</v>
      </c>
      <c r="F2736" t="s">
        <v>3931</v>
      </c>
      <c r="G2736" s="8" t="s">
        <v>1379</v>
      </c>
      <c r="K2736" s="2"/>
      <c r="N2736">
        <f t="shared" si="39"/>
        <v>0</v>
      </c>
    </row>
    <row r="2737" spans="1:14" hidden="1">
      <c r="A2737" s="232">
        <v>38443</v>
      </c>
      <c r="C2737" t="s">
        <v>3932</v>
      </c>
      <c r="E2737" s="1">
        <v>5016</v>
      </c>
      <c r="F2737" t="s">
        <v>3933</v>
      </c>
      <c r="G2737" s="8" t="s">
        <v>1379</v>
      </c>
      <c r="K2737" s="2"/>
      <c r="N2737">
        <f t="shared" si="39"/>
        <v>0</v>
      </c>
    </row>
    <row r="2738" spans="1:14" hidden="1">
      <c r="A2738" s="232">
        <v>38443</v>
      </c>
      <c r="C2738" t="s">
        <v>3916</v>
      </c>
      <c r="E2738" s="1">
        <v>1008</v>
      </c>
      <c r="F2738" t="s">
        <v>3934</v>
      </c>
      <c r="G2738" s="8" t="s">
        <v>1379</v>
      </c>
      <c r="K2738" s="2"/>
      <c r="N2738">
        <f t="shared" si="39"/>
        <v>0</v>
      </c>
    </row>
    <row r="2739" spans="1:14" hidden="1">
      <c r="A2739" s="232">
        <v>37682</v>
      </c>
      <c r="C2739" t="s">
        <v>3935</v>
      </c>
      <c r="D2739" s="1">
        <v>5623</v>
      </c>
      <c r="E2739" s="1">
        <v>0</v>
      </c>
      <c r="F2739" t="s">
        <v>3936</v>
      </c>
      <c r="G2739" s="8" t="s">
        <v>1370</v>
      </c>
      <c r="K2739" s="2"/>
      <c r="N2739">
        <f t="shared" si="39"/>
        <v>5623</v>
      </c>
    </row>
    <row r="2740" spans="1:14" hidden="1">
      <c r="A2740" s="232">
        <v>37713</v>
      </c>
      <c r="C2740" t="s">
        <v>3937</v>
      </c>
      <c r="D2740" s="1">
        <v>6331</v>
      </c>
      <c r="E2740" s="1">
        <v>0</v>
      </c>
      <c r="F2740" t="s">
        <v>3938</v>
      </c>
      <c r="G2740" s="8" t="s">
        <v>1370</v>
      </c>
      <c r="K2740" s="2"/>
      <c r="N2740">
        <f t="shared" si="39"/>
        <v>6331</v>
      </c>
    </row>
    <row r="2741" spans="1:14" hidden="1">
      <c r="A2741" s="232">
        <v>37713</v>
      </c>
      <c r="C2741" t="s">
        <v>3939</v>
      </c>
      <c r="E2741" s="1">
        <v>1893</v>
      </c>
      <c r="F2741" t="s">
        <v>3940</v>
      </c>
      <c r="G2741" s="8" t="s">
        <v>1379</v>
      </c>
      <c r="K2741" s="2"/>
      <c r="N2741">
        <f t="shared" si="39"/>
        <v>0</v>
      </c>
    </row>
    <row r="2742" spans="1:14" hidden="1">
      <c r="A2742" s="232">
        <v>37713</v>
      </c>
      <c r="C2742" t="s">
        <v>3941</v>
      </c>
      <c r="E2742" s="1">
        <v>10086</v>
      </c>
      <c r="F2742" t="s">
        <v>3942</v>
      </c>
      <c r="G2742" s="8" t="s">
        <v>1379</v>
      </c>
      <c r="K2742" s="2"/>
      <c r="N2742">
        <f t="shared" si="39"/>
        <v>0</v>
      </c>
    </row>
    <row r="2743" spans="1:14" hidden="1">
      <c r="A2743" s="232">
        <v>37804</v>
      </c>
      <c r="C2743" t="s">
        <v>3943</v>
      </c>
      <c r="D2743" s="1">
        <v>10000</v>
      </c>
      <c r="E2743" s="1">
        <v>0</v>
      </c>
      <c r="F2743" t="s">
        <v>3944</v>
      </c>
      <c r="G2743" s="8" t="s">
        <v>1360</v>
      </c>
      <c r="K2743" s="2"/>
      <c r="N2743">
        <f t="shared" si="39"/>
        <v>10000</v>
      </c>
    </row>
    <row r="2744" spans="1:14" hidden="1">
      <c r="A2744" s="232">
        <v>37804</v>
      </c>
      <c r="C2744" t="s">
        <v>3945</v>
      </c>
      <c r="E2744" s="1">
        <v>10174</v>
      </c>
      <c r="F2744" t="s">
        <v>3946</v>
      </c>
      <c r="G2744" s="8" t="s">
        <v>1379</v>
      </c>
      <c r="K2744" s="2"/>
      <c r="N2744">
        <f t="shared" si="39"/>
        <v>0</v>
      </c>
    </row>
    <row r="2745" spans="1:14" hidden="1">
      <c r="A2745" s="232">
        <v>38385</v>
      </c>
      <c r="C2745" t="s">
        <v>3947</v>
      </c>
      <c r="E2745" s="1">
        <v>11440</v>
      </c>
      <c r="F2745" t="s">
        <v>3948</v>
      </c>
      <c r="G2745" s="8" t="s">
        <v>1380</v>
      </c>
      <c r="K2745" s="2"/>
      <c r="N2745">
        <f t="shared" si="39"/>
        <v>0</v>
      </c>
    </row>
    <row r="2746" spans="1:14" hidden="1">
      <c r="A2746" s="232">
        <v>38385</v>
      </c>
      <c r="C2746" t="s">
        <v>3949</v>
      </c>
      <c r="D2746" s="1">
        <v>5000</v>
      </c>
      <c r="E2746" s="1">
        <v>0</v>
      </c>
      <c r="F2746" t="s">
        <v>3950</v>
      </c>
      <c r="G2746" s="8" t="s">
        <v>1379</v>
      </c>
      <c r="K2746" s="2"/>
      <c r="N2746">
        <f t="shared" si="39"/>
        <v>5000</v>
      </c>
    </row>
    <row r="2747" spans="1:14" hidden="1">
      <c r="A2747" s="232">
        <v>37624</v>
      </c>
      <c r="C2747" t="s">
        <v>3951</v>
      </c>
      <c r="E2747" s="1">
        <v>477</v>
      </c>
      <c r="F2747" t="s">
        <v>3952</v>
      </c>
      <c r="G2747" s="8" t="s">
        <v>1360</v>
      </c>
      <c r="K2747" s="2"/>
      <c r="N2747">
        <f t="shared" si="39"/>
        <v>0</v>
      </c>
    </row>
    <row r="2748" spans="1:14" hidden="1">
      <c r="A2748" s="232">
        <v>37624</v>
      </c>
      <c r="C2748" t="s">
        <v>3953</v>
      </c>
      <c r="E2748" s="1">
        <v>480</v>
      </c>
      <c r="F2748" t="s">
        <v>3954</v>
      </c>
      <c r="G2748" s="8" t="s">
        <v>1360</v>
      </c>
      <c r="K2748" s="2"/>
      <c r="N2748">
        <f t="shared" si="39"/>
        <v>0</v>
      </c>
    </row>
    <row r="2749" spans="1:14" hidden="1">
      <c r="A2749" s="232">
        <v>37683</v>
      </c>
      <c r="C2749" t="s">
        <v>3955</v>
      </c>
      <c r="E2749" s="1">
        <v>133</v>
      </c>
      <c r="F2749" t="s">
        <v>3956</v>
      </c>
      <c r="G2749" s="8" t="s">
        <v>1360</v>
      </c>
      <c r="K2749" s="2"/>
      <c r="N2749">
        <f t="shared" si="39"/>
        <v>0</v>
      </c>
    </row>
    <row r="2750" spans="1:14" hidden="1">
      <c r="A2750" s="232">
        <v>38445</v>
      </c>
      <c r="C2750" t="s">
        <v>3957</v>
      </c>
      <c r="E2750" s="1">
        <v>11535</v>
      </c>
      <c r="F2750" t="s">
        <v>3958</v>
      </c>
      <c r="G2750" s="8" t="s">
        <v>1380</v>
      </c>
      <c r="K2750" s="2"/>
      <c r="N2750">
        <f t="shared" si="39"/>
        <v>0</v>
      </c>
    </row>
    <row r="2751" spans="1:14" hidden="1">
      <c r="A2751" s="232">
        <v>38445</v>
      </c>
      <c r="C2751" t="s">
        <v>3959</v>
      </c>
      <c r="D2751" s="1">
        <v>15000</v>
      </c>
      <c r="E2751" s="1">
        <v>0</v>
      </c>
      <c r="F2751" t="s">
        <v>3960</v>
      </c>
      <c r="G2751" s="8" t="s">
        <v>1379</v>
      </c>
      <c r="K2751" s="2"/>
      <c r="N2751">
        <f t="shared" si="39"/>
        <v>15000</v>
      </c>
    </row>
    <row r="2752" spans="1:14" hidden="1">
      <c r="A2752" s="232">
        <v>37625</v>
      </c>
      <c r="C2752" t="s">
        <v>1394</v>
      </c>
      <c r="E2752" s="1">
        <v>0</v>
      </c>
      <c r="F2752" t="s">
        <v>3960</v>
      </c>
      <c r="K2752" s="2"/>
      <c r="N2752">
        <f t="shared" si="39"/>
        <v>0</v>
      </c>
    </row>
    <row r="2753" spans="1:14" hidden="1">
      <c r="A2753" s="232">
        <v>37898</v>
      </c>
      <c r="B2753">
        <v>563137</v>
      </c>
      <c r="C2753" t="s">
        <v>3257</v>
      </c>
      <c r="D2753" s="1">
        <v>14832</v>
      </c>
      <c r="E2753" s="1">
        <v>0</v>
      </c>
      <c r="F2753" t="s">
        <v>3961</v>
      </c>
      <c r="G2753" s="8" t="s">
        <v>1366</v>
      </c>
      <c r="K2753" s="2"/>
      <c r="N2753">
        <f t="shared" si="39"/>
        <v>14832</v>
      </c>
    </row>
    <row r="2754" spans="1:14" hidden="1">
      <c r="A2754" s="232">
        <v>37898</v>
      </c>
      <c r="C2754" t="s">
        <v>3962</v>
      </c>
      <c r="E2754" s="1">
        <v>9999</v>
      </c>
      <c r="F2754" t="s">
        <v>3963</v>
      </c>
      <c r="G2754" s="8" t="s">
        <v>1379</v>
      </c>
      <c r="K2754" s="2"/>
      <c r="N2754">
        <f t="shared" si="39"/>
        <v>0</v>
      </c>
    </row>
    <row r="2755" spans="1:14" hidden="1">
      <c r="A2755" s="232">
        <v>38356</v>
      </c>
      <c r="C2755" t="s">
        <v>3964</v>
      </c>
      <c r="E2755" s="1">
        <v>51435</v>
      </c>
      <c r="F2755" t="s">
        <v>3965</v>
      </c>
      <c r="G2755" s="8" t="s">
        <v>1380</v>
      </c>
      <c r="K2755" s="2"/>
      <c r="N2755">
        <f t="shared" si="39"/>
        <v>0</v>
      </c>
    </row>
    <row r="2756" spans="1:14" hidden="1">
      <c r="A2756" s="232">
        <v>38356</v>
      </c>
      <c r="C2756" t="s">
        <v>3966</v>
      </c>
      <c r="D2756" s="1">
        <v>45000</v>
      </c>
      <c r="E2756" s="1">
        <v>0</v>
      </c>
      <c r="F2756" t="s">
        <v>3967</v>
      </c>
      <c r="G2756" s="8" t="s">
        <v>1379</v>
      </c>
      <c r="K2756" s="2"/>
      <c r="N2756">
        <f t="shared" si="39"/>
        <v>45000</v>
      </c>
    </row>
    <row r="2757" spans="1:14" hidden="1">
      <c r="A2757" s="232">
        <v>37685</v>
      </c>
      <c r="B2757">
        <v>563138</v>
      </c>
      <c r="C2757" t="s">
        <v>3257</v>
      </c>
      <c r="D2757" s="1">
        <v>14832</v>
      </c>
      <c r="E2757" s="1">
        <v>0</v>
      </c>
      <c r="F2757" t="s">
        <v>3968</v>
      </c>
      <c r="G2757" s="8" t="s">
        <v>1366</v>
      </c>
      <c r="K2757" s="2"/>
      <c r="N2757">
        <f t="shared" si="39"/>
        <v>14832</v>
      </c>
    </row>
    <row r="2758" spans="1:14" hidden="1">
      <c r="A2758" s="232">
        <v>37685</v>
      </c>
      <c r="C2758" t="s">
        <v>3969</v>
      </c>
      <c r="E2758" s="1">
        <v>9000</v>
      </c>
      <c r="F2758" t="s">
        <v>3970</v>
      </c>
      <c r="G2758" s="8" t="s">
        <v>1379</v>
      </c>
      <c r="K2758" s="2"/>
      <c r="N2758">
        <f t="shared" si="39"/>
        <v>0</v>
      </c>
    </row>
    <row r="2759" spans="1:14" hidden="1">
      <c r="A2759" s="232">
        <v>37838</v>
      </c>
      <c r="B2759">
        <v>24126</v>
      </c>
      <c r="C2759" t="s">
        <v>959</v>
      </c>
      <c r="D2759" s="1">
        <v>6331</v>
      </c>
      <c r="E2759" s="1">
        <v>0</v>
      </c>
      <c r="F2759" t="s">
        <v>3971</v>
      </c>
      <c r="G2759" s="8" t="s">
        <v>1370</v>
      </c>
      <c r="K2759" s="2"/>
      <c r="N2759">
        <f t="shared" si="39"/>
        <v>6331</v>
      </c>
    </row>
    <row r="2760" spans="1:14" hidden="1">
      <c r="A2760" s="232">
        <v>37838</v>
      </c>
      <c r="C2760" t="s">
        <v>3969</v>
      </c>
      <c r="E2760" s="1">
        <v>6000</v>
      </c>
      <c r="F2760" t="s">
        <v>3972</v>
      </c>
      <c r="G2760" s="8" t="s">
        <v>1379</v>
      </c>
      <c r="K2760" s="2"/>
      <c r="N2760">
        <f t="shared" si="39"/>
        <v>0</v>
      </c>
    </row>
    <row r="2761" spans="1:14" hidden="1">
      <c r="A2761" s="232">
        <v>38416</v>
      </c>
      <c r="C2761" t="s">
        <v>3973</v>
      </c>
      <c r="E2761" s="1">
        <v>13715</v>
      </c>
      <c r="F2761" t="s">
        <v>3974</v>
      </c>
      <c r="G2761" s="8" t="s">
        <v>1380</v>
      </c>
      <c r="K2761" s="2"/>
      <c r="N2761">
        <f t="shared" si="39"/>
        <v>0</v>
      </c>
    </row>
    <row r="2762" spans="1:14" hidden="1">
      <c r="A2762" s="232">
        <v>38416</v>
      </c>
      <c r="C2762" t="s">
        <v>3975</v>
      </c>
      <c r="D2762" s="1">
        <v>5000</v>
      </c>
      <c r="E2762" s="1">
        <v>0</v>
      </c>
      <c r="F2762" t="s">
        <v>3976</v>
      </c>
      <c r="G2762" s="8" t="s">
        <v>1379</v>
      </c>
      <c r="K2762" s="2"/>
      <c r="N2762">
        <f t="shared" si="39"/>
        <v>5000</v>
      </c>
    </row>
    <row r="2763" spans="1:14" hidden="1">
      <c r="A2763" s="232">
        <v>37870</v>
      </c>
      <c r="B2763">
        <v>563139</v>
      </c>
      <c r="C2763" t="s">
        <v>3977</v>
      </c>
      <c r="D2763" s="1">
        <v>14832</v>
      </c>
      <c r="E2763" s="1">
        <v>0</v>
      </c>
      <c r="F2763" t="s">
        <v>3978</v>
      </c>
      <c r="G2763" s="8" t="s">
        <v>1366</v>
      </c>
      <c r="K2763" s="2"/>
      <c r="N2763">
        <f t="shared" ref="N2763:N2826" si="40">D2763*1</f>
        <v>14832</v>
      </c>
    </row>
    <row r="2764" spans="1:14" hidden="1">
      <c r="A2764" s="232">
        <v>37870</v>
      </c>
      <c r="C2764" t="s">
        <v>3979</v>
      </c>
      <c r="E2764" s="1">
        <v>5000</v>
      </c>
      <c r="F2764" t="s">
        <v>3980</v>
      </c>
      <c r="G2764" s="8" t="s">
        <v>1379</v>
      </c>
      <c r="K2764" s="2"/>
      <c r="N2764">
        <f t="shared" si="40"/>
        <v>0</v>
      </c>
    </row>
    <row r="2765" spans="1:14" hidden="1">
      <c r="A2765" s="232">
        <v>37870</v>
      </c>
      <c r="C2765" t="s">
        <v>3981</v>
      </c>
      <c r="E2765" s="1">
        <v>1001</v>
      </c>
      <c r="F2765" t="s">
        <v>3982</v>
      </c>
      <c r="G2765" s="8" t="s">
        <v>1379</v>
      </c>
      <c r="K2765" s="2"/>
      <c r="N2765">
        <f t="shared" si="40"/>
        <v>0</v>
      </c>
    </row>
    <row r="2766" spans="1:14" hidden="1">
      <c r="A2766" s="232">
        <v>38417</v>
      </c>
      <c r="C2766" t="s">
        <v>3983</v>
      </c>
      <c r="E2766" s="1">
        <v>13355</v>
      </c>
      <c r="F2766" t="s">
        <v>3984</v>
      </c>
      <c r="G2766" s="8" t="s">
        <v>1380</v>
      </c>
      <c r="K2766" s="2"/>
      <c r="N2766">
        <f t="shared" si="40"/>
        <v>0</v>
      </c>
    </row>
    <row r="2767" spans="1:14" hidden="1">
      <c r="A2767" s="232">
        <v>38417</v>
      </c>
      <c r="C2767" t="s">
        <v>3985</v>
      </c>
      <c r="D2767" s="1">
        <v>5000</v>
      </c>
      <c r="E2767" s="1">
        <v>0</v>
      </c>
      <c r="F2767" t="s">
        <v>3986</v>
      </c>
      <c r="G2767" s="8" t="s">
        <v>1379</v>
      </c>
      <c r="K2767" s="2"/>
      <c r="N2767">
        <f t="shared" si="40"/>
        <v>5000</v>
      </c>
    </row>
    <row r="2768" spans="1:14" hidden="1">
      <c r="A2768" s="232">
        <v>37625</v>
      </c>
      <c r="C2768" t="s">
        <v>1394</v>
      </c>
      <c r="E2768" s="1">
        <v>0</v>
      </c>
      <c r="F2768" t="s">
        <v>3987</v>
      </c>
      <c r="K2768" s="2"/>
      <c r="N2768">
        <f t="shared" si="40"/>
        <v>0</v>
      </c>
    </row>
    <row r="2769" spans="1:14" hidden="1">
      <c r="A2769" s="232">
        <v>38295</v>
      </c>
      <c r="C2769" t="s">
        <v>3988</v>
      </c>
      <c r="E2769" s="1">
        <v>73</v>
      </c>
      <c r="F2769" t="s">
        <v>3989</v>
      </c>
      <c r="G2769" s="8" t="s">
        <v>1368</v>
      </c>
      <c r="K2769" s="2"/>
      <c r="N2769">
        <f t="shared" si="40"/>
        <v>0</v>
      </c>
    </row>
    <row r="2770" spans="1:14" hidden="1">
      <c r="A2770" s="232">
        <v>38295</v>
      </c>
      <c r="C2770" t="s">
        <v>3990</v>
      </c>
      <c r="D2770" s="1">
        <v>15729</v>
      </c>
      <c r="E2770" s="1">
        <v>0</v>
      </c>
      <c r="F2770">
        <v>0</v>
      </c>
      <c r="K2770" s="2"/>
      <c r="N2770">
        <f t="shared" si="40"/>
        <v>15729</v>
      </c>
    </row>
    <row r="2771" spans="1:14" hidden="1">
      <c r="A2771" s="232">
        <v>37631</v>
      </c>
      <c r="C2771" t="s">
        <v>1394</v>
      </c>
      <c r="E2771" s="1">
        <v>0</v>
      </c>
      <c r="F2771" t="s">
        <v>3991</v>
      </c>
      <c r="K2771" s="2"/>
      <c r="N2771">
        <f t="shared" si="40"/>
        <v>0</v>
      </c>
    </row>
    <row r="2772" spans="1:14" hidden="1">
      <c r="A2772" s="232">
        <v>37843</v>
      </c>
      <c r="B2772">
        <v>563146</v>
      </c>
      <c r="C2772" t="s">
        <v>3992</v>
      </c>
      <c r="D2772" s="1">
        <v>14832</v>
      </c>
      <c r="E2772" s="1">
        <v>0</v>
      </c>
      <c r="F2772" t="s">
        <v>3993</v>
      </c>
      <c r="G2772" s="8" t="s">
        <v>1366</v>
      </c>
      <c r="K2772" s="2"/>
      <c r="N2772">
        <f t="shared" si="40"/>
        <v>14832</v>
      </c>
    </row>
    <row r="2773" spans="1:14" hidden="1">
      <c r="A2773" s="232">
        <v>37843</v>
      </c>
      <c r="C2773" t="s">
        <v>3994</v>
      </c>
      <c r="E2773" s="1">
        <v>5000</v>
      </c>
      <c r="F2773" t="s">
        <v>3995</v>
      </c>
      <c r="G2773" s="8" t="s">
        <v>1379</v>
      </c>
      <c r="K2773" s="2"/>
      <c r="N2773">
        <f t="shared" si="40"/>
        <v>0</v>
      </c>
    </row>
    <row r="2774" spans="1:14" hidden="1">
      <c r="A2774" s="232">
        <v>37843</v>
      </c>
      <c r="C2774" t="s">
        <v>3996</v>
      </c>
      <c r="E2774" s="1">
        <v>5779</v>
      </c>
      <c r="F2774" t="s">
        <v>3997</v>
      </c>
      <c r="G2774" s="8" t="s">
        <v>1379</v>
      </c>
      <c r="K2774" s="2"/>
      <c r="N2774">
        <f t="shared" si="40"/>
        <v>0</v>
      </c>
    </row>
    <row r="2775" spans="1:14" hidden="1">
      <c r="A2775" s="232">
        <v>38240</v>
      </c>
      <c r="C2775" t="s">
        <v>3998</v>
      </c>
      <c r="E2775" s="1">
        <v>13360</v>
      </c>
      <c r="F2775" t="s">
        <v>3999</v>
      </c>
      <c r="G2775" s="8" t="s">
        <v>1380</v>
      </c>
      <c r="K2775" s="2"/>
      <c r="N2775">
        <f t="shared" si="40"/>
        <v>0</v>
      </c>
    </row>
    <row r="2776" spans="1:14" hidden="1">
      <c r="A2776" s="232">
        <v>38421</v>
      </c>
      <c r="C2776" t="s">
        <v>4000</v>
      </c>
      <c r="D2776" s="1">
        <v>10000</v>
      </c>
      <c r="E2776" s="1">
        <v>0</v>
      </c>
      <c r="F2776" t="s">
        <v>4001</v>
      </c>
      <c r="G2776" s="8" t="s">
        <v>1379</v>
      </c>
      <c r="K2776" s="2"/>
      <c r="N2776">
        <f t="shared" si="40"/>
        <v>10000</v>
      </c>
    </row>
    <row r="2777" spans="1:14" hidden="1">
      <c r="A2777" s="232">
        <v>37691</v>
      </c>
      <c r="B2777">
        <v>24128</v>
      </c>
      <c r="C2777" t="s">
        <v>959</v>
      </c>
      <c r="D2777" s="1">
        <v>6331</v>
      </c>
      <c r="E2777" s="1">
        <v>0</v>
      </c>
      <c r="F2777" t="s">
        <v>4002</v>
      </c>
      <c r="G2777" s="8" t="s">
        <v>1370</v>
      </c>
      <c r="K2777" s="2"/>
      <c r="N2777">
        <f t="shared" si="40"/>
        <v>6331</v>
      </c>
    </row>
    <row r="2778" spans="1:14" hidden="1">
      <c r="A2778" s="232">
        <v>37691</v>
      </c>
      <c r="C2778" t="s">
        <v>4003</v>
      </c>
      <c r="E2778" s="1">
        <v>5000</v>
      </c>
      <c r="F2778" t="s">
        <v>4004</v>
      </c>
      <c r="G2778" s="8" t="s">
        <v>1379</v>
      </c>
      <c r="K2778" s="2"/>
      <c r="N2778">
        <f t="shared" si="40"/>
        <v>0</v>
      </c>
    </row>
    <row r="2779" spans="1:14" hidden="1">
      <c r="A2779" s="232">
        <v>37752</v>
      </c>
      <c r="B2779">
        <v>563143</v>
      </c>
      <c r="C2779" t="s">
        <v>3221</v>
      </c>
      <c r="D2779" s="1">
        <v>14832</v>
      </c>
      <c r="E2779" s="1">
        <v>0</v>
      </c>
      <c r="F2779" t="s">
        <v>4005</v>
      </c>
      <c r="G2779" s="8" t="s">
        <v>1366</v>
      </c>
      <c r="K2779" s="2"/>
      <c r="N2779">
        <f t="shared" si="40"/>
        <v>14832</v>
      </c>
    </row>
    <row r="2780" spans="1:14" hidden="1">
      <c r="A2780" s="232">
        <v>37752</v>
      </c>
      <c r="C2780" t="s">
        <v>4003</v>
      </c>
      <c r="E2780" s="1">
        <v>5000</v>
      </c>
      <c r="F2780" t="s">
        <v>4006</v>
      </c>
      <c r="G2780" s="8" t="s">
        <v>1379</v>
      </c>
      <c r="K2780" s="2"/>
      <c r="N2780">
        <f t="shared" si="40"/>
        <v>0</v>
      </c>
    </row>
    <row r="2781" spans="1:14" hidden="1">
      <c r="A2781" s="232">
        <v>37752</v>
      </c>
      <c r="C2781" t="s">
        <v>4007</v>
      </c>
      <c r="E2781" s="1">
        <v>938</v>
      </c>
      <c r="F2781" t="s">
        <v>4008</v>
      </c>
      <c r="G2781" s="8" t="s">
        <v>1379</v>
      </c>
      <c r="K2781" s="2"/>
      <c r="N2781">
        <f t="shared" si="40"/>
        <v>0</v>
      </c>
    </row>
    <row r="2782" spans="1:14" hidden="1">
      <c r="A2782" s="232">
        <v>37752</v>
      </c>
      <c r="C2782" t="s">
        <v>4009</v>
      </c>
      <c r="E2782" s="1">
        <v>10000</v>
      </c>
      <c r="F2782" t="s">
        <v>4010</v>
      </c>
      <c r="G2782" s="8" t="s">
        <v>1379</v>
      </c>
      <c r="K2782" s="2"/>
      <c r="N2782">
        <f t="shared" si="40"/>
        <v>0</v>
      </c>
    </row>
    <row r="2783" spans="1:14" hidden="1">
      <c r="A2783" s="232">
        <v>38363</v>
      </c>
      <c r="C2783" t="s">
        <v>4011</v>
      </c>
      <c r="E2783" s="1">
        <v>13355</v>
      </c>
      <c r="F2783" t="s">
        <v>4012</v>
      </c>
      <c r="G2783" s="8" t="s">
        <v>1380</v>
      </c>
      <c r="K2783" s="2"/>
      <c r="N2783">
        <f t="shared" si="40"/>
        <v>0</v>
      </c>
    </row>
    <row r="2784" spans="1:14" hidden="1">
      <c r="A2784" s="232">
        <v>38422</v>
      </c>
      <c r="C2784" t="s">
        <v>4013</v>
      </c>
      <c r="E2784" s="1">
        <v>227500</v>
      </c>
      <c r="F2784" t="s">
        <v>4014</v>
      </c>
      <c r="G2784" s="8" t="s">
        <v>1380</v>
      </c>
      <c r="K2784" s="2"/>
      <c r="N2784">
        <f t="shared" si="40"/>
        <v>0</v>
      </c>
    </row>
    <row r="2785" spans="1:14" hidden="1">
      <c r="A2785" s="232">
        <v>38483</v>
      </c>
      <c r="C2785" t="s">
        <v>4015</v>
      </c>
      <c r="D2785" s="1">
        <v>240000</v>
      </c>
      <c r="E2785" s="1">
        <v>0</v>
      </c>
      <c r="F2785" t="s">
        <v>4016</v>
      </c>
      <c r="G2785" s="8" t="s">
        <v>1379</v>
      </c>
      <c r="K2785" s="2"/>
      <c r="N2785">
        <f t="shared" si="40"/>
        <v>240000</v>
      </c>
    </row>
    <row r="2786" spans="1:14" hidden="1">
      <c r="A2786" s="232">
        <v>37723</v>
      </c>
      <c r="B2786">
        <v>563144</v>
      </c>
      <c r="C2786" t="s">
        <v>3992</v>
      </c>
      <c r="D2786" s="1">
        <v>14832</v>
      </c>
      <c r="E2786" s="1">
        <v>0</v>
      </c>
      <c r="F2786" t="s">
        <v>4017</v>
      </c>
      <c r="G2786" s="8" t="s">
        <v>1366</v>
      </c>
      <c r="K2786" s="2"/>
      <c r="N2786">
        <f t="shared" si="40"/>
        <v>14832</v>
      </c>
    </row>
    <row r="2787" spans="1:14" hidden="1">
      <c r="A2787" s="232">
        <v>37723</v>
      </c>
      <c r="C2787" t="s">
        <v>4018</v>
      </c>
      <c r="E2787" s="1">
        <v>15000</v>
      </c>
      <c r="F2787" t="s">
        <v>4019</v>
      </c>
      <c r="G2787" s="8" t="s">
        <v>1379</v>
      </c>
      <c r="K2787" s="2"/>
      <c r="N2787">
        <f t="shared" si="40"/>
        <v>0</v>
      </c>
    </row>
    <row r="2788" spans="1:14" hidden="1">
      <c r="A2788" s="232">
        <v>37723</v>
      </c>
      <c r="C2788" t="s">
        <v>4020</v>
      </c>
      <c r="E2788" s="1">
        <v>271800</v>
      </c>
      <c r="F2788" t="s">
        <v>4021</v>
      </c>
      <c r="G2788" s="8" t="s">
        <v>1380</v>
      </c>
      <c r="K2788" s="2"/>
      <c r="N2788">
        <f t="shared" si="40"/>
        <v>0</v>
      </c>
    </row>
    <row r="2789" spans="1:14" hidden="1">
      <c r="A2789" s="232">
        <v>37784</v>
      </c>
      <c r="C2789" t="s">
        <v>4022</v>
      </c>
      <c r="D2789" s="1">
        <v>275000</v>
      </c>
      <c r="E2789" s="1">
        <v>0</v>
      </c>
      <c r="F2789" t="s">
        <v>4023</v>
      </c>
      <c r="G2789" s="8" t="s">
        <v>1379</v>
      </c>
      <c r="K2789" s="2"/>
      <c r="N2789">
        <f t="shared" si="40"/>
        <v>275000</v>
      </c>
    </row>
    <row r="2790" spans="1:14" hidden="1">
      <c r="A2790" s="232">
        <v>38333</v>
      </c>
      <c r="C2790" t="s">
        <v>4024</v>
      </c>
      <c r="E2790" s="1">
        <v>13360</v>
      </c>
      <c r="F2790" t="s">
        <v>4025</v>
      </c>
      <c r="G2790" s="8" t="s">
        <v>1380</v>
      </c>
      <c r="K2790" s="2"/>
      <c r="N2790">
        <f t="shared" si="40"/>
        <v>0</v>
      </c>
    </row>
    <row r="2791" spans="1:14" hidden="1">
      <c r="A2791" s="232">
        <v>38423</v>
      </c>
      <c r="C2791" t="s">
        <v>4026</v>
      </c>
      <c r="D2791" s="1">
        <v>10000</v>
      </c>
      <c r="E2791" s="1">
        <v>0</v>
      </c>
      <c r="F2791" t="s">
        <v>4027</v>
      </c>
      <c r="G2791" s="8" t="s">
        <v>1379</v>
      </c>
      <c r="K2791" s="2"/>
      <c r="N2791">
        <f t="shared" si="40"/>
        <v>10000</v>
      </c>
    </row>
    <row r="2792" spans="1:14" hidden="1">
      <c r="A2792" s="232">
        <v>38515</v>
      </c>
      <c r="B2792">
        <v>24129</v>
      </c>
      <c r="C2792" t="s">
        <v>4028</v>
      </c>
      <c r="D2792" s="1">
        <v>14000</v>
      </c>
      <c r="E2792" s="1">
        <v>0</v>
      </c>
      <c r="F2792" t="s">
        <v>4029</v>
      </c>
      <c r="K2792" s="2"/>
      <c r="N2792">
        <f t="shared" si="40"/>
        <v>14000</v>
      </c>
    </row>
    <row r="2793" spans="1:14" hidden="1">
      <c r="A2793" s="232">
        <v>38515</v>
      </c>
      <c r="C2793" t="s">
        <v>4030</v>
      </c>
      <c r="E2793" s="1">
        <v>10000</v>
      </c>
      <c r="F2793" t="s">
        <v>4031</v>
      </c>
      <c r="G2793" s="8" t="s">
        <v>1379</v>
      </c>
      <c r="K2793" s="2"/>
      <c r="N2793">
        <f t="shared" si="40"/>
        <v>0</v>
      </c>
    </row>
    <row r="2794" spans="1:14" hidden="1">
      <c r="A2794" s="232">
        <v>37631</v>
      </c>
      <c r="C2794" t="s">
        <v>1394</v>
      </c>
      <c r="E2794" s="1">
        <v>0</v>
      </c>
      <c r="F2794" t="s">
        <v>4032</v>
      </c>
      <c r="K2794" s="2"/>
      <c r="N2794">
        <f t="shared" si="40"/>
        <v>0</v>
      </c>
    </row>
    <row r="2795" spans="1:14" hidden="1">
      <c r="A2795" s="232">
        <v>38301</v>
      </c>
      <c r="C2795" t="s">
        <v>4033</v>
      </c>
      <c r="E2795" s="1">
        <v>406</v>
      </c>
      <c r="F2795" t="s">
        <v>4034</v>
      </c>
      <c r="G2795" s="8" t="s">
        <v>1368</v>
      </c>
      <c r="K2795" s="2"/>
      <c r="N2795">
        <f t="shared" si="40"/>
        <v>0</v>
      </c>
    </row>
    <row r="2796" spans="1:14" hidden="1">
      <c r="A2796" s="232">
        <v>38301</v>
      </c>
      <c r="C2796" t="s">
        <v>4035</v>
      </c>
      <c r="D2796" s="1">
        <v>10684</v>
      </c>
      <c r="E2796" s="1">
        <v>0</v>
      </c>
      <c r="F2796">
        <v>0</v>
      </c>
      <c r="K2796" s="2"/>
      <c r="N2796">
        <f t="shared" si="40"/>
        <v>10684</v>
      </c>
    </row>
    <row r="2797" spans="1:14" hidden="1">
      <c r="A2797" s="232">
        <v>37987</v>
      </c>
      <c r="C2797" t="s">
        <v>1394</v>
      </c>
      <c r="E2797" s="1">
        <v>0</v>
      </c>
      <c r="F2797" t="s">
        <v>4031</v>
      </c>
      <c r="K2797" s="2"/>
      <c r="N2797">
        <f t="shared" si="40"/>
        <v>0</v>
      </c>
    </row>
    <row r="2798" spans="1:14" hidden="1">
      <c r="A2798" s="232">
        <v>37987</v>
      </c>
      <c r="B2798">
        <v>563145</v>
      </c>
      <c r="C2798" t="s">
        <v>3257</v>
      </c>
      <c r="D2798" s="1">
        <v>14832</v>
      </c>
      <c r="E2798" s="1">
        <v>0</v>
      </c>
      <c r="F2798" t="s">
        <v>4036</v>
      </c>
      <c r="G2798" s="8" t="s">
        <v>1366</v>
      </c>
      <c r="K2798" s="2"/>
      <c r="N2798">
        <f t="shared" si="40"/>
        <v>14832</v>
      </c>
    </row>
    <row r="2799" spans="1:14" hidden="1">
      <c r="A2799" s="232">
        <v>37987</v>
      </c>
      <c r="C2799" t="s">
        <v>4037</v>
      </c>
      <c r="E2799" s="1">
        <v>15032</v>
      </c>
      <c r="F2799" t="s">
        <v>4038</v>
      </c>
      <c r="G2799" s="8" t="s">
        <v>1379</v>
      </c>
      <c r="K2799" s="2"/>
      <c r="N2799">
        <f t="shared" si="40"/>
        <v>0</v>
      </c>
    </row>
    <row r="2800" spans="1:14" hidden="1">
      <c r="A2800" s="232">
        <v>38018</v>
      </c>
      <c r="B2800">
        <v>24131</v>
      </c>
      <c r="C2800" t="s">
        <v>4039</v>
      </c>
      <c r="D2800" s="1">
        <v>29000</v>
      </c>
      <c r="E2800" s="1">
        <v>0</v>
      </c>
      <c r="F2800" t="s">
        <v>4040</v>
      </c>
      <c r="K2800" s="2"/>
      <c r="N2800">
        <f t="shared" si="40"/>
        <v>29000</v>
      </c>
    </row>
    <row r="2801" spans="1:14" hidden="1">
      <c r="A2801" s="232">
        <v>38018</v>
      </c>
      <c r="C2801" t="s">
        <v>4037</v>
      </c>
      <c r="E2801" s="1">
        <v>30067</v>
      </c>
      <c r="F2801" t="s">
        <v>4041</v>
      </c>
      <c r="G2801" s="8" t="s">
        <v>1379</v>
      </c>
      <c r="K2801" s="2"/>
      <c r="N2801">
        <f t="shared" si="40"/>
        <v>0</v>
      </c>
    </row>
    <row r="2802" spans="1:14" hidden="1">
      <c r="A2802" s="232">
        <v>38047</v>
      </c>
      <c r="C2802" t="s">
        <v>4042</v>
      </c>
      <c r="D2802" s="1">
        <v>12000</v>
      </c>
      <c r="E2802" s="1">
        <v>0</v>
      </c>
      <c r="F2802" t="s">
        <v>4043</v>
      </c>
      <c r="G2802" s="8" t="s">
        <v>1361</v>
      </c>
      <c r="K2802" s="2"/>
      <c r="N2802">
        <f t="shared" si="40"/>
        <v>12000</v>
      </c>
    </row>
    <row r="2803" spans="1:14" hidden="1">
      <c r="A2803" s="232">
        <v>38047</v>
      </c>
      <c r="C2803" t="s">
        <v>4037</v>
      </c>
      <c r="E2803" s="1">
        <v>15035</v>
      </c>
      <c r="F2803" t="s">
        <v>4044</v>
      </c>
      <c r="G2803" s="8" t="s">
        <v>1379</v>
      </c>
      <c r="K2803" s="2"/>
      <c r="N2803">
        <f t="shared" si="40"/>
        <v>0</v>
      </c>
    </row>
    <row r="2804" spans="1:14" hidden="1">
      <c r="A2804" s="232">
        <v>38108</v>
      </c>
      <c r="B2804">
        <v>24130</v>
      </c>
      <c r="C2804" t="s">
        <v>959</v>
      </c>
      <c r="D2804" s="1">
        <v>6331</v>
      </c>
      <c r="E2804" s="1">
        <v>0</v>
      </c>
      <c r="F2804" t="s">
        <v>4045</v>
      </c>
      <c r="G2804" s="8" t="s">
        <v>1370</v>
      </c>
      <c r="K2804" s="2"/>
      <c r="N2804">
        <f t="shared" si="40"/>
        <v>6331</v>
      </c>
    </row>
    <row r="2805" spans="1:14" hidden="1">
      <c r="A2805" s="232">
        <v>38108</v>
      </c>
      <c r="C2805" t="s">
        <v>4046</v>
      </c>
      <c r="E2805" s="1">
        <v>5012</v>
      </c>
      <c r="F2805" t="s">
        <v>4047</v>
      </c>
      <c r="G2805" s="8" t="s">
        <v>1379</v>
      </c>
      <c r="K2805" s="2"/>
      <c r="N2805">
        <f t="shared" si="40"/>
        <v>0</v>
      </c>
    </row>
    <row r="2806" spans="1:14" hidden="1">
      <c r="A2806" s="232">
        <v>38353</v>
      </c>
      <c r="C2806" t="s">
        <v>4048</v>
      </c>
      <c r="D2806" s="1">
        <v>7000</v>
      </c>
      <c r="E2806" s="1">
        <v>0</v>
      </c>
      <c r="F2806" t="s">
        <v>4049</v>
      </c>
      <c r="G2806" s="8" t="s">
        <v>1361</v>
      </c>
      <c r="K2806" s="2"/>
      <c r="N2806">
        <f t="shared" si="40"/>
        <v>7000</v>
      </c>
    </row>
    <row r="2807" spans="1:14" hidden="1">
      <c r="A2807" s="232">
        <v>38353</v>
      </c>
      <c r="C2807" t="s">
        <v>4046</v>
      </c>
      <c r="E2807" s="1">
        <v>5016</v>
      </c>
      <c r="F2807" t="s">
        <v>4050</v>
      </c>
      <c r="G2807" s="8" t="s">
        <v>1379</v>
      </c>
      <c r="K2807" s="2"/>
      <c r="N2807">
        <f t="shared" si="40"/>
        <v>0</v>
      </c>
    </row>
    <row r="2808" spans="1:14" hidden="1">
      <c r="A2808" s="232">
        <v>38596</v>
      </c>
      <c r="B2808">
        <v>24133</v>
      </c>
      <c r="C2808" t="s">
        <v>4051</v>
      </c>
      <c r="D2808" s="1">
        <v>14912</v>
      </c>
      <c r="E2808" s="1">
        <v>0</v>
      </c>
      <c r="F2808" t="s">
        <v>4052</v>
      </c>
      <c r="K2808" s="2"/>
      <c r="N2808">
        <f t="shared" si="40"/>
        <v>14912</v>
      </c>
    </row>
    <row r="2809" spans="1:14" hidden="1">
      <c r="A2809" s="232">
        <v>38596</v>
      </c>
      <c r="C2809" t="s">
        <v>4037</v>
      </c>
      <c r="E2809" s="1">
        <v>15057</v>
      </c>
      <c r="F2809" t="s">
        <v>4053</v>
      </c>
      <c r="G2809" s="8" t="s">
        <v>1379</v>
      </c>
      <c r="K2809" s="2"/>
      <c r="N2809">
        <f t="shared" si="40"/>
        <v>0</v>
      </c>
    </row>
    <row r="2810" spans="1:14" hidden="1">
      <c r="A2810" s="232">
        <v>38596</v>
      </c>
      <c r="C2810" t="s">
        <v>4054</v>
      </c>
      <c r="D2810" s="1">
        <v>10000</v>
      </c>
      <c r="E2810" s="1">
        <v>0</v>
      </c>
      <c r="F2810" t="s">
        <v>4055</v>
      </c>
      <c r="G2810" s="8" t="s">
        <v>1361</v>
      </c>
      <c r="K2810" s="2"/>
      <c r="N2810">
        <f t="shared" si="40"/>
        <v>10000</v>
      </c>
    </row>
    <row r="2811" spans="1:14" hidden="1">
      <c r="A2811" s="232">
        <v>38596</v>
      </c>
      <c r="C2811" t="s">
        <v>4046</v>
      </c>
      <c r="E2811" s="1">
        <v>10038</v>
      </c>
      <c r="F2811" t="s">
        <v>4056</v>
      </c>
      <c r="G2811" s="8" t="s">
        <v>1379</v>
      </c>
      <c r="K2811" s="2"/>
      <c r="N2811">
        <f t="shared" si="40"/>
        <v>0</v>
      </c>
    </row>
    <row r="2812" spans="1:14" hidden="1">
      <c r="A2812" s="232">
        <v>38687</v>
      </c>
      <c r="B2812">
        <v>24134</v>
      </c>
      <c r="C2812" t="s">
        <v>4057</v>
      </c>
      <c r="D2812" s="1">
        <v>30000</v>
      </c>
      <c r="E2812" s="1">
        <v>0</v>
      </c>
      <c r="F2812" t="s">
        <v>4058</v>
      </c>
      <c r="G2812" s="8" t="s">
        <v>1360</v>
      </c>
      <c r="K2812" s="2"/>
      <c r="N2812">
        <f t="shared" si="40"/>
        <v>30000</v>
      </c>
    </row>
    <row r="2813" spans="1:14" hidden="1">
      <c r="A2813" s="232">
        <v>38687</v>
      </c>
      <c r="C2813" t="s">
        <v>4037</v>
      </c>
      <c r="E2813" s="1">
        <v>30121</v>
      </c>
      <c r="F2813" t="s">
        <v>4059</v>
      </c>
      <c r="G2813" s="8" t="s">
        <v>1379</v>
      </c>
      <c r="K2813" s="2"/>
      <c r="N2813">
        <f t="shared" si="40"/>
        <v>0</v>
      </c>
    </row>
    <row r="2814" spans="1:14" hidden="1">
      <c r="A2814" s="232">
        <v>38777</v>
      </c>
      <c r="C2814" t="s">
        <v>4060</v>
      </c>
      <c r="E2814" s="1">
        <v>13355</v>
      </c>
      <c r="F2814" t="s">
        <v>4061</v>
      </c>
      <c r="G2814" s="8" t="s">
        <v>1380</v>
      </c>
      <c r="K2814" s="2"/>
      <c r="N2814">
        <f t="shared" si="40"/>
        <v>0</v>
      </c>
    </row>
    <row r="2815" spans="1:14" hidden="1">
      <c r="A2815" s="232">
        <v>38899</v>
      </c>
      <c r="C2815" t="s">
        <v>4062</v>
      </c>
      <c r="D2815" s="1">
        <v>15000</v>
      </c>
      <c r="E2815" s="1">
        <v>0</v>
      </c>
      <c r="F2815" t="s">
        <v>4063</v>
      </c>
      <c r="G2815" s="8" t="s">
        <v>1379</v>
      </c>
      <c r="K2815" s="2"/>
      <c r="N2815">
        <f t="shared" si="40"/>
        <v>15000</v>
      </c>
    </row>
    <row r="2816" spans="1:14" hidden="1">
      <c r="A2816" s="232">
        <v>38079</v>
      </c>
      <c r="B2816">
        <v>24137</v>
      </c>
      <c r="C2816" t="s">
        <v>4064</v>
      </c>
      <c r="D2816" s="1">
        <v>10000</v>
      </c>
      <c r="E2816" s="1">
        <v>0</v>
      </c>
      <c r="F2816" t="s">
        <v>4065</v>
      </c>
      <c r="G2816" s="8" t="s">
        <v>1360</v>
      </c>
      <c r="K2816" s="2"/>
      <c r="N2816">
        <f t="shared" si="40"/>
        <v>10000</v>
      </c>
    </row>
    <row r="2817" spans="1:14" hidden="1">
      <c r="A2817" s="232">
        <v>38079</v>
      </c>
      <c r="B2817">
        <v>24136</v>
      </c>
      <c r="C2817" t="s">
        <v>959</v>
      </c>
      <c r="D2817" s="1">
        <v>3731</v>
      </c>
      <c r="E2817" s="1">
        <v>0</v>
      </c>
      <c r="F2817" t="s">
        <v>4066</v>
      </c>
      <c r="G2817" s="8" t="s">
        <v>1370</v>
      </c>
      <c r="K2817" s="2"/>
      <c r="N2817">
        <f t="shared" si="40"/>
        <v>3731</v>
      </c>
    </row>
    <row r="2818" spans="1:14" hidden="1">
      <c r="A2818" s="232">
        <v>38079</v>
      </c>
      <c r="B2818">
        <v>24135</v>
      </c>
      <c r="C2818" t="s">
        <v>959</v>
      </c>
      <c r="D2818" s="1">
        <v>1891</v>
      </c>
      <c r="E2818" s="1">
        <v>0</v>
      </c>
      <c r="F2818" t="s">
        <v>4067</v>
      </c>
      <c r="G2818" s="8" t="s">
        <v>1370</v>
      </c>
      <c r="K2818" s="2"/>
      <c r="N2818">
        <f t="shared" si="40"/>
        <v>1891</v>
      </c>
    </row>
    <row r="2819" spans="1:14" hidden="1">
      <c r="A2819" s="232">
        <v>38079</v>
      </c>
      <c r="B2819">
        <v>24138</v>
      </c>
      <c r="C2819" t="s">
        <v>3221</v>
      </c>
      <c r="D2819" s="1">
        <v>14832</v>
      </c>
      <c r="E2819" s="1">
        <v>0</v>
      </c>
      <c r="F2819" t="s">
        <v>4068</v>
      </c>
      <c r="G2819" s="8" t="s">
        <v>1366</v>
      </c>
      <c r="K2819" s="2"/>
      <c r="N2819">
        <f t="shared" si="40"/>
        <v>14832</v>
      </c>
    </row>
    <row r="2820" spans="1:14" hidden="1">
      <c r="A2820" s="232">
        <v>38079</v>
      </c>
      <c r="C2820" t="s">
        <v>4069</v>
      </c>
      <c r="E2820" s="1">
        <v>15000</v>
      </c>
      <c r="F2820" t="s">
        <v>4070</v>
      </c>
      <c r="G2820" s="8" t="s">
        <v>1379</v>
      </c>
      <c r="K2820" s="2"/>
      <c r="N2820">
        <f t="shared" si="40"/>
        <v>0</v>
      </c>
    </row>
    <row r="2821" spans="1:14" hidden="1">
      <c r="A2821" s="232">
        <v>38079</v>
      </c>
      <c r="C2821" t="s">
        <v>4071</v>
      </c>
      <c r="E2821" s="1">
        <v>20000</v>
      </c>
      <c r="F2821" t="s">
        <v>4072</v>
      </c>
      <c r="G2821" s="8" t="s">
        <v>1379</v>
      </c>
      <c r="K2821" s="2"/>
      <c r="N2821">
        <f t="shared" si="40"/>
        <v>0</v>
      </c>
    </row>
    <row r="2822" spans="1:14" hidden="1">
      <c r="A2822" s="232">
        <v>38079</v>
      </c>
      <c r="C2822" t="s">
        <v>4037</v>
      </c>
      <c r="E2822" s="1">
        <v>99</v>
      </c>
      <c r="F2822" t="s">
        <v>4073</v>
      </c>
      <c r="G2822" s="8" t="s">
        <v>1379</v>
      </c>
      <c r="K2822" s="2"/>
      <c r="N2822">
        <f t="shared" si="40"/>
        <v>0</v>
      </c>
    </row>
    <row r="2823" spans="1:14" hidden="1">
      <c r="A2823" s="232">
        <v>38232</v>
      </c>
      <c r="C2823" t="s">
        <v>4074</v>
      </c>
      <c r="D2823" s="1">
        <v>10000</v>
      </c>
      <c r="E2823" s="1">
        <v>0</v>
      </c>
      <c r="F2823" t="s">
        <v>4075</v>
      </c>
      <c r="G2823" s="8" t="s">
        <v>1361</v>
      </c>
      <c r="K2823" s="2"/>
      <c r="N2823">
        <f t="shared" si="40"/>
        <v>10000</v>
      </c>
    </row>
    <row r="2824" spans="1:14" hidden="1">
      <c r="A2824" s="232">
        <v>38232</v>
      </c>
      <c r="C2824" t="s">
        <v>4071</v>
      </c>
      <c r="E2824" s="1">
        <v>10000</v>
      </c>
      <c r="F2824" t="s">
        <v>4073</v>
      </c>
      <c r="G2824" s="8" t="s">
        <v>1379</v>
      </c>
      <c r="K2824" s="2"/>
      <c r="N2824">
        <f t="shared" si="40"/>
        <v>0</v>
      </c>
    </row>
    <row r="2825" spans="1:14" hidden="1">
      <c r="A2825" s="232">
        <v>38323</v>
      </c>
      <c r="B2825">
        <v>24139</v>
      </c>
      <c r="C2825" t="s">
        <v>4076</v>
      </c>
      <c r="D2825" s="1">
        <v>55000</v>
      </c>
      <c r="E2825" s="1">
        <v>0</v>
      </c>
      <c r="F2825" t="s">
        <v>4077</v>
      </c>
      <c r="K2825" s="2"/>
      <c r="N2825">
        <f t="shared" si="40"/>
        <v>55000</v>
      </c>
    </row>
    <row r="2826" spans="1:14" hidden="1">
      <c r="A2826" s="232">
        <v>38323</v>
      </c>
      <c r="C2826" t="s">
        <v>4071</v>
      </c>
      <c r="E2826" s="1">
        <v>55000</v>
      </c>
      <c r="F2826" t="s">
        <v>4073</v>
      </c>
      <c r="G2826" s="8" t="s">
        <v>1379</v>
      </c>
      <c r="K2826" s="2"/>
      <c r="N2826">
        <f t="shared" si="40"/>
        <v>0</v>
      </c>
    </row>
    <row r="2827" spans="1:14" hidden="1">
      <c r="A2827" s="232">
        <v>38474</v>
      </c>
      <c r="B2827">
        <v>24140</v>
      </c>
      <c r="C2827" t="s">
        <v>4078</v>
      </c>
      <c r="D2827" s="1">
        <v>2150</v>
      </c>
      <c r="E2827" s="1">
        <v>0</v>
      </c>
      <c r="F2827" t="s">
        <v>4079</v>
      </c>
      <c r="K2827" s="2"/>
      <c r="N2827">
        <f t="shared" ref="N2827:N2890" si="41">D2827*1</f>
        <v>2150</v>
      </c>
    </row>
    <row r="2828" spans="1:14" hidden="1">
      <c r="A2828" s="232">
        <v>38535</v>
      </c>
      <c r="C2828" t="s">
        <v>4037</v>
      </c>
      <c r="E2828" s="1">
        <v>62</v>
      </c>
      <c r="F2828" t="s">
        <v>4080</v>
      </c>
      <c r="G2828" s="8" t="s">
        <v>1379</v>
      </c>
      <c r="K2828" s="2"/>
      <c r="N2828">
        <f t="shared" si="41"/>
        <v>0</v>
      </c>
    </row>
    <row r="2829" spans="1:14" hidden="1">
      <c r="A2829" s="232">
        <v>38535</v>
      </c>
      <c r="C2829" t="s">
        <v>4037</v>
      </c>
      <c r="E2829" s="1">
        <v>358</v>
      </c>
      <c r="F2829" t="s">
        <v>4081</v>
      </c>
      <c r="G2829" s="8" t="s">
        <v>1379</v>
      </c>
      <c r="K2829" s="2"/>
      <c r="N2829">
        <f t="shared" si="41"/>
        <v>0</v>
      </c>
    </row>
    <row r="2830" spans="1:14" hidden="1">
      <c r="A2830" s="232">
        <v>38688</v>
      </c>
      <c r="C2830" t="s">
        <v>4082</v>
      </c>
      <c r="E2830" s="1">
        <v>14025</v>
      </c>
      <c r="F2830" t="s">
        <v>4083</v>
      </c>
      <c r="G2830" s="8" t="s">
        <v>1380</v>
      </c>
      <c r="K2830" s="2"/>
      <c r="N2830">
        <f t="shared" si="41"/>
        <v>0</v>
      </c>
    </row>
    <row r="2831" spans="1:14" hidden="1">
      <c r="A2831" s="232">
        <v>38809</v>
      </c>
      <c r="C2831" t="s">
        <v>4084</v>
      </c>
      <c r="E2831" s="1">
        <v>450</v>
      </c>
      <c r="F2831" t="s">
        <v>4085</v>
      </c>
      <c r="G2831" s="8" t="s">
        <v>1360</v>
      </c>
      <c r="K2831" s="2"/>
      <c r="N2831">
        <f t="shared" si="41"/>
        <v>0</v>
      </c>
    </row>
    <row r="2832" spans="1:14" hidden="1">
      <c r="A2832" s="232">
        <v>38809</v>
      </c>
      <c r="C2832" t="s">
        <v>4086</v>
      </c>
      <c r="E2832" s="1">
        <v>450</v>
      </c>
      <c r="F2832" t="s">
        <v>4087</v>
      </c>
      <c r="G2832" s="8" t="s">
        <v>1360</v>
      </c>
      <c r="K2832" s="2"/>
      <c r="N2832">
        <f t="shared" si="41"/>
        <v>0</v>
      </c>
    </row>
    <row r="2833" spans="1:14" hidden="1">
      <c r="A2833" s="232">
        <v>38809</v>
      </c>
      <c r="C2833" t="s">
        <v>4088</v>
      </c>
      <c r="E2833" s="1">
        <v>1764</v>
      </c>
      <c r="F2833" t="s">
        <v>4089</v>
      </c>
      <c r="G2833" s="8" t="s">
        <v>1360</v>
      </c>
      <c r="K2833" s="2"/>
      <c r="N2833">
        <f t="shared" si="41"/>
        <v>0</v>
      </c>
    </row>
    <row r="2834" spans="1:14" hidden="1">
      <c r="A2834" s="232">
        <v>38809</v>
      </c>
      <c r="C2834" t="s">
        <v>4090</v>
      </c>
      <c r="E2834" s="1">
        <v>181</v>
      </c>
      <c r="F2834" t="s">
        <v>4091</v>
      </c>
      <c r="G2834" s="8" t="s">
        <v>1368</v>
      </c>
      <c r="K2834" s="2"/>
      <c r="N2834">
        <f t="shared" si="41"/>
        <v>0</v>
      </c>
    </row>
    <row r="2835" spans="1:14" hidden="1">
      <c r="A2835" s="232">
        <v>38809</v>
      </c>
      <c r="C2835" t="s">
        <v>4092</v>
      </c>
      <c r="D2835" s="1">
        <v>15000</v>
      </c>
      <c r="E2835" s="1">
        <v>0</v>
      </c>
      <c r="F2835" t="s">
        <v>4093</v>
      </c>
      <c r="G2835" s="8" t="s">
        <v>1379</v>
      </c>
      <c r="K2835" s="2"/>
      <c r="N2835">
        <f t="shared" si="41"/>
        <v>15000</v>
      </c>
    </row>
    <row r="2836" spans="1:14" hidden="1">
      <c r="A2836" s="232">
        <v>38049</v>
      </c>
      <c r="B2836">
        <v>24141</v>
      </c>
      <c r="C2836" t="s">
        <v>4076</v>
      </c>
      <c r="D2836" s="1">
        <v>2550</v>
      </c>
      <c r="E2836" s="1">
        <v>0</v>
      </c>
      <c r="F2836" t="s">
        <v>4094</v>
      </c>
      <c r="K2836" s="2"/>
      <c r="N2836">
        <f t="shared" si="41"/>
        <v>2550</v>
      </c>
    </row>
    <row r="2837" spans="1:14" hidden="1">
      <c r="A2837" s="232">
        <v>38080</v>
      </c>
      <c r="B2837">
        <v>24142</v>
      </c>
      <c r="C2837" t="s">
        <v>3257</v>
      </c>
      <c r="D2837" s="1">
        <v>14832</v>
      </c>
      <c r="E2837" s="1">
        <v>0</v>
      </c>
      <c r="F2837" t="s">
        <v>4095</v>
      </c>
      <c r="G2837" s="8" t="s">
        <v>1366</v>
      </c>
      <c r="K2837" s="2"/>
      <c r="N2837">
        <f t="shared" si="41"/>
        <v>14832</v>
      </c>
    </row>
    <row r="2838" spans="1:14" hidden="1">
      <c r="A2838" s="232">
        <v>38080</v>
      </c>
      <c r="C2838" t="s">
        <v>4096</v>
      </c>
      <c r="E2838" s="1">
        <v>15000</v>
      </c>
      <c r="F2838" t="s">
        <v>4097</v>
      </c>
      <c r="G2838" s="8" t="s">
        <v>1379</v>
      </c>
      <c r="K2838" s="2"/>
      <c r="N2838">
        <f t="shared" si="41"/>
        <v>0</v>
      </c>
    </row>
    <row r="2839" spans="1:14" hidden="1">
      <c r="A2839" s="232">
        <v>38110</v>
      </c>
      <c r="C2839" t="s">
        <v>4098</v>
      </c>
      <c r="E2839" s="1">
        <v>752</v>
      </c>
      <c r="F2839" t="s">
        <v>4099</v>
      </c>
      <c r="G2839" s="8" t="s">
        <v>1360</v>
      </c>
      <c r="K2839" s="2"/>
      <c r="N2839">
        <f t="shared" si="41"/>
        <v>0</v>
      </c>
    </row>
    <row r="2840" spans="1:14" hidden="1">
      <c r="A2840" s="232">
        <v>38324</v>
      </c>
      <c r="C2840" t="s">
        <v>4100</v>
      </c>
      <c r="D2840" s="1">
        <v>10000</v>
      </c>
      <c r="E2840" s="1">
        <v>0</v>
      </c>
      <c r="F2840" t="s">
        <v>4101</v>
      </c>
      <c r="G2840" s="8" t="s">
        <v>1361</v>
      </c>
      <c r="K2840" s="2"/>
      <c r="N2840">
        <f t="shared" si="41"/>
        <v>10000</v>
      </c>
    </row>
    <row r="2841" spans="1:14" hidden="1">
      <c r="A2841" s="232">
        <v>38324</v>
      </c>
      <c r="C2841" t="s">
        <v>4102</v>
      </c>
      <c r="E2841" s="1">
        <v>5291</v>
      </c>
      <c r="F2841" t="s">
        <v>4103</v>
      </c>
      <c r="G2841" s="8" t="s">
        <v>1379</v>
      </c>
      <c r="K2841" s="2"/>
      <c r="N2841">
        <f t="shared" si="41"/>
        <v>0</v>
      </c>
    </row>
    <row r="2842" spans="1:14" hidden="1">
      <c r="A2842" s="232">
        <v>38324</v>
      </c>
      <c r="C2842" t="s">
        <v>4104</v>
      </c>
      <c r="E2842" s="1">
        <v>5000</v>
      </c>
      <c r="F2842" t="s">
        <v>4105</v>
      </c>
      <c r="G2842" s="8" t="s">
        <v>1379</v>
      </c>
      <c r="K2842" s="2"/>
      <c r="N2842">
        <f t="shared" si="41"/>
        <v>0</v>
      </c>
    </row>
    <row r="2843" spans="1:14" hidden="1">
      <c r="A2843" s="232">
        <v>38324</v>
      </c>
      <c r="C2843" t="s">
        <v>4106</v>
      </c>
      <c r="E2843" s="1">
        <v>6</v>
      </c>
      <c r="F2843" t="s">
        <v>4107</v>
      </c>
      <c r="G2843" s="8" t="s">
        <v>1379</v>
      </c>
      <c r="K2843" s="2"/>
      <c r="N2843">
        <f t="shared" si="41"/>
        <v>0</v>
      </c>
    </row>
    <row r="2844" spans="1:14" hidden="1">
      <c r="A2844" s="232">
        <v>38324</v>
      </c>
      <c r="C2844" t="s">
        <v>4108</v>
      </c>
      <c r="E2844" s="1">
        <v>7</v>
      </c>
      <c r="F2844" t="s">
        <v>4109</v>
      </c>
      <c r="G2844" s="8" t="s">
        <v>1379</v>
      </c>
      <c r="K2844" s="2"/>
      <c r="N2844">
        <f t="shared" si="41"/>
        <v>0</v>
      </c>
    </row>
    <row r="2845" spans="1:14" hidden="1">
      <c r="A2845" s="232">
        <v>38659</v>
      </c>
      <c r="B2845">
        <v>24143</v>
      </c>
      <c r="C2845" t="s">
        <v>4110</v>
      </c>
      <c r="D2845" s="1">
        <v>13250</v>
      </c>
      <c r="E2845" s="1">
        <v>0</v>
      </c>
      <c r="F2845" t="s">
        <v>4111</v>
      </c>
      <c r="K2845" s="2"/>
      <c r="N2845">
        <f t="shared" si="41"/>
        <v>13250</v>
      </c>
    </row>
    <row r="2846" spans="1:14" hidden="1">
      <c r="A2846" s="232">
        <v>38659</v>
      </c>
      <c r="C2846" t="s">
        <v>4104</v>
      </c>
      <c r="E2846" s="1">
        <v>6509</v>
      </c>
      <c r="F2846" t="s">
        <v>4112</v>
      </c>
      <c r="G2846" s="8" t="s">
        <v>1379</v>
      </c>
      <c r="K2846" s="2"/>
      <c r="N2846">
        <f t="shared" si="41"/>
        <v>0</v>
      </c>
    </row>
    <row r="2847" spans="1:14" hidden="1">
      <c r="A2847" s="232">
        <v>38659</v>
      </c>
      <c r="C2847" t="s">
        <v>4071</v>
      </c>
      <c r="E2847" s="1">
        <v>5000</v>
      </c>
      <c r="F2847" t="s">
        <v>4113</v>
      </c>
      <c r="G2847" s="8" t="s">
        <v>1379</v>
      </c>
      <c r="K2847" s="2"/>
      <c r="N2847">
        <f t="shared" si="41"/>
        <v>0</v>
      </c>
    </row>
    <row r="2848" spans="1:14" hidden="1">
      <c r="A2848" s="232">
        <v>38659</v>
      </c>
      <c r="C2848" t="s">
        <v>4106</v>
      </c>
      <c r="E2848" s="1">
        <v>14</v>
      </c>
      <c r="F2848" t="s">
        <v>4114</v>
      </c>
      <c r="G2848" s="8" t="s">
        <v>1379</v>
      </c>
      <c r="K2848" s="2"/>
      <c r="N2848">
        <f t="shared" si="41"/>
        <v>0</v>
      </c>
    </row>
    <row r="2849" spans="1:14" hidden="1">
      <c r="A2849" s="232">
        <v>38659</v>
      </c>
      <c r="C2849" t="s">
        <v>4037</v>
      </c>
      <c r="E2849" s="1">
        <v>67</v>
      </c>
      <c r="F2849" t="s">
        <v>4115</v>
      </c>
      <c r="G2849" s="8" t="s">
        <v>1379</v>
      </c>
      <c r="K2849" s="2"/>
      <c r="N2849">
        <f t="shared" si="41"/>
        <v>0</v>
      </c>
    </row>
    <row r="2850" spans="1:14" hidden="1">
      <c r="A2850" s="232">
        <v>38720</v>
      </c>
      <c r="B2850">
        <v>24144</v>
      </c>
      <c r="C2850" t="s">
        <v>4116</v>
      </c>
      <c r="D2850" s="1">
        <v>4000</v>
      </c>
      <c r="E2850" s="1">
        <v>0</v>
      </c>
      <c r="F2850" t="s">
        <v>4117</v>
      </c>
      <c r="K2850" s="2"/>
      <c r="N2850">
        <f t="shared" si="41"/>
        <v>4000</v>
      </c>
    </row>
    <row r="2851" spans="1:14" hidden="1">
      <c r="A2851" s="232">
        <v>38720</v>
      </c>
      <c r="C2851" t="s">
        <v>4071</v>
      </c>
      <c r="E2851" s="1">
        <v>5000</v>
      </c>
      <c r="F2851" t="s">
        <v>4118</v>
      </c>
      <c r="G2851" s="8" t="s">
        <v>1379</v>
      </c>
      <c r="K2851" s="2"/>
      <c r="N2851">
        <f t="shared" si="41"/>
        <v>0</v>
      </c>
    </row>
    <row r="2852" spans="1:14" hidden="1">
      <c r="A2852" s="232">
        <v>38720</v>
      </c>
      <c r="C2852" t="s">
        <v>4037</v>
      </c>
      <c r="E2852" s="1">
        <v>68</v>
      </c>
      <c r="F2852" t="s">
        <v>4119</v>
      </c>
      <c r="G2852" s="8" t="s">
        <v>1379</v>
      </c>
      <c r="K2852" s="2"/>
      <c r="N2852">
        <f t="shared" si="41"/>
        <v>0</v>
      </c>
    </row>
    <row r="2853" spans="1:14" hidden="1">
      <c r="A2853" s="232">
        <v>38840</v>
      </c>
      <c r="C2853" t="s">
        <v>4120</v>
      </c>
      <c r="E2853" s="1">
        <v>14120</v>
      </c>
      <c r="F2853" t="s">
        <v>4121</v>
      </c>
      <c r="G2853" s="8" t="s">
        <v>1380</v>
      </c>
      <c r="K2853" s="2"/>
      <c r="N2853">
        <f t="shared" si="41"/>
        <v>0</v>
      </c>
    </row>
    <row r="2854" spans="1:14" hidden="1">
      <c r="A2854" s="232">
        <v>38901</v>
      </c>
      <c r="C2854" t="s">
        <v>4122</v>
      </c>
      <c r="D2854" s="1">
        <v>5000</v>
      </c>
      <c r="E2854" s="1">
        <v>0</v>
      </c>
      <c r="F2854" t="s">
        <v>4123</v>
      </c>
      <c r="G2854" s="8" t="s">
        <v>1361</v>
      </c>
      <c r="K2854" s="2"/>
      <c r="N2854">
        <f t="shared" si="41"/>
        <v>5000</v>
      </c>
    </row>
    <row r="2855" spans="1:14" hidden="1">
      <c r="A2855" s="233">
        <v>44288</v>
      </c>
      <c r="B2855" s="226" t="s">
        <v>4124</v>
      </c>
      <c r="C2855" s="226" t="s">
        <v>4125</v>
      </c>
      <c r="D2855" s="273">
        <v>500</v>
      </c>
      <c r="E2855" s="273">
        <v>0</v>
      </c>
      <c r="F2855" s="227">
        <v>614070.59</v>
      </c>
      <c r="G2855" s="8" t="s">
        <v>1363</v>
      </c>
      <c r="K2855" s="2"/>
      <c r="N2855">
        <f t="shared" si="41"/>
        <v>500</v>
      </c>
    </row>
    <row r="2856" spans="1:14" hidden="1">
      <c r="A2856" s="233">
        <v>44288</v>
      </c>
      <c r="B2856" s="226" t="s">
        <v>4124</v>
      </c>
      <c r="C2856" s="226" t="s">
        <v>4126</v>
      </c>
      <c r="D2856" s="273">
        <v>2000</v>
      </c>
      <c r="E2856" s="273">
        <v>0</v>
      </c>
      <c r="F2856" s="227">
        <v>612070.59</v>
      </c>
      <c r="G2856" s="8" t="s">
        <v>1372</v>
      </c>
      <c r="K2856" s="2"/>
      <c r="N2856">
        <f t="shared" si="41"/>
        <v>2000</v>
      </c>
    </row>
    <row r="2857" spans="1:14" hidden="1">
      <c r="A2857" s="233">
        <v>44289</v>
      </c>
      <c r="B2857" s="226" t="s">
        <v>4124</v>
      </c>
      <c r="C2857" s="226" t="s">
        <v>4127</v>
      </c>
      <c r="D2857" s="273">
        <v>150000</v>
      </c>
      <c r="E2857" s="273">
        <v>0</v>
      </c>
      <c r="F2857" s="227">
        <v>462070.59</v>
      </c>
      <c r="G2857" s="8" t="s">
        <v>1378</v>
      </c>
      <c r="K2857" s="2"/>
      <c r="N2857">
        <f t="shared" si="41"/>
        <v>150000</v>
      </c>
    </row>
    <row r="2858" spans="1:14" hidden="1">
      <c r="A2858" s="233">
        <v>44291</v>
      </c>
      <c r="B2858" s="226" t="s">
        <v>4124</v>
      </c>
      <c r="C2858" s="226" t="s">
        <v>4128</v>
      </c>
      <c r="D2858" s="273">
        <v>8624</v>
      </c>
      <c r="E2858" s="273">
        <v>0</v>
      </c>
      <c r="F2858" s="227">
        <v>453446.59</v>
      </c>
      <c r="K2858" s="2"/>
      <c r="N2858">
        <f t="shared" si="41"/>
        <v>8624</v>
      </c>
    </row>
    <row r="2859" spans="1:14" hidden="1">
      <c r="A2859" s="233">
        <v>44291</v>
      </c>
      <c r="B2859" s="226" t="s">
        <v>4124</v>
      </c>
      <c r="C2859" s="226" t="s">
        <v>4129</v>
      </c>
      <c r="D2859" s="273">
        <v>2000</v>
      </c>
      <c r="E2859" s="273">
        <v>0</v>
      </c>
      <c r="F2859" s="227">
        <v>451446.59</v>
      </c>
      <c r="K2859" s="2"/>
      <c r="N2859">
        <f t="shared" si="41"/>
        <v>2000</v>
      </c>
    </row>
    <row r="2860" spans="1:14" hidden="1">
      <c r="A2860" s="233">
        <v>44291</v>
      </c>
      <c r="B2860" s="226" t="s">
        <v>4124</v>
      </c>
      <c r="C2860" s="226" t="s">
        <v>4130</v>
      </c>
      <c r="D2860" s="273">
        <v>10250</v>
      </c>
      <c r="E2860" s="273">
        <v>0</v>
      </c>
      <c r="F2860" s="227">
        <v>441196.59</v>
      </c>
      <c r="G2860" s="8" t="s">
        <v>1372</v>
      </c>
      <c r="K2860" s="2"/>
      <c r="N2860">
        <f t="shared" si="41"/>
        <v>10250</v>
      </c>
    </row>
    <row r="2861" spans="1:14" hidden="1">
      <c r="A2861" s="233">
        <v>44298</v>
      </c>
      <c r="B2861" s="226" t="s">
        <v>4124</v>
      </c>
      <c r="C2861" s="226" t="s">
        <v>4131</v>
      </c>
      <c r="D2861" s="273">
        <v>10250</v>
      </c>
      <c r="E2861" s="273">
        <v>0</v>
      </c>
      <c r="F2861" s="227">
        <v>430946.59</v>
      </c>
      <c r="G2861" s="8" t="s">
        <v>1372</v>
      </c>
      <c r="K2861" s="2"/>
      <c r="N2861">
        <f t="shared" si="41"/>
        <v>10250</v>
      </c>
    </row>
    <row r="2862" spans="1:14" hidden="1">
      <c r="A2862" s="233">
        <v>44298</v>
      </c>
      <c r="B2862" s="226" t="s">
        <v>4124</v>
      </c>
      <c r="C2862" s="226" t="s">
        <v>4132</v>
      </c>
      <c r="D2862" s="273">
        <v>4513.8</v>
      </c>
      <c r="E2862" s="273">
        <v>0</v>
      </c>
      <c r="F2862" s="227">
        <v>426432.79</v>
      </c>
      <c r="G2862" s="8" t="s">
        <v>1362</v>
      </c>
      <c r="K2862" s="2"/>
      <c r="N2862">
        <f t="shared" si="41"/>
        <v>4513.8</v>
      </c>
    </row>
    <row r="2863" spans="1:14" hidden="1">
      <c r="A2863" s="233">
        <v>44298</v>
      </c>
      <c r="B2863" s="226" t="s">
        <v>4124</v>
      </c>
      <c r="C2863" s="226" t="s">
        <v>4133</v>
      </c>
      <c r="D2863" s="273">
        <v>968</v>
      </c>
      <c r="E2863" s="273">
        <v>0</v>
      </c>
      <c r="F2863" s="227">
        <v>425464.79</v>
      </c>
      <c r="K2863" s="2"/>
      <c r="N2863">
        <f t="shared" si="41"/>
        <v>968</v>
      </c>
    </row>
    <row r="2864" spans="1:14" hidden="1">
      <c r="A2864" s="233">
        <v>44305</v>
      </c>
      <c r="B2864" s="226" t="s">
        <v>4124</v>
      </c>
      <c r="C2864" s="226" t="s">
        <v>4134</v>
      </c>
      <c r="D2864" s="273">
        <v>695907.38</v>
      </c>
      <c r="E2864" s="273">
        <v>0</v>
      </c>
      <c r="F2864" s="227">
        <v>-270442.59000000003</v>
      </c>
      <c r="G2864" s="8" t="s">
        <v>1370</v>
      </c>
      <c r="K2864" s="2"/>
      <c r="N2864">
        <f t="shared" si="41"/>
        <v>695907.38</v>
      </c>
    </row>
    <row r="2865" spans="1:14" hidden="1">
      <c r="A2865" s="233">
        <v>44305</v>
      </c>
      <c r="B2865" s="226" t="s">
        <v>4124</v>
      </c>
      <c r="C2865" s="226" t="s">
        <v>4135</v>
      </c>
      <c r="D2865" s="273">
        <v>0</v>
      </c>
      <c r="E2865" s="273">
        <v>280442.59000000003</v>
      </c>
      <c r="F2865" s="227">
        <v>10000</v>
      </c>
      <c r="G2865" s="8" t="s">
        <v>1379</v>
      </c>
      <c r="K2865" s="2"/>
      <c r="N2865">
        <f t="shared" si="41"/>
        <v>0</v>
      </c>
    </row>
    <row r="2866" spans="1:14" hidden="1">
      <c r="A2866" s="233">
        <v>44305</v>
      </c>
      <c r="B2866" s="226" t="s">
        <v>4124</v>
      </c>
      <c r="C2866" s="226" t="s">
        <v>4136</v>
      </c>
      <c r="D2866" s="273">
        <v>0</v>
      </c>
      <c r="E2866" s="273">
        <v>548</v>
      </c>
      <c r="F2866" s="227">
        <v>10548</v>
      </c>
      <c r="G2866" s="8" t="s">
        <v>1379</v>
      </c>
      <c r="K2866" s="2"/>
      <c r="N2866">
        <f t="shared" si="41"/>
        <v>0</v>
      </c>
    </row>
    <row r="2867" spans="1:14" hidden="1">
      <c r="A2867" s="233">
        <v>44305</v>
      </c>
      <c r="B2867" s="226" t="s">
        <v>4124</v>
      </c>
      <c r="C2867" s="226" t="s">
        <v>4137</v>
      </c>
      <c r="D2867" s="273">
        <v>10250</v>
      </c>
      <c r="E2867" s="273">
        <v>0</v>
      </c>
      <c r="F2867" s="227">
        <v>298</v>
      </c>
      <c r="G2867" s="8" t="s">
        <v>1372</v>
      </c>
      <c r="K2867" s="2"/>
      <c r="N2867">
        <f t="shared" si="41"/>
        <v>10250</v>
      </c>
    </row>
    <row r="2868" spans="1:14" hidden="1">
      <c r="A2868" s="233">
        <v>44305</v>
      </c>
      <c r="B2868" s="226" t="s">
        <v>4124</v>
      </c>
      <c r="C2868" s="226" t="s">
        <v>4135</v>
      </c>
      <c r="D2868" s="273">
        <v>0</v>
      </c>
      <c r="E2868" s="273">
        <v>9702</v>
      </c>
      <c r="F2868" s="227">
        <v>10000</v>
      </c>
      <c r="G2868" s="8" t="s">
        <v>1379</v>
      </c>
      <c r="K2868" s="2"/>
      <c r="N2868">
        <f t="shared" si="41"/>
        <v>0</v>
      </c>
    </row>
    <row r="2869" spans="1:14" hidden="1">
      <c r="A2869" s="233">
        <v>44305</v>
      </c>
      <c r="B2869" s="226" t="s">
        <v>4124</v>
      </c>
      <c r="C2869" s="226" t="s">
        <v>4136</v>
      </c>
      <c r="D2869" s="273">
        <v>0</v>
      </c>
      <c r="E2869" s="273">
        <v>20</v>
      </c>
      <c r="F2869" s="227">
        <v>10020</v>
      </c>
      <c r="G2869" s="8" t="s">
        <v>1379</v>
      </c>
      <c r="K2869" s="2"/>
      <c r="N2869">
        <f t="shared" si="41"/>
        <v>0</v>
      </c>
    </row>
    <row r="2870" spans="1:14" hidden="1">
      <c r="A2870" s="233">
        <v>44312</v>
      </c>
      <c r="B2870" s="226" t="s">
        <v>4124</v>
      </c>
      <c r="C2870" s="226" t="s">
        <v>4138</v>
      </c>
      <c r="D2870" s="273">
        <v>16</v>
      </c>
      <c r="E2870" s="273">
        <v>0</v>
      </c>
      <c r="F2870" s="227">
        <v>10004</v>
      </c>
      <c r="K2870" s="2"/>
      <c r="N2870">
        <f t="shared" si="41"/>
        <v>16</v>
      </c>
    </row>
    <row r="2871" spans="1:14" hidden="1">
      <c r="A2871" s="233">
        <v>44312</v>
      </c>
      <c r="B2871" s="226" t="s">
        <v>4124</v>
      </c>
      <c r="C2871" s="226" t="s">
        <v>4139</v>
      </c>
      <c r="D2871" s="273">
        <v>120</v>
      </c>
      <c r="E2871" s="273">
        <v>0</v>
      </c>
      <c r="F2871" s="227">
        <v>9884</v>
      </c>
      <c r="K2871" s="2"/>
      <c r="N2871">
        <f t="shared" si="41"/>
        <v>120</v>
      </c>
    </row>
    <row r="2872" spans="1:14" hidden="1">
      <c r="A2872" s="233">
        <v>44312</v>
      </c>
      <c r="B2872" s="226" t="s">
        <v>4124</v>
      </c>
      <c r="C2872" s="226" t="s">
        <v>4135</v>
      </c>
      <c r="D2872" s="273">
        <v>0</v>
      </c>
      <c r="E2872" s="273">
        <v>116</v>
      </c>
      <c r="F2872" s="227">
        <v>10000</v>
      </c>
      <c r="G2872" s="8" t="s">
        <v>1379</v>
      </c>
      <c r="K2872" s="2"/>
      <c r="N2872">
        <f t="shared" si="41"/>
        <v>0</v>
      </c>
    </row>
    <row r="2873" spans="1:14" hidden="1">
      <c r="A2873" s="233">
        <v>44312</v>
      </c>
      <c r="B2873" s="226" t="s">
        <v>4124</v>
      </c>
      <c r="C2873" s="226" t="s">
        <v>4140</v>
      </c>
      <c r="D2873" s="273">
        <v>10250</v>
      </c>
      <c r="E2873" s="273">
        <v>0</v>
      </c>
      <c r="F2873" s="227">
        <v>-250</v>
      </c>
      <c r="G2873" s="8" t="s">
        <v>1372</v>
      </c>
      <c r="K2873" s="2"/>
      <c r="N2873">
        <f t="shared" si="41"/>
        <v>10250</v>
      </c>
    </row>
    <row r="2874" spans="1:14" hidden="1">
      <c r="A2874" s="233">
        <v>44312</v>
      </c>
      <c r="B2874" s="226" t="s">
        <v>4124</v>
      </c>
      <c r="C2874" s="226" t="s">
        <v>4135</v>
      </c>
      <c r="D2874" s="273">
        <v>0</v>
      </c>
      <c r="E2874" s="273">
        <v>10250</v>
      </c>
      <c r="F2874" s="227">
        <v>10000</v>
      </c>
      <c r="G2874" s="8" t="s">
        <v>1379</v>
      </c>
      <c r="K2874" s="2"/>
      <c r="N2874">
        <f t="shared" si="41"/>
        <v>0</v>
      </c>
    </row>
    <row r="2875" spans="1:14" hidden="1">
      <c r="A2875" s="233">
        <v>44312</v>
      </c>
      <c r="B2875" s="226" t="s">
        <v>4124</v>
      </c>
      <c r="C2875" s="226" t="s">
        <v>4136</v>
      </c>
      <c r="D2875" s="273">
        <v>0</v>
      </c>
      <c r="E2875" s="273">
        <v>25</v>
      </c>
      <c r="F2875" s="227">
        <v>10025</v>
      </c>
      <c r="G2875" s="8" t="s">
        <v>1379</v>
      </c>
      <c r="K2875" s="2"/>
      <c r="N2875">
        <f t="shared" si="41"/>
        <v>0</v>
      </c>
    </row>
    <row r="2876" spans="1:14" hidden="1">
      <c r="A2876" s="233">
        <v>44313</v>
      </c>
      <c r="B2876" s="226" t="s">
        <v>4124</v>
      </c>
      <c r="C2876" s="226" t="s">
        <v>4141</v>
      </c>
      <c r="D2876" s="273">
        <v>0</v>
      </c>
      <c r="E2876" s="273">
        <v>282097</v>
      </c>
      <c r="F2876" s="227">
        <v>292122</v>
      </c>
      <c r="G2876" s="8" t="s">
        <v>1380</v>
      </c>
      <c r="K2876" s="2"/>
      <c r="N2876">
        <f t="shared" si="41"/>
        <v>0</v>
      </c>
    </row>
    <row r="2877" spans="1:14" hidden="1">
      <c r="A2877" s="233">
        <v>44314</v>
      </c>
      <c r="B2877" s="226" t="s">
        <v>4124</v>
      </c>
      <c r="C2877" s="226" t="s">
        <v>4142</v>
      </c>
      <c r="D2877" s="273">
        <v>2000</v>
      </c>
      <c r="E2877" s="273">
        <v>0</v>
      </c>
      <c r="F2877" s="227">
        <v>290122</v>
      </c>
      <c r="G2877" s="8" t="s">
        <v>1372</v>
      </c>
      <c r="K2877" s="2"/>
      <c r="N2877">
        <f t="shared" si="41"/>
        <v>2000</v>
      </c>
    </row>
    <row r="2878" spans="1:14" hidden="1">
      <c r="A2878" s="233">
        <v>44315</v>
      </c>
      <c r="B2878" s="226" t="s">
        <v>4124</v>
      </c>
      <c r="C2878" s="226" t="s">
        <v>4143</v>
      </c>
      <c r="D2878" s="273">
        <v>140000</v>
      </c>
      <c r="E2878" s="273">
        <v>0</v>
      </c>
      <c r="F2878" s="227">
        <v>150122</v>
      </c>
      <c r="G2878" s="8" t="s">
        <v>1363</v>
      </c>
      <c r="K2878" s="2"/>
      <c r="N2878">
        <f t="shared" si="41"/>
        <v>140000</v>
      </c>
    </row>
    <row r="2879" spans="1:14" hidden="1">
      <c r="A2879" s="233">
        <v>44317</v>
      </c>
      <c r="B2879" s="226" t="s">
        <v>4124</v>
      </c>
      <c r="C2879" s="226" t="s">
        <v>4144</v>
      </c>
      <c r="D2879" s="273">
        <v>500</v>
      </c>
      <c r="E2879" s="273">
        <v>0</v>
      </c>
      <c r="F2879" s="227">
        <v>149622</v>
      </c>
      <c r="G2879" s="8" t="s">
        <v>1363</v>
      </c>
      <c r="K2879" s="2"/>
      <c r="N2879">
        <f t="shared" si="41"/>
        <v>500</v>
      </c>
    </row>
    <row r="2880" spans="1:14" hidden="1">
      <c r="A2880" s="233">
        <v>44319</v>
      </c>
      <c r="B2880" s="226" t="s">
        <v>4124</v>
      </c>
      <c r="C2880" s="226" t="s">
        <v>4145</v>
      </c>
      <c r="D2880" s="273">
        <v>10250</v>
      </c>
      <c r="E2880" s="273">
        <v>0</v>
      </c>
      <c r="F2880" s="227">
        <v>139372</v>
      </c>
      <c r="G2880" s="8" t="s">
        <v>1372</v>
      </c>
      <c r="K2880" s="2"/>
      <c r="N2880">
        <f t="shared" si="41"/>
        <v>10250</v>
      </c>
    </row>
    <row r="2881" spans="1:14" hidden="1">
      <c r="A2881" s="233">
        <v>44319</v>
      </c>
      <c r="B2881" s="226" t="s">
        <v>4124</v>
      </c>
      <c r="C2881" s="226" t="s">
        <v>4146</v>
      </c>
      <c r="D2881" s="273">
        <v>207</v>
      </c>
      <c r="E2881" s="273">
        <v>0</v>
      </c>
      <c r="F2881" s="227">
        <v>139165</v>
      </c>
      <c r="K2881" s="2"/>
      <c r="N2881">
        <f t="shared" si="41"/>
        <v>207</v>
      </c>
    </row>
    <row r="2882" spans="1:14" hidden="1">
      <c r="A2882" s="233">
        <v>44326</v>
      </c>
      <c r="B2882" s="226" t="s">
        <v>4124</v>
      </c>
      <c r="C2882" s="226" t="s">
        <v>4147</v>
      </c>
      <c r="D2882" s="273">
        <v>279</v>
      </c>
      <c r="E2882" s="273">
        <v>0</v>
      </c>
      <c r="F2882" s="227">
        <v>138886</v>
      </c>
      <c r="K2882" s="2"/>
      <c r="N2882">
        <f t="shared" si="41"/>
        <v>279</v>
      </c>
    </row>
    <row r="2883" spans="1:14" hidden="1">
      <c r="A2883" s="233">
        <v>44326</v>
      </c>
      <c r="B2883" s="226" t="s">
        <v>4124</v>
      </c>
      <c r="C2883" s="226" t="s">
        <v>4148</v>
      </c>
      <c r="D2883" s="273">
        <v>9866</v>
      </c>
      <c r="E2883" s="273">
        <v>0</v>
      </c>
      <c r="F2883" s="227">
        <v>129020</v>
      </c>
      <c r="K2883" s="2"/>
      <c r="N2883">
        <f t="shared" si="41"/>
        <v>9866</v>
      </c>
    </row>
    <row r="2884" spans="1:14" hidden="1">
      <c r="A2884" s="233">
        <v>44326</v>
      </c>
      <c r="B2884" s="226" t="s">
        <v>4124</v>
      </c>
      <c r="C2884" s="226" t="s">
        <v>4149</v>
      </c>
      <c r="D2884" s="273">
        <v>10250</v>
      </c>
      <c r="E2884" s="273">
        <v>0</v>
      </c>
      <c r="F2884" s="227">
        <v>118770</v>
      </c>
      <c r="G2884" s="8" t="s">
        <v>1372</v>
      </c>
      <c r="K2884" s="2"/>
      <c r="N2884">
        <f t="shared" si="41"/>
        <v>10250</v>
      </c>
    </row>
    <row r="2885" spans="1:14" hidden="1">
      <c r="A2885" s="233">
        <v>44327</v>
      </c>
      <c r="B2885" s="226" t="s">
        <v>4124</v>
      </c>
      <c r="C2885" s="226" t="s">
        <v>4150</v>
      </c>
      <c r="D2885" s="273">
        <v>2000</v>
      </c>
      <c r="E2885" s="273">
        <v>0</v>
      </c>
      <c r="F2885" s="227">
        <v>116770</v>
      </c>
      <c r="G2885" s="8" t="s">
        <v>1372</v>
      </c>
      <c r="K2885" s="2"/>
      <c r="N2885">
        <f t="shared" si="41"/>
        <v>2000</v>
      </c>
    </row>
    <row r="2886" spans="1:14" hidden="1">
      <c r="A2886" s="233">
        <v>44327</v>
      </c>
      <c r="B2886" s="226" t="s">
        <v>4124</v>
      </c>
      <c r="C2886" s="226" t="s">
        <v>4151</v>
      </c>
      <c r="D2886" s="273">
        <v>225</v>
      </c>
      <c r="E2886" s="273">
        <v>0</v>
      </c>
      <c r="F2886" s="227">
        <v>116545</v>
      </c>
      <c r="K2886" s="2"/>
      <c r="N2886">
        <f t="shared" si="41"/>
        <v>225</v>
      </c>
    </row>
    <row r="2887" spans="1:14" hidden="1">
      <c r="A2887" s="233">
        <v>44327</v>
      </c>
      <c r="B2887" s="226" t="s">
        <v>4124</v>
      </c>
      <c r="C2887" s="226" t="s">
        <v>4152</v>
      </c>
      <c r="D2887" s="273">
        <v>0</v>
      </c>
      <c r="E2887" s="273">
        <v>177.16</v>
      </c>
      <c r="F2887" s="227">
        <v>116722.16</v>
      </c>
      <c r="G2887" s="8" t="s">
        <v>1380</v>
      </c>
      <c r="K2887" s="2"/>
      <c r="N2887">
        <f t="shared" si="41"/>
        <v>0</v>
      </c>
    </row>
    <row r="2888" spans="1:14" hidden="1">
      <c r="A2888" s="233">
        <v>44333</v>
      </c>
      <c r="B2888" s="226" t="s">
        <v>4124</v>
      </c>
      <c r="C2888" s="226" t="s">
        <v>4153</v>
      </c>
      <c r="D2888" s="273">
        <v>10250</v>
      </c>
      <c r="E2888" s="273">
        <v>0</v>
      </c>
      <c r="F2888" s="227">
        <v>106472.16</v>
      </c>
      <c r="G2888" s="8" t="s">
        <v>1372</v>
      </c>
      <c r="K2888" s="2"/>
      <c r="N2888">
        <f t="shared" si="41"/>
        <v>10250</v>
      </c>
    </row>
    <row r="2889" spans="1:14" hidden="1">
      <c r="A2889" s="233">
        <v>44334</v>
      </c>
      <c r="B2889" s="226" t="s">
        <v>4124</v>
      </c>
      <c r="C2889" s="226" t="s">
        <v>4154</v>
      </c>
      <c r="D2889" s="273">
        <v>137</v>
      </c>
      <c r="E2889" s="273">
        <v>0</v>
      </c>
      <c r="F2889" s="227">
        <v>106335.16</v>
      </c>
      <c r="K2889" s="2"/>
      <c r="N2889">
        <f t="shared" si="41"/>
        <v>137</v>
      </c>
    </row>
    <row r="2890" spans="1:14" hidden="1">
      <c r="A2890" s="233">
        <v>44334</v>
      </c>
      <c r="B2890" s="226" t="s">
        <v>4124</v>
      </c>
      <c r="C2890" s="226" t="s">
        <v>4155</v>
      </c>
      <c r="D2890" s="273">
        <v>866</v>
      </c>
      <c r="E2890" s="273">
        <v>0</v>
      </c>
      <c r="F2890" s="227">
        <v>105469.16</v>
      </c>
      <c r="K2890" s="2"/>
      <c r="N2890">
        <f t="shared" si="41"/>
        <v>866</v>
      </c>
    </row>
    <row r="2891" spans="1:14" hidden="1">
      <c r="A2891" s="233">
        <v>44335</v>
      </c>
      <c r="B2891" s="226" t="s">
        <v>4124</v>
      </c>
      <c r="C2891" s="226" t="s">
        <v>4156</v>
      </c>
      <c r="D2891" s="273">
        <v>270570</v>
      </c>
      <c r="E2891" s="273">
        <v>0</v>
      </c>
      <c r="F2891" s="227">
        <v>-165100.84</v>
      </c>
      <c r="G2891" s="8" t="s">
        <v>1370</v>
      </c>
      <c r="K2891" s="2"/>
      <c r="N2891">
        <f t="shared" ref="N2891:N2954" si="42">D2891*1</f>
        <v>270570</v>
      </c>
    </row>
    <row r="2892" spans="1:14" hidden="1">
      <c r="A2892" s="233">
        <v>44335</v>
      </c>
      <c r="B2892" s="226" t="s">
        <v>4124</v>
      </c>
      <c r="C2892" s="226" t="s">
        <v>4157</v>
      </c>
      <c r="D2892" s="273">
        <v>0</v>
      </c>
      <c r="E2892" s="273">
        <v>180000</v>
      </c>
      <c r="F2892" s="227">
        <v>14899.16</v>
      </c>
      <c r="G2892" s="8" t="s">
        <v>1379</v>
      </c>
      <c r="K2892" s="2"/>
      <c r="N2892">
        <f t="shared" si="42"/>
        <v>0</v>
      </c>
    </row>
    <row r="2893" spans="1:14" hidden="1">
      <c r="A2893" s="233">
        <v>44335</v>
      </c>
      <c r="B2893" s="226" t="s">
        <v>4124</v>
      </c>
      <c r="C2893" s="226" t="s">
        <v>4158</v>
      </c>
      <c r="D2893" s="273">
        <v>0</v>
      </c>
      <c r="E2893" s="273">
        <v>141</v>
      </c>
      <c r="F2893" s="227">
        <v>15040.16</v>
      </c>
      <c r="G2893" s="8" t="s">
        <v>1379</v>
      </c>
      <c r="K2893" s="2"/>
      <c r="N2893">
        <f t="shared" si="42"/>
        <v>0</v>
      </c>
    </row>
    <row r="2894" spans="1:14" hidden="1">
      <c r="A2894" s="233">
        <v>44340</v>
      </c>
      <c r="B2894" s="226" t="s">
        <v>4124</v>
      </c>
      <c r="C2894" s="226" t="s">
        <v>4159</v>
      </c>
      <c r="D2894" s="273">
        <v>10250</v>
      </c>
      <c r="E2894" s="273">
        <v>0</v>
      </c>
      <c r="F2894" s="227">
        <v>4790.16</v>
      </c>
      <c r="G2894" s="8" t="s">
        <v>1372</v>
      </c>
      <c r="K2894" s="2"/>
      <c r="N2894">
        <f t="shared" si="42"/>
        <v>10250</v>
      </c>
    </row>
    <row r="2895" spans="1:14" hidden="1">
      <c r="A2895" s="233">
        <v>44340</v>
      </c>
      <c r="B2895" s="226" t="s">
        <v>4124</v>
      </c>
      <c r="C2895" s="226" t="s">
        <v>4157</v>
      </c>
      <c r="D2895" s="273">
        <v>0</v>
      </c>
      <c r="E2895" s="273">
        <v>10000</v>
      </c>
      <c r="F2895" s="227">
        <v>14790.16</v>
      </c>
      <c r="G2895" s="8" t="s">
        <v>1379</v>
      </c>
      <c r="K2895" s="2"/>
      <c r="N2895">
        <f t="shared" si="42"/>
        <v>0</v>
      </c>
    </row>
    <row r="2896" spans="1:14" hidden="1">
      <c r="A2896" s="233">
        <v>44340</v>
      </c>
      <c r="B2896" s="226" t="s">
        <v>4124</v>
      </c>
      <c r="C2896" s="226" t="s">
        <v>4158</v>
      </c>
      <c r="D2896" s="273">
        <v>0</v>
      </c>
      <c r="E2896" s="273">
        <v>10</v>
      </c>
      <c r="F2896" s="227">
        <v>14800.16</v>
      </c>
      <c r="G2896" s="8" t="s">
        <v>1379</v>
      </c>
      <c r="K2896" s="2"/>
      <c r="N2896">
        <f t="shared" si="42"/>
        <v>0</v>
      </c>
    </row>
    <row r="2897" spans="1:14" hidden="1">
      <c r="A2897" s="233">
        <v>44341</v>
      </c>
      <c r="B2897" s="226" t="s">
        <v>4124</v>
      </c>
      <c r="C2897" s="226" t="s">
        <v>4160</v>
      </c>
      <c r="D2897" s="273">
        <v>0</v>
      </c>
      <c r="E2897" s="273">
        <v>284958</v>
      </c>
      <c r="F2897" s="227">
        <v>299758.15999999997</v>
      </c>
      <c r="G2897" s="8" t="s">
        <v>1380</v>
      </c>
      <c r="K2897" s="2"/>
      <c r="N2897">
        <f t="shared" si="42"/>
        <v>0</v>
      </c>
    </row>
    <row r="2898" spans="1:14" hidden="1">
      <c r="A2898" s="233">
        <v>44341</v>
      </c>
      <c r="B2898" s="226" t="s">
        <v>4124</v>
      </c>
      <c r="C2898" s="226" t="s">
        <v>4161</v>
      </c>
      <c r="D2898" s="273">
        <v>140000</v>
      </c>
      <c r="E2898" s="273">
        <v>0</v>
      </c>
      <c r="F2898" s="227">
        <v>159758.16</v>
      </c>
      <c r="G2898" s="8" t="s">
        <v>1363</v>
      </c>
      <c r="K2898" s="2"/>
      <c r="N2898">
        <f t="shared" si="42"/>
        <v>140000</v>
      </c>
    </row>
    <row r="2899" spans="1:14" hidden="1">
      <c r="A2899" s="233">
        <v>44344</v>
      </c>
      <c r="B2899" s="226" t="s">
        <v>4124</v>
      </c>
      <c r="C2899" s="226" t="s">
        <v>4162</v>
      </c>
      <c r="D2899" s="273">
        <v>2000</v>
      </c>
      <c r="E2899" s="273">
        <v>0</v>
      </c>
      <c r="F2899" s="227">
        <v>157758.16</v>
      </c>
      <c r="G2899" s="8" t="s">
        <v>1372</v>
      </c>
      <c r="K2899" s="2"/>
      <c r="N2899">
        <f t="shared" si="42"/>
        <v>2000</v>
      </c>
    </row>
    <row r="2900" spans="1:14" hidden="1">
      <c r="A2900" s="233">
        <v>44347</v>
      </c>
      <c r="B2900" s="226" t="s">
        <v>4124</v>
      </c>
      <c r="C2900" s="226" t="s">
        <v>4163</v>
      </c>
      <c r="D2900" s="273">
        <v>10250</v>
      </c>
      <c r="E2900" s="273">
        <v>0</v>
      </c>
      <c r="F2900" s="227">
        <v>147508.16</v>
      </c>
      <c r="G2900" s="8" t="s">
        <v>1372</v>
      </c>
      <c r="K2900" s="2"/>
      <c r="N2900">
        <f t="shared" si="42"/>
        <v>10250</v>
      </c>
    </row>
    <row r="2901" spans="1:14" hidden="1">
      <c r="A2901" s="233">
        <v>44348</v>
      </c>
      <c r="B2901" s="226" t="s">
        <v>4124</v>
      </c>
      <c r="C2901" s="226" t="s">
        <v>4164</v>
      </c>
      <c r="D2901" s="273">
        <v>500</v>
      </c>
      <c r="E2901" s="273">
        <v>0</v>
      </c>
      <c r="F2901" s="227">
        <v>147008.16</v>
      </c>
      <c r="G2901" s="8" t="s">
        <v>1363</v>
      </c>
      <c r="K2901" s="2"/>
      <c r="N2901">
        <f t="shared" si="42"/>
        <v>500</v>
      </c>
    </row>
    <row r="2902" spans="1:14" hidden="1">
      <c r="A2902" s="233">
        <v>44350</v>
      </c>
      <c r="B2902" s="226" t="s">
        <v>4124</v>
      </c>
      <c r="C2902" s="226" t="s">
        <v>4165</v>
      </c>
      <c r="D2902" s="273">
        <v>9760</v>
      </c>
      <c r="E2902" s="273">
        <v>0</v>
      </c>
      <c r="F2902" s="227">
        <v>137248.16</v>
      </c>
      <c r="K2902" s="2"/>
      <c r="N2902">
        <f t="shared" si="42"/>
        <v>9760</v>
      </c>
    </row>
    <row r="2903" spans="1:14" hidden="1">
      <c r="A2903" s="233">
        <v>44351</v>
      </c>
      <c r="B2903" s="226" t="s">
        <v>4124</v>
      </c>
      <c r="C2903" s="226" t="s">
        <v>4166</v>
      </c>
      <c r="D2903" s="273">
        <v>2000</v>
      </c>
      <c r="E2903" s="273">
        <v>0</v>
      </c>
      <c r="F2903" s="227">
        <v>135248.16</v>
      </c>
      <c r="K2903" s="2"/>
      <c r="N2903">
        <f t="shared" si="42"/>
        <v>2000</v>
      </c>
    </row>
    <row r="2904" spans="1:14" hidden="1">
      <c r="A2904" s="233">
        <v>44354</v>
      </c>
      <c r="B2904" s="226" t="s">
        <v>4124</v>
      </c>
      <c r="C2904" s="226" t="s">
        <v>4167</v>
      </c>
      <c r="D2904" s="273">
        <v>10250</v>
      </c>
      <c r="E2904" s="273">
        <v>0</v>
      </c>
      <c r="F2904" s="227">
        <v>124998.16</v>
      </c>
      <c r="G2904" s="8" t="s">
        <v>1372</v>
      </c>
      <c r="K2904" s="2"/>
      <c r="N2904">
        <f t="shared" si="42"/>
        <v>10250</v>
      </c>
    </row>
    <row r="2905" spans="1:14" hidden="1">
      <c r="A2905" s="233">
        <v>44357</v>
      </c>
      <c r="B2905" s="226" t="s">
        <v>4124</v>
      </c>
      <c r="C2905" s="226" t="s">
        <v>4132</v>
      </c>
      <c r="D2905" s="273">
        <v>493</v>
      </c>
      <c r="E2905" s="273">
        <v>0</v>
      </c>
      <c r="F2905" s="227">
        <v>124505.16</v>
      </c>
      <c r="G2905" s="8" t="s">
        <v>1362</v>
      </c>
      <c r="K2905" s="2"/>
      <c r="N2905">
        <f t="shared" si="42"/>
        <v>493</v>
      </c>
    </row>
    <row r="2906" spans="1:14" hidden="1">
      <c r="A2906" s="233">
        <v>44361</v>
      </c>
      <c r="B2906" s="226" t="s">
        <v>4124</v>
      </c>
      <c r="C2906" s="226" t="s">
        <v>4168</v>
      </c>
      <c r="D2906" s="273">
        <v>285</v>
      </c>
      <c r="E2906" s="273">
        <v>0</v>
      </c>
      <c r="F2906" s="227">
        <v>124220.16</v>
      </c>
      <c r="K2906" s="2"/>
      <c r="N2906">
        <f t="shared" si="42"/>
        <v>285</v>
      </c>
    </row>
    <row r="2907" spans="1:14" hidden="1">
      <c r="A2907" s="233">
        <v>44361</v>
      </c>
      <c r="B2907" s="226" t="s">
        <v>4124</v>
      </c>
      <c r="C2907" s="226" t="s">
        <v>4169</v>
      </c>
      <c r="D2907" s="273">
        <v>1047</v>
      </c>
      <c r="E2907" s="273">
        <v>0</v>
      </c>
      <c r="F2907" s="227">
        <v>123173.16</v>
      </c>
      <c r="K2907" s="2"/>
      <c r="N2907">
        <f t="shared" si="42"/>
        <v>1047</v>
      </c>
    </row>
    <row r="2908" spans="1:14" hidden="1">
      <c r="A2908" s="233">
        <v>44361</v>
      </c>
      <c r="B2908" s="226" t="s">
        <v>4124</v>
      </c>
      <c r="C2908" s="226" t="s">
        <v>4170</v>
      </c>
      <c r="D2908" s="273">
        <v>10250</v>
      </c>
      <c r="E2908" s="273">
        <v>0</v>
      </c>
      <c r="F2908" s="227">
        <v>112923.16</v>
      </c>
      <c r="G2908" s="8" t="s">
        <v>1372</v>
      </c>
      <c r="K2908" s="2"/>
      <c r="N2908">
        <f t="shared" si="42"/>
        <v>10250</v>
      </c>
    </row>
    <row r="2909" spans="1:14" hidden="1">
      <c r="A2909" s="233">
        <v>44365</v>
      </c>
      <c r="B2909" s="226" t="s">
        <v>4124</v>
      </c>
      <c r="C2909" s="226" t="s">
        <v>4171</v>
      </c>
      <c r="D2909" s="273">
        <v>326</v>
      </c>
      <c r="E2909" s="273">
        <v>0</v>
      </c>
      <c r="F2909" s="227">
        <v>112597.16</v>
      </c>
      <c r="K2909" s="2"/>
      <c r="N2909">
        <f t="shared" si="42"/>
        <v>326</v>
      </c>
    </row>
    <row r="2910" spans="1:14" hidden="1">
      <c r="A2910" s="233">
        <v>44366</v>
      </c>
      <c r="B2910" s="226" t="s">
        <v>4124</v>
      </c>
      <c r="C2910" s="226" t="s">
        <v>4172</v>
      </c>
      <c r="D2910" s="273">
        <v>50</v>
      </c>
      <c r="E2910" s="273">
        <v>0</v>
      </c>
      <c r="F2910" s="227">
        <v>112547.16</v>
      </c>
      <c r="K2910" s="2"/>
      <c r="N2910">
        <f t="shared" si="42"/>
        <v>50</v>
      </c>
    </row>
    <row r="2911" spans="1:14" hidden="1">
      <c r="A2911" s="233">
        <v>44368</v>
      </c>
      <c r="B2911" s="226" t="s">
        <v>4124</v>
      </c>
      <c r="C2911" s="226" t="s">
        <v>4173</v>
      </c>
      <c r="D2911" s="273">
        <v>10250</v>
      </c>
      <c r="E2911" s="273">
        <v>0</v>
      </c>
      <c r="F2911" s="227">
        <v>102297.16</v>
      </c>
      <c r="G2911" s="8" t="s">
        <v>1372</v>
      </c>
      <c r="K2911" s="2"/>
      <c r="N2911">
        <f t="shared" si="42"/>
        <v>10250</v>
      </c>
    </row>
    <row r="2912" spans="1:14" hidden="1">
      <c r="A2912" s="233">
        <v>44368</v>
      </c>
      <c r="B2912" s="226" t="s">
        <v>4124</v>
      </c>
      <c r="C2912" s="226" t="s">
        <v>4174</v>
      </c>
      <c r="D2912" s="273">
        <v>840.5</v>
      </c>
      <c r="E2912" s="273">
        <v>0</v>
      </c>
      <c r="F2912" s="227">
        <v>101456.66</v>
      </c>
      <c r="K2912" s="2"/>
      <c r="N2912">
        <f t="shared" si="42"/>
        <v>840.5</v>
      </c>
    </row>
    <row r="2913" spans="1:14" hidden="1">
      <c r="A2913" s="233">
        <v>44369</v>
      </c>
      <c r="B2913" s="226" t="s">
        <v>4124</v>
      </c>
      <c r="C2913" s="226" t="s">
        <v>4175</v>
      </c>
      <c r="D2913" s="273">
        <v>347</v>
      </c>
      <c r="E2913" s="273">
        <v>0</v>
      </c>
      <c r="F2913" s="227">
        <v>101109.66</v>
      </c>
      <c r="K2913" s="2"/>
      <c r="N2913">
        <f t="shared" si="42"/>
        <v>347</v>
      </c>
    </row>
    <row r="2914" spans="1:14" hidden="1">
      <c r="A2914" s="233">
        <v>44370</v>
      </c>
      <c r="B2914" s="226" t="s">
        <v>4124</v>
      </c>
      <c r="C2914" s="226" t="s">
        <v>4176</v>
      </c>
      <c r="D2914" s="273">
        <v>34</v>
      </c>
      <c r="E2914" s="273">
        <v>0</v>
      </c>
      <c r="F2914" s="227">
        <v>101075.66</v>
      </c>
      <c r="K2914" s="2"/>
      <c r="N2914">
        <f t="shared" si="42"/>
        <v>34</v>
      </c>
    </row>
    <row r="2915" spans="1:14" hidden="1">
      <c r="A2915" s="233">
        <v>44372</v>
      </c>
      <c r="B2915" s="226" t="s">
        <v>4124</v>
      </c>
      <c r="C2915" s="226" t="s">
        <v>4177</v>
      </c>
      <c r="D2915" s="273">
        <v>0</v>
      </c>
      <c r="E2915" s="273">
        <v>284958</v>
      </c>
      <c r="F2915" s="227">
        <v>386033.66</v>
      </c>
      <c r="G2915" s="8" t="s">
        <v>1380</v>
      </c>
      <c r="K2915" s="2"/>
      <c r="N2915">
        <f t="shared" si="42"/>
        <v>0</v>
      </c>
    </row>
    <row r="2916" spans="1:14" hidden="1">
      <c r="A2916" s="233">
        <v>44372</v>
      </c>
      <c r="B2916" s="226" t="s">
        <v>4124</v>
      </c>
      <c r="C2916" s="226" t="s">
        <v>4178</v>
      </c>
      <c r="D2916" s="273">
        <v>140000</v>
      </c>
      <c r="E2916" s="273">
        <v>0</v>
      </c>
      <c r="F2916" s="227">
        <v>246033.66</v>
      </c>
      <c r="G2916" s="8" t="s">
        <v>1363</v>
      </c>
      <c r="K2916" s="2"/>
      <c r="N2916">
        <f t="shared" si="42"/>
        <v>140000</v>
      </c>
    </row>
    <row r="2917" spans="1:14" hidden="1">
      <c r="A2917" s="233">
        <v>44375</v>
      </c>
      <c r="B2917" s="226" t="s">
        <v>4124</v>
      </c>
      <c r="C2917" s="226" t="s">
        <v>4179</v>
      </c>
      <c r="D2917" s="273">
        <v>2000</v>
      </c>
      <c r="E2917" s="273">
        <v>0</v>
      </c>
      <c r="F2917" s="227">
        <v>244033.66</v>
      </c>
      <c r="G2917" s="8" t="s">
        <v>1372</v>
      </c>
      <c r="K2917" s="2"/>
      <c r="N2917">
        <f t="shared" si="42"/>
        <v>2000</v>
      </c>
    </row>
    <row r="2918" spans="1:14" hidden="1">
      <c r="A2918" s="233">
        <v>44375</v>
      </c>
      <c r="B2918" s="226" t="s">
        <v>4124</v>
      </c>
      <c r="C2918" s="226" t="s">
        <v>4180</v>
      </c>
      <c r="D2918" s="273">
        <v>10250</v>
      </c>
      <c r="E2918" s="273">
        <v>0</v>
      </c>
      <c r="F2918" s="227">
        <v>233783.66</v>
      </c>
      <c r="G2918" s="8" t="s">
        <v>1372</v>
      </c>
      <c r="K2918" s="2"/>
      <c r="N2918">
        <f t="shared" si="42"/>
        <v>10250</v>
      </c>
    </row>
    <row r="2919" spans="1:14" hidden="1">
      <c r="A2919" s="233">
        <v>44375</v>
      </c>
      <c r="B2919" s="226" t="s">
        <v>4124</v>
      </c>
      <c r="C2919" s="226" t="s">
        <v>4181</v>
      </c>
      <c r="D2919" s="273">
        <v>25000</v>
      </c>
      <c r="E2919" s="273">
        <v>0</v>
      </c>
      <c r="F2919" s="227">
        <v>208783.66</v>
      </c>
      <c r="G2919" s="8" t="s">
        <v>1381</v>
      </c>
      <c r="K2919" s="2"/>
      <c r="N2919">
        <f t="shared" si="42"/>
        <v>25000</v>
      </c>
    </row>
    <row r="2920" spans="1:14" hidden="1">
      <c r="A2920" s="233">
        <v>44377</v>
      </c>
      <c r="B2920" s="226" t="s">
        <v>4124</v>
      </c>
      <c r="C2920" s="226" t="s">
        <v>4182</v>
      </c>
      <c r="D2920" s="273">
        <v>0</v>
      </c>
      <c r="E2920" s="273">
        <v>1440</v>
      </c>
      <c r="F2920" s="227">
        <v>210223.66</v>
      </c>
      <c r="G2920" s="8" t="s">
        <v>1368</v>
      </c>
      <c r="K2920" s="2"/>
      <c r="N2920">
        <f t="shared" si="42"/>
        <v>0</v>
      </c>
    </row>
    <row r="2921" spans="1:14" hidden="1">
      <c r="A2921" s="233">
        <v>44377</v>
      </c>
      <c r="B2921" s="226" t="s">
        <v>4124</v>
      </c>
      <c r="C2921" s="226" t="s">
        <v>4183</v>
      </c>
      <c r="D2921" s="273">
        <v>460</v>
      </c>
      <c r="E2921" s="273">
        <v>0</v>
      </c>
      <c r="F2921" s="227">
        <v>209763.66</v>
      </c>
      <c r="K2921" s="2"/>
      <c r="N2921">
        <f t="shared" si="42"/>
        <v>460</v>
      </c>
    </row>
    <row r="2922" spans="1:14" hidden="1">
      <c r="A2922" s="233">
        <v>44378</v>
      </c>
      <c r="B2922" s="226" t="s">
        <v>4124</v>
      </c>
      <c r="C2922" s="226" t="s">
        <v>4184</v>
      </c>
      <c r="D2922" s="273">
        <v>500</v>
      </c>
      <c r="E2922" s="273">
        <v>0</v>
      </c>
      <c r="F2922" s="227">
        <v>209263.66</v>
      </c>
      <c r="G2922" s="8" t="s">
        <v>1363</v>
      </c>
      <c r="K2922" s="2"/>
      <c r="N2922">
        <f t="shared" si="42"/>
        <v>500</v>
      </c>
    </row>
    <row r="2923" spans="1:14" hidden="1">
      <c r="A2923" s="233">
        <v>44380</v>
      </c>
      <c r="B2923" s="226" t="s">
        <v>4124</v>
      </c>
      <c r="C2923" s="226" t="s">
        <v>4185</v>
      </c>
      <c r="D2923" s="273">
        <v>9333</v>
      </c>
      <c r="E2923" s="273">
        <v>0</v>
      </c>
      <c r="F2923" s="227">
        <v>199930.66</v>
      </c>
      <c r="K2923" s="2"/>
      <c r="N2923">
        <f t="shared" si="42"/>
        <v>9333</v>
      </c>
    </row>
    <row r="2924" spans="1:14" hidden="1">
      <c r="A2924" s="233">
        <v>44380</v>
      </c>
      <c r="B2924" s="226" t="s">
        <v>4124</v>
      </c>
      <c r="C2924" s="226" t="s">
        <v>4186</v>
      </c>
      <c r="D2924" s="273">
        <v>2000</v>
      </c>
      <c r="E2924" s="273">
        <v>0</v>
      </c>
      <c r="F2924" s="227">
        <v>197930.66</v>
      </c>
      <c r="K2924" s="2"/>
      <c r="N2924">
        <f t="shared" si="42"/>
        <v>2000</v>
      </c>
    </row>
    <row r="2925" spans="1:14" hidden="1">
      <c r="A2925" s="233">
        <v>44382</v>
      </c>
      <c r="B2925" s="226" t="s">
        <v>4124</v>
      </c>
      <c r="C2925" s="226" t="s">
        <v>4187</v>
      </c>
      <c r="D2925" s="273">
        <v>10250</v>
      </c>
      <c r="E2925" s="273">
        <v>0</v>
      </c>
      <c r="F2925" s="227">
        <v>187680.66</v>
      </c>
      <c r="G2925" s="8" t="s">
        <v>1372</v>
      </c>
      <c r="K2925" s="2"/>
      <c r="N2925">
        <f t="shared" si="42"/>
        <v>10250</v>
      </c>
    </row>
    <row r="2926" spans="1:14" hidden="1">
      <c r="A2926" s="233">
        <v>44383</v>
      </c>
      <c r="B2926" s="226" t="s">
        <v>4124</v>
      </c>
      <c r="C2926" s="226" t="s">
        <v>4188</v>
      </c>
      <c r="D2926" s="273">
        <v>318</v>
      </c>
      <c r="E2926" s="273">
        <v>0</v>
      </c>
      <c r="F2926" s="227">
        <v>187362.66</v>
      </c>
      <c r="K2926" s="2"/>
      <c r="N2926">
        <f t="shared" si="42"/>
        <v>318</v>
      </c>
    </row>
    <row r="2927" spans="1:14" hidden="1">
      <c r="A2927" s="233">
        <v>44386</v>
      </c>
      <c r="B2927" s="226" t="s">
        <v>4124</v>
      </c>
      <c r="C2927" s="226" t="s">
        <v>4189</v>
      </c>
      <c r="D2927" s="273">
        <v>200</v>
      </c>
      <c r="E2927" s="273">
        <v>0</v>
      </c>
      <c r="F2927" s="227">
        <v>187162.66</v>
      </c>
      <c r="K2927" s="2"/>
      <c r="N2927">
        <f t="shared" si="42"/>
        <v>200</v>
      </c>
    </row>
    <row r="2928" spans="1:14" hidden="1">
      <c r="A2928" s="233">
        <v>44389</v>
      </c>
      <c r="B2928" s="226" t="s">
        <v>4124</v>
      </c>
      <c r="C2928" s="226" t="s">
        <v>4190</v>
      </c>
      <c r="D2928" s="273">
        <v>10250</v>
      </c>
      <c r="E2928" s="273">
        <v>0</v>
      </c>
      <c r="F2928" s="227">
        <v>176912.66</v>
      </c>
      <c r="G2928" s="8" t="s">
        <v>1372</v>
      </c>
      <c r="K2928" s="2"/>
      <c r="N2928">
        <f t="shared" si="42"/>
        <v>10250</v>
      </c>
    </row>
    <row r="2929" spans="1:14" hidden="1">
      <c r="A2929" s="233">
        <v>44389</v>
      </c>
      <c r="B2929" s="226" t="s">
        <v>4124</v>
      </c>
      <c r="C2929" s="226" t="s">
        <v>4132</v>
      </c>
      <c r="D2929" s="273">
        <v>1996.82</v>
      </c>
      <c r="E2929" s="273">
        <v>0</v>
      </c>
      <c r="F2929" s="227">
        <v>174915.84</v>
      </c>
      <c r="G2929" s="8" t="s">
        <v>1362</v>
      </c>
      <c r="K2929" s="2"/>
      <c r="N2929">
        <f t="shared" si="42"/>
        <v>1996.82</v>
      </c>
    </row>
    <row r="2930" spans="1:14" hidden="1">
      <c r="A2930" s="233">
        <v>44392</v>
      </c>
      <c r="B2930" s="226" t="s">
        <v>4124</v>
      </c>
      <c r="C2930" s="226" t="s">
        <v>4191</v>
      </c>
      <c r="D2930" s="273">
        <v>815</v>
      </c>
      <c r="E2930" s="273">
        <v>0</v>
      </c>
      <c r="F2930" s="227">
        <v>174100.84</v>
      </c>
      <c r="K2930" s="2"/>
      <c r="N2930">
        <f t="shared" si="42"/>
        <v>815</v>
      </c>
    </row>
    <row r="2931" spans="1:14" hidden="1">
      <c r="A2931" s="233">
        <v>44396</v>
      </c>
      <c r="B2931" s="226" t="s">
        <v>4124</v>
      </c>
      <c r="C2931" s="226" t="s">
        <v>4192</v>
      </c>
      <c r="D2931" s="273">
        <v>10250</v>
      </c>
      <c r="E2931" s="273">
        <v>0</v>
      </c>
      <c r="F2931" s="227">
        <v>163850.84</v>
      </c>
      <c r="G2931" s="8" t="s">
        <v>1372</v>
      </c>
      <c r="K2931" s="2"/>
      <c r="N2931">
        <f t="shared" si="42"/>
        <v>10250</v>
      </c>
    </row>
    <row r="2932" spans="1:14" hidden="1">
      <c r="A2932" s="233">
        <v>44397</v>
      </c>
      <c r="B2932" s="226" t="s">
        <v>4124</v>
      </c>
      <c r="C2932" s="226" t="s">
        <v>4193</v>
      </c>
      <c r="D2932" s="273">
        <v>338</v>
      </c>
      <c r="E2932" s="273">
        <v>0</v>
      </c>
      <c r="F2932" s="227">
        <v>163512.84</v>
      </c>
      <c r="K2932" s="2"/>
      <c r="N2932">
        <f t="shared" si="42"/>
        <v>338</v>
      </c>
    </row>
    <row r="2933" spans="1:14" hidden="1">
      <c r="A2933" s="233">
        <v>44398</v>
      </c>
      <c r="B2933" s="226" t="s">
        <v>4124</v>
      </c>
      <c r="C2933" s="226" t="s">
        <v>4194</v>
      </c>
      <c r="D2933" s="273">
        <v>33333</v>
      </c>
      <c r="E2933" s="273">
        <v>0</v>
      </c>
      <c r="F2933" s="227">
        <v>130179.84</v>
      </c>
      <c r="G2933" s="8" t="s">
        <v>1381</v>
      </c>
      <c r="K2933" s="2"/>
      <c r="N2933">
        <f t="shared" si="42"/>
        <v>33333</v>
      </c>
    </row>
    <row r="2934" spans="1:14" hidden="1">
      <c r="A2934" s="233">
        <v>44403</v>
      </c>
      <c r="B2934" s="226" t="s">
        <v>4124</v>
      </c>
      <c r="C2934" s="226" t="s">
        <v>4195</v>
      </c>
      <c r="D2934" s="273">
        <v>10250</v>
      </c>
      <c r="E2934" s="273">
        <v>0</v>
      </c>
      <c r="F2934" s="227">
        <v>119929.84</v>
      </c>
      <c r="G2934" s="8" t="s">
        <v>1372</v>
      </c>
      <c r="K2934" s="2"/>
      <c r="N2934">
        <f t="shared" si="42"/>
        <v>10250</v>
      </c>
    </row>
    <row r="2935" spans="1:14" hidden="1">
      <c r="A2935" s="233">
        <v>44403</v>
      </c>
      <c r="B2935" s="226" t="s">
        <v>4124</v>
      </c>
      <c r="C2935" s="226" t="s">
        <v>4196</v>
      </c>
      <c r="D2935" s="273">
        <v>351</v>
      </c>
      <c r="E2935" s="273">
        <v>0</v>
      </c>
      <c r="F2935" s="227">
        <v>119578.84</v>
      </c>
      <c r="K2935" s="2"/>
      <c r="N2935">
        <f t="shared" si="42"/>
        <v>351</v>
      </c>
    </row>
    <row r="2936" spans="1:14" hidden="1">
      <c r="A2936" s="233">
        <v>44403</v>
      </c>
      <c r="B2936" s="226" t="s">
        <v>4124</v>
      </c>
      <c r="C2936" s="226" t="s">
        <v>4197</v>
      </c>
      <c r="D2936" s="273">
        <v>0</v>
      </c>
      <c r="E2936" s="273">
        <v>284922</v>
      </c>
      <c r="F2936" s="227">
        <v>404500.84</v>
      </c>
      <c r="G2936" s="8" t="s">
        <v>1380</v>
      </c>
      <c r="K2936" s="2"/>
      <c r="N2936">
        <f t="shared" si="42"/>
        <v>0</v>
      </c>
    </row>
    <row r="2937" spans="1:14" hidden="1">
      <c r="A2937" s="233">
        <v>44403</v>
      </c>
      <c r="B2937" s="226" t="s">
        <v>4124</v>
      </c>
      <c r="C2937" s="226" t="s">
        <v>4198</v>
      </c>
      <c r="D2937" s="273">
        <v>140000</v>
      </c>
      <c r="E2937" s="273">
        <v>0</v>
      </c>
      <c r="F2937" s="227">
        <v>264500.84000000003</v>
      </c>
      <c r="G2937" s="8" t="s">
        <v>1363</v>
      </c>
      <c r="K2937" s="2"/>
      <c r="N2937">
        <f t="shared" si="42"/>
        <v>140000</v>
      </c>
    </row>
    <row r="2938" spans="1:14" hidden="1">
      <c r="A2938" s="233">
        <v>44404</v>
      </c>
      <c r="B2938" s="226" t="s">
        <v>4124</v>
      </c>
      <c r="C2938" s="226" t="s">
        <v>4199</v>
      </c>
      <c r="D2938" s="273">
        <v>92</v>
      </c>
      <c r="E2938" s="273">
        <v>0</v>
      </c>
      <c r="F2938" s="227">
        <v>264408.84000000003</v>
      </c>
      <c r="K2938" s="2"/>
      <c r="N2938">
        <f t="shared" si="42"/>
        <v>92</v>
      </c>
    </row>
    <row r="2939" spans="1:14" hidden="1">
      <c r="A2939" s="233">
        <v>44405</v>
      </c>
      <c r="B2939" s="226" t="s">
        <v>4124</v>
      </c>
      <c r="C2939" s="226" t="s">
        <v>4200</v>
      </c>
      <c r="D2939" s="273">
        <v>2000</v>
      </c>
      <c r="E2939" s="273">
        <v>0</v>
      </c>
      <c r="F2939" s="227">
        <v>262408.84000000003</v>
      </c>
      <c r="G2939" s="8" t="s">
        <v>1372</v>
      </c>
      <c r="K2939" s="2"/>
      <c r="N2939">
        <f t="shared" si="42"/>
        <v>2000</v>
      </c>
    </row>
    <row r="2940" spans="1:14" hidden="1">
      <c r="A2940" s="233">
        <v>44405</v>
      </c>
      <c r="B2940" s="226" t="s">
        <v>4124</v>
      </c>
      <c r="C2940" s="226" t="s">
        <v>4201</v>
      </c>
      <c r="D2940" s="273">
        <v>142</v>
      </c>
      <c r="E2940" s="273">
        <v>0</v>
      </c>
      <c r="F2940" s="227">
        <v>262266.84000000003</v>
      </c>
      <c r="K2940" s="2"/>
      <c r="N2940">
        <f t="shared" si="42"/>
        <v>142</v>
      </c>
    </row>
    <row r="2941" spans="1:14" hidden="1">
      <c r="A2941" s="233">
        <v>44405</v>
      </c>
      <c r="B2941" s="226" t="s">
        <v>4124</v>
      </c>
      <c r="C2941" s="226" t="s">
        <v>4202</v>
      </c>
      <c r="D2941" s="273">
        <v>25000</v>
      </c>
      <c r="E2941" s="273">
        <v>0</v>
      </c>
      <c r="F2941" s="227">
        <v>237266.84</v>
      </c>
      <c r="G2941" s="8" t="s">
        <v>1381</v>
      </c>
      <c r="K2941" s="2"/>
      <c r="N2941">
        <f t="shared" si="42"/>
        <v>25000</v>
      </c>
    </row>
    <row r="2942" spans="1:14" hidden="1">
      <c r="A2942" s="233">
        <v>44410</v>
      </c>
      <c r="B2942" s="226" t="s">
        <v>4124</v>
      </c>
      <c r="C2942" s="226" t="s">
        <v>4203</v>
      </c>
      <c r="D2942" s="273">
        <v>500</v>
      </c>
      <c r="E2942" s="273">
        <v>0</v>
      </c>
      <c r="F2942" s="227">
        <v>236766.84</v>
      </c>
      <c r="G2942" s="8" t="s">
        <v>1363</v>
      </c>
      <c r="K2942" s="2"/>
      <c r="N2942">
        <f t="shared" si="42"/>
        <v>500</v>
      </c>
    </row>
    <row r="2943" spans="1:14" hidden="1">
      <c r="A2943" s="233">
        <v>44410</v>
      </c>
      <c r="B2943" s="226" t="s">
        <v>4124</v>
      </c>
      <c r="C2943" s="226" t="s">
        <v>4204</v>
      </c>
      <c r="D2943" s="273">
        <v>10250</v>
      </c>
      <c r="E2943" s="273">
        <v>0</v>
      </c>
      <c r="F2943" s="227">
        <v>226516.84</v>
      </c>
      <c r="G2943" s="8" t="s">
        <v>1372</v>
      </c>
      <c r="K2943" s="2"/>
      <c r="N2943">
        <f t="shared" si="42"/>
        <v>10250</v>
      </c>
    </row>
    <row r="2944" spans="1:14" hidden="1">
      <c r="A2944" s="233">
        <v>44410</v>
      </c>
      <c r="B2944" s="226" t="s">
        <v>4124</v>
      </c>
      <c r="C2944" s="226" t="s">
        <v>4205</v>
      </c>
      <c r="D2944" s="273">
        <v>345</v>
      </c>
      <c r="E2944" s="273">
        <v>0</v>
      </c>
      <c r="F2944" s="227">
        <v>226171.84</v>
      </c>
      <c r="K2944" s="2"/>
      <c r="N2944">
        <f t="shared" si="42"/>
        <v>345</v>
      </c>
    </row>
    <row r="2945" spans="1:14" hidden="1">
      <c r="A2945" s="233">
        <v>44410</v>
      </c>
      <c r="B2945" s="226" t="s">
        <v>4124</v>
      </c>
      <c r="C2945" s="226" t="s">
        <v>4206</v>
      </c>
      <c r="D2945" s="273">
        <v>9333</v>
      </c>
      <c r="E2945" s="273">
        <v>0</v>
      </c>
      <c r="F2945" s="227">
        <v>216838.84</v>
      </c>
      <c r="K2945" s="2"/>
      <c r="N2945">
        <f t="shared" si="42"/>
        <v>9333</v>
      </c>
    </row>
    <row r="2946" spans="1:14" hidden="1">
      <c r="A2946" s="233">
        <v>44411</v>
      </c>
      <c r="B2946" s="226" t="s">
        <v>4124</v>
      </c>
      <c r="C2946" s="226" t="s">
        <v>4207</v>
      </c>
      <c r="D2946" s="273">
        <v>271</v>
      </c>
      <c r="E2946" s="273">
        <v>0</v>
      </c>
      <c r="F2946" s="227">
        <v>216567.84</v>
      </c>
      <c r="K2946" s="2"/>
      <c r="N2946">
        <f t="shared" si="42"/>
        <v>271</v>
      </c>
    </row>
    <row r="2947" spans="1:14" hidden="1">
      <c r="A2947" s="233">
        <v>44412</v>
      </c>
      <c r="B2947" s="226" t="s">
        <v>4124</v>
      </c>
      <c r="C2947" s="226" t="s">
        <v>4208</v>
      </c>
      <c r="D2947" s="273">
        <v>2000</v>
      </c>
      <c r="E2947" s="273">
        <v>0</v>
      </c>
      <c r="F2947" s="227">
        <v>214567.84</v>
      </c>
      <c r="K2947" s="2"/>
      <c r="N2947">
        <f t="shared" si="42"/>
        <v>2000</v>
      </c>
    </row>
    <row r="2948" spans="1:14" hidden="1">
      <c r="A2948" s="233">
        <v>44413</v>
      </c>
      <c r="B2948" s="226" t="s">
        <v>4124</v>
      </c>
      <c r="C2948" s="226" t="s">
        <v>4209</v>
      </c>
      <c r="D2948" s="273">
        <v>789.5</v>
      </c>
      <c r="E2948" s="273">
        <v>0</v>
      </c>
      <c r="F2948" s="227">
        <v>213778.34</v>
      </c>
      <c r="K2948" s="2"/>
      <c r="N2948">
        <f t="shared" si="42"/>
        <v>789.5</v>
      </c>
    </row>
    <row r="2949" spans="1:14" hidden="1">
      <c r="A2949" s="233">
        <v>44417</v>
      </c>
      <c r="B2949" s="226" t="s">
        <v>4124</v>
      </c>
      <c r="C2949" s="226" t="s">
        <v>4210</v>
      </c>
      <c r="D2949" s="273">
        <v>10250</v>
      </c>
      <c r="E2949" s="273">
        <v>0</v>
      </c>
      <c r="F2949" s="227">
        <v>203528.34</v>
      </c>
      <c r="G2949" s="8" t="s">
        <v>1372</v>
      </c>
      <c r="K2949" s="2"/>
      <c r="N2949">
        <f t="shared" si="42"/>
        <v>10250</v>
      </c>
    </row>
    <row r="2950" spans="1:14" hidden="1">
      <c r="A2950" s="233">
        <v>44418</v>
      </c>
      <c r="B2950" s="226" t="s">
        <v>4124</v>
      </c>
      <c r="C2950" s="226" t="s">
        <v>4132</v>
      </c>
      <c r="D2950" s="273">
        <v>1195.82</v>
      </c>
      <c r="E2950" s="273">
        <v>0</v>
      </c>
      <c r="F2950" s="227">
        <v>202332.52</v>
      </c>
      <c r="G2950" s="8" t="s">
        <v>1362</v>
      </c>
      <c r="K2950" s="2"/>
      <c r="N2950">
        <f t="shared" si="42"/>
        <v>1195.82</v>
      </c>
    </row>
    <row r="2951" spans="1:14" hidden="1">
      <c r="A2951" s="233">
        <v>44420</v>
      </c>
      <c r="B2951" s="226" t="s">
        <v>4124</v>
      </c>
      <c r="C2951" s="226" t="s">
        <v>4211</v>
      </c>
      <c r="D2951" s="273">
        <v>184</v>
      </c>
      <c r="E2951" s="273">
        <v>0</v>
      </c>
      <c r="F2951" s="227">
        <v>202148.52</v>
      </c>
      <c r="K2951" s="2"/>
      <c r="N2951">
        <f t="shared" si="42"/>
        <v>184</v>
      </c>
    </row>
    <row r="2952" spans="1:14" hidden="1">
      <c r="A2952" s="233">
        <v>44424</v>
      </c>
      <c r="B2952" s="226" t="s">
        <v>4124</v>
      </c>
      <c r="C2952" s="226" t="s">
        <v>4212</v>
      </c>
      <c r="D2952" s="273">
        <v>10250</v>
      </c>
      <c r="E2952" s="273">
        <v>0</v>
      </c>
      <c r="F2952" s="227">
        <v>191898.52</v>
      </c>
      <c r="G2952" s="8" t="s">
        <v>1372</v>
      </c>
      <c r="K2952" s="2"/>
      <c r="N2952">
        <f t="shared" si="42"/>
        <v>10250</v>
      </c>
    </row>
    <row r="2953" spans="1:14" hidden="1">
      <c r="A2953" s="233">
        <v>44424</v>
      </c>
      <c r="B2953" s="226" t="s">
        <v>4124</v>
      </c>
      <c r="C2953" s="226" t="s">
        <v>4213</v>
      </c>
      <c r="D2953" s="273">
        <v>310</v>
      </c>
      <c r="E2953" s="273">
        <v>0</v>
      </c>
      <c r="F2953" s="227">
        <v>191588.52</v>
      </c>
      <c r="K2953" s="2"/>
      <c r="N2953">
        <f t="shared" si="42"/>
        <v>310</v>
      </c>
    </row>
    <row r="2954" spans="1:14" hidden="1">
      <c r="A2954" s="233">
        <v>44424</v>
      </c>
      <c r="B2954" s="226" t="s">
        <v>4124</v>
      </c>
      <c r="C2954" s="226" t="s">
        <v>4214</v>
      </c>
      <c r="D2954" s="273">
        <v>36</v>
      </c>
      <c r="E2954" s="273">
        <v>0</v>
      </c>
      <c r="F2954" s="227">
        <v>191552.52</v>
      </c>
      <c r="K2954" s="2"/>
      <c r="N2954">
        <f t="shared" si="42"/>
        <v>36</v>
      </c>
    </row>
    <row r="2955" spans="1:14" hidden="1">
      <c r="A2955" s="233">
        <v>44429</v>
      </c>
      <c r="B2955" s="226" t="s">
        <v>4124</v>
      </c>
      <c r="C2955" s="226" t="s">
        <v>4215</v>
      </c>
      <c r="D2955" s="273">
        <v>33333</v>
      </c>
      <c r="E2955" s="273">
        <v>0</v>
      </c>
      <c r="F2955" s="227">
        <v>158219.51999999999</v>
      </c>
      <c r="G2955" s="8" t="s">
        <v>1381</v>
      </c>
      <c r="K2955" s="2"/>
      <c r="N2955">
        <f t="shared" ref="N2955:N3018" si="43">D2955*1</f>
        <v>33333</v>
      </c>
    </row>
    <row r="2956" spans="1:14" hidden="1">
      <c r="A2956" s="233">
        <v>44431</v>
      </c>
      <c r="B2956" s="226" t="s">
        <v>4124</v>
      </c>
      <c r="C2956" s="226" t="s">
        <v>4216</v>
      </c>
      <c r="D2956" s="273">
        <v>10250</v>
      </c>
      <c r="E2956" s="273">
        <v>0</v>
      </c>
      <c r="F2956" s="227">
        <v>147969.51999999999</v>
      </c>
      <c r="G2956" s="8" t="s">
        <v>1372</v>
      </c>
      <c r="K2956" s="2"/>
      <c r="N2956">
        <f t="shared" si="43"/>
        <v>10250</v>
      </c>
    </row>
    <row r="2957" spans="1:14" hidden="1">
      <c r="A2957" s="233">
        <v>44433</v>
      </c>
      <c r="B2957" s="226" t="s">
        <v>4124</v>
      </c>
      <c r="C2957" s="226" t="s">
        <v>4217</v>
      </c>
      <c r="D2957" s="273">
        <v>265</v>
      </c>
      <c r="E2957" s="273">
        <v>0</v>
      </c>
      <c r="F2957" s="227">
        <v>147704.51999999999</v>
      </c>
      <c r="K2957" s="2"/>
      <c r="N2957">
        <f t="shared" si="43"/>
        <v>265</v>
      </c>
    </row>
    <row r="2958" spans="1:14" hidden="1">
      <c r="A2958" s="233">
        <v>44434</v>
      </c>
      <c r="B2958" s="226" t="s">
        <v>4124</v>
      </c>
      <c r="C2958" s="226" t="s">
        <v>4218</v>
      </c>
      <c r="D2958" s="273">
        <v>0</v>
      </c>
      <c r="E2958" s="273">
        <v>283808</v>
      </c>
      <c r="F2958" s="227">
        <v>431512.52</v>
      </c>
      <c r="G2958" s="8" t="s">
        <v>1380</v>
      </c>
      <c r="K2958" s="2"/>
      <c r="N2958">
        <f t="shared" si="43"/>
        <v>0</v>
      </c>
    </row>
    <row r="2959" spans="1:14" hidden="1">
      <c r="A2959" s="233">
        <v>44434</v>
      </c>
      <c r="B2959" s="226" t="s">
        <v>4124</v>
      </c>
      <c r="C2959" s="226" t="s">
        <v>4219</v>
      </c>
      <c r="D2959" s="273">
        <v>140000</v>
      </c>
      <c r="E2959" s="273">
        <v>0</v>
      </c>
      <c r="F2959" s="227">
        <v>291512.52</v>
      </c>
      <c r="G2959" s="8" t="s">
        <v>1363</v>
      </c>
      <c r="K2959" s="2"/>
      <c r="N2959">
        <f t="shared" si="43"/>
        <v>140000</v>
      </c>
    </row>
    <row r="2960" spans="1:14" hidden="1">
      <c r="A2960" s="233">
        <v>44438</v>
      </c>
      <c r="B2960" s="226" t="s">
        <v>4124</v>
      </c>
      <c r="C2960" s="226" t="s">
        <v>4220</v>
      </c>
      <c r="D2960" s="273">
        <v>25000</v>
      </c>
      <c r="E2960" s="273">
        <v>0</v>
      </c>
      <c r="F2960" s="227">
        <v>266512.52</v>
      </c>
      <c r="G2960" s="8" t="s">
        <v>1381</v>
      </c>
      <c r="K2960" s="2"/>
      <c r="N2960">
        <f t="shared" si="43"/>
        <v>25000</v>
      </c>
    </row>
    <row r="2961" spans="1:14" hidden="1">
      <c r="A2961" s="233">
        <v>44438</v>
      </c>
      <c r="B2961" s="226" t="s">
        <v>4124</v>
      </c>
      <c r="C2961" s="226" t="s">
        <v>4221</v>
      </c>
      <c r="D2961" s="273">
        <v>2000</v>
      </c>
      <c r="E2961" s="273">
        <v>0</v>
      </c>
      <c r="F2961" s="227">
        <v>264512.52</v>
      </c>
      <c r="G2961" s="8" t="s">
        <v>1372</v>
      </c>
      <c r="K2961" s="2"/>
      <c r="N2961">
        <f t="shared" si="43"/>
        <v>2000</v>
      </c>
    </row>
    <row r="2962" spans="1:14" hidden="1">
      <c r="A2962" s="233">
        <v>44438</v>
      </c>
      <c r="B2962" s="226" t="s">
        <v>4124</v>
      </c>
      <c r="C2962" s="226" t="s">
        <v>4222</v>
      </c>
      <c r="D2962" s="273">
        <v>10250</v>
      </c>
      <c r="E2962" s="273">
        <v>0</v>
      </c>
      <c r="F2962" s="227">
        <v>254262.52</v>
      </c>
      <c r="G2962" s="8" t="s">
        <v>1372</v>
      </c>
      <c r="K2962" s="2"/>
      <c r="N2962">
        <f t="shared" si="43"/>
        <v>10250</v>
      </c>
    </row>
    <row r="2963" spans="1:14" hidden="1">
      <c r="A2963" s="233">
        <v>44438</v>
      </c>
      <c r="B2963" s="226" t="s">
        <v>4124</v>
      </c>
      <c r="C2963" s="226" t="s">
        <v>4223</v>
      </c>
      <c r="D2963" s="273">
        <v>590</v>
      </c>
      <c r="E2963" s="273">
        <v>0</v>
      </c>
      <c r="F2963" s="227">
        <v>253672.52</v>
      </c>
      <c r="K2963" s="2"/>
      <c r="N2963">
        <f t="shared" si="43"/>
        <v>590</v>
      </c>
    </row>
    <row r="2964" spans="1:14" hidden="1">
      <c r="A2964" s="233">
        <v>44438</v>
      </c>
      <c r="B2964" s="226" t="s">
        <v>4124</v>
      </c>
      <c r="C2964" s="226" t="s">
        <v>4224</v>
      </c>
      <c r="D2964" s="273">
        <v>2500</v>
      </c>
      <c r="E2964" s="273">
        <v>0</v>
      </c>
      <c r="F2964" s="227">
        <v>251172.52</v>
      </c>
      <c r="K2964" s="2"/>
      <c r="N2964">
        <f t="shared" si="43"/>
        <v>2500</v>
      </c>
    </row>
    <row r="2965" spans="1:14" hidden="1">
      <c r="A2965" s="233">
        <v>44440</v>
      </c>
      <c r="B2965" s="226" t="s">
        <v>4124</v>
      </c>
      <c r="C2965" s="226" t="s">
        <v>4225</v>
      </c>
      <c r="D2965" s="273">
        <v>500</v>
      </c>
      <c r="E2965" s="273">
        <v>0</v>
      </c>
      <c r="F2965" s="227">
        <v>250672.52</v>
      </c>
      <c r="G2965" s="8" t="s">
        <v>1363</v>
      </c>
      <c r="K2965" s="2"/>
      <c r="N2965">
        <f t="shared" si="43"/>
        <v>500</v>
      </c>
    </row>
    <row r="2966" spans="1:14" hidden="1">
      <c r="A2966" s="233">
        <v>44442</v>
      </c>
      <c r="B2966" s="226" t="s">
        <v>4124</v>
      </c>
      <c r="C2966" s="226" t="s">
        <v>4226</v>
      </c>
      <c r="D2966" s="273">
        <v>100000</v>
      </c>
      <c r="E2966" s="273">
        <v>0</v>
      </c>
      <c r="F2966" s="227">
        <v>150672.51999999999</v>
      </c>
      <c r="G2966" s="8" t="s">
        <v>1363</v>
      </c>
      <c r="K2966" s="2"/>
      <c r="N2966">
        <f t="shared" si="43"/>
        <v>100000</v>
      </c>
    </row>
    <row r="2967" spans="1:14" hidden="1">
      <c r="A2967" s="233">
        <v>44443</v>
      </c>
      <c r="B2967" s="226" t="s">
        <v>4124</v>
      </c>
      <c r="C2967" s="226" t="s">
        <v>4227</v>
      </c>
      <c r="D2967" s="273">
        <v>2000</v>
      </c>
      <c r="E2967" s="273">
        <v>0</v>
      </c>
      <c r="F2967" s="227">
        <v>148672.51999999999</v>
      </c>
      <c r="K2967" s="2"/>
      <c r="N2967">
        <f t="shared" si="43"/>
        <v>2000</v>
      </c>
    </row>
    <row r="2968" spans="1:14" hidden="1">
      <c r="A2968" s="233">
        <v>44445</v>
      </c>
      <c r="B2968" s="226" t="s">
        <v>4124</v>
      </c>
      <c r="C2968" s="226" t="s">
        <v>4228</v>
      </c>
      <c r="D2968" s="273">
        <v>120</v>
      </c>
      <c r="E2968" s="273">
        <v>0</v>
      </c>
      <c r="F2968" s="227">
        <v>148552.51999999999</v>
      </c>
      <c r="K2968" s="2"/>
      <c r="N2968">
        <f t="shared" si="43"/>
        <v>120</v>
      </c>
    </row>
    <row r="2969" spans="1:14" hidden="1">
      <c r="A2969" s="233">
        <v>44445</v>
      </c>
      <c r="B2969" s="226" t="s">
        <v>4124</v>
      </c>
      <c r="C2969" s="226" t="s">
        <v>4229</v>
      </c>
      <c r="D2969" s="273">
        <v>0</v>
      </c>
      <c r="E2969" s="273">
        <v>6</v>
      </c>
      <c r="F2969" s="227">
        <v>148558.51999999999</v>
      </c>
      <c r="K2969" s="2"/>
      <c r="N2969">
        <f t="shared" si="43"/>
        <v>0</v>
      </c>
    </row>
    <row r="2970" spans="1:14" hidden="1">
      <c r="A2970" s="233">
        <v>44445</v>
      </c>
      <c r="B2970" s="226" t="s">
        <v>4124</v>
      </c>
      <c r="C2970" s="226" t="s">
        <v>4230</v>
      </c>
      <c r="D2970" s="273">
        <v>10250</v>
      </c>
      <c r="E2970" s="273">
        <v>0</v>
      </c>
      <c r="F2970" s="227">
        <v>138308.51999999999</v>
      </c>
      <c r="G2970" s="8" t="s">
        <v>1372</v>
      </c>
      <c r="K2970" s="2"/>
      <c r="N2970">
        <f t="shared" si="43"/>
        <v>10250</v>
      </c>
    </row>
    <row r="2971" spans="1:14" hidden="1">
      <c r="A2971" s="233">
        <v>44445</v>
      </c>
      <c r="B2971" s="226" t="s">
        <v>4124</v>
      </c>
      <c r="C2971" s="226" t="s">
        <v>4231</v>
      </c>
      <c r="D2971" s="273">
        <v>248</v>
      </c>
      <c r="E2971" s="273">
        <v>0</v>
      </c>
      <c r="F2971" s="227">
        <v>138060.51999999999</v>
      </c>
      <c r="K2971" s="2"/>
      <c r="N2971">
        <f t="shared" si="43"/>
        <v>248</v>
      </c>
    </row>
    <row r="2972" spans="1:14" hidden="1">
      <c r="A2972" s="233">
        <v>44445</v>
      </c>
      <c r="B2972" s="226" t="s">
        <v>4124</v>
      </c>
      <c r="C2972" s="226" t="s">
        <v>4232</v>
      </c>
      <c r="D2972" s="273">
        <v>9660</v>
      </c>
      <c r="E2972" s="273">
        <v>0</v>
      </c>
      <c r="F2972" s="227">
        <v>128400.52</v>
      </c>
      <c r="K2972" s="2"/>
      <c r="N2972">
        <f t="shared" si="43"/>
        <v>9660</v>
      </c>
    </row>
    <row r="2973" spans="1:14" hidden="1">
      <c r="A2973" s="233">
        <v>44446</v>
      </c>
      <c r="B2973" s="226" t="s">
        <v>4124</v>
      </c>
      <c r="C2973" s="226" t="s">
        <v>4233</v>
      </c>
      <c r="D2973" s="273">
        <v>840.5</v>
      </c>
      <c r="E2973" s="273">
        <v>0</v>
      </c>
      <c r="F2973" s="227">
        <v>127560.02</v>
      </c>
      <c r="K2973" s="2"/>
      <c r="N2973">
        <f t="shared" si="43"/>
        <v>840.5</v>
      </c>
    </row>
    <row r="2974" spans="1:14" hidden="1">
      <c r="A2974" s="233">
        <v>44447</v>
      </c>
      <c r="B2974" s="226" t="s">
        <v>4124</v>
      </c>
      <c r="C2974" s="226" t="s">
        <v>4234</v>
      </c>
      <c r="D2974" s="273">
        <v>200</v>
      </c>
      <c r="E2974" s="273">
        <v>0</v>
      </c>
      <c r="F2974" s="227">
        <v>127360.02</v>
      </c>
      <c r="K2974" s="2"/>
      <c r="N2974">
        <f t="shared" si="43"/>
        <v>200</v>
      </c>
    </row>
    <row r="2975" spans="1:14" hidden="1">
      <c r="A2975" s="233">
        <v>44447</v>
      </c>
      <c r="B2975" s="226" t="s">
        <v>4124</v>
      </c>
      <c r="C2975" s="226" t="s">
        <v>4235</v>
      </c>
      <c r="D2975" s="273">
        <v>200</v>
      </c>
      <c r="E2975" s="273">
        <v>0</v>
      </c>
      <c r="F2975" s="227">
        <v>127160.02</v>
      </c>
      <c r="K2975" s="2"/>
      <c r="N2975">
        <f t="shared" si="43"/>
        <v>200</v>
      </c>
    </row>
    <row r="2976" spans="1:14" hidden="1">
      <c r="A2976" s="233">
        <v>44448</v>
      </c>
      <c r="B2976" s="226" t="s">
        <v>4124</v>
      </c>
      <c r="C2976" s="226" t="s">
        <v>4236</v>
      </c>
      <c r="D2976" s="273">
        <v>0</v>
      </c>
      <c r="E2976" s="273">
        <v>55818.58</v>
      </c>
      <c r="F2976" s="227">
        <v>182978.6</v>
      </c>
      <c r="G2976" s="8" t="s">
        <v>1375</v>
      </c>
      <c r="K2976" s="2"/>
      <c r="N2976">
        <f t="shared" si="43"/>
        <v>0</v>
      </c>
    </row>
    <row r="2977" spans="1:14" hidden="1">
      <c r="A2977" s="233">
        <v>44448</v>
      </c>
      <c r="B2977" s="226" t="s">
        <v>4124</v>
      </c>
      <c r="C2977" s="226" t="s">
        <v>4237</v>
      </c>
      <c r="D2977" s="273">
        <v>50000</v>
      </c>
      <c r="E2977" s="273">
        <v>0</v>
      </c>
      <c r="F2977" s="227">
        <v>132978.6</v>
      </c>
      <c r="G2977" s="8" t="s">
        <v>1363</v>
      </c>
      <c r="K2977" s="2"/>
      <c r="N2977">
        <f t="shared" si="43"/>
        <v>50000</v>
      </c>
    </row>
    <row r="2978" spans="1:14" hidden="1">
      <c r="A2978" s="233">
        <v>44449</v>
      </c>
      <c r="B2978" s="226" t="s">
        <v>4124</v>
      </c>
      <c r="C2978" s="226" t="s">
        <v>4132</v>
      </c>
      <c r="D2978" s="273">
        <v>1393</v>
      </c>
      <c r="E2978" s="273">
        <v>0</v>
      </c>
      <c r="F2978" s="227">
        <v>131585.60000000001</v>
      </c>
      <c r="G2978" s="8" t="s">
        <v>1362</v>
      </c>
      <c r="K2978" s="2"/>
      <c r="N2978">
        <f t="shared" si="43"/>
        <v>1393</v>
      </c>
    </row>
    <row r="2979" spans="1:14" hidden="1">
      <c r="A2979" s="233">
        <v>44452</v>
      </c>
      <c r="B2979" s="226" t="s">
        <v>4124</v>
      </c>
      <c r="C2979" s="226" t="s">
        <v>4238</v>
      </c>
      <c r="D2979" s="273">
        <v>201</v>
      </c>
      <c r="E2979" s="273">
        <v>0</v>
      </c>
      <c r="F2979" s="227">
        <v>131384.6</v>
      </c>
      <c r="K2979" s="2"/>
      <c r="N2979">
        <f t="shared" si="43"/>
        <v>201</v>
      </c>
    </row>
    <row r="2980" spans="1:14" hidden="1">
      <c r="A2980" s="233">
        <v>44452</v>
      </c>
      <c r="B2980" s="226" t="s">
        <v>4124</v>
      </c>
      <c r="C2980" s="226" t="s">
        <v>4239</v>
      </c>
      <c r="D2980" s="273">
        <v>10250</v>
      </c>
      <c r="E2980" s="273">
        <v>0</v>
      </c>
      <c r="F2980" s="227">
        <v>121134.6</v>
      </c>
      <c r="G2980" s="8" t="s">
        <v>1372</v>
      </c>
      <c r="K2980" s="2"/>
      <c r="N2980">
        <f t="shared" si="43"/>
        <v>10250</v>
      </c>
    </row>
    <row r="2981" spans="1:14" hidden="1">
      <c r="A2981" s="233">
        <v>44456</v>
      </c>
      <c r="B2981" s="226" t="s">
        <v>4124</v>
      </c>
      <c r="C2981" s="226" t="s">
        <v>4240</v>
      </c>
      <c r="D2981" s="273">
        <v>345</v>
      </c>
      <c r="E2981" s="273">
        <v>0</v>
      </c>
      <c r="F2981" s="227">
        <v>120789.6</v>
      </c>
      <c r="K2981" s="2"/>
      <c r="N2981">
        <f t="shared" si="43"/>
        <v>345</v>
      </c>
    </row>
    <row r="2982" spans="1:14" hidden="1">
      <c r="A2982" s="233">
        <v>44457</v>
      </c>
      <c r="B2982" s="226" t="s">
        <v>4124</v>
      </c>
      <c r="C2982" s="226" t="s">
        <v>4241</v>
      </c>
      <c r="D2982" s="273">
        <v>120</v>
      </c>
      <c r="E2982" s="273">
        <v>0</v>
      </c>
      <c r="F2982" s="227">
        <v>120669.6</v>
      </c>
      <c r="K2982" s="2"/>
      <c r="N2982">
        <f t="shared" si="43"/>
        <v>120</v>
      </c>
    </row>
    <row r="2983" spans="1:14" hidden="1">
      <c r="A2983" s="233">
        <v>44459</v>
      </c>
      <c r="B2983" s="226" t="s">
        <v>4124</v>
      </c>
      <c r="C2983" s="226" t="s">
        <v>4242</v>
      </c>
      <c r="D2983" s="273">
        <v>10250</v>
      </c>
      <c r="E2983" s="273">
        <v>0</v>
      </c>
      <c r="F2983" s="227">
        <v>110419.6</v>
      </c>
      <c r="G2983" s="8" t="s">
        <v>1372</v>
      </c>
      <c r="K2983" s="2"/>
      <c r="N2983">
        <f t="shared" si="43"/>
        <v>10250</v>
      </c>
    </row>
    <row r="2984" spans="1:14" hidden="1">
      <c r="A2984" s="233">
        <v>44460</v>
      </c>
      <c r="B2984" s="226" t="s">
        <v>4124</v>
      </c>
      <c r="C2984" s="226" t="s">
        <v>4243</v>
      </c>
      <c r="D2984" s="273">
        <v>33333</v>
      </c>
      <c r="E2984" s="273">
        <v>0</v>
      </c>
      <c r="F2984" s="227">
        <v>77086.600000000006</v>
      </c>
      <c r="G2984" s="8" t="s">
        <v>1381</v>
      </c>
      <c r="K2984" s="2"/>
      <c r="N2984">
        <f t="shared" si="43"/>
        <v>33333</v>
      </c>
    </row>
    <row r="2985" spans="1:14" hidden="1">
      <c r="A2985" s="233">
        <v>44463</v>
      </c>
      <c r="B2985" s="226" t="s">
        <v>4124</v>
      </c>
      <c r="C2985" s="226" t="s">
        <v>4244</v>
      </c>
      <c r="D2985" s="273">
        <v>267</v>
      </c>
      <c r="E2985" s="273">
        <v>0</v>
      </c>
      <c r="F2985" s="227">
        <v>76819.600000000006</v>
      </c>
      <c r="K2985" s="2"/>
      <c r="N2985">
        <f t="shared" si="43"/>
        <v>267</v>
      </c>
    </row>
    <row r="2986" spans="1:14" hidden="1">
      <c r="A2986" s="233">
        <v>44463</v>
      </c>
      <c r="B2986" s="226" t="s">
        <v>4124</v>
      </c>
      <c r="C2986" s="226" t="s">
        <v>4245</v>
      </c>
      <c r="D2986" s="273">
        <v>0</v>
      </c>
      <c r="E2986" s="273">
        <v>283808</v>
      </c>
      <c r="F2986" s="227">
        <v>360627.6</v>
      </c>
      <c r="G2986" s="8" t="s">
        <v>1380</v>
      </c>
      <c r="K2986" s="2"/>
      <c r="N2986">
        <f t="shared" si="43"/>
        <v>0</v>
      </c>
    </row>
    <row r="2987" spans="1:14" hidden="1">
      <c r="A2987" s="233">
        <v>44463</v>
      </c>
      <c r="B2987" s="226" t="s">
        <v>4124</v>
      </c>
      <c r="C2987" s="226" t="s">
        <v>4246</v>
      </c>
      <c r="D2987" s="273">
        <v>140000</v>
      </c>
      <c r="E2987" s="273">
        <v>0</v>
      </c>
      <c r="F2987" s="227">
        <v>220627.6</v>
      </c>
      <c r="G2987" s="8" t="s">
        <v>1363</v>
      </c>
      <c r="K2987" s="2"/>
      <c r="N2987">
        <f t="shared" si="43"/>
        <v>140000</v>
      </c>
    </row>
    <row r="2988" spans="1:14" hidden="1">
      <c r="A2988" s="233">
        <v>44466</v>
      </c>
      <c r="B2988" s="226" t="s">
        <v>4124</v>
      </c>
      <c r="C2988" s="226" t="s">
        <v>4247</v>
      </c>
      <c r="D2988" s="273">
        <v>10250</v>
      </c>
      <c r="E2988" s="273">
        <v>0</v>
      </c>
      <c r="F2988" s="227">
        <v>210377.60000000001</v>
      </c>
      <c r="G2988" s="8" t="s">
        <v>1372</v>
      </c>
      <c r="K2988" s="2"/>
      <c r="N2988">
        <f t="shared" si="43"/>
        <v>10250</v>
      </c>
    </row>
    <row r="2989" spans="1:14" hidden="1">
      <c r="A2989" s="233">
        <v>44467</v>
      </c>
      <c r="B2989" s="226" t="s">
        <v>4124</v>
      </c>
      <c r="C2989" s="226" t="s">
        <v>4248</v>
      </c>
      <c r="D2989" s="273">
        <v>2000</v>
      </c>
      <c r="E2989" s="273">
        <v>0</v>
      </c>
      <c r="F2989" s="227">
        <v>208377.60000000001</v>
      </c>
      <c r="G2989" s="8" t="s">
        <v>1372</v>
      </c>
      <c r="K2989" s="2"/>
      <c r="N2989">
        <f t="shared" si="43"/>
        <v>2000</v>
      </c>
    </row>
    <row r="2990" spans="1:14" hidden="1">
      <c r="A2990" s="233">
        <v>44467</v>
      </c>
      <c r="B2990" s="226" t="s">
        <v>4124</v>
      </c>
      <c r="C2990" s="226" t="s">
        <v>4249</v>
      </c>
      <c r="D2990" s="273">
        <v>333</v>
      </c>
      <c r="E2990" s="273">
        <v>0</v>
      </c>
      <c r="F2990" s="227">
        <v>208044.6</v>
      </c>
      <c r="K2990" s="2"/>
      <c r="N2990">
        <f t="shared" si="43"/>
        <v>333</v>
      </c>
    </row>
    <row r="2991" spans="1:14" hidden="1">
      <c r="A2991" s="233">
        <v>44467</v>
      </c>
      <c r="B2991" s="226" t="s">
        <v>4124</v>
      </c>
      <c r="C2991" s="226" t="s">
        <v>4250</v>
      </c>
      <c r="D2991" s="273">
        <v>25000</v>
      </c>
      <c r="E2991" s="273">
        <v>0</v>
      </c>
      <c r="F2991" s="227">
        <v>183044.6</v>
      </c>
      <c r="G2991" s="8" t="s">
        <v>1381</v>
      </c>
      <c r="K2991" s="2"/>
      <c r="N2991">
        <f t="shared" si="43"/>
        <v>25000</v>
      </c>
    </row>
    <row r="2992" spans="1:14" hidden="1">
      <c r="A2992" s="233">
        <v>44469</v>
      </c>
      <c r="B2992" s="226" t="s">
        <v>4124</v>
      </c>
      <c r="C2992" s="226" t="s">
        <v>4251</v>
      </c>
      <c r="D2992" s="273">
        <v>0</v>
      </c>
      <c r="E2992" s="273">
        <v>1384</v>
      </c>
      <c r="F2992" s="227">
        <v>184428.6</v>
      </c>
      <c r="G2992" s="8" t="s">
        <v>1368</v>
      </c>
      <c r="K2992" s="2"/>
      <c r="N2992">
        <f t="shared" si="43"/>
        <v>0</v>
      </c>
    </row>
    <row r="2993" spans="1:14" hidden="1">
      <c r="A2993" s="234">
        <v>42626</v>
      </c>
      <c r="C2993" s="228" t="s">
        <v>4252</v>
      </c>
      <c r="D2993" s="274">
        <v>25000</v>
      </c>
      <c r="E2993" s="1">
        <v>0</v>
      </c>
      <c r="G2993" s="8" t="s">
        <v>1379</v>
      </c>
      <c r="H2993" t="s">
        <v>1336</v>
      </c>
      <c r="K2993" s="2"/>
      <c r="N2993">
        <f t="shared" si="43"/>
        <v>25000</v>
      </c>
    </row>
    <row r="2994" spans="1:14" hidden="1">
      <c r="A2994" s="234">
        <v>42638</v>
      </c>
      <c r="C2994" s="228" t="s">
        <v>4253</v>
      </c>
      <c r="D2994" s="274">
        <v>25000</v>
      </c>
      <c r="E2994" s="1">
        <v>0</v>
      </c>
      <c r="G2994" s="8" t="s">
        <v>1379</v>
      </c>
      <c r="H2994" t="s">
        <v>1336</v>
      </c>
      <c r="K2994" s="2"/>
      <c r="N2994">
        <f t="shared" si="43"/>
        <v>25000</v>
      </c>
    </row>
    <row r="2995" spans="1:14" hidden="1">
      <c r="A2995" s="234">
        <v>42642</v>
      </c>
      <c r="C2995" s="228" t="s">
        <v>4254</v>
      </c>
      <c r="D2995" s="274">
        <v>34332.82</v>
      </c>
      <c r="E2995" s="1">
        <v>0</v>
      </c>
      <c r="G2995" s="8" t="s">
        <v>1362</v>
      </c>
      <c r="H2995" t="s">
        <v>1336</v>
      </c>
      <c r="K2995" s="2"/>
      <c r="N2995">
        <f t="shared" si="43"/>
        <v>34332.82</v>
      </c>
    </row>
    <row r="2996" spans="1:14" hidden="1">
      <c r="A2996" s="234">
        <v>42642</v>
      </c>
      <c r="C2996" s="228" t="s">
        <v>4255</v>
      </c>
      <c r="D2996" s="274">
        <v>25000</v>
      </c>
      <c r="E2996" s="1">
        <v>0</v>
      </c>
      <c r="G2996" s="8" t="s">
        <v>1379</v>
      </c>
      <c r="H2996" t="s">
        <v>1336</v>
      </c>
      <c r="K2996" s="2"/>
      <c r="N2996">
        <f t="shared" si="43"/>
        <v>25000</v>
      </c>
    </row>
    <row r="2997" spans="1:14" hidden="1">
      <c r="A2997" s="234">
        <v>42644</v>
      </c>
      <c r="C2997" s="228" t="s">
        <v>4256</v>
      </c>
      <c r="D2997" s="274"/>
      <c r="E2997" s="274">
        <v>11350</v>
      </c>
      <c r="G2997" s="8" t="s">
        <v>1368</v>
      </c>
      <c r="H2997" t="s">
        <v>1336</v>
      </c>
      <c r="K2997" s="2"/>
      <c r="N2997">
        <f t="shared" si="43"/>
        <v>0</v>
      </c>
    </row>
    <row r="2998" spans="1:14" hidden="1">
      <c r="A2998" s="234">
        <v>42656</v>
      </c>
      <c r="C2998" s="228" t="s">
        <v>4257</v>
      </c>
      <c r="D2998" s="274">
        <v>93.8</v>
      </c>
      <c r="E2998" s="1">
        <v>0</v>
      </c>
      <c r="H2998" t="s">
        <v>1336</v>
      </c>
      <c r="K2998" s="2"/>
      <c r="N2998">
        <f t="shared" si="43"/>
        <v>93.8</v>
      </c>
    </row>
    <row r="2999" spans="1:14" hidden="1">
      <c r="A2999" s="234">
        <v>42657</v>
      </c>
      <c r="C2999" s="228" t="s">
        <v>4258</v>
      </c>
      <c r="D2999" s="274">
        <v>25000</v>
      </c>
      <c r="E2999" s="1">
        <v>0</v>
      </c>
      <c r="G2999" s="8" t="s">
        <v>1379</v>
      </c>
      <c r="H2999" t="s">
        <v>1336</v>
      </c>
      <c r="K2999" s="2"/>
      <c r="N2999">
        <f t="shared" si="43"/>
        <v>25000</v>
      </c>
    </row>
    <row r="3000" spans="1:14" hidden="1">
      <c r="A3000" s="234">
        <v>42658</v>
      </c>
      <c r="C3000" s="228" t="s">
        <v>4259</v>
      </c>
      <c r="D3000" s="274">
        <v>115</v>
      </c>
      <c r="E3000" s="1">
        <v>0</v>
      </c>
      <c r="G3000" s="8" t="s">
        <v>1367</v>
      </c>
      <c r="H3000" t="s">
        <v>1336</v>
      </c>
      <c r="K3000" s="2"/>
      <c r="N3000">
        <f t="shared" si="43"/>
        <v>115</v>
      </c>
    </row>
    <row r="3001" spans="1:14" hidden="1">
      <c r="A3001" s="234">
        <v>42668</v>
      </c>
      <c r="C3001" s="228" t="s">
        <v>4260</v>
      </c>
      <c r="D3001" s="274">
        <v>748.8</v>
      </c>
      <c r="E3001" s="1">
        <v>0</v>
      </c>
      <c r="H3001" t="s">
        <v>1336</v>
      </c>
      <c r="K3001" s="2"/>
      <c r="N3001">
        <f t="shared" si="43"/>
        <v>748.8</v>
      </c>
    </row>
    <row r="3002" spans="1:14" hidden="1">
      <c r="A3002" s="234">
        <v>42668</v>
      </c>
      <c r="C3002" s="228" t="s">
        <v>4261</v>
      </c>
      <c r="D3002" s="274"/>
      <c r="E3002" s="274">
        <v>396035</v>
      </c>
      <c r="G3002" s="8" t="s">
        <v>1379</v>
      </c>
      <c r="H3002" t="s">
        <v>1336</v>
      </c>
      <c r="K3002" s="2"/>
      <c r="N3002">
        <f t="shared" si="43"/>
        <v>0</v>
      </c>
    </row>
    <row r="3003" spans="1:14" hidden="1">
      <c r="A3003" s="234">
        <v>42672</v>
      </c>
      <c r="C3003" s="228" t="s">
        <v>4262</v>
      </c>
      <c r="D3003" s="274">
        <v>93.7</v>
      </c>
      <c r="E3003" s="1">
        <v>0</v>
      </c>
      <c r="H3003" t="s">
        <v>1336</v>
      </c>
      <c r="K3003" s="2"/>
      <c r="N3003">
        <f t="shared" si="43"/>
        <v>93.7</v>
      </c>
    </row>
    <row r="3004" spans="1:14" hidden="1">
      <c r="A3004" s="234">
        <v>42672</v>
      </c>
      <c r="C3004" s="228" t="s">
        <v>4263</v>
      </c>
      <c r="D3004" s="274">
        <v>25000</v>
      </c>
      <c r="E3004" s="1">
        <v>0</v>
      </c>
      <c r="G3004" s="8" t="s">
        <v>1379</v>
      </c>
      <c r="H3004" t="s">
        <v>1336</v>
      </c>
      <c r="K3004" s="2"/>
      <c r="N3004">
        <f t="shared" si="43"/>
        <v>25000</v>
      </c>
    </row>
    <row r="3005" spans="1:14" hidden="1">
      <c r="A3005" s="234">
        <v>42675</v>
      </c>
      <c r="C3005" s="228" t="s">
        <v>4254</v>
      </c>
      <c r="D3005" s="274">
        <v>192202.34</v>
      </c>
      <c r="E3005" s="1">
        <v>0</v>
      </c>
      <c r="G3005" s="8" t="s">
        <v>1362</v>
      </c>
      <c r="H3005" t="s">
        <v>1336</v>
      </c>
      <c r="K3005" s="2"/>
      <c r="N3005">
        <f t="shared" si="43"/>
        <v>192202.34</v>
      </c>
    </row>
    <row r="3006" spans="1:14" hidden="1">
      <c r="A3006" s="234">
        <v>42675</v>
      </c>
      <c r="C3006" s="228" t="s">
        <v>4254</v>
      </c>
      <c r="D3006" s="274">
        <v>192202.34</v>
      </c>
      <c r="E3006" s="1">
        <v>0</v>
      </c>
      <c r="G3006" s="8" t="s">
        <v>1362</v>
      </c>
      <c r="H3006" t="s">
        <v>1336</v>
      </c>
      <c r="K3006" s="2"/>
      <c r="N3006">
        <f t="shared" si="43"/>
        <v>192202.34</v>
      </c>
    </row>
    <row r="3007" spans="1:14" hidden="1">
      <c r="A3007" s="234">
        <v>42679</v>
      </c>
      <c r="C3007" s="228" t="s">
        <v>4264</v>
      </c>
      <c r="D3007" s="274"/>
      <c r="E3007" s="274">
        <v>192202.34</v>
      </c>
      <c r="H3007" t="s">
        <v>1336</v>
      </c>
      <c r="K3007" s="2"/>
      <c r="N3007">
        <f t="shared" si="43"/>
        <v>0</v>
      </c>
    </row>
    <row r="3008" spans="1:14" hidden="1">
      <c r="A3008" s="234">
        <v>42688</v>
      </c>
      <c r="C3008" s="228" t="s">
        <v>4265</v>
      </c>
      <c r="D3008" s="274">
        <v>25000</v>
      </c>
      <c r="E3008" s="1">
        <v>0</v>
      </c>
      <c r="G3008" s="8" t="s">
        <v>1379</v>
      </c>
      <c r="H3008" t="s">
        <v>1336</v>
      </c>
      <c r="K3008" s="2"/>
      <c r="N3008">
        <f t="shared" si="43"/>
        <v>25000</v>
      </c>
    </row>
    <row r="3009" spans="1:14" hidden="1">
      <c r="A3009" s="234">
        <v>42703</v>
      </c>
      <c r="C3009" s="228" t="s">
        <v>4266</v>
      </c>
      <c r="D3009" s="274">
        <v>25000</v>
      </c>
      <c r="E3009" s="1">
        <v>0</v>
      </c>
      <c r="G3009" s="8" t="s">
        <v>1379</v>
      </c>
      <c r="H3009" t="s">
        <v>1336</v>
      </c>
      <c r="K3009" s="2"/>
      <c r="N3009">
        <f t="shared" si="43"/>
        <v>25000</v>
      </c>
    </row>
    <row r="3010" spans="1:14" hidden="1">
      <c r="A3010" s="234">
        <v>42704</v>
      </c>
      <c r="C3010" s="228" t="s">
        <v>4254</v>
      </c>
      <c r="D3010" s="274">
        <v>60950.04</v>
      </c>
      <c r="E3010" s="1">
        <v>0</v>
      </c>
      <c r="G3010" s="8" t="s">
        <v>1362</v>
      </c>
      <c r="H3010" t="s">
        <v>1336</v>
      </c>
      <c r="K3010" s="2"/>
      <c r="N3010">
        <f t="shared" si="43"/>
        <v>60950.04</v>
      </c>
    </row>
    <row r="3011" spans="1:14" hidden="1">
      <c r="A3011" s="234">
        <v>42718</v>
      </c>
      <c r="C3011" s="228" t="s">
        <v>4267</v>
      </c>
      <c r="D3011" s="274">
        <v>25000</v>
      </c>
      <c r="E3011" s="1">
        <v>0</v>
      </c>
      <c r="G3011" s="8" t="s">
        <v>1379</v>
      </c>
      <c r="H3011" t="s">
        <v>1336</v>
      </c>
      <c r="K3011" s="2"/>
      <c r="N3011">
        <f t="shared" si="43"/>
        <v>25000</v>
      </c>
    </row>
    <row r="3012" spans="1:14" hidden="1">
      <c r="A3012" s="234">
        <v>42733</v>
      </c>
      <c r="C3012" s="228" t="s">
        <v>4268</v>
      </c>
      <c r="D3012" s="274">
        <v>25000</v>
      </c>
      <c r="E3012" s="1">
        <v>0</v>
      </c>
      <c r="G3012" s="8" t="s">
        <v>1379</v>
      </c>
      <c r="H3012" t="s">
        <v>1336</v>
      </c>
      <c r="K3012" s="2"/>
      <c r="N3012">
        <f t="shared" si="43"/>
        <v>25000</v>
      </c>
    </row>
    <row r="3013" spans="1:14" hidden="1">
      <c r="A3013" s="234">
        <v>42736</v>
      </c>
      <c r="C3013" s="228" t="s">
        <v>4256</v>
      </c>
      <c r="D3013" s="274"/>
      <c r="E3013" s="274">
        <v>10359</v>
      </c>
      <c r="G3013" s="8" t="s">
        <v>1368</v>
      </c>
      <c r="H3013" t="s">
        <v>1336</v>
      </c>
      <c r="K3013" s="2"/>
      <c r="N3013">
        <f t="shared" si="43"/>
        <v>0</v>
      </c>
    </row>
    <row r="3014" spans="1:14" hidden="1">
      <c r="A3014" s="234">
        <v>42737</v>
      </c>
      <c r="C3014" s="228" t="s">
        <v>4254</v>
      </c>
      <c r="D3014" s="274">
        <v>62545.57</v>
      </c>
      <c r="E3014" s="1">
        <v>0</v>
      </c>
      <c r="G3014" s="8" t="s">
        <v>1362</v>
      </c>
      <c r="H3014" t="s">
        <v>1336</v>
      </c>
      <c r="K3014" s="2"/>
      <c r="N3014">
        <f t="shared" si="43"/>
        <v>62545.57</v>
      </c>
    </row>
    <row r="3015" spans="1:14" hidden="1">
      <c r="A3015" s="234">
        <v>42748</v>
      </c>
      <c r="C3015" s="228" t="s">
        <v>4257</v>
      </c>
      <c r="D3015" s="274">
        <v>237.5</v>
      </c>
      <c r="E3015" s="1">
        <v>0</v>
      </c>
      <c r="H3015" t="s">
        <v>1336</v>
      </c>
      <c r="K3015" s="2"/>
      <c r="N3015">
        <f t="shared" si="43"/>
        <v>237.5</v>
      </c>
    </row>
    <row r="3016" spans="1:14" hidden="1">
      <c r="A3016" s="234">
        <v>42749</v>
      </c>
      <c r="C3016" s="228" t="s">
        <v>4269</v>
      </c>
      <c r="D3016" s="274">
        <v>25000</v>
      </c>
      <c r="E3016" s="1">
        <v>0</v>
      </c>
      <c r="G3016" s="8" t="s">
        <v>1379</v>
      </c>
      <c r="H3016" t="s">
        <v>1336</v>
      </c>
      <c r="K3016" s="2"/>
      <c r="N3016">
        <f t="shared" si="43"/>
        <v>25000</v>
      </c>
    </row>
    <row r="3017" spans="1:14" hidden="1">
      <c r="A3017" s="234">
        <v>42756</v>
      </c>
      <c r="C3017" s="228" t="s">
        <v>4270</v>
      </c>
      <c r="D3017" s="274">
        <v>115</v>
      </c>
      <c r="E3017" s="1">
        <v>0</v>
      </c>
      <c r="G3017" s="8" t="s">
        <v>1367</v>
      </c>
      <c r="H3017" t="s">
        <v>1336</v>
      </c>
      <c r="K3017" s="2"/>
      <c r="N3017">
        <f t="shared" si="43"/>
        <v>115</v>
      </c>
    </row>
    <row r="3018" spans="1:14" hidden="1">
      <c r="A3018" s="234">
        <v>42764</v>
      </c>
      <c r="C3018" s="228" t="s">
        <v>4262</v>
      </c>
      <c r="D3018" s="274">
        <v>237.7</v>
      </c>
      <c r="E3018" s="1">
        <v>0</v>
      </c>
      <c r="H3018" t="s">
        <v>1336</v>
      </c>
      <c r="K3018" s="2"/>
      <c r="N3018">
        <f t="shared" si="43"/>
        <v>237.7</v>
      </c>
    </row>
    <row r="3019" spans="1:14" hidden="1">
      <c r="A3019" s="234">
        <v>42764</v>
      </c>
      <c r="C3019" s="228" t="s">
        <v>4271</v>
      </c>
      <c r="D3019" s="274">
        <v>25000</v>
      </c>
      <c r="E3019" s="1">
        <v>0</v>
      </c>
      <c r="G3019" s="8" t="s">
        <v>1379</v>
      </c>
      <c r="H3019" t="s">
        <v>1336</v>
      </c>
      <c r="K3019" s="2"/>
      <c r="N3019">
        <f t="shared" ref="N3019:N3082" si="44">D3019*1</f>
        <v>25000</v>
      </c>
    </row>
    <row r="3020" spans="1:14" hidden="1">
      <c r="A3020" s="234">
        <v>42766</v>
      </c>
      <c r="C3020" s="228" t="s">
        <v>4254</v>
      </c>
      <c r="D3020" s="274">
        <v>81213.64</v>
      </c>
      <c r="E3020" s="1">
        <v>0</v>
      </c>
      <c r="G3020" s="8" t="s">
        <v>1362</v>
      </c>
      <c r="H3020" t="s">
        <v>1336</v>
      </c>
      <c r="K3020" s="2"/>
      <c r="N3020">
        <f t="shared" si="44"/>
        <v>81213.64</v>
      </c>
    </row>
    <row r="3021" spans="1:14" hidden="1">
      <c r="A3021" s="234">
        <v>42768</v>
      </c>
      <c r="C3021" s="228" t="s">
        <v>4272</v>
      </c>
      <c r="D3021" s="274"/>
      <c r="E3021" s="274">
        <v>300000</v>
      </c>
      <c r="G3021" s="8" t="s">
        <v>1363</v>
      </c>
      <c r="H3021" t="s">
        <v>1336</v>
      </c>
      <c r="K3021" s="2"/>
      <c r="N3021">
        <f t="shared" si="44"/>
        <v>0</v>
      </c>
    </row>
    <row r="3022" spans="1:14" hidden="1">
      <c r="A3022" s="234">
        <v>42779</v>
      </c>
      <c r="C3022" s="228" t="s">
        <v>4273</v>
      </c>
      <c r="D3022" s="274">
        <v>25000</v>
      </c>
      <c r="E3022" s="1">
        <v>0</v>
      </c>
      <c r="G3022" s="8" t="s">
        <v>1379</v>
      </c>
      <c r="H3022" t="s">
        <v>1336</v>
      </c>
      <c r="K3022" s="2"/>
      <c r="N3022">
        <f t="shared" si="44"/>
        <v>25000</v>
      </c>
    </row>
    <row r="3023" spans="1:14" hidden="1">
      <c r="A3023" s="234">
        <v>42794</v>
      </c>
      <c r="C3023" s="228" t="s">
        <v>4254</v>
      </c>
      <c r="D3023" s="274">
        <v>66556.100000000006</v>
      </c>
      <c r="E3023" s="1">
        <v>0</v>
      </c>
      <c r="G3023" s="8" t="s">
        <v>1362</v>
      </c>
      <c r="H3023" t="s">
        <v>1336</v>
      </c>
      <c r="K3023" s="2"/>
      <c r="N3023">
        <f t="shared" si="44"/>
        <v>66556.100000000006</v>
      </c>
    </row>
    <row r="3024" spans="1:14" hidden="1">
      <c r="A3024" s="234">
        <v>42794</v>
      </c>
      <c r="C3024" s="228" t="s">
        <v>4274</v>
      </c>
      <c r="D3024" s="274">
        <v>25000</v>
      </c>
      <c r="E3024" s="1">
        <v>0</v>
      </c>
      <c r="G3024" s="8" t="s">
        <v>1379</v>
      </c>
      <c r="H3024" t="s">
        <v>1336</v>
      </c>
      <c r="K3024" s="2"/>
      <c r="N3024">
        <f t="shared" si="44"/>
        <v>25000</v>
      </c>
    </row>
    <row r="3025" spans="1:14" hidden="1">
      <c r="A3025" s="234">
        <v>42807</v>
      </c>
      <c r="C3025" s="228" t="s">
        <v>4275</v>
      </c>
      <c r="D3025" s="274">
        <v>25000</v>
      </c>
      <c r="E3025" s="1">
        <v>0</v>
      </c>
      <c r="G3025" s="8" t="s">
        <v>1379</v>
      </c>
      <c r="H3025" t="s">
        <v>1336</v>
      </c>
      <c r="K3025" s="2"/>
      <c r="N3025">
        <f t="shared" si="44"/>
        <v>25000</v>
      </c>
    </row>
    <row r="3026" spans="1:14" hidden="1">
      <c r="A3026" s="234">
        <v>42821</v>
      </c>
      <c r="C3026" s="228" t="s">
        <v>4254</v>
      </c>
      <c r="D3026" s="274">
        <v>135066.39000000001</v>
      </c>
      <c r="E3026" s="1">
        <v>0</v>
      </c>
      <c r="G3026" s="8" t="s">
        <v>1362</v>
      </c>
      <c r="H3026" t="s">
        <v>1336</v>
      </c>
      <c r="K3026" s="2"/>
      <c r="N3026">
        <f t="shared" si="44"/>
        <v>135066.39000000001</v>
      </c>
    </row>
    <row r="3027" spans="1:14" hidden="1">
      <c r="A3027" s="234">
        <v>42824</v>
      </c>
      <c r="C3027" s="228" t="s">
        <v>4276</v>
      </c>
      <c r="D3027" s="274">
        <v>25000</v>
      </c>
      <c r="E3027" s="1">
        <v>0</v>
      </c>
      <c r="G3027" s="8" t="s">
        <v>1379</v>
      </c>
      <c r="H3027" t="s">
        <v>1336</v>
      </c>
      <c r="K3027" s="2"/>
      <c r="N3027">
        <f t="shared" si="44"/>
        <v>25000</v>
      </c>
    </row>
    <row r="3028" spans="1:14" hidden="1">
      <c r="A3028" s="234">
        <v>42826</v>
      </c>
      <c r="C3028" s="228" t="s">
        <v>4257</v>
      </c>
      <c r="D3028" s="274">
        <v>319.7</v>
      </c>
      <c r="E3028" s="1">
        <v>0</v>
      </c>
      <c r="H3028" t="s">
        <v>1336</v>
      </c>
      <c r="K3028" s="2"/>
      <c r="N3028">
        <f t="shared" si="44"/>
        <v>319.7</v>
      </c>
    </row>
    <row r="3029" spans="1:14" hidden="1">
      <c r="A3029" s="234">
        <v>42826</v>
      </c>
      <c r="C3029" s="228" t="s">
        <v>4262</v>
      </c>
      <c r="D3029" s="274">
        <v>245.1</v>
      </c>
      <c r="E3029" s="1">
        <v>0</v>
      </c>
      <c r="H3029" t="s">
        <v>1336</v>
      </c>
      <c r="K3029" s="2"/>
      <c r="N3029">
        <f t="shared" si="44"/>
        <v>245.1</v>
      </c>
    </row>
    <row r="3030" spans="1:14" hidden="1">
      <c r="A3030" s="234">
        <v>42826</v>
      </c>
      <c r="C3030" s="228" t="s">
        <v>4256</v>
      </c>
      <c r="D3030" s="274"/>
      <c r="E3030" s="274">
        <v>9307</v>
      </c>
      <c r="G3030" s="8" t="s">
        <v>1368</v>
      </c>
      <c r="H3030" t="s">
        <v>1336</v>
      </c>
      <c r="K3030" s="2"/>
      <c r="N3030">
        <f t="shared" si="44"/>
        <v>0</v>
      </c>
    </row>
    <row r="3031" spans="1:14" hidden="1">
      <c r="A3031" s="234">
        <v>42839</v>
      </c>
      <c r="C3031" s="228" t="s">
        <v>4277</v>
      </c>
      <c r="D3031" s="274">
        <v>25000</v>
      </c>
      <c r="E3031" s="1">
        <v>0</v>
      </c>
      <c r="G3031" s="8" t="s">
        <v>1379</v>
      </c>
      <c r="H3031" t="s">
        <v>1336</v>
      </c>
      <c r="K3031" s="2"/>
      <c r="N3031">
        <f t="shared" si="44"/>
        <v>25000</v>
      </c>
    </row>
    <row r="3032" spans="1:14" hidden="1">
      <c r="A3032" s="234">
        <v>42854</v>
      </c>
      <c r="C3032" s="228" t="s">
        <v>4278</v>
      </c>
      <c r="D3032" s="274"/>
      <c r="E3032" s="274">
        <v>587295</v>
      </c>
      <c r="H3032" t="s">
        <v>1336</v>
      </c>
      <c r="K3032" s="2"/>
      <c r="N3032">
        <f t="shared" si="44"/>
        <v>0</v>
      </c>
    </row>
    <row r="3033" spans="1:14" hidden="1">
      <c r="A3033" s="234">
        <v>42854</v>
      </c>
      <c r="C3033" s="228" t="s">
        <v>4254</v>
      </c>
      <c r="D3033" s="274">
        <v>22836.33</v>
      </c>
      <c r="E3033" s="1">
        <v>0</v>
      </c>
      <c r="G3033" s="8" t="s">
        <v>1362</v>
      </c>
      <c r="H3033" t="s">
        <v>1336</v>
      </c>
      <c r="K3033" s="2"/>
      <c r="N3033">
        <f t="shared" si="44"/>
        <v>22836.33</v>
      </c>
    </row>
    <row r="3034" spans="1:14" hidden="1">
      <c r="A3034" s="234">
        <v>42854</v>
      </c>
      <c r="C3034" s="228" t="s">
        <v>4279</v>
      </c>
      <c r="D3034" s="274">
        <v>25000</v>
      </c>
      <c r="E3034" s="1">
        <v>0</v>
      </c>
      <c r="G3034" s="8" t="s">
        <v>1379</v>
      </c>
      <c r="H3034" t="s">
        <v>1336</v>
      </c>
      <c r="K3034" s="2"/>
      <c r="N3034">
        <f t="shared" si="44"/>
        <v>25000</v>
      </c>
    </row>
    <row r="3035" spans="1:14" hidden="1">
      <c r="A3035" s="234">
        <v>42868</v>
      </c>
      <c r="C3035" s="228" t="s">
        <v>4280</v>
      </c>
      <c r="D3035" s="274">
        <v>25000</v>
      </c>
      <c r="E3035" s="1">
        <v>0</v>
      </c>
      <c r="G3035" s="8" t="s">
        <v>1379</v>
      </c>
      <c r="H3035" t="s">
        <v>1336</v>
      </c>
      <c r="K3035" s="2"/>
      <c r="N3035">
        <f t="shared" si="44"/>
        <v>25000</v>
      </c>
    </row>
    <row r="3036" spans="1:14" hidden="1">
      <c r="A3036" s="234">
        <v>42874</v>
      </c>
      <c r="C3036" s="228" t="s">
        <v>4281</v>
      </c>
      <c r="D3036" s="274">
        <v>115</v>
      </c>
      <c r="E3036" s="1">
        <v>0</v>
      </c>
      <c r="G3036" s="8" t="s">
        <v>1367</v>
      </c>
      <c r="H3036" t="s">
        <v>1336</v>
      </c>
      <c r="K3036" s="2"/>
      <c r="N3036">
        <f t="shared" si="44"/>
        <v>115</v>
      </c>
    </row>
    <row r="3037" spans="1:14" hidden="1">
      <c r="A3037" s="234">
        <v>42884</v>
      </c>
      <c r="C3037" s="228" t="s">
        <v>4282</v>
      </c>
      <c r="D3037" s="274">
        <v>25000</v>
      </c>
      <c r="E3037" s="1">
        <v>0</v>
      </c>
      <c r="G3037" s="8" t="s">
        <v>1379</v>
      </c>
      <c r="H3037" t="s">
        <v>1336</v>
      </c>
      <c r="K3037" s="2"/>
      <c r="N3037">
        <f t="shared" si="44"/>
        <v>25000</v>
      </c>
    </row>
    <row r="3038" spans="1:14" hidden="1">
      <c r="A3038" s="234">
        <v>42889</v>
      </c>
      <c r="C3038" s="228" t="s">
        <v>4254</v>
      </c>
      <c r="D3038" s="274">
        <v>92156.98</v>
      </c>
      <c r="E3038" s="1">
        <v>0</v>
      </c>
      <c r="G3038" s="8" t="s">
        <v>1362</v>
      </c>
      <c r="H3038" t="s">
        <v>1336</v>
      </c>
      <c r="K3038" s="2"/>
      <c r="N3038">
        <f t="shared" si="44"/>
        <v>92156.98</v>
      </c>
    </row>
    <row r="3039" spans="1:14" hidden="1">
      <c r="A3039" s="234">
        <v>42899</v>
      </c>
      <c r="C3039" s="228" t="s">
        <v>4283</v>
      </c>
      <c r="D3039" s="274">
        <v>25000</v>
      </c>
      <c r="E3039" s="1">
        <v>0</v>
      </c>
      <c r="G3039" s="8" t="s">
        <v>1379</v>
      </c>
      <c r="H3039" t="s">
        <v>1336</v>
      </c>
      <c r="K3039" s="2"/>
      <c r="N3039">
        <f t="shared" si="44"/>
        <v>25000</v>
      </c>
    </row>
    <row r="3040" spans="1:14" hidden="1">
      <c r="A3040" s="234">
        <v>42916</v>
      </c>
      <c r="C3040" s="228" t="s">
        <v>4284</v>
      </c>
      <c r="D3040" s="274">
        <v>25000</v>
      </c>
      <c r="E3040" s="1">
        <v>0</v>
      </c>
      <c r="G3040" s="8" t="s">
        <v>1379</v>
      </c>
      <c r="H3040" t="s">
        <v>1336</v>
      </c>
      <c r="K3040" s="2"/>
      <c r="N3040">
        <f t="shared" si="44"/>
        <v>25000</v>
      </c>
    </row>
    <row r="3041" spans="1:14" hidden="1">
      <c r="A3041" s="234">
        <v>42917</v>
      </c>
      <c r="C3041" s="228" t="s">
        <v>4256</v>
      </c>
      <c r="D3041" s="274"/>
      <c r="E3041" s="274">
        <v>10572</v>
      </c>
      <c r="G3041" s="8" t="s">
        <v>1368</v>
      </c>
      <c r="H3041" t="s">
        <v>1336</v>
      </c>
      <c r="K3041" s="2"/>
      <c r="N3041">
        <f t="shared" si="44"/>
        <v>0</v>
      </c>
    </row>
    <row r="3042" spans="1:14" hidden="1">
      <c r="A3042" s="234">
        <v>42918</v>
      </c>
      <c r="C3042" s="228" t="s">
        <v>4254</v>
      </c>
      <c r="D3042" s="274">
        <v>48014.73</v>
      </c>
      <c r="E3042" s="1">
        <v>0</v>
      </c>
      <c r="G3042" s="8" t="s">
        <v>1362</v>
      </c>
      <c r="H3042" t="s">
        <v>1336</v>
      </c>
      <c r="K3042" s="2"/>
      <c r="N3042">
        <f t="shared" si="44"/>
        <v>48014.73</v>
      </c>
    </row>
    <row r="3043" spans="1:14" hidden="1">
      <c r="A3043" s="234">
        <v>42929</v>
      </c>
      <c r="C3043" s="228" t="s">
        <v>4285</v>
      </c>
      <c r="D3043" s="274">
        <v>25000</v>
      </c>
      <c r="E3043" s="1">
        <v>0</v>
      </c>
      <c r="G3043" s="8" t="s">
        <v>1379</v>
      </c>
      <c r="H3043" t="s">
        <v>1336</v>
      </c>
      <c r="K3043" s="2"/>
      <c r="N3043">
        <f t="shared" si="44"/>
        <v>25000</v>
      </c>
    </row>
    <row r="3044" spans="1:14" hidden="1">
      <c r="A3044" s="234">
        <v>42945</v>
      </c>
      <c r="C3044" s="228" t="s">
        <v>4262</v>
      </c>
      <c r="D3044" s="274">
        <v>658.8</v>
      </c>
      <c r="E3044" s="1">
        <v>0</v>
      </c>
      <c r="H3044" t="s">
        <v>1336</v>
      </c>
      <c r="K3044" s="2"/>
      <c r="N3044">
        <f t="shared" si="44"/>
        <v>658.8</v>
      </c>
    </row>
    <row r="3045" spans="1:14" hidden="1">
      <c r="A3045" s="234">
        <v>42945</v>
      </c>
      <c r="C3045" s="228" t="s">
        <v>4257</v>
      </c>
      <c r="D3045" s="274">
        <v>583.70000000000005</v>
      </c>
      <c r="E3045" s="1">
        <v>0</v>
      </c>
      <c r="H3045" t="s">
        <v>1336</v>
      </c>
      <c r="K3045" s="2"/>
      <c r="N3045">
        <f t="shared" si="44"/>
        <v>583.70000000000005</v>
      </c>
    </row>
    <row r="3046" spans="1:14" hidden="1">
      <c r="A3046" s="234">
        <v>42945</v>
      </c>
      <c r="C3046" s="228" t="s">
        <v>4286</v>
      </c>
      <c r="D3046" s="274">
        <v>25000</v>
      </c>
      <c r="E3046" s="1">
        <v>0</v>
      </c>
      <c r="G3046" s="8" t="s">
        <v>1379</v>
      </c>
      <c r="H3046" t="s">
        <v>1336</v>
      </c>
      <c r="K3046" s="2"/>
      <c r="N3046">
        <f t="shared" si="44"/>
        <v>25000</v>
      </c>
    </row>
    <row r="3047" spans="1:14" hidden="1">
      <c r="A3047" s="234">
        <v>42960</v>
      </c>
      <c r="C3047" s="228" t="s">
        <v>4287</v>
      </c>
      <c r="D3047" s="274">
        <v>25000</v>
      </c>
      <c r="E3047" s="1">
        <v>0</v>
      </c>
      <c r="G3047" s="8" t="s">
        <v>1379</v>
      </c>
      <c r="H3047" t="s">
        <v>1336</v>
      </c>
      <c r="K3047" s="2"/>
      <c r="N3047">
        <f t="shared" si="44"/>
        <v>25000</v>
      </c>
    </row>
    <row r="3048" spans="1:14" hidden="1">
      <c r="A3048" s="234">
        <v>42968</v>
      </c>
      <c r="C3048" s="228" t="s">
        <v>4254</v>
      </c>
      <c r="D3048" s="274">
        <v>84689.98</v>
      </c>
      <c r="E3048" s="1">
        <v>0</v>
      </c>
      <c r="G3048" s="8" t="s">
        <v>1362</v>
      </c>
      <c r="H3048" t="s">
        <v>1336</v>
      </c>
      <c r="K3048" s="2"/>
      <c r="N3048">
        <f t="shared" si="44"/>
        <v>84689.98</v>
      </c>
    </row>
    <row r="3049" spans="1:14" hidden="1">
      <c r="A3049" s="234">
        <v>42976</v>
      </c>
      <c r="C3049" s="228" t="s">
        <v>4288</v>
      </c>
      <c r="D3049" s="274">
        <v>25000</v>
      </c>
      <c r="E3049" s="1">
        <v>0</v>
      </c>
      <c r="G3049" s="8" t="s">
        <v>1379</v>
      </c>
      <c r="H3049" t="s">
        <v>1336</v>
      </c>
      <c r="K3049" s="2"/>
      <c r="N3049">
        <f t="shared" si="44"/>
        <v>25000</v>
      </c>
    </row>
    <row r="3050" spans="1:14" hidden="1">
      <c r="A3050" s="234">
        <v>42992</v>
      </c>
      <c r="C3050" s="228" t="s">
        <v>4289</v>
      </c>
      <c r="D3050" s="274">
        <v>25000</v>
      </c>
      <c r="E3050" s="1">
        <v>0</v>
      </c>
      <c r="G3050" s="8" t="s">
        <v>1379</v>
      </c>
      <c r="H3050" t="s">
        <v>1336</v>
      </c>
      <c r="K3050" s="2"/>
      <c r="N3050">
        <f t="shared" si="44"/>
        <v>25000</v>
      </c>
    </row>
    <row r="3051" spans="1:14" hidden="1">
      <c r="A3051" s="234">
        <v>43007</v>
      </c>
      <c r="C3051" s="228" t="s">
        <v>4290</v>
      </c>
      <c r="D3051" s="274">
        <v>25000</v>
      </c>
      <c r="E3051" s="1">
        <v>0</v>
      </c>
      <c r="G3051" s="8" t="s">
        <v>1379</v>
      </c>
      <c r="H3051" t="s">
        <v>1336</v>
      </c>
      <c r="K3051" s="2"/>
      <c r="N3051">
        <f t="shared" si="44"/>
        <v>25000</v>
      </c>
    </row>
    <row r="3052" spans="1:14" hidden="1">
      <c r="A3052" s="234">
        <v>43009</v>
      </c>
      <c r="C3052" s="228" t="s">
        <v>4256</v>
      </c>
      <c r="D3052" s="274"/>
      <c r="E3052" s="274">
        <v>9138</v>
      </c>
      <c r="G3052" s="8" t="s">
        <v>1368</v>
      </c>
      <c r="H3052" t="s">
        <v>1336</v>
      </c>
      <c r="K3052" s="2"/>
      <c r="N3052">
        <f t="shared" si="44"/>
        <v>0</v>
      </c>
    </row>
    <row r="3053" spans="1:14" hidden="1">
      <c r="A3053" s="234">
        <v>43011</v>
      </c>
      <c r="C3053" s="228" t="s">
        <v>4254</v>
      </c>
      <c r="D3053" s="274">
        <v>84730.12</v>
      </c>
      <c r="E3053" s="1">
        <v>0</v>
      </c>
      <c r="G3053" s="8" t="s">
        <v>1362</v>
      </c>
      <c r="H3053" t="s">
        <v>1336</v>
      </c>
      <c r="K3053" s="2"/>
      <c r="N3053">
        <f t="shared" si="44"/>
        <v>84730.12</v>
      </c>
    </row>
    <row r="3054" spans="1:14" hidden="1">
      <c r="A3054" s="234">
        <v>43012</v>
      </c>
      <c r="C3054" s="228" t="s">
        <v>4291</v>
      </c>
      <c r="D3054" s="274"/>
      <c r="E3054" s="274">
        <v>500000</v>
      </c>
      <c r="G3054" s="8" t="s">
        <v>1363</v>
      </c>
      <c r="H3054" t="s">
        <v>1336</v>
      </c>
      <c r="K3054" s="2"/>
      <c r="N3054">
        <f t="shared" si="44"/>
        <v>0</v>
      </c>
    </row>
    <row r="3055" spans="1:14" hidden="1">
      <c r="A3055" s="234">
        <v>43021</v>
      </c>
      <c r="C3055" s="228" t="s">
        <v>4257</v>
      </c>
      <c r="D3055" s="274">
        <v>684.5</v>
      </c>
      <c r="E3055" s="1">
        <v>0</v>
      </c>
      <c r="H3055" t="s">
        <v>1336</v>
      </c>
      <c r="K3055" s="2"/>
      <c r="N3055">
        <f t="shared" si="44"/>
        <v>684.5</v>
      </c>
    </row>
    <row r="3056" spans="1:14" hidden="1">
      <c r="A3056" s="234">
        <v>43021</v>
      </c>
      <c r="C3056" s="228" t="s">
        <v>4292</v>
      </c>
      <c r="D3056" s="274"/>
      <c r="E3056" s="274">
        <v>394192</v>
      </c>
      <c r="G3056" s="8" t="s">
        <v>1379</v>
      </c>
      <c r="H3056" t="s">
        <v>1336</v>
      </c>
      <c r="K3056" s="2"/>
      <c r="N3056">
        <f t="shared" si="44"/>
        <v>0</v>
      </c>
    </row>
    <row r="3057" spans="1:14" hidden="1">
      <c r="A3057" s="234">
        <v>43025</v>
      </c>
      <c r="C3057" s="228" t="s">
        <v>4293</v>
      </c>
      <c r="D3057" s="274">
        <v>25000</v>
      </c>
      <c r="E3057" s="1">
        <v>0</v>
      </c>
      <c r="G3057" s="8" t="s">
        <v>1379</v>
      </c>
      <c r="H3057" t="s">
        <v>1336</v>
      </c>
      <c r="K3057" s="2"/>
      <c r="N3057">
        <f t="shared" si="44"/>
        <v>25000</v>
      </c>
    </row>
    <row r="3058" spans="1:14" hidden="1">
      <c r="A3058" s="234">
        <v>43029</v>
      </c>
      <c r="C3058" s="228" t="s">
        <v>4294</v>
      </c>
      <c r="D3058" s="274">
        <v>15000</v>
      </c>
      <c r="E3058" s="1">
        <v>0</v>
      </c>
      <c r="H3058" t="s">
        <v>1336</v>
      </c>
      <c r="K3058" s="2"/>
      <c r="N3058">
        <f t="shared" si="44"/>
        <v>15000</v>
      </c>
    </row>
    <row r="3059" spans="1:14" hidden="1">
      <c r="A3059" s="234">
        <v>43037</v>
      </c>
      <c r="C3059" s="228" t="s">
        <v>4262</v>
      </c>
      <c r="D3059" s="274">
        <v>684.5</v>
      </c>
      <c r="E3059" s="1">
        <v>0</v>
      </c>
      <c r="H3059" t="s">
        <v>1336</v>
      </c>
      <c r="K3059" s="2"/>
      <c r="N3059">
        <f t="shared" si="44"/>
        <v>684.5</v>
      </c>
    </row>
    <row r="3060" spans="1:14" hidden="1">
      <c r="A3060" s="234">
        <v>43037</v>
      </c>
      <c r="C3060" s="228" t="s">
        <v>4295</v>
      </c>
      <c r="D3060" s="274"/>
      <c r="E3060" s="274">
        <v>394198</v>
      </c>
      <c r="G3060" s="8" t="s">
        <v>1379</v>
      </c>
      <c r="H3060" t="s">
        <v>1336</v>
      </c>
      <c r="K3060" s="2"/>
      <c r="N3060">
        <f t="shared" si="44"/>
        <v>0</v>
      </c>
    </row>
    <row r="3061" spans="1:14" hidden="1">
      <c r="A3061" s="234">
        <v>43041</v>
      </c>
      <c r="C3061" s="228" t="s">
        <v>4254</v>
      </c>
      <c r="D3061" s="274">
        <v>339927.44</v>
      </c>
      <c r="E3061" s="1">
        <v>0</v>
      </c>
      <c r="G3061" s="8" t="s">
        <v>1362</v>
      </c>
      <c r="H3061" t="s">
        <v>1336</v>
      </c>
      <c r="K3061" s="2"/>
      <c r="N3061">
        <f t="shared" si="44"/>
        <v>339927.44</v>
      </c>
    </row>
    <row r="3062" spans="1:14" hidden="1">
      <c r="A3062" s="234">
        <v>43057</v>
      </c>
      <c r="C3062" s="228" t="s">
        <v>4296</v>
      </c>
      <c r="D3062" s="274">
        <v>25000</v>
      </c>
      <c r="E3062" s="1">
        <v>0</v>
      </c>
      <c r="G3062" s="8" t="s">
        <v>1379</v>
      </c>
      <c r="H3062" t="s">
        <v>1336</v>
      </c>
      <c r="K3062" s="2"/>
      <c r="N3062">
        <f t="shared" si="44"/>
        <v>25000</v>
      </c>
    </row>
    <row r="3063" spans="1:14" hidden="1">
      <c r="A3063" s="234">
        <v>43061</v>
      </c>
      <c r="C3063" s="228" t="s">
        <v>4297</v>
      </c>
      <c r="D3063" s="274">
        <v>16400</v>
      </c>
      <c r="E3063" s="1">
        <v>0</v>
      </c>
      <c r="H3063" t="s">
        <v>1336</v>
      </c>
      <c r="K3063" s="2"/>
      <c r="N3063">
        <f t="shared" si="44"/>
        <v>16400</v>
      </c>
    </row>
    <row r="3064" spans="1:14" hidden="1">
      <c r="A3064" s="234">
        <v>43071</v>
      </c>
      <c r="C3064" s="228" t="s">
        <v>4254</v>
      </c>
      <c r="D3064" s="274">
        <v>76868.929999999993</v>
      </c>
      <c r="E3064" s="1">
        <v>0</v>
      </c>
      <c r="G3064" s="8" t="s">
        <v>1362</v>
      </c>
      <c r="H3064" t="s">
        <v>1336</v>
      </c>
      <c r="K3064" s="2"/>
      <c r="N3064">
        <f t="shared" si="44"/>
        <v>76868.929999999993</v>
      </c>
    </row>
    <row r="3065" spans="1:14" hidden="1">
      <c r="A3065" s="234">
        <v>43086</v>
      </c>
      <c r="C3065" s="228" t="s">
        <v>4298</v>
      </c>
      <c r="D3065" s="274">
        <v>25000</v>
      </c>
      <c r="E3065" s="1">
        <v>0</v>
      </c>
      <c r="G3065" s="8" t="s">
        <v>1379</v>
      </c>
      <c r="H3065" t="s">
        <v>1336</v>
      </c>
      <c r="K3065" s="2"/>
      <c r="N3065">
        <f t="shared" si="44"/>
        <v>25000</v>
      </c>
    </row>
    <row r="3066" spans="1:14" hidden="1">
      <c r="A3066" s="234">
        <v>43092</v>
      </c>
      <c r="C3066" s="228" t="s">
        <v>4299</v>
      </c>
      <c r="D3066" s="274"/>
      <c r="E3066" s="274">
        <v>50000</v>
      </c>
      <c r="H3066" t="s">
        <v>1336</v>
      </c>
      <c r="K3066" s="2"/>
      <c r="N3066">
        <f t="shared" si="44"/>
        <v>0</v>
      </c>
    </row>
    <row r="3067" spans="1:14" hidden="1">
      <c r="A3067" s="234">
        <v>43100</v>
      </c>
      <c r="C3067" s="228" t="s">
        <v>4256</v>
      </c>
      <c r="D3067" s="274"/>
      <c r="E3067" s="274">
        <v>13715</v>
      </c>
      <c r="G3067" s="8" t="s">
        <v>1368</v>
      </c>
      <c r="H3067" t="s">
        <v>1336</v>
      </c>
      <c r="K3067" s="2"/>
      <c r="N3067">
        <f t="shared" si="44"/>
        <v>0</v>
      </c>
    </row>
    <row r="3068" spans="1:14" hidden="1">
      <c r="A3068" s="234">
        <v>43102</v>
      </c>
      <c r="C3068" s="228" t="s">
        <v>4254</v>
      </c>
      <c r="D3068" s="274">
        <v>48431.27</v>
      </c>
      <c r="E3068" s="1">
        <v>0</v>
      </c>
      <c r="G3068" s="8" t="s">
        <v>1362</v>
      </c>
      <c r="H3068" t="s">
        <v>1336</v>
      </c>
      <c r="K3068" s="2"/>
      <c r="N3068">
        <f t="shared" si="44"/>
        <v>48431.27</v>
      </c>
    </row>
    <row r="3069" spans="1:14" hidden="1">
      <c r="A3069" s="234">
        <v>43104</v>
      </c>
      <c r="C3069" s="228" t="s">
        <v>4300</v>
      </c>
      <c r="D3069" s="274"/>
      <c r="E3069" s="274">
        <v>153952</v>
      </c>
      <c r="H3069" t="s">
        <v>1336</v>
      </c>
      <c r="K3069" s="2"/>
      <c r="N3069">
        <f t="shared" si="44"/>
        <v>0</v>
      </c>
    </row>
    <row r="3070" spans="1:14" hidden="1">
      <c r="A3070" s="234">
        <v>43117</v>
      </c>
      <c r="C3070" s="228" t="s">
        <v>4301</v>
      </c>
      <c r="D3070" s="274">
        <v>78.8</v>
      </c>
      <c r="E3070" s="1">
        <v>0</v>
      </c>
      <c r="H3070" t="s">
        <v>1336</v>
      </c>
      <c r="K3070" s="2"/>
      <c r="N3070">
        <f t="shared" si="44"/>
        <v>78.8</v>
      </c>
    </row>
    <row r="3071" spans="1:14" hidden="1">
      <c r="A3071" s="234">
        <v>43118</v>
      </c>
      <c r="C3071" s="228" t="s">
        <v>4302</v>
      </c>
      <c r="D3071" s="274">
        <v>25000</v>
      </c>
      <c r="E3071" s="1">
        <v>0</v>
      </c>
      <c r="G3071" s="8" t="s">
        <v>1379</v>
      </c>
      <c r="H3071" t="s">
        <v>1336</v>
      </c>
      <c r="K3071" s="2"/>
      <c r="N3071">
        <f t="shared" si="44"/>
        <v>25000</v>
      </c>
    </row>
    <row r="3072" spans="1:14" hidden="1">
      <c r="A3072" s="234">
        <v>43132</v>
      </c>
      <c r="C3072" s="228" t="s">
        <v>4254</v>
      </c>
      <c r="D3072" s="274">
        <v>346191.01</v>
      </c>
      <c r="E3072" s="1">
        <v>0</v>
      </c>
      <c r="G3072" s="8" t="s">
        <v>1362</v>
      </c>
      <c r="H3072" t="s">
        <v>1336</v>
      </c>
      <c r="K3072" s="2"/>
      <c r="N3072">
        <f t="shared" si="44"/>
        <v>346191.01</v>
      </c>
    </row>
    <row r="3073" spans="1:14" hidden="1">
      <c r="A3073" s="234">
        <v>43149</v>
      </c>
      <c r="C3073" s="228" t="s">
        <v>4303</v>
      </c>
      <c r="D3073" s="274">
        <v>25000</v>
      </c>
      <c r="E3073" s="1">
        <v>0</v>
      </c>
      <c r="G3073" s="8" t="s">
        <v>1379</v>
      </c>
      <c r="H3073" t="s">
        <v>1336</v>
      </c>
      <c r="K3073" s="2"/>
      <c r="N3073">
        <f t="shared" si="44"/>
        <v>25000</v>
      </c>
    </row>
    <row r="3074" spans="1:14" hidden="1">
      <c r="A3074" s="234">
        <v>43160</v>
      </c>
      <c r="C3074" s="228" t="s">
        <v>4254</v>
      </c>
      <c r="D3074" s="274">
        <v>78278.11</v>
      </c>
      <c r="E3074" s="1">
        <v>0</v>
      </c>
      <c r="G3074" s="8" t="s">
        <v>1362</v>
      </c>
      <c r="H3074" t="s">
        <v>1336</v>
      </c>
      <c r="K3074" s="2"/>
      <c r="N3074">
        <f t="shared" si="44"/>
        <v>78278.11</v>
      </c>
    </row>
    <row r="3075" spans="1:14" hidden="1">
      <c r="A3075" s="234">
        <v>43177</v>
      </c>
      <c r="C3075" s="228" t="s">
        <v>4304</v>
      </c>
      <c r="D3075" s="274">
        <v>25000</v>
      </c>
      <c r="E3075" s="1">
        <v>0</v>
      </c>
      <c r="G3075" s="8" t="s">
        <v>1379</v>
      </c>
      <c r="H3075" t="s">
        <v>1336</v>
      </c>
      <c r="K3075" s="2"/>
      <c r="N3075">
        <f t="shared" si="44"/>
        <v>25000</v>
      </c>
    </row>
    <row r="3076" spans="1:14" hidden="1">
      <c r="A3076" s="234">
        <v>43188</v>
      </c>
      <c r="C3076" s="228" t="s">
        <v>4305</v>
      </c>
      <c r="D3076" s="274">
        <v>200732</v>
      </c>
      <c r="E3076" s="1">
        <v>0</v>
      </c>
      <c r="H3076" t="s">
        <v>1336</v>
      </c>
      <c r="K3076" s="2"/>
      <c r="N3076">
        <f t="shared" si="44"/>
        <v>200732</v>
      </c>
    </row>
    <row r="3077" spans="1:14" hidden="1">
      <c r="A3077" s="234">
        <v>43189</v>
      </c>
      <c r="C3077" s="228" t="s">
        <v>4306</v>
      </c>
      <c r="D3077" s="274"/>
      <c r="E3077" s="274">
        <v>200000</v>
      </c>
      <c r="G3077" s="8" t="s">
        <v>1363</v>
      </c>
      <c r="H3077" t="s">
        <v>1336</v>
      </c>
      <c r="K3077" s="2"/>
      <c r="N3077">
        <f t="shared" si="44"/>
        <v>0</v>
      </c>
    </row>
    <row r="3078" spans="1:14" hidden="1">
      <c r="A3078" s="234">
        <v>43191</v>
      </c>
      <c r="C3078" s="228" t="s">
        <v>4256</v>
      </c>
      <c r="D3078" s="274"/>
      <c r="E3078" s="274">
        <v>11965</v>
      </c>
      <c r="G3078" s="8" t="s">
        <v>1368</v>
      </c>
      <c r="H3078" t="s">
        <v>1336</v>
      </c>
      <c r="K3078" s="2"/>
      <c r="N3078">
        <f t="shared" si="44"/>
        <v>0</v>
      </c>
    </row>
    <row r="3079" spans="1:14" hidden="1">
      <c r="A3079" s="234">
        <v>43191</v>
      </c>
      <c r="C3079" s="228" t="s">
        <v>4254</v>
      </c>
      <c r="D3079" s="274">
        <v>47376.34</v>
      </c>
      <c r="E3079" s="1">
        <v>0</v>
      </c>
      <c r="G3079" s="8" t="s">
        <v>1362</v>
      </c>
      <c r="H3079" t="s">
        <v>1336</v>
      </c>
      <c r="K3079" s="2"/>
      <c r="N3079">
        <f t="shared" si="44"/>
        <v>47376.34</v>
      </c>
    </row>
    <row r="3080" spans="1:14" hidden="1">
      <c r="A3080" s="234">
        <v>43192</v>
      </c>
      <c r="C3080" s="228" t="s">
        <v>4307</v>
      </c>
      <c r="D3080" s="274"/>
      <c r="E3080" s="274">
        <v>200000</v>
      </c>
      <c r="G3080" s="8" t="s">
        <v>1363</v>
      </c>
      <c r="H3080" t="s">
        <v>1336</v>
      </c>
      <c r="K3080" s="2"/>
      <c r="N3080">
        <f t="shared" si="44"/>
        <v>0</v>
      </c>
    </row>
    <row r="3081" spans="1:14" hidden="1">
      <c r="A3081" s="234">
        <v>43207</v>
      </c>
      <c r="C3081" s="228" t="s">
        <v>4308</v>
      </c>
      <c r="D3081" s="274">
        <v>25000</v>
      </c>
      <c r="E3081" s="1">
        <v>0</v>
      </c>
      <c r="G3081" s="8" t="s">
        <v>1379</v>
      </c>
      <c r="H3081" t="s">
        <v>1336</v>
      </c>
      <c r="K3081" s="2"/>
      <c r="N3081">
        <f t="shared" si="44"/>
        <v>25000</v>
      </c>
    </row>
    <row r="3082" spans="1:14" hidden="1">
      <c r="A3082" s="234">
        <v>43222</v>
      </c>
      <c r="C3082" s="228" t="s">
        <v>4254</v>
      </c>
      <c r="D3082" s="274">
        <v>56537.24</v>
      </c>
      <c r="E3082" s="1">
        <v>0</v>
      </c>
      <c r="G3082" s="8" t="s">
        <v>1362</v>
      </c>
      <c r="H3082" t="s">
        <v>1336</v>
      </c>
      <c r="K3082" s="2"/>
      <c r="N3082">
        <f t="shared" si="44"/>
        <v>56537.24</v>
      </c>
    </row>
    <row r="3083" spans="1:14" hidden="1">
      <c r="A3083" s="234">
        <v>43237</v>
      </c>
      <c r="C3083" s="228" t="s">
        <v>4309</v>
      </c>
      <c r="D3083" s="274">
        <v>25000</v>
      </c>
      <c r="E3083" s="1">
        <v>0</v>
      </c>
      <c r="G3083" s="8" t="s">
        <v>1379</v>
      </c>
      <c r="H3083" t="s">
        <v>1336</v>
      </c>
      <c r="K3083" s="2"/>
      <c r="N3083">
        <f t="shared" ref="N3083:N3146" si="45">D3083*1</f>
        <v>25000</v>
      </c>
    </row>
    <row r="3084" spans="1:14" hidden="1">
      <c r="A3084" s="234">
        <v>43253</v>
      </c>
      <c r="C3084" s="228" t="s">
        <v>4254</v>
      </c>
      <c r="D3084" s="274">
        <v>110977.75</v>
      </c>
      <c r="E3084" s="1">
        <v>0</v>
      </c>
      <c r="G3084" s="8" t="s">
        <v>1362</v>
      </c>
      <c r="H3084" t="s">
        <v>1336</v>
      </c>
      <c r="K3084" s="2"/>
      <c r="N3084">
        <f t="shared" si="45"/>
        <v>110977.75</v>
      </c>
    </row>
    <row r="3085" spans="1:14" hidden="1">
      <c r="A3085" s="234">
        <v>43268</v>
      </c>
      <c r="C3085" s="228" t="s">
        <v>4310</v>
      </c>
      <c r="D3085" s="274">
        <v>25000</v>
      </c>
      <c r="E3085" s="1">
        <v>0</v>
      </c>
      <c r="G3085" s="8" t="s">
        <v>1379</v>
      </c>
      <c r="H3085" t="s">
        <v>1336</v>
      </c>
      <c r="K3085" s="2"/>
      <c r="N3085">
        <f t="shared" si="45"/>
        <v>25000</v>
      </c>
    </row>
    <row r="3086" spans="1:14" hidden="1">
      <c r="A3086" s="234">
        <v>43280</v>
      </c>
      <c r="C3086" s="228" t="s">
        <v>4254</v>
      </c>
      <c r="D3086" s="274">
        <v>46700</v>
      </c>
      <c r="E3086" s="1">
        <v>0</v>
      </c>
      <c r="G3086" s="8" t="s">
        <v>1362</v>
      </c>
      <c r="H3086" t="s">
        <v>1336</v>
      </c>
      <c r="K3086" s="2"/>
      <c r="N3086">
        <f t="shared" si="45"/>
        <v>46700</v>
      </c>
    </row>
    <row r="3087" spans="1:14" hidden="1">
      <c r="A3087" s="234">
        <v>43282</v>
      </c>
      <c r="C3087" s="228" t="s">
        <v>4256</v>
      </c>
      <c r="D3087" s="274"/>
      <c r="E3087" s="274">
        <v>10782</v>
      </c>
      <c r="G3087" s="8" t="s">
        <v>1368</v>
      </c>
      <c r="H3087" t="s">
        <v>1336</v>
      </c>
      <c r="K3087" s="2"/>
      <c r="N3087">
        <f t="shared" si="45"/>
        <v>0</v>
      </c>
    </row>
    <row r="3088" spans="1:14" hidden="1">
      <c r="A3088" s="234">
        <v>43299</v>
      </c>
      <c r="C3088" s="228" t="s">
        <v>4311</v>
      </c>
      <c r="D3088" s="274">
        <v>25000</v>
      </c>
      <c r="E3088" s="1">
        <v>0</v>
      </c>
      <c r="G3088" s="8" t="s">
        <v>1379</v>
      </c>
      <c r="H3088" t="s">
        <v>1336</v>
      </c>
      <c r="K3088" s="2"/>
      <c r="N3088">
        <f t="shared" si="45"/>
        <v>25000</v>
      </c>
    </row>
    <row r="3089" spans="1:14" hidden="1">
      <c r="A3089" s="234">
        <v>43314</v>
      </c>
      <c r="C3089" s="228" t="s">
        <v>4254</v>
      </c>
      <c r="D3089" s="274">
        <v>71390</v>
      </c>
      <c r="E3089" s="1">
        <v>0</v>
      </c>
      <c r="G3089" s="8" t="s">
        <v>1362</v>
      </c>
      <c r="H3089" t="s">
        <v>1336</v>
      </c>
      <c r="K3089" s="2"/>
      <c r="N3089">
        <f t="shared" si="45"/>
        <v>71390</v>
      </c>
    </row>
    <row r="3090" spans="1:14" hidden="1">
      <c r="A3090" s="234">
        <v>43329</v>
      </c>
      <c r="C3090" s="228" t="s">
        <v>4312</v>
      </c>
      <c r="D3090" s="274">
        <v>25000</v>
      </c>
      <c r="E3090" s="1">
        <v>0</v>
      </c>
      <c r="G3090" s="8" t="s">
        <v>1379</v>
      </c>
      <c r="H3090" t="s">
        <v>1336</v>
      </c>
      <c r="K3090" s="2"/>
      <c r="N3090">
        <f t="shared" si="45"/>
        <v>25000</v>
      </c>
    </row>
    <row r="3091" spans="1:14" hidden="1">
      <c r="A3091" s="234">
        <v>43346</v>
      </c>
      <c r="C3091" s="228" t="s">
        <v>4254</v>
      </c>
      <c r="D3091" s="274">
        <v>47984</v>
      </c>
      <c r="E3091" s="1">
        <v>0</v>
      </c>
      <c r="G3091" s="8" t="s">
        <v>1362</v>
      </c>
      <c r="H3091" t="s">
        <v>1336</v>
      </c>
      <c r="K3091" s="2"/>
      <c r="N3091">
        <f t="shared" si="45"/>
        <v>47984</v>
      </c>
    </row>
    <row r="3092" spans="1:14" hidden="1">
      <c r="A3092" s="234">
        <v>43360</v>
      </c>
      <c r="C3092" s="228" t="s">
        <v>4313</v>
      </c>
      <c r="D3092" s="274">
        <v>25000</v>
      </c>
      <c r="E3092" s="1">
        <v>0</v>
      </c>
      <c r="G3092" s="8" t="s">
        <v>1379</v>
      </c>
      <c r="H3092" t="s">
        <v>1336</v>
      </c>
      <c r="K3092" s="2"/>
      <c r="N3092">
        <f t="shared" si="45"/>
        <v>25000</v>
      </c>
    </row>
    <row r="3093" spans="1:14" hidden="1">
      <c r="A3093" s="234">
        <v>43373</v>
      </c>
      <c r="C3093" s="228" t="s">
        <v>4256</v>
      </c>
      <c r="D3093" s="274"/>
      <c r="E3093" s="274">
        <v>8575</v>
      </c>
      <c r="G3093" s="8" t="s">
        <v>1368</v>
      </c>
      <c r="H3093" t="s">
        <v>1336</v>
      </c>
      <c r="K3093" s="2"/>
      <c r="N3093">
        <f t="shared" si="45"/>
        <v>0</v>
      </c>
    </row>
    <row r="3094" spans="1:14" hidden="1">
      <c r="A3094" s="234">
        <v>43375</v>
      </c>
      <c r="C3094" s="228" t="s">
        <v>4254</v>
      </c>
      <c r="D3094" s="274">
        <v>28377</v>
      </c>
      <c r="E3094" s="1">
        <v>0</v>
      </c>
      <c r="G3094" s="8" t="s">
        <v>1362</v>
      </c>
      <c r="H3094" t="s">
        <v>1336</v>
      </c>
      <c r="K3094" s="2"/>
      <c r="N3094">
        <f t="shared" si="45"/>
        <v>28377</v>
      </c>
    </row>
    <row r="3095" spans="1:14" hidden="1">
      <c r="A3095" s="234">
        <v>43391</v>
      </c>
      <c r="C3095" s="228" t="s">
        <v>4314</v>
      </c>
      <c r="D3095" s="274">
        <v>25000</v>
      </c>
      <c r="E3095" s="1">
        <v>0</v>
      </c>
      <c r="G3095" s="8" t="s">
        <v>1379</v>
      </c>
      <c r="H3095" t="s">
        <v>1336</v>
      </c>
      <c r="K3095" s="2"/>
      <c r="N3095">
        <f t="shared" si="45"/>
        <v>25000</v>
      </c>
    </row>
    <row r="3096" spans="1:14" hidden="1">
      <c r="A3096" s="234">
        <v>43404</v>
      </c>
      <c r="C3096" s="228" t="s">
        <v>4254</v>
      </c>
      <c r="D3096" s="274">
        <v>53443</v>
      </c>
      <c r="E3096" s="1">
        <v>0</v>
      </c>
      <c r="G3096" s="8" t="s">
        <v>1362</v>
      </c>
      <c r="H3096" t="s">
        <v>1336</v>
      </c>
      <c r="K3096" s="2"/>
      <c r="N3096">
        <f t="shared" si="45"/>
        <v>53443</v>
      </c>
    </row>
    <row r="3097" spans="1:14" hidden="1">
      <c r="A3097" s="234">
        <v>43421</v>
      </c>
      <c r="C3097" s="228" t="s">
        <v>4315</v>
      </c>
      <c r="D3097" s="274">
        <v>25000</v>
      </c>
      <c r="E3097" s="1">
        <v>0</v>
      </c>
      <c r="G3097" s="8" t="s">
        <v>1379</v>
      </c>
      <c r="H3097" t="s">
        <v>1336</v>
      </c>
      <c r="K3097" s="2"/>
      <c r="N3097">
        <f t="shared" si="45"/>
        <v>25000</v>
      </c>
    </row>
    <row r="3098" spans="1:14" hidden="1">
      <c r="A3098" s="234">
        <v>43437</v>
      </c>
      <c r="C3098" s="228" t="s">
        <v>4254</v>
      </c>
      <c r="D3098" s="274">
        <v>43354</v>
      </c>
      <c r="E3098" s="1">
        <v>0</v>
      </c>
      <c r="G3098" s="8" t="s">
        <v>1362</v>
      </c>
      <c r="H3098" t="s">
        <v>1336</v>
      </c>
      <c r="K3098" s="2"/>
      <c r="N3098">
        <f t="shared" si="45"/>
        <v>43354</v>
      </c>
    </row>
    <row r="3099" spans="1:14" hidden="1">
      <c r="A3099" s="234">
        <v>43452</v>
      </c>
      <c r="C3099" s="228" t="s">
        <v>4316</v>
      </c>
      <c r="D3099" s="274">
        <v>25000</v>
      </c>
      <c r="E3099" s="1">
        <v>0</v>
      </c>
      <c r="G3099" s="8" t="s">
        <v>1379</v>
      </c>
      <c r="H3099" t="s">
        <v>1336</v>
      </c>
      <c r="K3099" s="2"/>
      <c r="N3099">
        <f t="shared" si="45"/>
        <v>25000</v>
      </c>
    </row>
    <row r="3100" spans="1:14" hidden="1">
      <c r="A3100" s="234">
        <v>43460</v>
      </c>
      <c r="C3100" s="228" t="s">
        <v>4317</v>
      </c>
      <c r="D3100" s="274"/>
      <c r="E3100" s="274">
        <v>400000</v>
      </c>
      <c r="G3100" s="8" t="s">
        <v>1363</v>
      </c>
      <c r="H3100" t="s">
        <v>1336</v>
      </c>
      <c r="K3100" s="2"/>
      <c r="N3100">
        <f t="shared" si="45"/>
        <v>0</v>
      </c>
    </row>
    <row r="3101" spans="1:14" hidden="1">
      <c r="A3101" s="234">
        <v>43466</v>
      </c>
      <c r="C3101" s="228" t="s">
        <v>4256</v>
      </c>
      <c r="D3101" s="274"/>
      <c r="E3101" s="274">
        <v>7017</v>
      </c>
      <c r="G3101" s="8" t="s">
        <v>1368</v>
      </c>
      <c r="H3101" t="s">
        <v>1336</v>
      </c>
      <c r="K3101" s="2"/>
      <c r="N3101">
        <f t="shared" si="45"/>
        <v>0</v>
      </c>
    </row>
    <row r="3102" spans="1:14" hidden="1">
      <c r="A3102" s="234">
        <v>43466</v>
      </c>
      <c r="C3102" s="228" t="s">
        <v>4254</v>
      </c>
      <c r="D3102" s="274">
        <v>222370</v>
      </c>
      <c r="E3102" s="1">
        <v>0</v>
      </c>
      <c r="G3102" s="8" t="s">
        <v>1362</v>
      </c>
      <c r="H3102" t="s">
        <v>1336</v>
      </c>
      <c r="K3102" s="2"/>
      <c r="N3102">
        <f t="shared" si="45"/>
        <v>222370</v>
      </c>
    </row>
    <row r="3103" spans="1:14" hidden="1">
      <c r="A3103" s="234">
        <v>43482</v>
      </c>
      <c r="C3103" s="228" t="s">
        <v>4318</v>
      </c>
      <c r="D3103" s="274"/>
      <c r="E3103" s="274">
        <v>389457</v>
      </c>
      <c r="G3103" s="8" t="s">
        <v>1379</v>
      </c>
      <c r="H3103" t="s">
        <v>1336</v>
      </c>
      <c r="K3103" s="2"/>
      <c r="N3103">
        <f t="shared" si="45"/>
        <v>0</v>
      </c>
    </row>
    <row r="3104" spans="1:14" hidden="1">
      <c r="A3104" s="234">
        <v>43500</v>
      </c>
      <c r="C3104" s="228" t="s">
        <v>4319</v>
      </c>
      <c r="D3104" s="274">
        <v>107223</v>
      </c>
      <c r="E3104" s="1">
        <v>0</v>
      </c>
      <c r="G3104" s="8" t="s">
        <v>1362</v>
      </c>
      <c r="H3104" t="s">
        <v>1336</v>
      </c>
      <c r="K3104" s="2"/>
      <c r="N3104">
        <f t="shared" si="45"/>
        <v>107223</v>
      </c>
    </row>
    <row r="3105" spans="1:14" hidden="1">
      <c r="A3105" s="234">
        <v>43503</v>
      </c>
      <c r="C3105" s="228" t="s">
        <v>4320</v>
      </c>
      <c r="D3105" s="274">
        <v>25000</v>
      </c>
      <c r="E3105" s="1">
        <v>0</v>
      </c>
      <c r="G3105" s="8" t="s">
        <v>1379</v>
      </c>
      <c r="H3105" t="s">
        <v>1336</v>
      </c>
      <c r="K3105" s="2"/>
      <c r="N3105">
        <f t="shared" si="45"/>
        <v>25000</v>
      </c>
    </row>
    <row r="3106" spans="1:14" hidden="1">
      <c r="A3106" s="234">
        <v>43531</v>
      </c>
      <c r="C3106" s="228" t="s">
        <v>4319</v>
      </c>
      <c r="D3106" s="274">
        <v>38426</v>
      </c>
      <c r="E3106" s="1">
        <v>0</v>
      </c>
      <c r="G3106" s="8" t="s">
        <v>1362</v>
      </c>
      <c r="H3106" t="s">
        <v>1336</v>
      </c>
      <c r="K3106" s="2"/>
      <c r="N3106">
        <f t="shared" si="45"/>
        <v>38426</v>
      </c>
    </row>
    <row r="3107" spans="1:14" hidden="1">
      <c r="A3107" s="234">
        <v>43532</v>
      </c>
      <c r="C3107" s="228" t="s">
        <v>4321</v>
      </c>
      <c r="D3107" s="274">
        <v>25000</v>
      </c>
      <c r="E3107" s="1">
        <v>0</v>
      </c>
      <c r="G3107" s="8" t="s">
        <v>1379</v>
      </c>
      <c r="H3107" t="s">
        <v>1336</v>
      </c>
      <c r="K3107" s="2"/>
      <c r="N3107">
        <f t="shared" si="45"/>
        <v>25000</v>
      </c>
    </row>
    <row r="3108" spans="1:14" hidden="1">
      <c r="A3108" s="234">
        <v>43556</v>
      </c>
      <c r="C3108" s="228" t="s">
        <v>4256</v>
      </c>
      <c r="D3108" s="274"/>
      <c r="E3108" s="274">
        <v>9404</v>
      </c>
      <c r="G3108" s="8" t="s">
        <v>1368</v>
      </c>
      <c r="H3108" t="s">
        <v>1336</v>
      </c>
      <c r="K3108" s="2"/>
      <c r="N3108">
        <f t="shared" si="45"/>
        <v>0</v>
      </c>
    </row>
    <row r="3109" spans="1:14" hidden="1">
      <c r="A3109" s="234">
        <v>43559</v>
      </c>
      <c r="C3109" s="228" t="s">
        <v>4319</v>
      </c>
      <c r="D3109" s="274">
        <v>46299</v>
      </c>
      <c r="E3109" s="1">
        <v>0</v>
      </c>
      <c r="G3109" s="8" t="s">
        <v>1362</v>
      </c>
      <c r="H3109" t="s">
        <v>1336</v>
      </c>
      <c r="K3109" s="2"/>
      <c r="N3109">
        <f t="shared" si="45"/>
        <v>46299</v>
      </c>
    </row>
    <row r="3110" spans="1:14" hidden="1">
      <c r="A3110" s="234">
        <v>43562</v>
      </c>
      <c r="C3110" s="228" t="s">
        <v>4322</v>
      </c>
      <c r="D3110" s="274">
        <v>25000</v>
      </c>
      <c r="E3110" s="1">
        <v>0</v>
      </c>
      <c r="G3110" s="8" t="s">
        <v>1379</v>
      </c>
      <c r="H3110" t="s">
        <v>1336</v>
      </c>
      <c r="K3110" s="2"/>
      <c r="N3110">
        <f t="shared" si="45"/>
        <v>25000</v>
      </c>
    </row>
    <row r="3111" spans="1:14" hidden="1">
      <c r="A3111" s="234">
        <v>43590</v>
      </c>
      <c r="C3111" s="228" t="s">
        <v>4319</v>
      </c>
      <c r="D3111" s="274">
        <v>33469</v>
      </c>
      <c r="E3111" s="1">
        <v>0</v>
      </c>
      <c r="G3111" s="8" t="s">
        <v>1362</v>
      </c>
      <c r="H3111" t="s">
        <v>1336</v>
      </c>
      <c r="K3111" s="2"/>
      <c r="N3111">
        <f t="shared" si="45"/>
        <v>33469</v>
      </c>
    </row>
    <row r="3112" spans="1:14" hidden="1">
      <c r="A3112" s="234">
        <v>43593</v>
      </c>
      <c r="C3112" s="228" t="s">
        <v>4323</v>
      </c>
      <c r="D3112" s="274">
        <v>25000</v>
      </c>
      <c r="E3112" s="1">
        <v>0</v>
      </c>
      <c r="G3112" s="8" t="s">
        <v>1379</v>
      </c>
      <c r="H3112" t="s">
        <v>1336</v>
      </c>
      <c r="K3112" s="2"/>
      <c r="N3112">
        <f t="shared" si="45"/>
        <v>25000</v>
      </c>
    </row>
    <row r="3113" spans="1:14" hidden="1">
      <c r="A3113" s="234">
        <v>43620</v>
      </c>
      <c r="C3113" s="228" t="s">
        <v>4319</v>
      </c>
      <c r="D3113" s="274">
        <v>130733</v>
      </c>
      <c r="E3113" s="1">
        <v>0</v>
      </c>
      <c r="G3113" s="8" t="s">
        <v>1362</v>
      </c>
      <c r="H3113" t="s">
        <v>1336</v>
      </c>
      <c r="K3113" s="2"/>
      <c r="N3113">
        <f t="shared" si="45"/>
        <v>130733</v>
      </c>
    </row>
    <row r="3114" spans="1:14" hidden="1">
      <c r="A3114" s="234">
        <v>43624</v>
      </c>
      <c r="C3114" s="228" t="s">
        <v>4324</v>
      </c>
      <c r="D3114" s="274">
        <v>25000</v>
      </c>
      <c r="E3114" s="1">
        <v>0</v>
      </c>
      <c r="G3114" s="8" t="s">
        <v>1379</v>
      </c>
      <c r="H3114" t="s">
        <v>1336</v>
      </c>
      <c r="K3114" s="2"/>
      <c r="N3114">
        <f t="shared" si="45"/>
        <v>25000</v>
      </c>
    </row>
    <row r="3115" spans="1:14" hidden="1">
      <c r="A3115" s="234">
        <v>43646</v>
      </c>
      <c r="C3115" s="228" t="s">
        <v>4256</v>
      </c>
      <c r="D3115" s="274"/>
      <c r="E3115" s="274">
        <v>8047</v>
      </c>
      <c r="G3115" s="8" t="s">
        <v>1368</v>
      </c>
      <c r="H3115" t="s">
        <v>1336</v>
      </c>
      <c r="K3115" s="2"/>
      <c r="N3115">
        <f t="shared" si="45"/>
        <v>0</v>
      </c>
    </row>
    <row r="3116" spans="1:14" hidden="1">
      <c r="A3116" s="234">
        <v>43651</v>
      </c>
      <c r="C3116" s="228" t="s">
        <v>4319</v>
      </c>
      <c r="D3116" s="274">
        <v>1589</v>
      </c>
      <c r="E3116" s="1">
        <v>0</v>
      </c>
      <c r="G3116" s="8" t="s">
        <v>1362</v>
      </c>
      <c r="H3116" t="s">
        <v>1336</v>
      </c>
      <c r="K3116" s="2"/>
      <c r="N3116">
        <f t="shared" si="45"/>
        <v>1589</v>
      </c>
    </row>
    <row r="3117" spans="1:14" hidden="1">
      <c r="A3117" s="234">
        <v>43653</v>
      </c>
      <c r="C3117" s="228" t="s">
        <v>4325</v>
      </c>
      <c r="D3117" s="274">
        <v>25000</v>
      </c>
      <c r="E3117" s="1">
        <v>0</v>
      </c>
      <c r="G3117" s="8" t="s">
        <v>1379</v>
      </c>
      <c r="H3117" t="s">
        <v>1336</v>
      </c>
      <c r="K3117" s="2"/>
      <c r="N3117">
        <f t="shared" si="45"/>
        <v>25000</v>
      </c>
    </row>
    <row r="3118" spans="1:14" hidden="1">
      <c r="A3118" s="234">
        <v>43681</v>
      </c>
      <c r="C3118" s="228" t="s">
        <v>4319</v>
      </c>
      <c r="D3118" s="274">
        <v>11277</v>
      </c>
      <c r="E3118" s="1">
        <v>0</v>
      </c>
      <c r="G3118" s="8" t="s">
        <v>1362</v>
      </c>
      <c r="H3118" t="s">
        <v>1336</v>
      </c>
      <c r="K3118" s="2"/>
      <c r="N3118">
        <f t="shared" si="45"/>
        <v>11277</v>
      </c>
    </row>
    <row r="3119" spans="1:14" hidden="1">
      <c r="A3119" s="234">
        <v>43685</v>
      </c>
      <c r="C3119" s="228" t="s">
        <v>4326</v>
      </c>
      <c r="D3119" s="274">
        <v>25000</v>
      </c>
      <c r="E3119" s="1">
        <v>0</v>
      </c>
      <c r="G3119" s="8" t="s">
        <v>1379</v>
      </c>
      <c r="H3119" t="s">
        <v>1336</v>
      </c>
      <c r="K3119" s="2"/>
      <c r="N3119">
        <f t="shared" si="45"/>
        <v>25000</v>
      </c>
    </row>
    <row r="3120" spans="1:14" hidden="1">
      <c r="A3120" s="234">
        <v>43712</v>
      </c>
      <c r="C3120" s="228" t="s">
        <v>4319</v>
      </c>
      <c r="D3120" s="274">
        <v>55884</v>
      </c>
      <c r="E3120" s="1">
        <v>0</v>
      </c>
      <c r="G3120" s="8" t="s">
        <v>1362</v>
      </c>
      <c r="H3120" t="s">
        <v>1336</v>
      </c>
      <c r="K3120" s="2"/>
      <c r="N3120">
        <f t="shared" si="45"/>
        <v>55884</v>
      </c>
    </row>
    <row r="3121" spans="1:14" hidden="1">
      <c r="A3121" s="234">
        <v>43715</v>
      </c>
      <c r="C3121" s="228" t="s">
        <v>4327</v>
      </c>
      <c r="D3121" s="274">
        <v>25000</v>
      </c>
      <c r="E3121" s="1">
        <v>0</v>
      </c>
      <c r="G3121" s="8" t="s">
        <v>1379</v>
      </c>
      <c r="H3121" t="s">
        <v>1336</v>
      </c>
      <c r="K3121" s="2"/>
      <c r="N3121">
        <f t="shared" si="45"/>
        <v>25000</v>
      </c>
    </row>
    <row r="3122" spans="1:14" hidden="1">
      <c r="A3122" s="234">
        <v>43739</v>
      </c>
      <c r="C3122" s="228" t="s">
        <v>4256</v>
      </c>
      <c r="D3122" s="274"/>
      <c r="E3122" s="274">
        <v>6391</v>
      </c>
      <c r="G3122" s="8" t="s">
        <v>1368</v>
      </c>
      <c r="H3122" t="s">
        <v>1336</v>
      </c>
      <c r="K3122" s="2"/>
      <c r="N3122">
        <f t="shared" si="45"/>
        <v>0</v>
      </c>
    </row>
    <row r="3123" spans="1:14" hidden="1">
      <c r="A3123" s="234">
        <v>43743</v>
      </c>
      <c r="C3123" s="228" t="s">
        <v>4319</v>
      </c>
      <c r="D3123" s="274">
        <v>80674</v>
      </c>
      <c r="E3123" s="1">
        <v>0</v>
      </c>
      <c r="G3123" s="8" t="s">
        <v>1362</v>
      </c>
      <c r="H3123" t="s">
        <v>1336</v>
      </c>
      <c r="K3123" s="2"/>
      <c r="N3123">
        <f t="shared" si="45"/>
        <v>80674</v>
      </c>
    </row>
    <row r="3124" spans="1:14" hidden="1">
      <c r="A3124" s="234">
        <v>43746</v>
      </c>
      <c r="C3124" s="228" t="s">
        <v>4328</v>
      </c>
      <c r="D3124" s="274">
        <v>25000</v>
      </c>
      <c r="E3124" s="1">
        <v>0</v>
      </c>
      <c r="G3124" s="8" t="s">
        <v>1379</v>
      </c>
      <c r="H3124" t="s">
        <v>1336</v>
      </c>
      <c r="K3124" s="2"/>
      <c r="N3124">
        <f t="shared" si="45"/>
        <v>25000</v>
      </c>
    </row>
    <row r="3125" spans="1:14" hidden="1">
      <c r="A3125" s="234">
        <v>43773</v>
      </c>
      <c r="C3125" s="228" t="s">
        <v>4319</v>
      </c>
      <c r="D3125" s="274">
        <v>50398</v>
      </c>
      <c r="E3125" s="1">
        <v>0</v>
      </c>
      <c r="G3125" s="8" t="s">
        <v>1362</v>
      </c>
      <c r="H3125" t="s">
        <v>1336</v>
      </c>
      <c r="K3125" s="2"/>
      <c r="N3125">
        <f t="shared" si="45"/>
        <v>50398</v>
      </c>
    </row>
    <row r="3126" spans="1:14" hidden="1">
      <c r="A3126" s="234">
        <v>43777</v>
      </c>
      <c r="C3126" s="228" t="s">
        <v>4329</v>
      </c>
      <c r="D3126" s="274">
        <v>25000</v>
      </c>
      <c r="E3126" s="1">
        <v>0</v>
      </c>
      <c r="G3126" s="8" t="s">
        <v>1379</v>
      </c>
      <c r="H3126" t="s">
        <v>1336</v>
      </c>
      <c r="K3126" s="2"/>
      <c r="N3126">
        <f t="shared" si="45"/>
        <v>25000</v>
      </c>
    </row>
    <row r="3127" spans="1:14" hidden="1">
      <c r="A3127" s="234">
        <v>43804</v>
      </c>
      <c r="C3127" s="228" t="s">
        <v>4319</v>
      </c>
      <c r="D3127" s="274">
        <v>45562</v>
      </c>
      <c r="E3127" s="1">
        <v>0</v>
      </c>
      <c r="G3127" s="8" t="s">
        <v>1362</v>
      </c>
      <c r="H3127" t="s">
        <v>1336</v>
      </c>
      <c r="K3127" s="2"/>
      <c r="N3127">
        <f t="shared" si="45"/>
        <v>45562</v>
      </c>
    </row>
    <row r="3128" spans="1:14" hidden="1">
      <c r="A3128" s="234">
        <v>43807</v>
      </c>
      <c r="C3128" s="228" t="s">
        <v>4330</v>
      </c>
      <c r="D3128" s="274">
        <v>25000</v>
      </c>
      <c r="E3128" s="1">
        <v>0</v>
      </c>
      <c r="G3128" s="8" t="s">
        <v>1379</v>
      </c>
      <c r="H3128" t="s">
        <v>1336</v>
      </c>
      <c r="K3128" s="2"/>
      <c r="N3128">
        <f t="shared" si="45"/>
        <v>25000</v>
      </c>
    </row>
    <row r="3129" spans="1:14" hidden="1">
      <c r="A3129" s="234">
        <v>43831</v>
      </c>
      <c r="C3129" s="228" t="s">
        <v>4256</v>
      </c>
      <c r="D3129" s="274"/>
      <c r="E3129" s="274">
        <v>4318</v>
      </c>
      <c r="G3129" s="8" t="s">
        <v>1368</v>
      </c>
      <c r="H3129" t="s">
        <v>1336</v>
      </c>
      <c r="K3129" s="2"/>
      <c r="N3129">
        <f t="shared" si="45"/>
        <v>0</v>
      </c>
    </row>
    <row r="3130" spans="1:14" hidden="1">
      <c r="A3130" s="234">
        <v>43834</v>
      </c>
      <c r="C3130" s="228" t="s">
        <v>4319</v>
      </c>
      <c r="D3130" s="274">
        <v>34898</v>
      </c>
      <c r="E3130" s="1">
        <v>0</v>
      </c>
      <c r="G3130" s="8" t="s">
        <v>1362</v>
      </c>
      <c r="H3130" t="s">
        <v>1336</v>
      </c>
      <c r="K3130" s="2"/>
      <c r="N3130">
        <f t="shared" si="45"/>
        <v>34898</v>
      </c>
    </row>
    <row r="3131" spans="1:14" hidden="1">
      <c r="A3131" s="234">
        <v>43838</v>
      </c>
      <c r="C3131" s="228" t="s">
        <v>4331</v>
      </c>
      <c r="D3131" s="274">
        <v>25000</v>
      </c>
      <c r="E3131" s="1">
        <v>0</v>
      </c>
      <c r="G3131" s="8" t="s">
        <v>1379</v>
      </c>
      <c r="H3131" t="s">
        <v>1336</v>
      </c>
      <c r="K3131" s="2"/>
      <c r="N3131">
        <f t="shared" si="45"/>
        <v>25000</v>
      </c>
    </row>
    <row r="3132" spans="1:14" hidden="1">
      <c r="A3132" s="234">
        <v>43865</v>
      </c>
      <c r="C3132" s="228" t="s">
        <v>4319</v>
      </c>
      <c r="D3132" s="274">
        <v>27002</v>
      </c>
      <c r="E3132" s="1">
        <v>0</v>
      </c>
      <c r="G3132" s="8" t="s">
        <v>1362</v>
      </c>
      <c r="H3132" t="s">
        <v>1336</v>
      </c>
      <c r="K3132" s="2"/>
      <c r="N3132">
        <f t="shared" si="45"/>
        <v>27002</v>
      </c>
    </row>
    <row r="3133" spans="1:14" hidden="1">
      <c r="A3133" s="234">
        <v>43869</v>
      </c>
      <c r="C3133" s="228" t="s">
        <v>4332</v>
      </c>
      <c r="D3133" s="274">
        <v>25000</v>
      </c>
      <c r="E3133" s="1">
        <v>0</v>
      </c>
      <c r="G3133" s="8" t="s">
        <v>1379</v>
      </c>
      <c r="H3133" t="s">
        <v>1336</v>
      </c>
      <c r="K3133" s="2"/>
      <c r="N3133">
        <f t="shared" si="45"/>
        <v>25000</v>
      </c>
    </row>
    <row r="3134" spans="1:14" hidden="1">
      <c r="A3134" s="234">
        <v>43889</v>
      </c>
      <c r="C3134" s="228" t="s">
        <v>4333</v>
      </c>
      <c r="D3134" s="274"/>
      <c r="E3134" s="274">
        <v>200000</v>
      </c>
      <c r="G3134" s="8" t="s">
        <v>1363</v>
      </c>
      <c r="H3134" t="s">
        <v>1336</v>
      </c>
      <c r="K3134" s="2"/>
      <c r="N3134">
        <f t="shared" si="45"/>
        <v>0</v>
      </c>
    </row>
    <row r="3135" spans="1:14" hidden="1">
      <c r="A3135" s="234">
        <v>43896</v>
      </c>
      <c r="C3135" s="228" t="s">
        <v>4319</v>
      </c>
      <c r="D3135" s="274">
        <v>10803</v>
      </c>
      <c r="E3135" s="1">
        <v>0</v>
      </c>
      <c r="G3135" s="8" t="s">
        <v>1362</v>
      </c>
      <c r="H3135" t="s">
        <v>1336</v>
      </c>
      <c r="K3135" s="2"/>
      <c r="N3135">
        <f t="shared" si="45"/>
        <v>10803</v>
      </c>
    </row>
    <row r="3136" spans="1:14" hidden="1">
      <c r="A3136" s="234">
        <v>43898</v>
      </c>
      <c r="C3136" s="228" t="s">
        <v>4334</v>
      </c>
      <c r="D3136" s="274">
        <v>25000</v>
      </c>
      <c r="E3136" s="1">
        <v>0</v>
      </c>
      <c r="G3136" s="8" t="s">
        <v>1379</v>
      </c>
      <c r="H3136" t="s">
        <v>1336</v>
      </c>
      <c r="K3136" s="2"/>
      <c r="N3136">
        <f t="shared" si="45"/>
        <v>25000</v>
      </c>
    </row>
    <row r="3137" spans="1:14" hidden="1">
      <c r="A3137" s="234">
        <v>43922</v>
      </c>
      <c r="C3137" s="228" t="s">
        <v>4256</v>
      </c>
      <c r="D3137" s="274"/>
      <c r="E3137" s="274">
        <v>3336</v>
      </c>
      <c r="G3137" s="8" t="s">
        <v>1368</v>
      </c>
      <c r="H3137" t="s">
        <v>1336</v>
      </c>
      <c r="K3137" s="2"/>
      <c r="N3137">
        <f t="shared" si="45"/>
        <v>0</v>
      </c>
    </row>
    <row r="3138" spans="1:14" hidden="1">
      <c r="A3138" s="234">
        <v>43925</v>
      </c>
      <c r="C3138" s="228" t="s">
        <v>4319</v>
      </c>
      <c r="D3138" s="274">
        <v>33417</v>
      </c>
      <c r="E3138" s="1">
        <v>0</v>
      </c>
      <c r="G3138" s="8" t="s">
        <v>1362</v>
      </c>
      <c r="H3138" t="s">
        <v>1336</v>
      </c>
      <c r="K3138" s="2"/>
      <c r="N3138">
        <f t="shared" si="45"/>
        <v>33417</v>
      </c>
    </row>
    <row r="3139" spans="1:14" hidden="1">
      <c r="A3139" s="234">
        <v>43929</v>
      </c>
      <c r="C3139" s="228" t="s">
        <v>4335</v>
      </c>
      <c r="D3139" s="274">
        <v>25000</v>
      </c>
      <c r="E3139" s="1">
        <v>0</v>
      </c>
      <c r="G3139" s="8" t="s">
        <v>1379</v>
      </c>
      <c r="H3139" t="s">
        <v>1336</v>
      </c>
      <c r="K3139" s="2"/>
      <c r="N3139">
        <f t="shared" si="45"/>
        <v>25000</v>
      </c>
    </row>
    <row r="3140" spans="1:14" hidden="1">
      <c r="A3140" s="234">
        <v>43956</v>
      </c>
      <c r="C3140" s="228" t="s">
        <v>4319</v>
      </c>
      <c r="D3140" s="274">
        <v>1408</v>
      </c>
      <c r="E3140" s="1">
        <v>0</v>
      </c>
      <c r="G3140" s="8" t="s">
        <v>1362</v>
      </c>
      <c r="H3140" t="s">
        <v>1336</v>
      </c>
      <c r="K3140" s="2"/>
      <c r="N3140">
        <f t="shared" si="45"/>
        <v>1408</v>
      </c>
    </row>
    <row r="3141" spans="1:14" hidden="1">
      <c r="A3141" s="234">
        <v>43958</v>
      </c>
      <c r="C3141" s="228" t="s">
        <v>4336</v>
      </c>
      <c r="D3141" s="274"/>
      <c r="E3141" s="274">
        <v>393606</v>
      </c>
      <c r="G3141" s="8" t="s">
        <v>1379</v>
      </c>
      <c r="H3141" t="s">
        <v>1336</v>
      </c>
      <c r="K3141" s="2"/>
      <c r="N3141">
        <f t="shared" si="45"/>
        <v>0</v>
      </c>
    </row>
    <row r="3142" spans="1:14" hidden="1">
      <c r="A3142" s="234">
        <v>43960</v>
      </c>
      <c r="C3142" s="228" t="s">
        <v>4337</v>
      </c>
      <c r="D3142" s="274">
        <v>25000</v>
      </c>
      <c r="E3142" s="1">
        <v>0</v>
      </c>
      <c r="G3142" s="8" t="s">
        <v>1379</v>
      </c>
      <c r="H3142" t="s">
        <v>1336</v>
      </c>
      <c r="K3142" s="2"/>
      <c r="N3142">
        <f t="shared" si="45"/>
        <v>25000</v>
      </c>
    </row>
    <row r="3143" spans="1:14" hidden="1">
      <c r="A3143" s="234">
        <v>43986</v>
      </c>
      <c r="C3143" s="228" t="s">
        <v>4319</v>
      </c>
      <c r="D3143" s="274">
        <v>765</v>
      </c>
      <c r="E3143" s="1">
        <v>0</v>
      </c>
      <c r="G3143" s="8" t="s">
        <v>1362</v>
      </c>
      <c r="H3143" t="s">
        <v>1336</v>
      </c>
      <c r="K3143" s="2"/>
      <c r="N3143">
        <f t="shared" si="45"/>
        <v>765</v>
      </c>
    </row>
    <row r="3144" spans="1:14" hidden="1">
      <c r="A3144" s="234">
        <v>43992</v>
      </c>
      <c r="C3144" s="228" t="s">
        <v>4338</v>
      </c>
      <c r="D3144" s="274">
        <v>25000</v>
      </c>
      <c r="E3144" s="1">
        <v>0</v>
      </c>
      <c r="G3144" s="8" t="s">
        <v>1379</v>
      </c>
      <c r="H3144" t="s">
        <v>1336</v>
      </c>
      <c r="K3144" s="2"/>
      <c r="N3144">
        <f t="shared" si="45"/>
        <v>25000</v>
      </c>
    </row>
    <row r="3145" spans="1:14" hidden="1">
      <c r="A3145" s="234">
        <v>43992</v>
      </c>
      <c r="C3145" s="228" t="s">
        <v>4339</v>
      </c>
      <c r="D3145" s="274"/>
      <c r="E3145" s="274">
        <v>6276</v>
      </c>
      <c r="H3145" t="s">
        <v>1336</v>
      </c>
      <c r="K3145" s="2"/>
      <c r="N3145">
        <f t="shared" si="45"/>
        <v>0</v>
      </c>
    </row>
    <row r="3146" spans="1:14" hidden="1">
      <c r="A3146" s="234">
        <v>44013</v>
      </c>
      <c r="C3146" s="228" t="s">
        <v>4256</v>
      </c>
      <c r="D3146" s="274"/>
      <c r="E3146" s="274">
        <v>5005</v>
      </c>
      <c r="G3146" s="8" t="s">
        <v>1368</v>
      </c>
      <c r="H3146" t="s">
        <v>1336</v>
      </c>
      <c r="K3146" s="2"/>
      <c r="N3146">
        <f t="shared" si="45"/>
        <v>0</v>
      </c>
    </row>
    <row r="3147" spans="1:14" hidden="1">
      <c r="A3147" s="234">
        <v>44017</v>
      </c>
      <c r="C3147" s="228" t="s">
        <v>4319</v>
      </c>
      <c r="D3147" s="274">
        <v>2798</v>
      </c>
      <c r="E3147" s="1">
        <v>0</v>
      </c>
      <c r="G3147" s="8" t="s">
        <v>1362</v>
      </c>
      <c r="H3147" t="s">
        <v>1336</v>
      </c>
      <c r="K3147" s="2"/>
      <c r="N3147">
        <f t="shared" ref="N3147:N3210" si="46">D3147*1</f>
        <v>2798</v>
      </c>
    </row>
    <row r="3148" spans="1:14" hidden="1">
      <c r="A3148" s="234">
        <v>44022</v>
      </c>
      <c r="C3148" s="228" t="s">
        <v>4340</v>
      </c>
      <c r="D3148" s="274">
        <v>25000</v>
      </c>
      <c r="E3148" s="1">
        <v>0</v>
      </c>
      <c r="G3148" s="8" t="s">
        <v>1379</v>
      </c>
      <c r="H3148" t="s">
        <v>1336</v>
      </c>
      <c r="K3148" s="2"/>
      <c r="N3148">
        <f t="shared" si="46"/>
        <v>25000</v>
      </c>
    </row>
    <row r="3149" spans="1:14" hidden="1">
      <c r="A3149" s="234">
        <v>44047</v>
      </c>
      <c r="C3149" s="228" t="s">
        <v>4319</v>
      </c>
      <c r="D3149" s="274">
        <v>8520</v>
      </c>
      <c r="E3149" s="1">
        <v>0</v>
      </c>
      <c r="G3149" s="8" t="s">
        <v>1362</v>
      </c>
      <c r="H3149" t="s">
        <v>1336</v>
      </c>
      <c r="K3149" s="2"/>
      <c r="N3149">
        <f t="shared" si="46"/>
        <v>8520</v>
      </c>
    </row>
    <row r="3150" spans="1:14" hidden="1">
      <c r="A3150" s="234">
        <v>44052</v>
      </c>
      <c r="C3150" s="228" t="s">
        <v>4341</v>
      </c>
      <c r="D3150" s="274">
        <v>25000</v>
      </c>
      <c r="E3150" s="1">
        <v>0</v>
      </c>
      <c r="G3150" s="8" t="s">
        <v>1379</v>
      </c>
      <c r="H3150" t="s">
        <v>1336</v>
      </c>
      <c r="K3150" s="2"/>
      <c r="N3150">
        <f t="shared" si="46"/>
        <v>25000</v>
      </c>
    </row>
    <row r="3151" spans="1:14" hidden="1">
      <c r="A3151" s="234">
        <v>44078</v>
      </c>
      <c r="C3151" s="228" t="s">
        <v>4319</v>
      </c>
      <c r="D3151" s="274">
        <v>7935</v>
      </c>
      <c r="E3151" s="1">
        <v>0</v>
      </c>
      <c r="G3151" s="8" t="s">
        <v>1362</v>
      </c>
      <c r="H3151" t="s">
        <v>1336</v>
      </c>
      <c r="K3151" s="2"/>
      <c r="N3151">
        <f t="shared" si="46"/>
        <v>7935</v>
      </c>
    </row>
    <row r="3152" spans="1:14" hidden="1">
      <c r="A3152" s="234">
        <v>44084</v>
      </c>
      <c r="C3152" s="228" t="s">
        <v>4342</v>
      </c>
      <c r="D3152" s="274">
        <v>25000</v>
      </c>
      <c r="E3152" s="1">
        <v>0</v>
      </c>
      <c r="G3152" s="8" t="s">
        <v>1379</v>
      </c>
      <c r="H3152" t="s">
        <v>1336</v>
      </c>
      <c r="K3152" s="2"/>
      <c r="N3152">
        <f t="shared" si="46"/>
        <v>25000</v>
      </c>
    </row>
    <row r="3153" spans="1:14" hidden="1">
      <c r="A3153" s="234">
        <v>44105</v>
      </c>
      <c r="C3153" s="228" t="s">
        <v>4256</v>
      </c>
      <c r="D3153" s="274"/>
      <c r="E3153" s="274">
        <v>5323</v>
      </c>
      <c r="G3153" s="8" t="s">
        <v>1368</v>
      </c>
      <c r="H3153" t="s">
        <v>1336</v>
      </c>
      <c r="K3153" s="2"/>
      <c r="N3153">
        <f t="shared" si="46"/>
        <v>0</v>
      </c>
    </row>
    <row r="3154" spans="1:14" hidden="1">
      <c r="A3154" s="234">
        <v>44109</v>
      </c>
      <c r="C3154" s="228" t="s">
        <v>4319</v>
      </c>
      <c r="D3154" s="274">
        <v>4816</v>
      </c>
      <c r="E3154" s="1">
        <v>0</v>
      </c>
      <c r="G3154" s="8" t="s">
        <v>1362</v>
      </c>
      <c r="H3154" t="s">
        <v>1336</v>
      </c>
      <c r="K3154" s="2"/>
      <c r="N3154">
        <f t="shared" si="46"/>
        <v>4816</v>
      </c>
    </row>
    <row r="3155" spans="1:14" hidden="1">
      <c r="A3155" s="234">
        <v>44114</v>
      </c>
      <c r="C3155" s="228" t="s">
        <v>4343</v>
      </c>
      <c r="D3155" s="274">
        <v>25000</v>
      </c>
      <c r="E3155" s="1">
        <v>0</v>
      </c>
      <c r="G3155" s="8" t="s">
        <v>1379</v>
      </c>
      <c r="H3155" t="s">
        <v>1336</v>
      </c>
      <c r="K3155" s="2"/>
      <c r="N3155">
        <f t="shared" si="46"/>
        <v>25000</v>
      </c>
    </row>
    <row r="3156" spans="1:14" hidden="1">
      <c r="A3156" s="234">
        <v>44139</v>
      </c>
      <c r="C3156" s="228" t="s">
        <v>4319</v>
      </c>
      <c r="D3156" s="274">
        <v>3183</v>
      </c>
      <c r="E3156" s="1">
        <v>0</v>
      </c>
      <c r="G3156" s="8" t="s">
        <v>1362</v>
      </c>
      <c r="H3156" t="s">
        <v>1336</v>
      </c>
      <c r="K3156" s="2"/>
      <c r="N3156">
        <f t="shared" si="46"/>
        <v>3183</v>
      </c>
    </row>
    <row r="3157" spans="1:14" hidden="1">
      <c r="A3157" s="234">
        <v>44145</v>
      </c>
      <c r="C3157" s="228" t="s">
        <v>4344</v>
      </c>
      <c r="D3157" s="274">
        <v>25000</v>
      </c>
      <c r="E3157" s="1">
        <v>0</v>
      </c>
      <c r="G3157" s="8" t="s">
        <v>1379</v>
      </c>
      <c r="H3157" t="s">
        <v>1336</v>
      </c>
      <c r="K3157" s="2"/>
      <c r="N3157">
        <f t="shared" si="46"/>
        <v>25000</v>
      </c>
    </row>
    <row r="3158" spans="1:14" hidden="1">
      <c r="A3158" s="234">
        <v>44170</v>
      </c>
      <c r="C3158" s="228" t="s">
        <v>4319</v>
      </c>
      <c r="D3158" s="274">
        <v>1649</v>
      </c>
      <c r="E3158" s="1">
        <v>0</v>
      </c>
      <c r="G3158" s="8" t="s">
        <v>1362</v>
      </c>
      <c r="H3158" t="s">
        <v>1336</v>
      </c>
      <c r="K3158" s="2"/>
      <c r="N3158">
        <f t="shared" si="46"/>
        <v>1649</v>
      </c>
    </row>
    <row r="3159" spans="1:14" hidden="1">
      <c r="A3159" s="234">
        <v>44171</v>
      </c>
      <c r="C3159" s="228" t="s">
        <v>4345</v>
      </c>
      <c r="D3159" s="274"/>
      <c r="E3159" s="274">
        <v>6656</v>
      </c>
      <c r="H3159" t="s">
        <v>1336</v>
      </c>
      <c r="K3159" s="2"/>
      <c r="N3159">
        <f t="shared" si="46"/>
        <v>0</v>
      </c>
    </row>
    <row r="3160" spans="1:14" hidden="1">
      <c r="A3160" s="234">
        <v>44173</v>
      </c>
      <c r="C3160" s="228" t="s">
        <v>4346</v>
      </c>
      <c r="D3160" s="274"/>
      <c r="E3160" s="274">
        <v>2500</v>
      </c>
      <c r="H3160" t="s">
        <v>1336</v>
      </c>
      <c r="K3160" s="2"/>
      <c r="N3160">
        <f t="shared" si="46"/>
        <v>0</v>
      </c>
    </row>
    <row r="3161" spans="1:14" hidden="1">
      <c r="A3161" s="234">
        <v>44175</v>
      </c>
      <c r="C3161" s="228" t="s">
        <v>4347</v>
      </c>
      <c r="D3161" s="274">
        <v>25000</v>
      </c>
      <c r="E3161" s="1">
        <v>0</v>
      </c>
      <c r="G3161" s="8" t="s">
        <v>1379</v>
      </c>
      <c r="H3161" t="s">
        <v>1336</v>
      </c>
      <c r="K3161" s="2"/>
      <c r="N3161">
        <f t="shared" si="46"/>
        <v>25000</v>
      </c>
    </row>
    <row r="3162" spans="1:14" hidden="1">
      <c r="A3162" s="234">
        <v>44197</v>
      </c>
      <c r="C3162" s="228" t="s">
        <v>4256</v>
      </c>
      <c r="D3162" s="274"/>
      <c r="E3162" s="274">
        <v>4694</v>
      </c>
      <c r="G3162" s="8" t="s">
        <v>1368</v>
      </c>
      <c r="H3162" t="s">
        <v>1336</v>
      </c>
      <c r="K3162" s="2"/>
      <c r="N3162">
        <f t="shared" si="46"/>
        <v>0</v>
      </c>
    </row>
    <row r="3163" spans="1:14" hidden="1">
      <c r="A3163" s="234">
        <v>44200</v>
      </c>
      <c r="C3163" s="228" t="s">
        <v>4319</v>
      </c>
      <c r="D3163" s="274">
        <v>1546</v>
      </c>
      <c r="E3163" s="1">
        <v>0</v>
      </c>
      <c r="G3163" s="8" t="s">
        <v>1362</v>
      </c>
      <c r="H3163" t="s">
        <v>1336</v>
      </c>
      <c r="K3163" s="2"/>
      <c r="N3163">
        <f t="shared" si="46"/>
        <v>1546</v>
      </c>
    </row>
    <row r="3164" spans="1:14" hidden="1">
      <c r="A3164" s="234">
        <v>44206</v>
      </c>
      <c r="C3164" s="228" t="s">
        <v>4348</v>
      </c>
      <c r="D3164" s="274">
        <v>25000</v>
      </c>
      <c r="E3164" s="1">
        <v>0</v>
      </c>
      <c r="G3164" s="8" t="s">
        <v>1379</v>
      </c>
      <c r="H3164" t="s">
        <v>1336</v>
      </c>
      <c r="K3164" s="2"/>
      <c r="N3164">
        <f t="shared" si="46"/>
        <v>25000</v>
      </c>
    </row>
    <row r="3165" spans="1:14" hidden="1">
      <c r="A3165" s="234">
        <v>44231</v>
      </c>
      <c r="C3165" s="228" t="s">
        <v>4319</v>
      </c>
      <c r="D3165" s="274">
        <v>4319</v>
      </c>
      <c r="E3165" s="1">
        <v>0</v>
      </c>
      <c r="G3165" s="8" t="s">
        <v>1362</v>
      </c>
      <c r="H3165" t="s">
        <v>1336</v>
      </c>
      <c r="K3165" s="2"/>
      <c r="N3165">
        <f t="shared" si="46"/>
        <v>4319</v>
      </c>
    </row>
    <row r="3166" spans="1:14" hidden="1">
      <c r="A3166" s="234">
        <v>44237</v>
      </c>
      <c r="C3166" s="228" t="s">
        <v>4349</v>
      </c>
      <c r="D3166" s="274">
        <v>25000</v>
      </c>
      <c r="E3166" s="1">
        <v>0</v>
      </c>
      <c r="G3166" s="8" t="s">
        <v>1379</v>
      </c>
      <c r="H3166" t="s">
        <v>1336</v>
      </c>
      <c r="K3166" s="2"/>
      <c r="N3166">
        <f t="shared" si="46"/>
        <v>25000</v>
      </c>
    </row>
    <row r="3167" spans="1:14" hidden="1">
      <c r="A3167" s="234">
        <v>44262</v>
      </c>
      <c r="C3167" s="228" t="s">
        <v>4319</v>
      </c>
      <c r="D3167" s="274">
        <v>11767</v>
      </c>
      <c r="E3167" s="1">
        <v>0</v>
      </c>
      <c r="G3167" s="8" t="s">
        <v>1362</v>
      </c>
      <c r="H3167" t="s">
        <v>1336</v>
      </c>
      <c r="K3167" s="2"/>
      <c r="N3167">
        <f t="shared" si="46"/>
        <v>11767</v>
      </c>
    </row>
    <row r="3168" spans="1:14" hidden="1">
      <c r="A3168" s="234">
        <v>44265</v>
      </c>
      <c r="C3168" s="228" t="s">
        <v>4350</v>
      </c>
      <c r="D3168" s="274">
        <v>25000</v>
      </c>
      <c r="E3168" s="1">
        <v>0</v>
      </c>
      <c r="G3168" s="8" t="s">
        <v>1379</v>
      </c>
      <c r="H3168" t="s">
        <v>1336</v>
      </c>
      <c r="K3168" s="2"/>
      <c r="N3168">
        <f t="shared" si="46"/>
        <v>25000</v>
      </c>
    </row>
    <row r="3169" spans="1:14" hidden="1">
      <c r="A3169" s="234">
        <v>44287</v>
      </c>
      <c r="C3169" s="228" t="s">
        <v>4256</v>
      </c>
      <c r="D3169" s="274"/>
      <c r="E3169" s="274">
        <v>4061</v>
      </c>
      <c r="G3169" s="8" t="s">
        <v>1368</v>
      </c>
      <c r="H3169" t="s">
        <v>1336</v>
      </c>
      <c r="K3169" s="2"/>
      <c r="N3169">
        <f t="shared" si="46"/>
        <v>0</v>
      </c>
    </row>
    <row r="3170" spans="1:14" hidden="1">
      <c r="A3170" s="234">
        <v>44290</v>
      </c>
      <c r="C3170" s="228" t="s">
        <v>4319</v>
      </c>
      <c r="D3170" s="274">
        <v>13184</v>
      </c>
      <c r="E3170" s="1">
        <v>0</v>
      </c>
      <c r="G3170" s="8" t="s">
        <v>1362</v>
      </c>
      <c r="H3170" t="s">
        <v>1336</v>
      </c>
      <c r="K3170" s="2"/>
      <c r="N3170">
        <f t="shared" si="46"/>
        <v>13184</v>
      </c>
    </row>
    <row r="3171" spans="1:14" hidden="1">
      <c r="A3171" s="234">
        <v>44296</v>
      </c>
      <c r="C3171" s="228" t="s">
        <v>4351</v>
      </c>
      <c r="D3171" s="274">
        <v>25000</v>
      </c>
      <c r="E3171" s="1">
        <v>0</v>
      </c>
      <c r="G3171" s="8" t="s">
        <v>1379</v>
      </c>
      <c r="H3171" t="s">
        <v>1336</v>
      </c>
      <c r="K3171" s="2"/>
      <c r="N3171">
        <f t="shared" si="46"/>
        <v>25000</v>
      </c>
    </row>
    <row r="3172" spans="1:14" hidden="1">
      <c r="A3172" s="234">
        <v>44321</v>
      </c>
      <c r="C3172" s="228" t="s">
        <v>4319</v>
      </c>
      <c r="D3172" s="274">
        <v>54487</v>
      </c>
      <c r="E3172" s="1">
        <v>0</v>
      </c>
      <c r="G3172" s="8" t="s">
        <v>1362</v>
      </c>
      <c r="H3172" t="s">
        <v>1336</v>
      </c>
      <c r="K3172" s="2"/>
      <c r="N3172">
        <f t="shared" si="46"/>
        <v>54487</v>
      </c>
    </row>
    <row r="3173" spans="1:14" hidden="1">
      <c r="A3173" s="234">
        <v>44326</v>
      </c>
      <c r="C3173" s="228" t="s">
        <v>4352</v>
      </c>
      <c r="D3173" s="274">
        <v>25000</v>
      </c>
      <c r="E3173" s="1">
        <v>0</v>
      </c>
      <c r="G3173" s="8" t="s">
        <v>1379</v>
      </c>
      <c r="H3173" t="s">
        <v>1336</v>
      </c>
      <c r="K3173" s="2"/>
      <c r="N3173">
        <f t="shared" si="46"/>
        <v>25000</v>
      </c>
    </row>
    <row r="3174" spans="1:14" hidden="1">
      <c r="A3174" s="234">
        <v>44351</v>
      </c>
      <c r="C3174" s="228" t="s">
        <v>4319</v>
      </c>
      <c r="D3174" s="274">
        <v>2200</v>
      </c>
      <c r="E3174" s="1">
        <v>0</v>
      </c>
      <c r="G3174" s="8" t="s">
        <v>1362</v>
      </c>
      <c r="H3174" t="s">
        <v>1336</v>
      </c>
      <c r="K3174" s="2"/>
      <c r="N3174">
        <f t="shared" si="46"/>
        <v>2200</v>
      </c>
    </row>
    <row r="3175" spans="1:14" hidden="1">
      <c r="A3175" s="234">
        <v>44357</v>
      </c>
      <c r="C3175" s="228" t="s">
        <v>4353</v>
      </c>
      <c r="D3175" s="274">
        <v>25000</v>
      </c>
      <c r="E3175" s="1">
        <v>0</v>
      </c>
      <c r="G3175" s="8" t="s">
        <v>1379</v>
      </c>
      <c r="H3175" t="s">
        <v>1336</v>
      </c>
      <c r="K3175" s="2"/>
      <c r="N3175">
        <f t="shared" si="46"/>
        <v>25000</v>
      </c>
    </row>
    <row r="3176" spans="1:14" hidden="1">
      <c r="A3176" s="234">
        <v>44378</v>
      </c>
      <c r="C3176" s="228" t="s">
        <v>4256</v>
      </c>
      <c r="D3176" s="274"/>
      <c r="E3176" s="274">
        <v>3143</v>
      </c>
      <c r="G3176" s="8" t="s">
        <v>1368</v>
      </c>
      <c r="H3176" t="s">
        <v>1336</v>
      </c>
      <c r="K3176" s="2"/>
      <c r="N3176">
        <f t="shared" si="46"/>
        <v>0</v>
      </c>
    </row>
    <row r="3177" spans="1:14" hidden="1">
      <c r="A3177" s="234">
        <v>44382</v>
      </c>
      <c r="C3177" s="228" t="s">
        <v>4319</v>
      </c>
      <c r="D3177" s="274">
        <v>293</v>
      </c>
      <c r="E3177" s="1">
        <v>0</v>
      </c>
      <c r="G3177" s="8" t="s">
        <v>1362</v>
      </c>
      <c r="H3177" t="s">
        <v>1336</v>
      </c>
      <c r="K3177" s="2"/>
      <c r="N3177">
        <f t="shared" si="46"/>
        <v>293</v>
      </c>
    </row>
    <row r="3178" spans="1:14" hidden="1">
      <c r="A3178" s="234">
        <v>44387</v>
      </c>
      <c r="C3178" s="228" t="s">
        <v>4354</v>
      </c>
      <c r="D3178" s="274">
        <v>25000</v>
      </c>
      <c r="E3178" s="1">
        <v>0</v>
      </c>
      <c r="G3178" s="8" t="s">
        <v>1379</v>
      </c>
      <c r="H3178" t="s">
        <v>1336</v>
      </c>
      <c r="K3178" s="2"/>
      <c r="N3178">
        <f t="shared" si="46"/>
        <v>25000</v>
      </c>
    </row>
    <row r="3179" spans="1:14" hidden="1">
      <c r="A3179" s="234">
        <v>44410</v>
      </c>
      <c r="C3179" s="228" t="s">
        <v>4355</v>
      </c>
      <c r="D3179" s="274">
        <v>25000</v>
      </c>
      <c r="E3179" s="1">
        <v>0</v>
      </c>
      <c r="G3179" s="8" t="s">
        <v>1379</v>
      </c>
      <c r="H3179" t="s">
        <v>1336</v>
      </c>
      <c r="K3179" s="2"/>
      <c r="N3179">
        <f t="shared" si="46"/>
        <v>25000</v>
      </c>
    </row>
    <row r="3180" spans="1:14" hidden="1">
      <c r="A3180" s="234">
        <v>44412</v>
      </c>
      <c r="C3180" s="228" t="s">
        <v>4319</v>
      </c>
      <c r="D3180" s="274">
        <v>25998</v>
      </c>
      <c r="E3180" s="1">
        <v>0</v>
      </c>
      <c r="G3180" s="8" t="s">
        <v>1362</v>
      </c>
      <c r="H3180" t="s">
        <v>1336</v>
      </c>
      <c r="K3180" s="2"/>
      <c r="N3180">
        <f t="shared" si="46"/>
        <v>25998</v>
      </c>
    </row>
    <row r="3181" spans="1:14" hidden="1">
      <c r="A3181" s="234">
        <v>44442</v>
      </c>
      <c r="C3181" s="228" t="s">
        <v>4356</v>
      </c>
      <c r="D3181" s="274">
        <v>25000</v>
      </c>
      <c r="E3181" s="1">
        <v>0</v>
      </c>
      <c r="G3181" s="8" t="s">
        <v>1379</v>
      </c>
      <c r="H3181" t="s">
        <v>1336</v>
      </c>
      <c r="K3181" s="2"/>
      <c r="N3181">
        <f t="shared" si="46"/>
        <v>25000</v>
      </c>
    </row>
    <row r="3182" spans="1:14" hidden="1">
      <c r="A3182" s="234">
        <v>44442</v>
      </c>
      <c r="C3182" s="228" t="s">
        <v>4357</v>
      </c>
      <c r="D3182" s="274"/>
      <c r="E3182" s="274">
        <v>100000</v>
      </c>
      <c r="G3182" s="8" t="s">
        <v>1363</v>
      </c>
      <c r="H3182" t="s">
        <v>1336</v>
      </c>
      <c r="K3182" s="2"/>
      <c r="N3182">
        <f t="shared" si="46"/>
        <v>0</v>
      </c>
    </row>
    <row r="3183" spans="1:14" hidden="1">
      <c r="A3183" s="234">
        <v>44443</v>
      </c>
      <c r="C3183" s="228" t="s">
        <v>4319</v>
      </c>
      <c r="D3183" s="274">
        <v>2025</v>
      </c>
      <c r="E3183" s="1">
        <v>0</v>
      </c>
      <c r="G3183" s="8" t="s">
        <v>1362</v>
      </c>
      <c r="H3183" t="s">
        <v>1336</v>
      </c>
      <c r="K3183" s="2"/>
      <c r="N3183">
        <f t="shared" si="46"/>
        <v>2025</v>
      </c>
    </row>
    <row r="3184" spans="1:14" hidden="1">
      <c r="A3184" s="267">
        <v>44470</v>
      </c>
      <c r="C3184" s="229" t="s">
        <v>4358</v>
      </c>
      <c r="D3184" s="275">
        <v>500</v>
      </c>
      <c r="E3184" s="275">
        <v>0</v>
      </c>
      <c r="G3184" s="8" t="s">
        <v>1363</v>
      </c>
      <c r="H3184" t="s">
        <v>1050</v>
      </c>
      <c r="K3184" s="2"/>
      <c r="N3184">
        <f t="shared" si="46"/>
        <v>500</v>
      </c>
    </row>
    <row r="3185" spans="1:14" hidden="1">
      <c r="A3185" s="267">
        <v>44473</v>
      </c>
      <c r="C3185" s="229" t="s">
        <v>4359</v>
      </c>
      <c r="D3185" s="275">
        <v>242</v>
      </c>
      <c r="E3185" s="275">
        <v>0</v>
      </c>
      <c r="H3185" t="s">
        <v>1050</v>
      </c>
      <c r="K3185" s="2"/>
      <c r="N3185">
        <f t="shared" si="46"/>
        <v>242</v>
      </c>
    </row>
    <row r="3186" spans="1:14" hidden="1">
      <c r="A3186" s="267">
        <v>44473</v>
      </c>
      <c r="C3186" s="229" t="s">
        <v>4360</v>
      </c>
      <c r="D3186" s="275">
        <v>9423</v>
      </c>
      <c r="E3186" s="275">
        <v>0</v>
      </c>
      <c r="H3186" t="s">
        <v>1050</v>
      </c>
      <c r="K3186" s="2"/>
      <c r="N3186">
        <f t="shared" si="46"/>
        <v>9423</v>
      </c>
    </row>
    <row r="3187" spans="1:14" hidden="1">
      <c r="A3187" s="267">
        <v>44473</v>
      </c>
      <c r="C3187" s="229" t="s">
        <v>4361</v>
      </c>
      <c r="D3187" s="275">
        <v>2000</v>
      </c>
      <c r="E3187" s="275">
        <v>0</v>
      </c>
      <c r="H3187" t="s">
        <v>1050</v>
      </c>
      <c r="K3187" s="2"/>
      <c r="N3187">
        <f t="shared" si="46"/>
        <v>2000</v>
      </c>
    </row>
    <row r="3188" spans="1:14" hidden="1">
      <c r="A3188" s="267">
        <v>44473</v>
      </c>
      <c r="C3188" s="229" t="s">
        <v>4362</v>
      </c>
      <c r="D3188" s="275">
        <v>100</v>
      </c>
      <c r="E3188" s="275">
        <v>0</v>
      </c>
      <c r="H3188" t="s">
        <v>1050</v>
      </c>
      <c r="K3188" s="2"/>
      <c r="N3188">
        <f t="shared" si="46"/>
        <v>100</v>
      </c>
    </row>
    <row r="3189" spans="1:14" hidden="1">
      <c r="A3189" s="267">
        <v>44473</v>
      </c>
      <c r="C3189" s="229" t="s">
        <v>4363</v>
      </c>
      <c r="D3189" s="275">
        <v>10250</v>
      </c>
      <c r="E3189" s="275">
        <v>0</v>
      </c>
      <c r="G3189" s="8" t="s">
        <v>1372</v>
      </c>
      <c r="H3189" t="s">
        <v>1050</v>
      </c>
      <c r="K3189" s="2"/>
      <c r="N3189">
        <f t="shared" si="46"/>
        <v>10250</v>
      </c>
    </row>
    <row r="3190" spans="1:14" hidden="1">
      <c r="A3190" s="267">
        <v>44474</v>
      </c>
      <c r="C3190" s="229" t="s">
        <v>4364</v>
      </c>
      <c r="D3190" s="275">
        <v>193</v>
      </c>
      <c r="E3190" s="275">
        <v>0</v>
      </c>
      <c r="H3190" t="s">
        <v>1050</v>
      </c>
      <c r="K3190" s="2"/>
      <c r="N3190">
        <f t="shared" si="46"/>
        <v>193</v>
      </c>
    </row>
    <row r="3191" spans="1:14" hidden="1">
      <c r="A3191" s="267">
        <v>44477</v>
      </c>
      <c r="C3191" s="229" t="s">
        <v>4365</v>
      </c>
      <c r="D3191" s="275">
        <v>100</v>
      </c>
      <c r="E3191" s="275">
        <v>0</v>
      </c>
      <c r="H3191" t="s">
        <v>1050</v>
      </c>
      <c r="K3191" s="2"/>
      <c r="N3191">
        <f t="shared" si="46"/>
        <v>100</v>
      </c>
    </row>
    <row r="3192" spans="1:14" hidden="1">
      <c r="A3192" s="267">
        <v>44480</v>
      </c>
      <c r="C3192" s="229" t="s">
        <v>4366</v>
      </c>
      <c r="D3192" s="275">
        <v>10250</v>
      </c>
      <c r="E3192" s="275">
        <v>0</v>
      </c>
      <c r="G3192" s="8" t="s">
        <v>1372</v>
      </c>
      <c r="H3192" t="s">
        <v>1050</v>
      </c>
      <c r="K3192" s="2"/>
      <c r="N3192">
        <f t="shared" si="46"/>
        <v>10250</v>
      </c>
    </row>
    <row r="3193" spans="1:14" hidden="1">
      <c r="A3193" s="267">
        <v>44480</v>
      </c>
      <c r="C3193" s="229" t="s">
        <v>4132</v>
      </c>
      <c r="D3193" s="275">
        <v>3519.64</v>
      </c>
      <c r="E3193" s="275">
        <v>0</v>
      </c>
      <c r="G3193" s="8" t="s">
        <v>1362</v>
      </c>
      <c r="H3193" t="s">
        <v>1050</v>
      </c>
      <c r="K3193" s="2"/>
      <c r="N3193">
        <f t="shared" si="46"/>
        <v>3519.64</v>
      </c>
    </row>
    <row r="3194" spans="1:14" hidden="1">
      <c r="A3194" s="267">
        <v>44480</v>
      </c>
      <c r="C3194" s="229" t="s">
        <v>4367</v>
      </c>
      <c r="D3194" s="275">
        <v>789.5</v>
      </c>
      <c r="E3194" s="275">
        <v>0</v>
      </c>
      <c r="H3194" t="s">
        <v>1050</v>
      </c>
      <c r="K3194" s="2"/>
      <c r="N3194">
        <f t="shared" si="46"/>
        <v>789.5</v>
      </c>
    </row>
    <row r="3195" spans="1:14" hidden="1">
      <c r="A3195" s="267">
        <v>44487</v>
      </c>
      <c r="C3195" s="229" t="s">
        <v>4368</v>
      </c>
      <c r="D3195" s="275">
        <v>10250</v>
      </c>
      <c r="E3195" s="275">
        <v>0</v>
      </c>
      <c r="G3195" s="8" t="s">
        <v>1372</v>
      </c>
      <c r="H3195" t="s">
        <v>1050</v>
      </c>
      <c r="K3195" s="2"/>
      <c r="N3195">
        <f t="shared" si="46"/>
        <v>10250</v>
      </c>
    </row>
    <row r="3196" spans="1:14" hidden="1">
      <c r="A3196" s="267">
        <v>44490</v>
      </c>
      <c r="C3196" s="229" t="s">
        <v>4369</v>
      </c>
      <c r="D3196" s="275">
        <v>600</v>
      </c>
      <c r="E3196" s="275">
        <v>0</v>
      </c>
      <c r="H3196" t="s">
        <v>1050</v>
      </c>
      <c r="K3196" s="2"/>
      <c r="N3196">
        <f t="shared" si="46"/>
        <v>600</v>
      </c>
    </row>
    <row r="3197" spans="1:14" hidden="1">
      <c r="A3197" s="267">
        <v>44490</v>
      </c>
      <c r="C3197" s="229" t="s">
        <v>4370</v>
      </c>
      <c r="D3197" s="275">
        <v>33333</v>
      </c>
      <c r="E3197" s="275">
        <v>0</v>
      </c>
      <c r="G3197" s="8" t="s">
        <v>1381</v>
      </c>
      <c r="H3197" t="s">
        <v>1050</v>
      </c>
      <c r="K3197" s="2"/>
      <c r="N3197">
        <f t="shared" si="46"/>
        <v>33333</v>
      </c>
    </row>
    <row r="3198" spans="1:14" hidden="1">
      <c r="A3198" s="267">
        <v>44494</v>
      </c>
      <c r="C3198" s="229" t="s">
        <v>4371</v>
      </c>
      <c r="D3198" s="275">
        <v>45</v>
      </c>
      <c r="E3198" s="275">
        <v>0</v>
      </c>
      <c r="H3198" t="s">
        <v>1050</v>
      </c>
      <c r="K3198" s="2"/>
      <c r="N3198">
        <f t="shared" si="46"/>
        <v>45</v>
      </c>
    </row>
    <row r="3199" spans="1:14" hidden="1">
      <c r="A3199" s="267">
        <v>44494</v>
      </c>
      <c r="C3199" s="229" t="s">
        <v>4372</v>
      </c>
      <c r="D3199" s="275">
        <v>10250</v>
      </c>
      <c r="E3199" s="275">
        <v>0</v>
      </c>
      <c r="G3199" s="8" t="s">
        <v>1372</v>
      </c>
      <c r="H3199" t="s">
        <v>1050</v>
      </c>
      <c r="K3199" s="2"/>
      <c r="N3199">
        <f t="shared" si="46"/>
        <v>10250</v>
      </c>
    </row>
    <row r="3200" spans="1:14" hidden="1">
      <c r="A3200" s="267">
        <v>44495</v>
      </c>
      <c r="C3200" s="229" t="s">
        <v>4373</v>
      </c>
      <c r="D3200" s="275">
        <v>0</v>
      </c>
      <c r="E3200" s="275">
        <v>283810</v>
      </c>
      <c r="G3200" s="8" t="s">
        <v>1380</v>
      </c>
      <c r="H3200" t="s">
        <v>1050</v>
      </c>
      <c r="K3200" s="2"/>
      <c r="N3200">
        <f t="shared" si="46"/>
        <v>0</v>
      </c>
    </row>
    <row r="3201" spans="1:14" hidden="1">
      <c r="A3201" s="267">
        <v>44495</v>
      </c>
      <c r="C3201" s="229" t="s">
        <v>4374</v>
      </c>
      <c r="D3201" s="275">
        <v>140000</v>
      </c>
      <c r="E3201" s="275">
        <v>0</v>
      </c>
      <c r="G3201" s="8" t="s">
        <v>1363</v>
      </c>
      <c r="H3201" t="s">
        <v>1050</v>
      </c>
      <c r="K3201" s="2"/>
      <c r="N3201">
        <f t="shared" si="46"/>
        <v>140000</v>
      </c>
    </row>
    <row r="3202" spans="1:14" hidden="1">
      <c r="A3202" s="267">
        <v>44496</v>
      </c>
      <c r="C3202" s="229" t="s">
        <v>4375</v>
      </c>
      <c r="D3202" s="275">
        <v>15</v>
      </c>
      <c r="E3202" s="275">
        <v>0</v>
      </c>
      <c r="H3202" t="s">
        <v>1050</v>
      </c>
      <c r="K3202" s="2"/>
      <c r="N3202">
        <f t="shared" si="46"/>
        <v>15</v>
      </c>
    </row>
    <row r="3203" spans="1:14" hidden="1">
      <c r="A3203" s="267">
        <v>44497</v>
      </c>
      <c r="C3203" s="229" t="s">
        <v>4376</v>
      </c>
      <c r="D3203" s="275">
        <v>2000</v>
      </c>
      <c r="E3203" s="275">
        <v>0</v>
      </c>
      <c r="G3203" s="8" t="s">
        <v>1372</v>
      </c>
      <c r="H3203" t="s">
        <v>1050</v>
      </c>
      <c r="K3203" s="2"/>
      <c r="N3203">
        <f t="shared" si="46"/>
        <v>2000</v>
      </c>
    </row>
    <row r="3204" spans="1:14" hidden="1">
      <c r="A3204" s="267">
        <v>44497</v>
      </c>
      <c r="C3204" s="229" t="s">
        <v>4377</v>
      </c>
      <c r="D3204" s="275">
        <v>25000</v>
      </c>
      <c r="E3204" s="275">
        <v>0</v>
      </c>
      <c r="G3204" s="8" t="s">
        <v>1381</v>
      </c>
      <c r="H3204" t="s">
        <v>1050</v>
      </c>
      <c r="K3204" s="2"/>
      <c r="N3204">
        <f t="shared" si="46"/>
        <v>25000</v>
      </c>
    </row>
    <row r="3205" spans="1:14" hidden="1">
      <c r="A3205" s="232">
        <v>44501</v>
      </c>
      <c r="C3205" t="s">
        <v>4378</v>
      </c>
      <c r="D3205" s="1">
        <v>500</v>
      </c>
      <c r="E3205" s="1">
        <v>0</v>
      </c>
      <c r="G3205" s="8" t="s">
        <v>1363</v>
      </c>
      <c r="H3205" t="s">
        <v>1050</v>
      </c>
      <c r="K3205" s="2"/>
      <c r="N3205">
        <f t="shared" si="46"/>
        <v>500</v>
      </c>
    </row>
    <row r="3206" spans="1:14" hidden="1">
      <c r="A3206" s="232">
        <v>44501</v>
      </c>
      <c r="C3206" t="s">
        <v>4379</v>
      </c>
      <c r="D3206" s="1">
        <v>10250</v>
      </c>
      <c r="E3206" s="1">
        <v>0</v>
      </c>
      <c r="G3206" s="8" t="s">
        <v>1372</v>
      </c>
      <c r="H3206" t="s">
        <v>1050</v>
      </c>
      <c r="K3206" s="2"/>
      <c r="N3206">
        <f t="shared" si="46"/>
        <v>10250</v>
      </c>
    </row>
    <row r="3207" spans="1:14" hidden="1">
      <c r="A3207" s="232">
        <v>44502</v>
      </c>
      <c r="C3207" t="s">
        <v>4380</v>
      </c>
      <c r="D3207" s="1">
        <v>8479</v>
      </c>
      <c r="E3207" s="1">
        <v>0</v>
      </c>
      <c r="H3207" t="s">
        <v>1050</v>
      </c>
      <c r="K3207" s="2"/>
      <c r="N3207">
        <f t="shared" si="46"/>
        <v>8479</v>
      </c>
    </row>
    <row r="3208" spans="1:14" hidden="1">
      <c r="A3208" s="232">
        <v>44503</v>
      </c>
      <c r="C3208" t="s">
        <v>4381</v>
      </c>
      <c r="D3208" s="1">
        <v>2000</v>
      </c>
      <c r="E3208" s="1">
        <v>0</v>
      </c>
      <c r="G3208" s="8" t="s">
        <v>1372</v>
      </c>
      <c r="H3208" t="s">
        <v>1050</v>
      </c>
      <c r="K3208" s="2"/>
      <c r="N3208">
        <f t="shared" si="46"/>
        <v>2000</v>
      </c>
    </row>
    <row r="3209" spans="1:14" hidden="1">
      <c r="A3209" s="232">
        <v>44508</v>
      </c>
      <c r="C3209" t="s">
        <v>4382</v>
      </c>
      <c r="D3209" s="1">
        <v>10250</v>
      </c>
      <c r="E3209" s="1">
        <v>0</v>
      </c>
      <c r="G3209" s="8" t="s">
        <v>1372</v>
      </c>
      <c r="H3209" t="s">
        <v>1050</v>
      </c>
      <c r="K3209" s="2"/>
      <c r="N3209">
        <f t="shared" si="46"/>
        <v>10250</v>
      </c>
    </row>
    <row r="3210" spans="1:14" hidden="1">
      <c r="A3210" s="232">
        <v>44509</v>
      </c>
      <c r="C3210" t="s">
        <v>2738</v>
      </c>
      <c r="D3210" s="1">
        <v>8615.2199999999993</v>
      </c>
      <c r="E3210" s="1">
        <v>0</v>
      </c>
      <c r="G3210" s="8" t="s">
        <v>1362</v>
      </c>
      <c r="H3210" t="s">
        <v>1050</v>
      </c>
      <c r="K3210" s="2"/>
      <c r="N3210">
        <f t="shared" si="46"/>
        <v>8615.2199999999993</v>
      </c>
    </row>
    <row r="3211" spans="1:14" hidden="1">
      <c r="A3211" s="232">
        <v>44515</v>
      </c>
      <c r="C3211" t="s">
        <v>4383</v>
      </c>
      <c r="D3211" s="1">
        <v>685</v>
      </c>
      <c r="E3211" s="1">
        <v>0</v>
      </c>
      <c r="H3211" t="s">
        <v>1050</v>
      </c>
      <c r="K3211" s="2"/>
      <c r="N3211">
        <f t="shared" ref="N3211:N3274" si="47">D3211*1</f>
        <v>685</v>
      </c>
    </row>
    <row r="3212" spans="1:14" hidden="1">
      <c r="A3212" s="232">
        <v>44515</v>
      </c>
      <c r="C3212" t="s">
        <v>4384</v>
      </c>
      <c r="D3212" s="1">
        <v>178.5</v>
      </c>
      <c r="E3212" s="1">
        <v>0</v>
      </c>
      <c r="H3212" t="s">
        <v>1050</v>
      </c>
      <c r="K3212" s="2"/>
      <c r="N3212">
        <f t="shared" si="47"/>
        <v>178.5</v>
      </c>
    </row>
    <row r="3213" spans="1:14" hidden="1">
      <c r="A3213" s="232">
        <v>44515</v>
      </c>
      <c r="C3213" t="s">
        <v>4385</v>
      </c>
      <c r="D3213" s="1">
        <v>10250</v>
      </c>
      <c r="E3213" s="1">
        <v>0</v>
      </c>
      <c r="G3213" s="8" t="s">
        <v>1372</v>
      </c>
      <c r="H3213" t="s">
        <v>1050</v>
      </c>
      <c r="K3213" s="2"/>
      <c r="N3213">
        <f t="shared" si="47"/>
        <v>10250</v>
      </c>
    </row>
    <row r="3214" spans="1:14" hidden="1">
      <c r="A3214" s="232">
        <v>44515</v>
      </c>
      <c r="C3214" t="s">
        <v>4386</v>
      </c>
      <c r="D3214" s="1">
        <v>816</v>
      </c>
      <c r="E3214" s="1">
        <v>0</v>
      </c>
      <c r="H3214" t="s">
        <v>1050</v>
      </c>
      <c r="K3214" s="2"/>
      <c r="N3214">
        <f t="shared" si="47"/>
        <v>816</v>
      </c>
    </row>
    <row r="3215" spans="1:14" hidden="1">
      <c r="A3215" s="232">
        <v>44516</v>
      </c>
      <c r="C3215" t="s">
        <v>4387</v>
      </c>
      <c r="D3215" s="1">
        <v>350</v>
      </c>
      <c r="E3215" s="1">
        <v>0</v>
      </c>
      <c r="H3215" t="s">
        <v>1050</v>
      </c>
      <c r="K3215" s="2"/>
      <c r="N3215">
        <f t="shared" si="47"/>
        <v>350</v>
      </c>
    </row>
    <row r="3216" spans="1:14" hidden="1">
      <c r="A3216" s="232">
        <v>44519</v>
      </c>
      <c r="C3216" t="s">
        <v>4388</v>
      </c>
      <c r="D3216" s="1">
        <v>222</v>
      </c>
      <c r="E3216" s="1">
        <v>0</v>
      </c>
      <c r="H3216" t="s">
        <v>1050</v>
      </c>
      <c r="K3216" s="2"/>
      <c r="N3216">
        <f t="shared" si="47"/>
        <v>222</v>
      </c>
    </row>
    <row r="3217" spans="1:14" hidden="1">
      <c r="A3217" s="232">
        <v>44522</v>
      </c>
      <c r="C3217" t="s">
        <v>4389</v>
      </c>
      <c r="D3217" s="1">
        <v>10250</v>
      </c>
      <c r="E3217" s="1">
        <v>0</v>
      </c>
      <c r="G3217" s="8" t="s">
        <v>1372</v>
      </c>
      <c r="H3217" t="s">
        <v>1050</v>
      </c>
      <c r="K3217" s="2"/>
      <c r="N3217">
        <f t="shared" si="47"/>
        <v>10250</v>
      </c>
    </row>
    <row r="3218" spans="1:14" hidden="1">
      <c r="A3218" s="232">
        <v>44522</v>
      </c>
      <c r="C3218" t="s">
        <v>4390</v>
      </c>
      <c r="D3218" s="1">
        <v>33333</v>
      </c>
      <c r="E3218" s="1">
        <v>0</v>
      </c>
      <c r="G3218" s="8" t="s">
        <v>1381</v>
      </c>
      <c r="H3218" t="s">
        <v>1050</v>
      </c>
      <c r="K3218" s="2"/>
      <c r="N3218">
        <f t="shared" si="47"/>
        <v>33333</v>
      </c>
    </row>
    <row r="3219" spans="1:14" hidden="1">
      <c r="A3219" s="232">
        <v>44523</v>
      </c>
      <c r="C3219" t="s">
        <v>4391</v>
      </c>
      <c r="D3219" s="1">
        <v>329</v>
      </c>
      <c r="E3219" s="1">
        <v>0</v>
      </c>
      <c r="H3219" t="s">
        <v>1050</v>
      </c>
      <c r="K3219" s="2"/>
      <c r="N3219">
        <f t="shared" si="47"/>
        <v>329</v>
      </c>
    </row>
    <row r="3220" spans="1:14" hidden="1">
      <c r="A3220" s="232">
        <v>44526</v>
      </c>
      <c r="C3220" t="s">
        <v>4392</v>
      </c>
      <c r="D3220" s="1">
        <v>0</v>
      </c>
      <c r="E3220" s="1">
        <v>284958</v>
      </c>
      <c r="G3220" s="8" t="s">
        <v>1380</v>
      </c>
      <c r="H3220" t="s">
        <v>1050</v>
      </c>
      <c r="K3220" s="2"/>
      <c r="N3220">
        <f t="shared" si="47"/>
        <v>0</v>
      </c>
    </row>
    <row r="3221" spans="1:14" hidden="1">
      <c r="A3221" s="232">
        <v>44526</v>
      </c>
      <c r="C3221" t="s">
        <v>4393</v>
      </c>
      <c r="D3221" s="1">
        <v>140000</v>
      </c>
      <c r="E3221" s="1">
        <v>0</v>
      </c>
      <c r="G3221" s="8" t="s">
        <v>1363</v>
      </c>
      <c r="H3221" t="s">
        <v>1050</v>
      </c>
      <c r="K3221" s="2"/>
      <c r="N3221">
        <f t="shared" si="47"/>
        <v>140000</v>
      </c>
    </row>
    <row r="3222" spans="1:14" hidden="1">
      <c r="A3222" s="232">
        <v>44529</v>
      </c>
      <c r="C3222" t="s">
        <v>4394</v>
      </c>
      <c r="D3222" s="1">
        <v>2000</v>
      </c>
      <c r="E3222" s="1">
        <v>0</v>
      </c>
      <c r="G3222" s="8" t="s">
        <v>1372</v>
      </c>
      <c r="H3222" t="s">
        <v>1050</v>
      </c>
      <c r="K3222" s="2"/>
      <c r="N3222">
        <f t="shared" si="47"/>
        <v>2000</v>
      </c>
    </row>
    <row r="3223" spans="1:14" hidden="1">
      <c r="A3223" s="232">
        <v>44529</v>
      </c>
      <c r="C3223" t="s">
        <v>4395</v>
      </c>
      <c r="D3223" s="1">
        <v>10250</v>
      </c>
      <c r="E3223" s="1">
        <v>0</v>
      </c>
      <c r="G3223" s="8" t="s">
        <v>1372</v>
      </c>
      <c r="H3223" t="s">
        <v>1050</v>
      </c>
      <c r="K3223" s="2"/>
      <c r="N3223">
        <f t="shared" si="47"/>
        <v>10250</v>
      </c>
    </row>
    <row r="3224" spans="1:14" hidden="1">
      <c r="A3224" s="232">
        <v>44529</v>
      </c>
      <c r="C3224" t="s">
        <v>4396</v>
      </c>
      <c r="D3224" s="1">
        <v>25000</v>
      </c>
      <c r="E3224" s="1">
        <v>0</v>
      </c>
      <c r="G3224" s="8" t="s">
        <v>1381</v>
      </c>
      <c r="H3224" t="s">
        <v>1050</v>
      </c>
      <c r="K3224" s="2"/>
      <c r="N3224">
        <f t="shared" si="47"/>
        <v>25000</v>
      </c>
    </row>
    <row r="3225" spans="1:14" hidden="1">
      <c r="A3225" s="232">
        <v>44530</v>
      </c>
      <c r="C3225" t="s">
        <v>4397</v>
      </c>
      <c r="D3225" s="1">
        <v>378</v>
      </c>
      <c r="E3225" s="1">
        <v>0</v>
      </c>
      <c r="H3225" t="s">
        <v>1050</v>
      </c>
      <c r="K3225" s="2"/>
      <c r="N3225">
        <f t="shared" si="47"/>
        <v>378</v>
      </c>
    </row>
    <row r="3226" spans="1:14" hidden="1">
      <c r="A3226" s="232">
        <v>44531</v>
      </c>
      <c r="C3226" t="s">
        <v>4398</v>
      </c>
      <c r="D3226" s="1">
        <v>500</v>
      </c>
      <c r="E3226" s="1">
        <v>0</v>
      </c>
      <c r="G3226" s="8" t="s">
        <v>1363</v>
      </c>
      <c r="H3226" t="s">
        <v>1050</v>
      </c>
      <c r="K3226" s="2"/>
      <c r="N3226">
        <f t="shared" si="47"/>
        <v>500</v>
      </c>
    </row>
    <row r="3227" spans="1:14" hidden="1">
      <c r="A3227" s="232">
        <v>44532</v>
      </c>
      <c r="C3227" t="s">
        <v>4399</v>
      </c>
      <c r="D3227" s="1">
        <v>2000</v>
      </c>
      <c r="E3227" s="1">
        <v>0</v>
      </c>
      <c r="H3227" t="s">
        <v>1050</v>
      </c>
      <c r="K3227" s="2"/>
      <c r="N3227">
        <f t="shared" si="47"/>
        <v>2000</v>
      </c>
    </row>
    <row r="3228" spans="1:14" hidden="1">
      <c r="A3228" s="232">
        <v>44533</v>
      </c>
      <c r="C3228" t="s">
        <v>4400</v>
      </c>
      <c r="D3228" s="1">
        <v>294</v>
      </c>
      <c r="E3228" s="1">
        <v>0</v>
      </c>
      <c r="H3228" t="s">
        <v>1050</v>
      </c>
      <c r="K3228" s="2"/>
      <c r="N3228">
        <f t="shared" si="47"/>
        <v>294</v>
      </c>
    </row>
    <row r="3229" spans="1:14" hidden="1">
      <c r="A3229" s="232">
        <v>44533</v>
      </c>
      <c r="C3229" t="s">
        <v>4401</v>
      </c>
      <c r="D3229" s="1">
        <v>7603</v>
      </c>
      <c r="E3229" s="1">
        <v>0</v>
      </c>
      <c r="H3229" t="s">
        <v>1050</v>
      </c>
      <c r="K3229" s="2"/>
      <c r="N3229">
        <f t="shared" si="47"/>
        <v>7603</v>
      </c>
    </row>
    <row r="3230" spans="1:14" hidden="1">
      <c r="A3230" s="232">
        <v>44533</v>
      </c>
      <c r="C3230" t="s">
        <v>4402</v>
      </c>
      <c r="D3230" s="1">
        <v>50</v>
      </c>
      <c r="E3230" s="1">
        <v>0</v>
      </c>
      <c r="H3230" t="s">
        <v>1050</v>
      </c>
      <c r="K3230" s="2"/>
      <c r="N3230">
        <f t="shared" si="47"/>
        <v>50</v>
      </c>
    </row>
    <row r="3231" spans="1:14" hidden="1">
      <c r="A3231" s="232">
        <v>44533</v>
      </c>
      <c r="C3231" t="s">
        <v>4403</v>
      </c>
      <c r="D3231" s="1">
        <v>0</v>
      </c>
      <c r="E3231" s="1">
        <v>2</v>
      </c>
      <c r="H3231" t="s">
        <v>1050</v>
      </c>
      <c r="K3231" s="2"/>
      <c r="N3231">
        <f t="shared" si="47"/>
        <v>0</v>
      </c>
    </row>
    <row r="3232" spans="1:14" hidden="1">
      <c r="A3232" s="232">
        <v>44534</v>
      </c>
      <c r="C3232" t="s">
        <v>4404</v>
      </c>
      <c r="D3232" s="1">
        <v>750</v>
      </c>
      <c r="E3232" s="1">
        <v>0</v>
      </c>
      <c r="H3232" t="s">
        <v>1050</v>
      </c>
      <c r="K3232" s="2"/>
      <c r="N3232">
        <f t="shared" si="47"/>
        <v>750</v>
      </c>
    </row>
    <row r="3233" spans="1:14" hidden="1">
      <c r="A3233" s="232">
        <v>44536</v>
      </c>
      <c r="C3233" t="s">
        <v>4405</v>
      </c>
      <c r="D3233" s="1">
        <v>663</v>
      </c>
      <c r="E3233" s="1">
        <v>0</v>
      </c>
      <c r="H3233" t="s">
        <v>1050</v>
      </c>
      <c r="K3233" s="2"/>
      <c r="N3233">
        <f t="shared" si="47"/>
        <v>663</v>
      </c>
    </row>
    <row r="3234" spans="1:14" hidden="1">
      <c r="A3234" s="232">
        <v>44536</v>
      </c>
      <c r="C3234" t="s">
        <v>4406</v>
      </c>
      <c r="D3234" s="1">
        <v>10250</v>
      </c>
      <c r="E3234" s="1">
        <v>0</v>
      </c>
      <c r="G3234" s="8" t="s">
        <v>1372</v>
      </c>
      <c r="H3234" t="s">
        <v>1050</v>
      </c>
      <c r="K3234" s="2"/>
      <c r="N3234">
        <f t="shared" si="47"/>
        <v>10250</v>
      </c>
    </row>
    <row r="3235" spans="1:14" hidden="1">
      <c r="A3235" s="232">
        <v>44543</v>
      </c>
      <c r="C3235" t="s">
        <v>4407</v>
      </c>
      <c r="D3235" s="1">
        <v>75269</v>
      </c>
      <c r="E3235" s="1">
        <v>0</v>
      </c>
      <c r="H3235" t="s">
        <v>1050</v>
      </c>
      <c r="K3235" s="2"/>
      <c r="N3235">
        <f t="shared" si="47"/>
        <v>75269</v>
      </c>
    </row>
    <row r="3236" spans="1:14" hidden="1">
      <c r="A3236" s="232">
        <v>44543</v>
      </c>
      <c r="C3236" t="s">
        <v>4408</v>
      </c>
      <c r="D3236" s="1">
        <v>10250</v>
      </c>
      <c r="E3236" s="1">
        <v>0</v>
      </c>
      <c r="G3236" s="8" t="s">
        <v>1372</v>
      </c>
      <c r="H3236" t="s">
        <v>1050</v>
      </c>
      <c r="K3236" s="2"/>
      <c r="N3236">
        <f t="shared" si="47"/>
        <v>10250</v>
      </c>
    </row>
    <row r="3237" spans="1:14" hidden="1">
      <c r="A3237" s="232">
        <v>44543</v>
      </c>
      <c r="C3237" t="s">
        <v>2738</v>
      </c>
      <c r="D3237" s="1">
        <v>3016.12</v>
      </c>
      <c r="E3237" s="1">
        <v>0</v>
      </c>
      <c r="G3237" s="8" t="s">
        <v>1362</v>
      </c>
      <c r="H3237" t="s">
        <v>1050</v>
      </c>
      <c r="K3237" s="2"/>
      <c r="N3237">
        <f t="shared" si="47"/>
        <v>3016.12</v>
      </c>
    </row>
    <row r="3238" spans="1:14" hidden="1">
      <c r="A3238" s="232">
        <v>44548</v>
      </c>
      <c r="C3238" t="s">
        <v>4409</v>
      </c>
      <c r="D3238" s="1">
        <v>612</v>
      </c>
      <c r="E3238" s="1">
        <v>0</v>
      </c>
      <c r="H3238" t="s">
        <v>1050</v>
      </c>
      <c r="K3238" s="2"/>
      <c r="N3238">
        <f t="shared" si="47"/>
        <v>612</v>
      </c>
    </row>
    <row r="3239" spans="1:14" hidden="1">
      <c r="A3239" s="232">
        <v>44550</v>
      </c>
      <c r="C3239" t="s">
        <v>4410</v>
      </c>
      <c r="D3239" s="1">
        <v>10250</v>
      </c>
      <c r="E3239" s="1">
        <v>0</v>
      </c>
      <c r="G3239" s="8" t="s">
        <v>1372</v>
      </c>
      <c r="H3239" t="s">
        <v>1050</v>
      </c>
      <c r="K3239" s="2"/>
      <c r="N3239">
        <f t="shared" si="47"/>
        <v>10250</v>
      </c>
    </row>
    <row r="3240" spans="1:14" hidden="1">
      <c r="A3240" s="232">
        <v>44550</v>
      </c>
      <c r="C3240" t="s">
        <v>4411</v>
      </c>
      <c r="D3240" s="1">
        <v>0</v>
      </c>
      <c r="E3240" s="1">
        <v>302</v>
      </c>
      <c r="H3240" t="s">
        <v>1050</v>
      </c>
      <c r="K3240" s="2"/>
      <c r="N3240">
        <f t="shared" si="47"/>
        <v>0</v>
      </c>
    </row>
    <row r="3241" spans="1:14" hidden="1">
      <c r="A3241" s="232">
        <v>44551</v>
      </c>
      <c r="C3241" t="s">
        <v>4412</v>
      </c>
      <c r="D3241" s="1">
        <v>33333</v>
      </c>
      <c r="E3241" s="1">
        <v>0</v>
      </c>
      <c r="G3241" s="8" t="s">
        <v>1381</v>
      </c>
      <c r="H3241" t="s">
        <v>1050</v>
      </c>
      <c r="K3241" s="2"/>
      <c r="N3241">
        <f t="shared" si="47"/>
        <v>33333</v>
      </c>
    </row>
    <row r="3242" spans="1:14" hidden="1">
      <c r="A3242" s="232">
        <v>44554</v>
      </c>
      <c r="C3242" t="s">
        <v>4413</v>
      </c>
      <c r="D3242" s="1">
        <v>0</v>
      </c>
      <c r="E3242" s="1">
        <v>284959</v>
      </c>
      <c r="G3242" s="8" t="s">
        <v>1380</v>
      </c>
      <c r="H3242" t="s">
        <v>1050</v>
      </c>
      <c r="K3242" s="2"/>
      <c r="N3242">
        <f t="shared" si="47"/>
        <v>0</v>
      </c>
    </row>
    <row r="3243" spans="1:14" hidden="1">
      <c r="A3243" s="232">
        <v>44554</v>
      </c>
      <c r="C3243" t="s">
        <v>4414</v>
      </c>
      <c r="D3243" s="1">
        <v>140000</v>
      </c>
      <c r="E3243" s="1">
        <v>0</v>
      </c>
      <c r="G3243" s="8" t="s">
        <v>1363</v>
      </c>
      <c r="H3243" t="s">
        <v>1050</v>
      </c>
      <c r="K3243" s="2"/>
      <c r="N3243">
        <f t="shared" si="47"/>
        <v>140000</v>
      </c>
    </row>
    <row r="3244" spans="1:14" hidden="1">
      <c r="A3244" s="232">
        <v>44557</v>
      </c>
      <c r="C3244" t="s">
        <v>4415</v>
      </c>
      <c r="D3244" s="1">
        <v>10250</v>
      </c>
      <c r="E3244" s="1">
        <v>0</v>
      </c>
      <c r="G3244" s="8" t="s">
        <v>1372</v>
      </c>
      <c r="H3244" t="s">
        <v>1050</v>
      </c>
      <c r="K3244" s="2"/>
      <c r="N3244">
        <f t="shared" si="47"/>
        <v>10250</v>
      </c>
    </row>
    <row r="3245" spans="1:14" hidden="1">
      <c r="A3245" s="232">
        <v>44558</v>
      </c>
      <c r="C3245" t="s">
        <v>4416</v>
      </c>
      <c r="D3245" s="1">
        <v>2000</v>
      </c>
      <c r="E3245" s="1">
        <v>0</v>
      </c>
      <c r="G3245" s="8" t="s">
        <v>1372</v>
      </c>
      <c r="H3245" t="s">
        <v>1050</v>
      </c>
      <c r="K3245" s="2"/>
      <c r="N3245">
        <f t="shared" si="47"/>
        <v>2000</v>
      </c>
    </row>
    <row r="3246" spans="1:14" hidden="1">
      <c r="A3246" s="232">
        <v>44558</v>
      </c>
      <c r="C3246" t="s">
        <v>4417</v>
      </c>
      <c r="D3246" s="1">
        <v>25000</v>
      </c>
      <c r="E3246" s="1">
        <v>0</v>
      </c>
      <c r="G3246" s="8" t="s">
        <v>1381</v>
      </c>
      <c r="H3246" t="s">
        <v>1050</v>
      </c>
      <c r="K3246" s="2"/>
      <c r="N3246">
        <f t="shared" si="47"/>
        <v>25000</v>
      </c>
    </row>
    <row r="3247" spans="1:14" hidden="1">
      <c r="A3247" s="232">
        <v>44561</v>
      </c>
      <c r="C3247" t="s">
        <v>4418</v>
      </c>
      <c r="D3247" s="1">
        <v>0</v>
      </c>
      <c r="E3247" s="1">
        <v>1241</v>
      </c>
      <c r="G3247" s="8" t="s">
        <v>1368</v>
      </c>
      <c r="H3247" t="s">
        <v>1050</v>
      </c>
      <c r="K3247" s="2"/>
      <c r="N3247">
        <f t="shared" si="47"/>
        <v>0</v>
      </c>
    </row>
    <row r="3248" spans="1:14" hidden="1">
      <c r="A3248" s="232">
        <v>44562</v>
      </c>
      <c r="C3248" t="s">
        <v>4419</v>
      </c>
      <c r="D3248" s="1">
        <v>500</v>
      </c>
      <c r="E3248" s="1">
        <v>0</v>
      </c>
      <c r="G3248" s="8" t="s">
        <v>1363</v>
      </c>
      <c r="H3248" t="s">
        <v>1050</v>
      </c>
      <c r="K3248" s="2"/>
      <c r="N3248">
        <f t="shared" si="47"/>
        <v>500</v>
      </c>
    </row>
    <row r="3249" spans="1:14" hidden="1">
      <c r="A3249" s="232">
        <v>44564</v>
      </c>
      <c r="C3249" t="s">
        <v>4420</v>
      </c>
      <c r="D3249" s="1">
        <v>10250</v>
      </c>
      <c r="E3249" s="1">
        <v>0</v>
      </c>
      <c r="G3249" s="8" t="s">
        <v>1372</v>
      </c>
      <c r="H3249" t="s">
        <v>1050</v>
      </c>
      <c r="K3249" s="2"/>
      <c r="N3249">
        <f t="shared" si="47"/>
        <v>10250</v>
      </c>
    </row>
    <row r="3250" spans="1:14" hidden="1">
      <c r="A3250" s="232">
        <v>44564</v>
      </c>
      <c r="C3250" t="s">
        <v>4421</v>
      </c>
      <c r="D3250" s="1">
        <v>2000</v>
      </c>
      <c r="E3250" s="1">
        <v>0</v>
      </c>
      <c r="H3250" t="s">
        <v>1050</v>
      </c>
      <c r="K3250" s="2"/>
      <c r="N3250">
        <f t="shared" si="47"/>
        <v>2000</v>
      </c>
    </row>
    <row r="3251" spans="1:14" hidden="1">
      <c r="A3251" s="232">
        <v>44564</v>
      </c>
      <c r="C3251" t="s">
        <v>4422</v>
      </c>
      <c r="D3251" s="1">
        <v>0</v>
      </c>
      <c r="E3251" s="1">
        <v>6</v>
      </c>
      <c r="H3251" t="s">
        <v>1050</v>
      </c>
      <c r="K3251" s="2"/>
      <c r="N3251">
        <f t="shared" si="47"/>
        <v>0</v>
      </c>
    </row>
    <row r="3252" spans="1:14" hidden="1">
      <c r="A3252" s="232">
        <v>44564</v>
      </c>
      <c r="C3252" t="s">
        <v>4423</v>
      </c>
      <c r="D3252" s="1">
        <v>8591</v>
      </c>
      <c r="E3252" s="1">
        <v>0</v>
      </c>
      <c r="H3252" t="s">
        <v>1050</v>
      </c>
      <c r="K3252" s="2"/>
      <c r="N3252">
        <f t="shared" si="47"/>
        <v>8591</v>
      </c>
    </row>
    <row r="3253" spans="1:14" hidden="1">
      <c r="A3253" s="232">
        <v>44566</v>
      </c>
      <c r="C3253" t="s">
        <v>4424</v>
      </c>
      <c r="D3253" s="1">
        <v>200000</v>
      </c>
      <c r="E3253" s="1">
        <v>0</v>
      </c>
      <c r="G3253" s="8" t="s">
        <v>1363</v>
      </c>
      <c r="H3253" t="s">
        <v>1050</v>
      </c>
      <c r="K3253" s="2"/>
      <c r="N3253">
        <f t="shared" si="47"/>
        <v>200000</v>
      </c>
    </row>
    <row r="3254" spans="1:14" hidden="1">
      <c r="A3254" s="232">
        <v>44566</v>
      </c>
      <c r="C3254" t="s">
        <v>4425</v>
      </c>
      <c r="D3254" s="1">
        <v>0</v>
      </c>
      <c r="E3254" s="1">
        <v>58911</v>
      </c>
      <c r="G3254" s="8" t="s">
        <v>1379</v>
      </c>
      <c r="H3254" t="s">
        <v>1050</v>
      </c>
      <c r="K3254" s="2"/>
      <c r="N3254">
        <f t="shared" si="47"/>
        <v>0</v>
      </c>
    </row>
    <row r="3255" spans="1:14" hidden="1">
      <c r="A3255" s="232">
        <v>44566</v>
      </c>
      <c r="C3255" t="s">
        <v>4426</v>
      </c>
      <c r="D3255" s="1">
        <v>0</v>
      </c>
      <c r="E3255" s="1">
        <v>236</v>
      </c>
      <c r="G3255" s="8" t="s">
        <v>1379</v>
      </c>
      <c r="H3255" t="s">
        <v>1050</v>
      </c>
      <c r="K3255" s="2"/>
      <c r="N3255">
        <f t="shared" si="47"/>
        <v>0</v>
      </c>
    </row>
    <row r="3256" spans="1:14" hidden="1">
      <c r="A3256" s="232">
        <v>44571</v>
      </c>
      <c r="C3256" t="s">
        <v>4427</v>
      </c>
      <c r="D3256" s="1">
        <v>10250</v>
      </c>
      <c r="E3256" s="1">
        <v>0</v>
      </c>
      <c r="G3256" s="8" t="s">
        <v>1372</v>
      </c>
      <c r="H3256" t="s">
        <v>1050</v>
      </c>
      <c r="K3256" s="2"/>
      <c r="N3256">
        <f t="shared" si="47"/>
        <v>10250</v>
      </c>
    </row>
    <row r="3257" spans="1:14" hidden="1">
      <c r="A3257" s="232">
        <v>44571</v>
      </c>
      <c r="C3257" t="s">
        <v>2738</v>
      </c>
      <c r="D3257" s="1">
        <v>3560.2</v>
      </c>
      <c r="E3257" s="1">
        <v>0</v>
      </c>
      <c r="G3257" s="8" t="s">
        <v>1362</v>
      </c>
      <c r="H3257" t="s">
        <v>1050</v>
      </c>
      <c r="K3257" s="2"/>
      <c r="N3257">
        <f t="shared" si="47"/>
        <v>3560.2</v>
      </c>
    </row>
    <row r="3258" spans="1:14" hidden="1">
      <c r="A3258" s="232">
        <v>44571</v>
      </c>
      <c r="C3258" t="s">
        <v>4428</v>
      </c>
      <c r="D3258" s="1">
        <v>309</v>
      </c>
      <c r="E3258" s="1">
        <v>0</v>
      </c>
      <c r="H3258" t="s">
        <v>1050</v>
      </c>
      <c r="K3258" s="2"/>
      <c r="N3258">
        <f t="shared" si="47"/>
        <v>309</v>
      </c>
    </row>
    <row r="3259" spans="1:14" hidden="1">
      <c r="A3259" s="232">
        <v>44571</v>
      </c>
      <c r="C3259" t="s">
        <v>1655</v>
      </c>
      <c r="D3259" s="1">
        <v>0</v>
      </c>
      <c r="E3259" s="1">
        <v>15000</v>
      </c>
      <c r="G3259" s="8" t="s">
        <v>1379</v>
      </c>
      <c r="H3259" t="s">
        <v>1050</v>
      </c>
      <c r="K3259" s="2"/>
      <c r="N3259">
        <f t="shared" si="47"/>
        <v>0</v>
      </c>
    </row>
    <row r="3260" spans="1:14" hidden="1">
      <c r="A3260" s="232">
        <v>44572</v>
      </c>
      <c r="C3260" t="s">
        <v>4429</v>
      </c>
      <c r="D3260" s="1">
        <v>196</v>
      </c>
      <c r="E3260" s="1">
        <v>0</v>
      </c>
      <c r="H3260" t="s">
        <v>1050</v>
      </c>
      <c r="K3260" s="2"/>
      <c r="N3260">
        <f t="shared" si="47"/>
        <v>196</v>
      </c>
    </row>
    <row r="3261" spans="1:14" hidden="1">
      <c r="A3261" s="232">
        <v>44573</v>
      </c>
      <c r="C3261" t="s">
        <v>4430</v>
      </c>
      <c r="D3261" s="1">
        <v>194</v>
      </c>
      <c r="E3261" s="1">
        <v>0</v>
      </c>
      <c r="H3261" t="s">
        <v>1050</v>
      </c>
      <c r="K3261" s="2"/>
      <c r="N3261">
        <f t="shared" si="47"/>
        <v>194</v>
      </c>
    </row>
    <row r="3262" spans="1:14" hidden="1">
      <c r="A3262" s="232">
        <v>44573</v>
      </c>
      <c r="C3262" t="s">
        <v>4431</v>
      </c>
      <c r="D3262" s="1">
        <v>23</v>
      </c>
      <c r="E3262" s="1">
        <v>0</v>
      </c>
      <c r="H3262" t="s">
        <v>1050</v>
      </c>
      <c r="K3262" s="2"/>
      <c r="N3262">
        <f t="shared" si="47"/>
        <v>23</v>
      </c>
    </row>
    <row r="3263" spans="1:14" hidden="1">
      <c r="A3263" s="232">
        <v>44573</v>
      </c>
      <c r="C3263" t="s">
        <v>4432</v>
      </c>
      <c r="D3263" s="1">
        <v>30211.08</v>
      </c>
      <c r="E3263" s="1">
        <v>0</v>
      </c>
      <c r="G3263" s="8" t="s">
        <v>1370</v>
      </c>
      <c r="H3263" t="s">
        <v>1050</v>
      </c>
      <c r="K3263" s="2"/>
      <c r="N3263">
        <f t="shared" si="47"/>
        <v>30211.08</v>
      </c>
    </row>
    <row r="3264" spans="1:14" hidden="1">
      <c r="A3264" s="232">
        <v>44573</v>
      </c>
      <c r="C3264" t="s">
        <v>4433</v>
      </c>
      <c r="D3264" s="1">
        <v>612</v>
      </c>
      <c r="E3264" s="1">
        <v>0</v>
      </c>
      <c r="H3264" t="s">
        <v>1050</v>
      </c>
      <c r="K3264" s="2"/>
      <c r="N3264">
        <f t="shared" si="47"/>
        <v>612</v>
      </c>
    </row>
    <row r="3265" spans="1:14" hidden="1">
      <c r="A3265" s="232">
        <v>44573</v>
      </c>
      <c r="C3265" t="s">
        <v>1655</v>
      </c>
      <c r="D3265" s="1">
        <v>0</v>
      </c>
      <c r="E3265" s="1">
        <v>22844</v>
      </c>
      <c r="G3265" s="8" t="s">
        <v>1379</v>
      </c>
      <c r="H3265" t="s">
        <v>1050</v>
      </c>
      <c r="K3265" s="2"/>
      <c r="N3265">
        <f t="shared" si="47"/>
        <v>0</v>
      </c>
    </row>
    <row r="3266" spans="1:14" hidden="1">
      <c r="A3266" s="232">
        <v>44573</v>
      </c>
      <c r="C3266" t="s">
        <v>4434</v>
      </c>
      <c r="D3266" s="1">
        <v>0</v>
      </c>
      <c r="E3266" s="1">
        <v>10000</v>
      </c>
      <c r="G3266" s="8" t="s">
        <v>1379</v>
      </c>
      <c r="H3266" t="s">
        <v>1050</v>
      </c>
      <c r="K3266" s="2"/>
      <c r="N3266">
        <f t="shared" si="47"/>
        <v>0</v>
      </c>
    </row>
    <row r="3267" spans="1:14" hidden="1">
      <c r="A3267" s="232">
        <v>44573</v>
      </c>
      <c r="C3267" t="s">
        <v>4435</v>
      </c>
      <c r="D3267" s="1">
        <v>0</v>
      </c>
      <c r="E3267" s="1">
        <v>241</v>
      </c>
      <c r="G3267" s="8" t="s">
        <v>1379</v>
      </c>
      <c r="H3267" t="s">
        <v>1050</v>
      </c>
      <c r="K3267" s="2"/>
      <c r="N3267">
        <f t="shared" si="47"/>
        <v>0</v>
      </c>
    </row>
    <row r="3268" spans="1:14" hidden="1">
      <c r="A3268" s="232">
        <v>44578</v>
      </c>
      <c r="C3268" t="s">
        <v>4436</v>
      </c>
      <c r="D3268" s="1">
        <v>10250</v>
      </c>
      <c r="E3268" s="1">
        <v>0</v>
      </c>
      <c r="G3268" s="8" t="s">
        <v>1372</v>
      </c>
      <c r="H3268" t="s">
        <v>1050</v>
      </c>
      <c r="K3268" s="2"/>
      <c r="N3268">
        <f t="shared" si="47"/>
        <v>10250</v>
      </c>
    </row>
    <row r="3269" spans="1:14" hidden="1">
      <c r="A3269" s="232">
        <v>44578</v>
      </c>
      <c r="C3269" t="s">
        <v>4437</v>
      </c>
      <c r="D3269" s="1">
        <v>270</v>
      </c>
      <c r="E3269" s="1">
        <v>0</v>
      </c>
      <c r="H3269" t="s">
        <v>1050</v>
      </c>
      <c r="K3269" s="2"/>
      <c r="N3269">
        <f t="shared" si="47"/>
        <v>270</v>
      </c>
    </row>
    <row r="3270" spans="1:14" hidden="1">
      <c r="A3270" s="232">
        <v>44578</v>
      </c>
      <c r="C3270" t="s">
        <v>4438</v>
      </c>
      <c r="D3270" s="1">
        <v>9990</v>
      </c>
      <c r="E3270" s="1">
        <v>0</v>
      </c>
      <c r="G3270" s="8" t="s">
        <v>1383</v>
      </c>
      <c r="H3270" t="s">
        <v>1050</v>
      </c>
      <c r="K3270" s="2"/>
      <c r="N3270">
        <f t="shared" si="47"/>
        <v>9990</v>
      </c>
    </row>
    <row r="3271" spans="1:14" hidden="1">
      <c r="A3271" s="232">
        <v>44578</v>
      </c>
      <c r="C3271" t="s">
        <v>4434</v>
      </c>
      <c r="D3271" s="1">
        <v>0</v>
      </c>
      <c r="E3271" s="1">
        <v>20000</v>
      </c>
      <c r="G3271" s="8" t="s">
        <v>1379</v>
      </c>
      <c r="H3271" t="s">
        <v>1050</v>
      </c>
      <c r="K3271" s="2"/>
      <c r="N3271">
        <f t="shared" si="47"/>
        <v>0</v>
      </c>
    </row>
    <row r="3272" spans="1:14" hidden="1">
      <c r="A3272" s="232">
        <v>44578</v>
      </c>
      <c r="C3272" t="s">
        <v>4435</v>
      </c>
      <c r="D3272" s="1">
        <v>0</v>
      </c>
      <c r="E3272" s="1">
        <v>491</v>
      </c>
      <c r="G3272" s="8" t="s">
        <v>1379</v>
      </c>
      <c r="H3272" t="s">
        <v>1050</v>
      </c>
      <c r="K3272" s="2"/>
      <c r="N3272">
        <f t="shared" si="47"/>
        <v>0</v>
      </c>
    </row>
    <row r="3273" spans="1:14" hidden="1">
      <c r="A3273" s="232">
        <v>44581</v>
      </c>
      <c r="C3273" t="s">
        <v>4439</v>
      </c>
      <c r="D3273" s="1">
        <v>50</v>
      </c>
      <c r="E3273" s="1">
        <v>0</v>
      </c>
      <c r="H3273" t="s">
        <v>1050</v>
      </c>
      <c r="K3273" s="2"/>
      <c r="N3273">
        <f t="shared" si="47"/>
        <v>50</v>
      </c>
    </row>
    <row r="3274" spans="1:14" hidden="1">
      <c r="A3274" s="232">
        <v>44582</v>
      </c>
      <c r="C3274" t="s">
        <v>4440</v>
      </c>
      <c r="D3274" s="1">
        <v>290</v>
      </c>
      <c r="E3274" s="1">
        <v>0</v>
      </c>
      <c r="H3274" t="s">
        <v>1050</v>
      </c>
      <c r="K3274" s="2"/>
      <c r="N3274">
        <f t="shared" si="47"/>
        <v>290</v>
      </c>
    </row>
    <row r="3275" spans="1:14" hidden="1">
      <c r="A3275" s="232">
        <v>44582</v>
      </c>
      <c r="C3275" t="s">
        <v>4441</v>
      </c>
      <c r="D3275" s="1">
        <v>33333</v>
      </c>
      <c r="E3275" s="1">
        <v>0</v>
      </c>
      <c r="G3275" s="8" t="s">
        <v>1381</v>
      </c>
      <c r="H3275" t="s">
        <v>1050</v>
      </c>
      <c r="K3275" s="2"/>
      <c r="N3275">
        <f t="shared" ref="N3275:N3338" si="48">D3275*1</f>
        <v>33333</v>
      </c>
    </row>
    <row r="3276" spans="1:14" hidden="1">
      <c r="A3276" s="232">
        <v>44582</v>
      </c>
      <c r="C3276" t="s">
        <v>4434</v>
      </c>
      <c r="D3276" s="1">
        <v>0</v>
      </c>
      <c r="E3276" s="1">
        <v>30000</v>
      </c>
      <c r="G3276" s="8" t="s">
        <v>1379</v>
      </c>
      <c r="H3276" t="s">
        <v>1050</v>
      </c>
      <c r="K3276" s="2"/>
      <c r="N3276">
        <f t="shared" si="48"/>
        <v>0</v>
      </c>
    </row>
    <row r="3277" spans="1:14" hidden="1">
      <c r="A3277" s="232">
        <v>44582</v>
      </c>
      <c r="C3277" t="s">
        <v>4435</v>
      </c>
      <c r="D3277" s="1">
        <v>0</v>
      </c>
      <c r="E3277" s="1">
        <v>748</v>
      </c>
      <c r="G3277" s="8" t="s">
        <v>1379</v>
      </c>
      <c r="H3277" t="s">
        <v>1050</v>
      </c>
      <c r="K3277" s="2"/>
      <c r="N3277">
        <f t="shared" si="48"/>
        <v>0</v>
      </c>
    </row>
    <row r="3278" spans="1:14" hidden="1">
      <c r="A3278" s="232">
        <v>44585</v>
      </c>
      <c r="C3278" t="s">
        <v>4442</v>
      </c>
      <c r="D3278" s="1">
        <v>52</v>
      </c>
      <c r="E3278" s="1">
        <v>0</v>
      </c>
      <c r="H3278" t="s">
        <v>1050</v>
      </c>
      <c r="K3278" s="2"/>
      <c r="N3278">
        <f t="shared" si="48"/>
        <v>52</v>
      </c>
    </row>
    <row r="3279" spans="1:14" hidden="1">
      <c r="A3279" s="232">
        <v>44585</v>
      </c>
      <c r="C3279" t="s">
        <v>4443</v>
      </c>
      <c r="D3279" s="1">
        <v>300</v>
      </c>
      <c r="E3279" s="1">
        <v>0</v>
      </c>
      <c r="H3279" t="s">
        <v>1050</v>
      </c>
      <c r="K3279" s="2"/>
      <c r="N3279">
        <f t="shared" si="48"/>
        <v>300</v>
      </c>
    </row>
    <row r="3280" spans="1:14" hidden="1">
      <c r="A3280" s="232">
        <v>44585</v>
      </c>
      <c r="C3280" t="s">
        <v>4444</v>
      </c>
      <c r="D3280" s="1">
        <v>10250</v>
      </c>
      <c r="E3280" s="1">
        <v>0</v>
      </c>
      <c r="G3280" s="8" t="s">
        <v>1372</v>
      </c>
      <c r="H3280" t="s">
        <v>1050</v>
      </c>
      <c r="K3280" s="2"/>
      <c r="N3280">
        <f t="shared" si="48"/>
        <v>10250</v>
      </c>
    </row>
    <row r="3281" spans="1:14" hidden="1">
      <c r="A3281" s="232">
        <v>44585</v>
      </c>
      <c r="C3281" t="s">
        <v>4445</v>
      </c>
      <c r="D3281" s="1">
        <v>102</v>
      </c>
      <c r="E3281" s="1">
        <v>0</v>
      </c>
      <c r="H3281" t="s">
        <v>1050</v>
      </c>
      <c r="K3281" s="2"/>
      <c r="N3281">
        <f t="shared" si="48"/>
        <v>102</v>
      </c>
    </row>
    <row r="3282" spans="1:14" hidden="1">
      <c r="A3282" s="232">
        <v>44585</v>
      </c>
      <c r="C3282" t="s">
        <v>4434</v>
      </c>
      <c r="D3282" s="1">
        <v>0</v>
      </c>
      <c r="E3282" s="1">
        <v>10000</v>
      </c>
      <c r="G3282" s="8" t="s">
        <v>1379</v>
      </c>
      <c r="H3282" t="s">
        <v>1050</v>
      </c>
      <c r="K3282" s="2"/>
      <c r="N3282">
        <f t="shared" si="48"/>
        <v>0</v>
      </c>
    </row>
    <row r="3283" spans="1:14" hidden="1">
      <c r="A3283" s="232">
        <v>44585</v>
      </c>
      <c r="C3283" t="s">
        <v>4435</v>
      </c>
      <c r="D3283" s="1">
        <v>0</v>
      </c>
      <c r="E3283" s="1">
        <v>252</v>
      </c>
      <c r="G3283" s="8" t="s">
        <v>1379</v>
      </c>
      <c r="H3283" t="s">
        <v>1050</v>
      </c>
      <c r="K3283" s="2"/>
      <c r="N3283">
        <f t="shared" si="48"/>
        <v>0</v>
      </c>
    </row>
    <row r="3284" spans="1:14" hidden="1">
      <c r="A3284" s="232">
        <v>44586</v>
      </c>
      <c r="C3284" t="s">
        <v>4446</v>
      </c>
      <c r="D3284" s="1">
        <v>15</v>
      </c>
      <c r="E3284" s="1">
        <v>0</v>
      </c>
      <c r="H3284" t="s">
        <v>1050</v>
      </c>
      <c r="K3284" s="2"/>
      <c r="N3284">
        <f t="shared" si="48"/>
        <v>15</v>
      </c>
    </row>
    <row r="3285" spans="1:14" hidden="1">
      <c r="A3285" s="232">
        <v>44586</v>
      </c>
      <c r="C3285" t="s">
        <v>4447</v>
      </c>
      <c r="D3285" s="1">
        <v>0</v>
      </c>
      <c r="E3285" s="1">
        <v>284959</v>
      </c>
      <c r="G3285" s="8" t="s">
        <v>1380</v>
      </c>
      <c r="H3285" t="s">
        <v>1050</v>
      </c>
      <c r="K3285" s="2"/>
      <c r="N3285">
        <f t="shared" si="48"/>
        <v>0</v>
      </c>
    </row>
    <row r="3286" spans="1:14" hidden="1">
      <c r="A3286" s="232">
        <v>44588</v>
      </c>
      <c r="C3286" t="s">
        <v>4448</v>
      </c>
      <c r="D3286" s="1">
        <v>140000</v>
      </c>
      <c r="E3286" s="1">
        <v>0</v>
      </c>
      <c r="G3286" s="8" t="s">
        <v>1363</v>
      </c>
      <c r="H3286" t="s">
        <v>1050</v>
      </c>
      <c r="K3286" s="2"/>
      <c r="N3286">
        <f t="shared" si="48"/>
        <v>140000</v>
      </c>
    </row>
    <row r="3287" spans="1:14" hidden="1">
      <c r="A3287" s="232">
        <v>44589</v>
      </c>
      <c r="C3287" t="s">
        <v>4449</v>
      </c>
      <c r="D3287" s="1">
        <v>2000</v>
      </c>
      <c r="E3287" s="1">
        <v>0</v>
      </c>
      <c r="G3287" s="8" t="s">
        <v>1372</v>
      </c>
      <c r="H3287" t="s">
        <v>1050</v>
      </c>
      <c r="K3287" s="2"/>
      <c r="N3287">
        <f t="shared" si="48"/>
        <v>2000</v>
      </c>
    </row>
    <row r="3288" spans="1:14" hidden="1">
      <c r="A3288" s="232">
        <v>44589</v>
      </c>
      <c r="C3288" t="s">
        <v>4450</v>
      </c>
      <c r="D3288" s="1">
        <v>25000</v>
      </c>
      <c r="E3288" s="1">
        <v>0</v>
      </c>
      <c r="G3288" s="8" t="s">
        <v>1381</v>
      </c>
      <c r="H3288" t="s">
        <v>1050</v>
      </c>
      <c r="K3288" s="2"/>
      <c r="N3288">
        <f t="shared" si="48"/>
        <v>25000</v>
      </c>
    </row>
    <row r="3289" spans="1:14" hidden="1">
      <c r="A3289" s="232">
        <v>44592</v>
      </c>
      <c r="C3289" t="s">
        <v>4451</v>
      </c>
      <c r="D3289" s="1">
        <v>50</v>
      </c>
      <c r="E3289" s="1">
        <v>0</v>
      </c>
      <c r="H3289" t="s">
        <v>1050</v>
      </c>
      <c r="K3289" s="2"/>
      <c r="N3289">
        <f t="shared" si="48"/>
        <v>50</v>
      </c>
    </row>
    <row r="3290" spans="1:14" hidden="1">
      <c r="A3290" s="232">
        <v>44592</v>
      </c>
      <c r="C3290" t="s">
        <v>4452</v>
      </c>
      <c r="D3290" s="1">
        <v>10250</v>
      </c>
      <c r="E3290" s="1">
        <v>0</v>
      </c>
      <c r="G3290" s="8" t="s">
        <v>1372</v>
      </c>
      <c r="H3290" t="s">
        <v>1050</v>
      </c>
      <c r="K3290" s="2"/>
      <c r="N3290">
        <f t="shared" si="48"/>
        <v>10250</v>
      </c>
    </row>
    <row r="3291" spans="1:14" hidden="1">
      <c r="A3291" s="232">
        <v>44593</v>
      </c>
      <c r="C3291" t="s">
        <v>4453</v>
      </c>
      <c r="D3291" s="1">
        <v>500</v>
      </c>
      <c r="E3291" s="1">
        <v>0</v>
      </c>
      <c r="G3291" s="8" t="s">
        <v>1363</v>
      </c>
      <c r="H3291" t="s">
        <v>1050</v>
      </c>
      <c r="K3291" s="2"/>
      <c r="N3291">
        <f t="shared" si="48"/>
        <v>500</v>
      </c>
    </row>
    <row r="3292" spans="1:14" hidden="1">
      <c r="A3292" s="232">
        <v>44593</v>
      </c>
      <c r="C3292" t="s">
        <v>4454</v>
      </c>
      <c r="D3292" s="1">
        <v>50</v>
      </c>
      <c r="E3292" s="1">
        <v>0</v>
      </c>
      <c r="H3292" t="s">
        <v>1050</v>
      </c>
      <c r="K3292" s="2"/>
      <c r="N3292">
        <f t="shared" si="48"/>
        <v>50</v>
      </c>
    </row>
    <row r="3293" spans="1:14" hidden="1">
      <c r="A3293" s="232">
        <v>44594</v>
      </c>
      <c r="C3293" t="s">
        <v>4455</v>
      </c>
      <c r="D3293" s="1">
        <v>2000</v>
      </c>
      <c r="E3293" s="1">
        <v>0</v>
      </c>
      <c r="H3293" t="s">
        <v>1050</v>
      </c>
      <c r="K3293" s="2"/>
      <c r="N3293">
        <f t="shared" si="48"/>
        <v>2000</v>
      </c>
    </row>
    <row r="3294" spans="1:14" hidden="1">
      <c r="A3294" s="232">
        <v>44594</v>
      </c>
      <c r="C3294" t="s">
        <v>4456</v>
      </c>
      <c r="D3294" s="1">
        <v>0</v>
      </c>
      <c r="E3294" s="1">
        <v>5212.78</v>
      </c>
      <c r="G3294" s="8" t="s">
        <v>1380</v>
      </c>
      <c r="H3294" t="s">
        <v>1050</v>
      </c>
      <c r="K3294" s="2"/>
      <c r="N3294">
        <f t="shared" si="48"/>
        <v>0</v>
      </c>
    </row>
    <row r="3295" spans="1:14" hidden="1">
      <c r="A3295" s="232">
        <v>44596</v>
      </c>
      <c r="C3295" t="s">
        <v>4457</v>
      </c>
      <c r="D3295" s="1">
        <v>8491</v>
      </c>
      <c r="E3295" s="1">
        <v>0</v>
      </c>
      <c r="H3295" t="s">
        <v>1050</v>
      </c>
      <c r="K3295" s="2"/>
      <c r="N3295">
        <f t="shared" si="48"/>
        <v>8491</v>
      </c>
    </row>
    <row r="3296" spans="1:14" hidden="1">
      <c r="A3296" s="232">
        <v>44599</v>
      </c>
      <c r="C3296" t="s">
        <v>4458</v>
      </c>
      <c r="D3296" s="1">
        <v>10250</v>
      </c>
      <c r="E3296" s="1">
        <v>0</v>
      </c>
      <c r="G3296" s="8" t="s">
        <v>1372</v>
      </c>
      <c r="H3296" t="s">
        <v>1050</v>
      </c>
      <c r="K3296" s="2"/>
      <c r="N3296">
        <f t="shared" si="48"/>
        <v>10250</v>
      </c>
    </row>
    <row r="3297" spans="1:14" hidden="1">
      <c r="A3297" s="232">
        <v>44599</v>
      </c>
      <c r="C3297" t="s">
        <v>4459</v>
      </c>
      <c r="D3297" s="1">
        <v>305</v>
      </c>
      <c r="E3297" s="1">
        <v>0</v>
      </c>
      <c r="H3297" t="s">
        <v>1050</v>
      </c>
      <c r="K3297" s="2"/>
      <c r="N3297">
        <f t="shared" si="48"/>
        <v>305</v>
      </c>
    </row>
    <row r="3298" spans="1:14" hidden="1">
      <c r="A3298" s="232">
        <v>44600</v>
      </c>
      <c r="C3298" t="s">
        <v>4460</v>
      </c>
      <c r="D3298" s="1">
        <v>100</v>
      </c>
      <c r="E3298" s="1">
        <v>0</v>
      </c>
      <c r="H3298" t="s">
        <v>1050</v>
      </c>
      <c r="K3298" s="2"/>
      <c r="N3298">
        <f t="shared" si="48"/>
        <v>100</v>
      </c>
    </row>
    <row r="3299" spans="1:14" hidden="1">
      <c r="A3299" s="232">
        <v>44602</v>
      </c>
      <c r="C3299" t="s">
        <v>2738</v>
      </c>
      <c r="D3299" s="1">
        <v>2380.85</v>
      </c>
      <c r="E3299" s="1">
        <v>0</v>
      </c>
      <c r="G3299" s="8" t="s">
        <v>1362</v>
      </c>
      <c r="H3299" t="s">
        <v>1050</v>
      </c>
      <c r="K3299" s="2"/>
      <c r="N3299">
        <f t="shared" si="48"/>
        <v>2380.85</v>
      </c>
    </row>
    <row r="3300" spans="1:14" hidden="1">
      <c r="A3300" s="232">
        <v>44603</v>
      </c>
      <c r="C3300" t="s">
        <v>4461</v>
      </c>
      <c r="D3300" s="1">
        <v>20</v>
      </c>
      <c r="E3300" s="1">
        <v>0</v>
      </c>
      <c r="H3300" t="s">
        <v>1050</v>
      </c>
      <c r="K3300" s="2"/>
      <c r="N3300">
        <f t="shared" si="48"/>
        <v>20</v>
      </c>
    </row>
    <row r="3301" spans="1:14" hidden="1">
      <c r="A3301" s="232">
        <v>44603</v>
      </c>
      <c r="C3301" t="s">
        <v>4462</v>
      </c>
      <c r="D3301" s="1">
        <v>240</v>
      </c>
      <c r="E3301" s="1">
        <v>0</v>
      </c>
      <c r="H3301" t="s">
        <v>1050</v>
      </c>
      <c r="K3301" s="2"/>
      <c r="N3301">
        <f t="shared" si="48"/>
        <v>240</v>
      </c>
    </row>
    <row r="3302" spans="1:14" hidden="1">
      <c r="A3302" s="232">
        <v>44606</v>
      </c>
      <c r="C3302" t="s">
        <v>4463</v>
      </c>
      <c r="D3302" s="1">
        <v>451</v>
      </c>
      <c r="E3302" s="1">
        <v>0</v>
      </c>
      <c r="H3302" t="s">
        <v>1050</v>
      </c>
      <c r="K3302" s="2"/>
      <c r="L3302" s="232">
        <f>M3302</f>
        <v>988542</v>
      </c>
      <c r="M3302" s="232">
        <f t="shared" ref="M3302:M3339" si="49">DATE(VALUE(RIGHT(A3302,4)), VALUE(MID(A3302,4,2)), VALUE(LEFT(A3302,2)))</f>
        <v>988542</v>
      </c>
      <c r="N3302">
        <f t="shared" si="48"/>
        <v>451</v>
      </c>
    </row>
    <row r="3303" spans="1:14" hidden="1">
      <c r="A3303" s="232">
        <v>44606</v>
      </c>
      <c r="C3303" t="s">
        <v>4464</v>
      </c>
      <c r="D3303" s="1">
        <v>120</v>
      </c>
      <c r="E3303" s="1">
        <v>0</v>
      </c>
      <c r="H3303" t="s">
        <v>1050</v>
      </c>
      <c r="K3303" s="2"/>
      <c r="L3303" s="232">
        <f t="shared" ref="L3303:L3339" si="50">M3303</f>
        <v>988542</v>
      </c>
      <c r="M3303" s="232">
        <f t="shared" si="49"/>
        <v>988542</v>
      </c>
      <c r="N3303">
        <f t="shared" si="48"/>
        <v>120</v>
      </c>
    </row>
    <row r="3304" spans="1:14" hidden="1">
      <c r="A3304" s="232">
        <v>44606</v>
      </c>
      <c r="C3304" t="s">
        <v>4465</v>
      </c>
      <c r="D3304" s="1">
        <v>821.5</v>
      </c>
      <c r="E3304" s="1">
        <v>0</v>
      </c>
      <c r="H3304" t="s">
        <v>1050</v>
      </c>
      <c r="K3304" s="2"/>
      <c r="L3304" s="232">
        <f t="shared" si="50"/>
        <v>988542</v>
      </c>
      <c r="M3304" s="232">
        <f t="shared" si="49"/>
        <v>988542</v>
      </c>
      <c r="N3304">
        <f t="shared" si="48"/>
        <v>821.5</v>
      </c>
    </row>
    <row r="3305" spans="1:14" hidden="1">
      <c r="A3305" s="232">
        <v>44606</v>
      </c>
      <c r="C3305" t="s">
        <v>4466</v>
      </c>
      <c r="D3305" s="1">
        <v>10250</v>
      </c>
      <c r="E3305" s="1">
        <v>0</v>
      </c>
      <c r="G3305" s="8" t="s">
        <v>1372</v>
      </c>
      <c r="H3305" t="s">
        <v>1050</v>
      </c>
      <c r="K3305" s="2"/>
      <c r="L3305" s="232">
        <f t="shared" si="50"/>
        <v>988542</v>
      </c>
      <c r="M3305" s="232">
        <f t="shared" si="49"/>
        <v>988542</v>
      </c>
      <c r="N3305">
        <f t="shared" si="48"/>
        <v>10250</v>
      </c>
    </row>
    <row r="3306" spans="1:14" hidden="1">
      <c r="A3306" s="232">
        <v>44606</v>
      </c>
      <c r="C3306" t="s">
        <v>4467</v>
      </c>
      <c r="D3306" s="1">
        <v>57</v>
      </c>
      <c r="E3306" s="1">
        <v>0</v>
      </c>
      <c r="H3306" t="s">
        <v>1050</v>
      </c>
      <c r="K3306" s="2"/>
      <c r="L3306" s="232">
        <f t="shared" si="50"/>
        <v>988542</v>
      </c>
      <c r="M3306" s="232">
        <f t="shared" si="49"/>
        <v>988542</v>
      </c>
      <c r="N3306">
        <f t="shared" si="48"/>
        <v>57</v>
      </c>
    </row>
    <row r="3307" spans="1:14" hidden="1">
      <c r="A3307" s="232">
        <v>44608</v>
      </c>
      <c r="C3307" t="s">
        <v>4468</v>
      </c>
      <c r="D3307" s="1">
        <v>9990</v>
      </c>
      <c r="E3307" s="1">
        <v>0</v>
      </c>
      <c r="G3307" s="8" t="s">
        <v>1383</v>
      </c>
      <c r="H3307" t="s">
        <v>1050</v>
      </c>
      <c r="K3307" s="2"/>
      <c r="L3307" s="232">
        <f t="shared" si="50"/>
        <v>989334</v>
      </c>
      <c r="M3307" s="232">
        <f t="shared" si="49"/>
        <v>989334</v>
      </c>
      <c r="N3307">
        <f t="shared" si="48"/>
        <v>9990</v>
      </c>
    </row>
    <row r="3308" spans="1:14" hidden="1">
      <c r="A3308" s="232">
        <v>44610</v>
      </c>
      <c r="C3308" t="s">
        <v>4469</v>
      </c>
      <c r="D3308" s="1">
        <v>399</v>
      </c>
      <c r="E3308" s="1">
        <v>0</v>
      </c>
      <c r="H3308" t="s">
        <v>1050</v>
      </c>
      <c r="K3308" s="2"/>
      <c r="L3308" s="232">
        <f t="shared" si="50"/>
        <v>990125</v>
      </c>
      <c r="M3308" s="232">
        <f t="shared" si="49"/>
        <v>990125</v>
      </c>
      <c r="N3308">
        <f t="shared" si="48"/>
        <v>399</v>
      </c>
    </row>
    <row r="3309" spans="1:14" hidden="1">
      <c r="A3309" s="232">
        <v>44613</v>
      </c>
      <c r="C3309" t="s">
        <v>4470</v>
      </c>
      <c r="D3309" s="1">
        <v>330</v>
      </c>
      <c r="E3309" s="1">
        <v>0</v>
      </c>
      <c r="H3309" t="s">
        <v>1050</v>
      </c>
      <c r="K3309" s="2"/>
      <c r="L3309" s="232">
        <f t="shared" si="50"/>
        <v>991313</v>
      </c>
      <c r="M3309" s="232">
        <f t="shared" si="49"/>
        <v>991313</v>
      </c>
      <c r="N3309">
        <f t="shared" si="48"/>
        <v>330</v>
      </c>
    </row>
    <row r="3310" spans="1:14" hidden="1">
      <c r="A3310" s="232">
        <v>44613</v>
      </c>
      <c r="C3310" t="s">
        <v>4471</v>
      </c>
      <c r="D3310" s="1">
        <v>10250</v>
      </c>
      <c r="E3310" s="1">
        <v>0</v>
      </c>
      <c r="G3310" s="8" t="s">
        <v>1372</v>
      </c>
      <c r="H3310" t="s">
        <v>1050</v>
      </c>
      <c r="K3310" s="2"/>
      <c r="L3310" s="232">
        <f t="shared" si="50"/>
        <v>991313</v>
      </c>
      <c r="M3310" s="232">
        <f t="shared" si="49"/>
        <v>991313</v>
      </c>
      <c r="N3310">
        <f t="shared" si="48"/>
        <v>10250</v>
      </c>
    </row>
    <row r="3311" spans="1:14" hidden="1">
      <c r="A3311" s="232">
        <v>44613</v>
      </c>
      <c r="C3311" t="s">
        <v>4472</v>
      </c>
      <c r="D3311" s="1">
        <v>33333</v>
      </c>
      <c r="E3311" s="1">
        <v>0</v>
      </c>
      <c r="G3311" s="8" t="s">
        <v>1381</v>
      </c>
      <c r="H3311" t="s">
        <v>1050</v>
      </c>
      <c r="K3311" s="2"/>
      <c r="L3311" s="232">
        <f t="shared" si="50"/>
        <v>991313</v>
      </c>
      <c r="M3311" s="232">
        <f t="shared" si="49"/>
        <v>991313</v>
      </c>
      <c r="N3311">
        <f t="shared" si="48"/>
        <v>33333</v>
      </c>
    </row>
    <row r="3312" spans="1:14" hidden="1">
      <c r="A3312" s="232">
        <v>44617</v>
      </c>
      <c r="C3312" t="s">
        <v>4473</v>
      </c>
      <c r="D3312" s="1">
        <v>0</v>
      </c>
      <c r="E3312" s="1">
        <v>327744</v>
      </c>
      <c r="G3312" s="8" t="s">
        <v>1380</v>
      </c>
      <c r="H3312" t="s">
        <v>1050</v>
      </c>
      <c r="K3312" s="2"/>
      <c r="L3312" s="232">
        <f t="shared" si="50"/>
        <v>992894</v>
      </c>
      <c r="M3312" s="232">
        <f t="shared" si="49"/>
        <v>992894</v>
      </c>
      <c r="N3312">
        <f t="shared" si="48"/>
        <v>0</v>
      </c>
    </row>
    <row r="3313" spans="1:14" hidden="1">
      <c r="A3313" s="232">
        <v>44620</v>
      </c>
      <c r="C3313" t="s">
        <v>4474</v>
      </c>
      <c r="D3313" s="1">
        <v>140000</v>
      </c>
      <c r="E3313" s="1">
        <v>0</v>
      </c>
      <c r="G3313" s="8" t="s">
        <v>1363</v>
      </c>
      <c r="H3313" t="s">
        <v>1050</v>
      </c>
      <c r="K3313" s="2"/>
      <c r="L3313" s="232">
        <f t="shared" si="50"/>
        <v>994082</v>
      </c>
      <c r="M3313" s="232">
        <f t="shared" si="49"/>
        <v>994082</v>
      </c>
      <c r="N3313">
        <f t="shared" si="48"/>
        <v>140000</v>
      </c>
    </row>
    <row r="3314" spans="1:14" hidden="1">
      <c r="A3314" s="232">
        <v>44620</v>
      </c>
      <c r="C3314" t="s">
        <v>4475</v>
      </c>
      <c r="D3314" s="1">
        <v>580</v>
      </c>
      <c r="E3314" s="1">
        <v>0</v>
      </c>
      <c r="H3314" t="s">
        <v>1050</v>
      </c>
      <c r="K3314" s="2"/>
      <c r="L3314" s="232">
        <f t="shared" si="50"/>
        <v>994082</v>
      </c>
      <c r="M3314" s="232">
        <f t="shared" si="49"/>
        <v>994082</v>
      </c>
      <c r="N3314">
        <f t="shared" si="48"/>
        <v>580</v>
      </c>
    </row>
    <row r="3315" spans="1:14" hidden="1">
      <c r="A3315" s="232">
        <v>44620</v>
      </c>
      <c r="C3315" t="s">
        <v>4476</v>
      </c>
      <c r="D3315" s="1">
        <v>0</v>
      </c>
      <c r="E3315" s="1">
        <v>3</v>
      </c>
      <c r="H3315" t="s">
        <v>1050</v>
      </c>
      <c r="K3315" s="2"/>
      <c r="L3315" s="232">
        <f t="shared" si="50"/>
        <v>994082</v>
      </c>
      <c r="M3315" s="232">
        <f t="shared" si="49"/>
        <v>994082</v>
      </c>
      <c r="N3315">
        <f t="shared" si="48"/>
        <v>0</v>
      </c>
    </row>
    <row r="3316" spans="1:14" hidden="1">
      <c r="A3316" s="232">
        <v>44620</v>
      </c>
      <c r="C3316" t="s">
        <v>4477</v>
      </c>
      <c r="D3316" s="1">
        <v>2000</v>
      </c>
      <c r="E3316" s="1">
        <v>0</v>
      </c>
      <c r="G3316" s="8" t="s">
        <v>1372</v>
      </c>
      <c r="H3316" t="s">
        <v>1050</v>
      </c>
      <c r="K3316" s="2"/>
      <c r="L3316" s="232">
        <f t="shared" si="50"/>
        <v>994082</v>
      </c>
      <c r="M3316" s="232">
        <f t="shared" si="49"/>
        <v>994082</v>
      </c>
      <c r="N3316">
        <f t="shared" si="48"/>
        <v>2000</v>
      </c>
    </row>
    <row r="3317" spans="1:14" hidden="1">
      <c r="A3317" s="232">
        <v>44620</v>
      </c>
      <c r="C3317" t="s">
        <v>4478</v>
      </c>
      <c r="D3317" s="1">
        <v>10250</v>
      </c>
      <c r="E3317" s="1">
        <v>0</v>
      </c>
      <c r="G3317" s="8" t="s">
        <v>1372</v>
      </c>
      <c r="H3317" t="s">
        <v>1050</v>
      </c>
      <c r="K3317" s="2"/>
      <c r="L3317" s="232">
        <f t="shared" si="50"/>
        <v>994082</v>
      </c>
      <c r="M3317" s="232">
        <f t="shared" si="49"/>
        <v>994082</v>
      </c>
      <c r="N3317">
        <f t="shared" si="48"/>
        <v>10250</v>
      </c>
    </row>
    <row r="3318" spans="1:14" hidden="1">
      <c r="A3318" s="232">
        <v>44620</v>
      </c>
      <c r="C3318" t="s">
        <v>4479</v>
      </c>
      <c r="D3318" s="1">
        <v>25000</v>
      </c>
      <c r="E3318" s="1">
        <v>0</v>
      </c>
      <c r="G3318" s="8" t="s">
        <v>1381</v>
      </c>
      <c r="H3318" t="s">
        <v>1050</v>
      </c>
      <c r="K3318" s="2"/>
      <c r="L3318" s="232">
        <f t="shared" si="50"/>
        <v>994082</v>
      </c>
      <c r="M3318" s="232">
        <f t="shared" si="49"/>
        <v>994082</v>
      </c>
      <c r="N3318">
        <f t="shared" si="48"/>
        <v>25000</v>
      </c>
    </row>
    <row r="3319" spans="1:14" hidden="1">
      <c r="A3319" s="232">
        <v>44621</v>
      </c>
      <c r="C3319" t="s">
        <v>4480</v>
      </c>
      <c r="D3319" s="1">
        <v>500</v>
      </c>
      <c r="E3319" s="1">
        <v>0</v>
      </c>
      <c r="G3319" s="8" t="s">
        <v>1363</v>
      </c>
      <c r="H3319" t="s">
        <v>1050</v>
      </c>
      <c r="K3319" s="2"/>
      <c r="L3319" s="232"/>
      <c r="M3319" s="232"/>
      <c r="N3319">
        <f t="shared" si="48"/>
        <v>500</v>
      </c>
    </row>
    <row r="3320" spans="1:14" hidden="1">
      <c r="A3320" s="232">
        <v>44622</v>
      </c>
      <c r="C3320" t="s">
        <v>4481</v>
      </c>
      <c r="D3320" s="1">
        <v>299</v>
      </c>
      <c r="E3320" s="1">
        <v>0</v>
      </c>
      <c r="H3320" t="s">
        <v>1050</v>
      </c>
      <c r="K3320" s="2"/>
      <c r="L3320" s="232"/>
      <c r="M3320" s="232"/>
      <c r="N3320">
        <f t="shared" si="48"/>
        <v>299</v>
      </c>
    </row>
    <row r="3321" spans="1:14" hidden="1">
      <c r="A3321" s="232">
        <v>44623</v>
      </c>
      <c r="C3321" t="s">
        <v>4482</v>
      </c>
      <c r="D3321" s="1">
        <v>2000</v>
      </c>
      <c r="E3321" s="1">
        <v>0</v>
      </c>
      <c r="H3321" t="s">
        <v>1050</v>
      </c>
      <c r="K3321" s="2"/>
      <c r="L3321" s="232"/>
      <c r="M3321" s="232"/>
      <c r="N3321">
        <f t="shared" si="48"/>
        <v>2000</v>
      </c>
    </row>
    <row r="3322" spans="1:14" hidden="1">
      <c r="A3322" s="232">
        <v>44625</v>
      </c>
      <c r="C3322" t="s">
        <v>4483</v>
      </c>
      <c r="D3322" s="1">
        <v>10074</v>
      </c>
      <c r="E3322" s="1">
        <v>0</v>
      </c>
      <c r="H3322" t="s">
        <v>1050</v>
      </c>
      <c r="K3322" s="2"/>
      <c r="L3322" s="232"/>
      <c r="M3322" s="232"/>
      <c r="N3322">
        <f t="shared" si="48"/>
        <v>10074</v>
      </c>
    </row>
    <row r="3323" spans="1:14" hidden="1">
      <c r="A3323" s="232">
        <v>44627</v>
      </c>
      <c r="C3323" t="s">
        <v>4484</v>
      </c>
      <c r="D3323" s="1">
        <v>240</v>
      </c>
      <c r="E3323" s="1">
        <v>0</v>
      </c>
      <c r="H3323" t="s">
        <v>1050</v>
      </c>
      <c r="K3323" s="2"/>
      <c r="L3323" s="232"/>
      <c r="M3323" s="232"/>
      <c r="N3323">
        <f t="shared" si="48"/>
        <v>240</v>
      </c>
    </row>
    <row r="3324" spans="1:14" hidden="1">
      <c r="A3324" s="232">
        <v>44627</v>
      </c>
      <c r="C3324" t="s">
        <v>4485</v>
      </c>
      <c r="D3324" s="1">
        <v>10250</v>
      </c>
      <c r="E3324" s="1">
        <v>0</v>
      </c>
      <c r="G3324" s="8" t="s">
        <v>1372</v>
      </c>
      <c r="H3324" t="s">
        <v>1050</v>
      </c>
      <c r="K3324" s="2"/>
      <c r="L3324" s="232"/>
      <c r="M3324" s="232"/>
      <c r="N3324">
        <f t="shared" si="48"/>
        <v>10250</v>
      </c>
    </row>
    <row r="3325" spans="1:14" hidden="1">
      <c r="A3325" s="232">
        <v>44631</v>
      </c>
      <c r="C3325" t="s">
        <v>4486</v>
      </c>
      <c r="D3325" s="1">
        <v>0</v>
      </c>
      <c r="E3325" s="1">
        <v>69109.45</v>
      </c>
      <c r="G3325" s="8" t="s">
        <v>1380</v>
      </c>
      <c r="H3325" t="s">
        <v>1050</v>
      </c>
      <c r="K3325" s="2"/>
      <c r="L3325" s="232"/>
      <c r="M3325" s="232"/>
      <c r="N3325">
        <f t="shared" si="48"/>
        <v>0</v>
      </c>
    </row>
    <row r="3326" spans="1:14" hidden="1">
      <c r="A3326" s="232">
        <v>44634</v>
      </c>
      <c r="C3326" t="s">
        <v>4487</v>
      </c>
      <c r="D3326" s="1">
        <v>10250</v>
      </c>
      <c r="E3326" s="1">
        <v>0</v>
      </c>
      <c r="G3326" s="8" t="s">
        <v>1372</v>
      </c>
      <c r="H3326" t="s">
        <v>1050</v>
      </c>
      <c r="K3326" s="2"/>
      <c r="L3326" s="232">
        <f t="shared" si="50"/>
        <v>999622</v>
      </c>
      <c r="M3326" s="232">
        <f t="shared" si="49"/>
        <v>999622</v>
      </c>
      <c r="N3326">
        <f t="shared" si="48"/>
        <v>10250</v>
      </c>
    </row>
    <row r="3327" spans="1:14" hidden="1">
      <c r="A3327" s="232">
        <v>44636</v>
      </c>
      <c r="C3327" t="s">
        <v>4488</v>
      </c>
      <c r="D3327" s="1">
        <v>9990</v>
      </c>
      <c r="E3327" s="1">
        <v>0</v>
      </c>
      <c r="G3327" s="8" t="s">
        <v>1383</v>
      </c>
      <c r="H3327" t="s">
        <v>1050</v>
      </c>
      <c r="K3327" s="2"/>
      <c r="L3327" s="232">
        <f t="shared" si="50"/>
        <v>1000413</v>
      </c>
      <c r="M3327" s="232">
        <f t="shared" si="49"/>
        <v>1000413</v>
      </c>
      <c r="N3327">
        <f t="shared" si="48"/>
        <v>9990</v>
      </c>
    </row>
    <row r="3328" spans="1:14" hidden="1">
      <c r="A3328" s="232">
        <v>44639</v>
      </c>
      <c r="C3328" t="s">
        <v>4489</v>
      </c>
      <c r="D3328" s="1">
        <v>400</v>
      </c>
      <c r="E3328" s="1">
        <v>0</v>
      </c>
      <c r="H3328" t="s">
        <v>1050</v>
      </c>
      <c r="K3328" s="2"/>
      <c r="L3328" s="232">
        <f t="shared" si="50"/>
        <v>1001599</v>
      </c>
      <c r="M3328" s="232">
        <f t="shared" si="49"/>
        <v>1001599</v>
      </c>
      <c r="N3328">
        <f t="shared" si="48"/>
        <v>400</v>
      </c>
    </row>
    <row r="3329" spans="1:14" hidden="1">
      <c r="A3329" s="232">
        <v>44641</v>
      </c>
      <c r="C3329" t="s">
        <v>4490</v>
      </c>
      <c r="D3329" s="1">
        <v>1219</v>
      </c>
      <c r="E3329" s="1">
        <v>0</v>
      </c>
      <c r="H3329" t="s">
        <v>1050</v>
      </c>
      <c r="K3329" s="2"/>
      <c r="L3329" s="232">
        <f t="shared" si="50"/>
        <v>1002391</v>
      </c>
      <c r="M3329" s="232">
        <f t="shared" si="49"/>
        <v>1002391</v>
      </c>
      <c r="N3329">
        <f t="shared" si="48"/>
        <v>1219</v>
      </c>
    </row>
    <row r="3330" spans="1:14" hidden="1">
      <c r="A3330" s="232">
        <v>44641</v>
      </c>
      <c r="C3330" t="s">
        <v>4491</v>
      </c>
      <c r="D3330" s="1">
        <v>10250</v>
      </c>
      <c r="E3330" s="1">
        <v>0</v>
      </c>
      <c r="G3330" s="8" t="s">
        <v>1372</v>
      </c>
      <c r="H3330" t="s">
        <v>1050</v>
      </c>
      <c r="K3330" s="2"/>
      <c r="L3330" s="232">
        <f t="shared" si="50"/>
        <v>1002391</v>
      </c>
      <c r="M3330" s="232">
        <f t="shared" si="49"/>
        <v>1002391</v>
      </c>
      <c r="N3330">
        <f t="shared" si="48"/>
        <v>10250</v>
      </c>
    </row>
    <row r="3331" spans="1:14" hidden="1">
      <c r="A3331" s="232">
        <v>44641</v>
      </c>
      <c r="C3331" t="s">
        <v>4492</v>
      </c>
      <c r="D3331" s="1">
        <v>33333</v>
      </c>
      <c r="E3331" s="1">
        <v>0</v>
      </c>
      <c r="G3331" s="8" t="s">
        <v>1381</v>
      </c>
      <c r="H3331" t="s">
        <v>1050</v>
      </c>
      <c r="K3331" s="2"/>
      <c r="L3331" s="232">
        <f t="shared" si="50"/>
        <v>1002391</v>
      </c>
      <c r="M3331" s="232">
        <f t="shared" si="49"/>
        <v>1002391</v>
      </c>
      <c r="N3331">
        <f t="shared" si="48"/>
        <v>33333</v>
      </c>
    </row>
    <row r="3332" spans="1:14" hidden="1">
      <c r="A3332" s="232">
        <v>44642</v>
      </c>
      <c r="C3332" t="s">
        <v>4493</v>
      </c>
      <c r="D3332" s="1">
        <v>415</v>
      </c>
      <c r="E3332" s="1">
        <v>0</v>
      </c>
      <c r="H3332" t="s">
        <v>1050</v>
      </c>
      <c r="K3332" s="2"/>
      <c r="L3332" s="232">
        <f t="shared" si="50"/>
        <v>1002787</v>
      </c>
      <c r="M3332" s="232">
        <f t="shared" si="49"/>
        <v>1002787</v>
      </c>
      <c r="N3332">
        <f t="shared" si="48"/>
        <v>415</v>
      </c>
    </row>
    <row r="3333" spans="1:14" hidden="1">
      <c r="A3333" s="232">
        <v>44645</v>
      </c>
      <c r="C3333" t="s">
        <v>4494</v>
      </c>
      <c r="D3333" s="1">
        <v>0</v>
      </c>
      <c r="E3333" s="1">
        <v>1224011</v>
      </c>
      <c r="G3333" s="8" t="s">
        <v>1380</v>
      </c>
      <c r="H3333" t="s">
        <v>1050</v>
      </c>
      <c r="K3333" s="2"/>
      <c r="L3333" s="232">
        <f t="shared" si="50"/>
        <v>1003975</v>
      </c>
      <c r="M3333" s="232">
        <f t="shared" si="49"/>
        <v>1003975</v>
      </c>
      <c r="N3333">
        <f t="shared" si="48"/>
        <v>0</v>
      </c>
    </row>
    <row r="3334" spans="1:14" hidden="1">
      <c r="A3334" s="232">
        <v>44648</v>
      </c>
      <c r="C3334" t="s">
        <v>4495</v>
      </c>
      <c r="D3334" s="1">
        <v>500000</v>
      </c>
      <c r="E3334" s="1">
        <v>0</v>
      </c>
      <c r="G3334" s="8" t="s">
        <v>1363</v>
      </c>
      <c r="H3334" t="s">
        <v>1050</v>
      </c>
      <c r="K3334" s="2"/>
      <c r="L3334" s="232">
        <f t="shared" si="50"/>
        <v>1005161</v>
      </c>
      <c r="M3334" s="232">
        <f t="shared" si="49"/>
        <v>1005161</v>
      </c>
      <c r="N3334">
        <f t="shared" si="48"/>
        <v>500000</v>
      </c>
    </row>
    <row r="3335" spans="1:14" hidden="1">
      <c r="A3335" s="232">
        <v>44648</v>
      </c>
      <c r="C3335" t="s">
        <v>4496</v>
      </c>
      <c r="D3335" s="1">
        <v>2000</v>
      </c>
      <c r="E3335" s="1">
        <v>0</v>
      </c>
      <c r="G3335" s="8" t="s">
        <v>1372</v>
      </c>
      <c r="H3335" t="s">
        <v>1050</v>
      </c>
      <c r="K3335" s="2"/>
      <c r="L3335" s="232">
        <f t="shared" si="50"/>
        <v>1005161</v>
      </c>
      <c r="M3335" s="232">
        <f t="shared" si="49"/>
        <v>1005161</v>
      </c>
      <c r="N3335">
        <f t="shared" si="48"/>
        <v>2000</v>
      </c>
    </row>
    <row r="3336" spans="1:14" hidden="1">
      <c r="A3336" s="232">
        <v>44648</v>
      </c>
      <c r="C3336" t="s">
        <v>4497</v>
      </c>
      <c r="D3336" s="1">
        <v>10250</v>
      </c>
      <c r="E3336" s="1">
        <v>0</v>
      </c>
      <c r="G3336" s="8" t="s">
        <v>1372</v>
      </c>
      <c r="H3336" t="s">
        <v>1050</v>
      </c>
      <c r="K3336" s="2"/>
      <c r="L3336" s="232">
        <f t="shared" si="50"/>
        <v>1005161</v>
      </c>
      <c r="M3336" s="232">
        <f t="shared" si="49"/>
        <v>1005161</v>
      </c>
      <c r="N3336">
        <f t="shared" si="48"/>
        <v>10250</v>
      </c>
    </row>
    <row r="3337" spans="1:14" hidden="1">
      <c r="A3337" s="232">
        <v>44648</v>
      </c>
      <c r="C3337" t="s">
        <v>4498</v>
      </c>
      <c r="D3337" s="1">
        <v>25000</v>
      </c>
      <c r="E3337" s="1">
        <v>0</v>
      </c>
      <c r="G3337" s="8" t="s">
        <v>1381</v>
      </c>
      <c r="H3337" t="s">
        <v>1050</v>
      </c>
      <c r="K3337" s="2"/>
      <c r="L3337" s="232">
        <f t="shared" si="50"/>
        <v>1005161</v>
      </c>
      <c r="M3337" s="232">
        <f t="shared" si="49"/>
        <v>1005161</v>
      </c>
      <c r="N3337">
        <f t="shared" si="48"/>
        <v>25000</v>
      </c>
    </row>
    <row r="3338" spans="1:14" hidden="1">
      <c r="A3338" s="232">
        <v>44650</v>
      </c>
      <c r="C3338" t="s">
        <v>4499</v>
      </c>
      <c r="D3338" s="1">
        <v>0</v>
      </c>
      <c r="E3338" s="1">
        <v>1212</v>
      </c>
      <c r="G3338" s="8" t="s">
        <v>1368</v>
      </c>
      <c r="H3338" t="s">
        <v>1050</v>
      </c>
      <c r="K3338" s="2"/>
      <c r="L3338" s="232">
        <f t="shared" si="50"/>
        <v>1005954</v>
      </c>
      <c r="M3338" s="232">
        <f t="shared" si="49"/>
        <v>1005954</v>
      </c>
      <c r="N3338">
        <f t="shared" si="48"/>
        <v>0</v>
      </c>
    </row>
    <row r="3339" spans="1:14" hidden="1">
      <c r="A3339" s="232">
        <v>44651</v>
      </c>
      <c r="C3339" t="s">
        <v>4500</v>
      </c>
      <c r="D3339" s="1">
        <v>76</v>
      </c>
      <c r="E3339" s="1">
        <v>0</v>
      </c>
      <c r="H3339" t="s">
        <v>1050</v>
      </c>
      <c r="K3339" s="2"/>
      <c r="L3339" s="232">
        <f t="shared" si="50"/>
        <v>1006347</v>
      </c>
      <c r="M3339" s="232">
        <f t="shared" si="49"/>
        <v>1006347</v>
      </c>
      <c r="N3339">
        <f t="shared" ref="N3339:N3402" si="51">D3339*1</f>
        <v>76</v>
      </c>
    </row>
    <row r="3340" spans="1:14" hidden="1">
      <c r="A3340" s="232">
        <v>44470</v>
      </c>
      <c r="C3340" t="s">
        <v>4256</v>
      </c>
      <c r="E3340" s="1">
        <v>2538</v>
      </c>
      <c r="G3340" s="8" t="s">
        <v>1368</v>
      </c>
      <c r="H3340" t="s">
        <v>1336</v>
      </c>
      <c r="K3340" s="2"/>
      <c r="L3340" s="232">
        <f>M3340</f>
        <v>64236</v>
      </c>
      <c r="M3340" s="232">
        <f t="shared" ref="M3340:M3356" si="52">DATE(VALUE("20" &amp; RIGHT(A3340,2)), VALUE(MID(A3340,4,2)), VALUE(LEFT(A3340,2)))</f>
        <v>64236</v>
      </c>
      <c r="N3340">
        <f t="shared" si="51"/>
        <v>0</v>
      </c>
    </row>
    <row r="3341" spans="1:14" hidden="1">
      <c r="A3341" s="232">
        <v>44472</v>
      </c>
      <c r="C3341" t="s">
        <v>4501</v>
      </c>
      <c r="D3341" s="1">
        <v>25000</v>
      </c>
      <c r="E3341" s="1">
        <v>0</v>
      </c>
      <c r="G3341" s="8" t="s">
        <v>1379</v>
      </c>
      <c r="H3341" t="s">
        <v>1336</v>
      </c>
      <c r="K3341" s="2"/>
      <c r="L3341" s="232">
        <f t="shared" ref="L3341:L3356" si="53">M3341</f>
        <v>65028</v>
      </c>
      <c r="M3341" s="232">
        <f t="shared" si="52"/>
        <v>65028</v>
      </c>
      <c r="N3341">
        <f t="shared" si="51"/>
        <v>25000</v>
      </c>
    </row>
    <row r="3342" spans="1:14" hidden="1">
      <c r="A3342" s="232">
        <v>44474</v>
      </c>
      <c r="C3342" t="s">
        <v>4319</v>
      </c>
      <c r="D3342" s="1">
        <v>3115</v>
      </c>
      <c r="E3342" s="1">
        <v>0</v>
      </c>
      <c r="G3342" s="8" t="s">
        <v>1362</v>
      </c>
      <c r="H3342" t="s">
        <v>1336</v>
      </c>
      <c r="K3342" s="2"/>
      <c r="L3342" s="232">
        <f t="shared" si="53"/>
        <v>65820</v>
      </c>
      <c r="M3342" s="232">
        <f t="shared" si="52"/>
        <v>65820</v>
      </c>
      <c r="N3342">
        <f t="shared" si="51"/>
        <v>3115</v>
      </c>
    </row>
    <row r="3343" spans="1:14" hidden="1">
      <c r="A3343" s="232">
        <v>44503</v>
      </c>
      <c r="C3343" t="s">
        <v>4502</v>
      </c>
      <c r="D3343" s="1">
        <v>25000</v>
      </c>
      <c r="E3343" s="1">
        <v>0</v>
      </c>
      <c r="G3343" s="8" t="s">
        <v>1379</v>
      </c>
      <c r="H3343" t="s">
        <v>1336</v>
      </c>
      <c r="K3343" s="2"/>
      <c r="L3343" s="232">
        <f t="shared" si="53"/>
        <v>37724</v>
      </c>
      <c r="M3343" s="232">
        <f t="shared" si="52"/>
        <v>37724</v>
      </c>
      <c r="N3343">
        <f t="shared" si="51"/>
        <v>25000</v>
      </c>
    </row>
    <row r="3344" spans="1:14" hidden="1">
      <c r="A3344" s="232">
        <v>44504</v>
      </c>
      <c r="C3344" t="s">
        <v>4319</v>
      </c>
      <c r="D3344" s="1">
        <v>13913</v>
      </c>
      <c r="E3344" s="1">
        <v>0</v>
      </c>
      <c r="G3344" s="8" t="s">
        <v>1362</v>
      </c>
      <c r="H3344" t="s">
        <v>1336</v>
      </c>
      <c r="K3344" s="2"/>
      <c r="L3344" s="232">
        <f t="shared" si="53"/>
        <v>38121</v>
      </c>
      <c r="M3344" s="232">
        <f t="shared" si="52"/>
        <v>38121</v>
      </c>
      <c r="N3344">
        <f t="shared" si="51"/>
        <v>13913</v>
      </c>
    </row>
    <row r="3345" spans="1:14" hidden="1">
      <c r="A3345" s="232">
        <v>44533</v>
      </c>
      <c r="C3345" t="s">
        <v>4503</v>
      </c>
      <c r="D3345" s="1">
        <v>25000</v>
      </c>
      <c r="E3345" s="1">
        <v>0</v>
      </c>
      <c r="G3345" s="8" t="s">
        <v>1379</v>
      </c>
      <c r="H3345" t="s">
        <v>1336</v>
      </c>
      <c r="K3345" s="2"/>
      <c r="L3345" s="232">
        <f t="shared" si="53"/>
        <v>49596</v>
      </c>
      <c r="M3345" s="232">
        <f t="shared" si="52"/>
        <v>49596</v>
      </c>
      <c r="N3345">
        <f t="shared" si="51"/>
        <v>25000</v>
      </c>
    </row>
    <row r="3346" spans="1:14" hidden="1">
      <c r="A3346" s="232">
        <v>44535</v>
      </c>
      <c r="C3346" t="s">
        <v>4319</v>
      </c>
      <c r="D3346" s="1">
        <v>40261</v>
      </c>
      <c r="E3346" s="1">
        <v>0</v>
      </c>
      <c r="G3346" s="8" t="s">
        <v>1362</v>
      </c>
      <c r="H3346" t="s">
        <v>1336</v>
      </c>
      <c r="K3346" s="2"/>
      <c r="L3346" s="232">
        <f t="shared" si="53"/>
        <v>50388</v>
      </c>
      <c r="M3346" s="232">
        <f t="shared" si="52"/>
        <v>50388</v>
      </c>
      <c r="N3346">
        <f t="shared" si="51"/>
        <v>40261</v>
      </c>
    </row>
    <row r="3347" spans="1:14" hidden="1">
      <c r="A3347" s="232">
        <v>44562</v>
      </c>
      <c r="C3347" t="s">
        <v>4256</v>
      </c>
      <c r="E3347" s="1">
        <v>2238</v>
      </c>
      <c r="G3347" s="8" t="s">
        <v>1368</v>
      </c>
      <c r="H3347" t="s">
        <v>1336</v>
      </c>
      <c r="K3347" s="2"/>
      <c r="L3347" s="232">
        <f t="shared" si="53"/>
        <v>61072</v>
      </c>
      <c r="M3347" s="232">
        <f t="shared" si="52"/>
        <v>61072</v>
      </c>
      <c r="N3347">
        <f t="shared" si="51"/>
        <v>0</v>
      </c>
    </row>
    <row r="3348" spans="1:14" hidden="1">
      <c r="A3348" s="232">
        <v>44564</v>
      </c>
      <c r="C3348" t="s">
        <v>4504</v>
      </c>
      <c r="D3348" s="1">
        <v>25000</v>
      </c>
      <c r="E3348" s="1">
        <v>0</v>
      </c>
      <c r="G3348" s="8" t="s">
        <v>1379</v>
      </c>
      <c r="H3348" t="s">
        <v>1336</v>
      </c>
      <c r="K3348" s="2"/>
      <c r="L3348" s="232">
        <f t="shared" si="53"/>
        <v>61862</v>
      </c>
      <c r="M3348" s="232">
        <f t="shared" si="52"/>
        <v>61862</v>
      </c>
      <c r="N3348">
        <f t="shared" si="51"/>
        <v>25000</v>
      </c>
    </row>
    <row r="3349" spans="1:14" hidden="1">
      <c r="A3349" s="232">
        <v>44565</v>
      </c>
      <c r="C3349" t="s">
        <v>4319</v>
      </c>
      <c r="D3349" s="1">
        <v>21978</v>
      </c>
      <c r="E3349" s="1">
        <v>0</v>
      </c>
      <c r="G3349" s="8" t="s">
        <v>1362</v>
      </c>
      <c r="H3349" t="s">
        <v>1336</v>
      </c>
      <c r="K3349" s="2"/>
      <c r="L3349" s="232">
        <f t="shared" si="53"/>
        <v>62257</v>
      </c>
      <c r="M3349" s="232">
        <f t="shared" si="52"/>
        <v>62257</v>
      </c>
      <c r="N3349">
        <f t="shared" si="51"/>
        <v>21978</v>
      </c>
    </row>
    <row r="3350" spans="1:14" hidden="1">
      <c r="A3350" s="232">
        <v>44566</v>
      </c>
      <c r="C3350" t="s">
        <v>4505</v>
      </c>
      <c r="E3350" s="1">
        <v>200000</v>
      </c>
      <c r="G3350" s="8" t="s">
        <v>1363</v>
      </c>
      <c r="H3350" t="s">
        <v>1336</v>
      </c>
      <c r="K3350" s="2"/>
      <c r="L3350" s="232">
        <f t="shared" si="53"/>
        <v>62653</v>
      </c>
      <c r="M3350" s="232">
        <f t="shared" si="52"/>
        <v>62653</v>
      </c>
      <c r="N3350">
        <f t="shared" si="51"/>
        <v>0</v>
      </c>
    </row>
    <row r="3351" spans="1:14" hidden="1">
      <c r="A3351" s="232">
        <v>44595</v>
      </c>
      <c r="C3351" t="s">
        <v>4506</v>
      </c>
      <c r="D3351" s="1">
        <v>25000</v>
      </c>
      <c r="E3351" s="1">
        <v>0</v>
      </c>
      <c r="G3351" s="8" t="s">
        <v>1379</v>
      </c>
      <c r="H3351" t="s">
        <v>1336</v>
      </c>
      <c r="K3351" s="2"/>
      <c r="L3351" s="232">
        <f t="shared" si="53"/>
        <v>74128</v>
      </c>
      <c r="M3351" s="232">
        <f t="shared" si="52"/>
        <v>74128</v>
      </c>
      <c r="N3351">
        <f t="shared" si="51"/>
        <v>25000</v>
      </c>
    </row>
    <row r="3352" spans="1:14" hidden="1">
      <c r="A3352" s="232">
        <v>44596</v>
      </c>
      <c r="C3352" t="s">
        <v>4319</v>
      </c>
      <c r="D3352" s="1">
        <v>55392</v>
      </c>
      <c r="E3352" s="1">
        <v>0</v>
      </c>
      <c r="G3352" s="8" t="s">
        <v>1362</v>
      </c>
      <c r="H3352" t="s">
        <v>1336</v>
      </c>
      <c r="K3352" s="2"/>
      <c r="L3352" s="232">
        <f t="shared" si="53"/>
        <v>74523</v>
      </c>
      <c r="M3352" s="232">
        <f t="shared" si="52"/>
        <v>74523</v>
      </c>
      <c r="N3352">
        <f t="shared" si="51"/>
        <v>55392</v>
      </c>
    </row>
    <row r="3353" spans="1:14" hidden="1">
      <c r="A3353" s="232">
        <v>44623</v>
      </c>
      <c r="C3353" t="s">
        <v>4507</v>
      </c>
      <c r="D3353" s="1">
        <v>25000</v>
      </c>
      <c r="E3353" s="1">
        <v>0</v>
      </c>
      <c r="G3353" s="8" t="s">
        <v>1379</v>
      </c>
      <c r="H3353" t="s">
        <v>1336</v>
      </c>
      <c r="K3353" s="2"/>
      <c r="L3353" s="232">
        <f t="shared" si="53"/>
        <v>45640</v>
      </c>
      <c r="M3353" s="232">
        <f t="shared" si="52"/>
        <v>45640</v>
      </c>
      <c r="N3353">
        <f t="shared" si="51"/>
        <v>25000</v>
      </c>
    </row>
    <row r="3354" spans="1:14" hidden="1">
      <c r="A3354" s="232">
        <v>44627</v>
      </c>
      <c r="C3354" t="s">
        <v>4319</v>
      </c>
      <c r="D3354" s="1">
        <v>21334</v>
      </c>
      <c r="E3354" s="1">
        <v>0</v>
      </c>
      <c r="G3354" s="8" t="s">
        <v>1362</v>
      </c>
      <c r="H3354" t="s">
        <v>1336</v>
      </c>
      <c r="K3354" s="2"/>
      <c r="L3354" s="232">
        <f t="shared" si="53"/>
        <v>47221</v>
      </c>
      <c r="M3354" s="232">
        <f t="shared" si="52"/>
        <v>47221</v>
      </c>
      <c r="N3354">
        <f t="shared" si="51"/>
        <v>21334</v>
      </c>
    </row>
    <row r="3355" spans="1:14" hidden="1">
      <c r="A3355" s="232">
        <v>44648</v>
      </c>
      <c r="C3355" t="s">
        <v>4508</v>
      </c>
      <c r="E3355" s="1">
        <v>52</v>
      </c>
      <c r="H3355" t="s">
        <v>1336</v>
      </c>
      <c r="K3355" s="2"/>
      <c r="L3355" s="232">
        <f t="shared" si="53"/>
        <v>55531</v>
      </c>
      <c r="M3355" s="232">
        <f t="shared" si="52"/>
        <v>55531</v>
      </c>
      <c r="N3355">
        <f t="shared" si="51"/>
        <v>0</v>
      </c>
    </row>
    <row r="3356" spans="1:14" hidden="1">
      <c r="A3356" s="232">
        <v>44652</v>
      </c>
      <c r="C3356" t="s">
        <v>4256</v>
      </c>
      <c r="E3356" s="1">
        <v>2360</v>
      </c>
      <c r="G3356" s="8" t="s">
        <v>1368</v>
      </c>
      <c r="H3356" t="s">
        <v>1336</v>
      </c>
      <c r="K3356" s="2"/>
      <c r="L3356" s="232">
        <f t="shared" si="53"/>
        <v>57114</v>
      </c>
      <c r="M3356" s="232">
        <f t="shared" si="52"/>
        <v>57114</v>
      </c>
      <c r="N3356">
        <f t="shared" si="51"/>
        <v>0</v>
      </c>
    </row>
    <row r="3357" spans="1:14" hidden="1">
      <c r="A3357" s="268">
        <v>44653</v>
      </c>
      <c r="C3357" s="237" t="s">
        <v>4509</v>
      </c>
      <c r="D3357" s="276">
        <v>500</v>
      </c>
      <c r="E3357" s="276">
        <v>0</v>
      </c>
      <c r="G3357" s="8" t="s">
        <v>1363</v>
      </c>
      <c r="H3357" t="s">
        <v>1050</v>
      </c>
      <c r="K3357" s="69"/>
      <c r="L3357" s="232">
        <f>M3357</f>
        <v>1007139</v>
      </c>
      <c r="M3357" s="232">
        <f>DATE(VALUE(RIGHT(A3357,4)), VALUE(MID(A3357,4,2)), VALUE(LEFT(A3357,2)))</f>
        <v>1007139</v>
      </c>
      <c r="N3357">
        <f t="shared" si="51"/>
        <v>500</v>
      </c>
    </row>
    <row r="3358" spans="1:14" hidden="1">
      <c r="A3358" s="268">
        <v>44653</v>
      </c>
      <c r="C3358" s="237" t="s">
        <v>4510</v>
      </c>
      <c r="D3358" s="276">
        <v>695907.38</v>
      </c>
      <c r="E3358" s="276">
        <v>0</v>
      </c>
      <c r="G3358" s="8" t="s">
        <v>1370</v>
      </c>
      <c r="H3358" t="s">
        <v>1050</v>
      </c>
      <c r="K3358" s="69"/>
      <c r="L3358" s="232">
        <f t="shared" ref="L3358:L3421" si="54">M3358</f>
        <v>1007139</v>
      </c>
      <c r="M3358" s="232">
        <f t="shared" ref="M3358:M3421" si="55">DATE(VALUE(RIGHT(A3358,4)), VALUE(MID(A3358,4,2)), VALUE(LEFT(A3358,2)))</f>
        <v>1007139</v>
      </c>
      <c r="N3358">
        <f t="shared" si="51"/>
        <v>695907.38</v>
      </c>
    </row>
    <row r="3359" spans="1:14" hidden="1">
      <c r="A3359" s="268">
        <v>44655</v>
      </c>
      <c r="C3359" s="237" t="s">
        <v>4511</v>
      </c>
      <c r="D3359" s="276">
        <v>2000</v>
      </c>
      <c r="E3359" s="276">
        <v>0</v>
      </c>
      <c r="H3359" t="s">
        <v>1050</v>
      </c>
      <c r="K3359" s="69"/>
      <c r="L3359" s="232">
        <f t="shared" si="54"/>
        <v>1007930</v>
      </c>
      <c r="M3359" s="232">
        <f t="shared" si="55"/>
        <v>1007930</v>
      </c>
      <c r="N3359">
        <f t="shared" si="51"/>
        <v>2000</v>
      </c>
    </row>
    <row r="3360" spans="1:14" hidden="1">
      <c r="A3360" s="268">
        <v>44655</v>
      </c>
      <c r="C3360" s="237" t="s">
        <v>4512</v>
      </c>
      <c r="D3360" s="276">
        <v>0</v>
      </c>
      <c r="E3360" s="276">
        <v>3</v>
      </c>
      <c r="H3360" t="s">
        <v>1050</v>
      </c>
      <c r="K3360" s="69"/>
      <c r="L3360" s="232">
        <f t="shared" si="54"/>
        <v>1007930</v>
      </c>
      <c r="M3360" s="232">
        <f t="shared" si="55"/>
        <v>1007930</v>
      </c>
      <c r="N3360">
        <f t="shared" si="51"/>
        <v>0</v>
      </c>
    </row>
    <row r="3361" spans="1:14" hidden="1">
      <c r="A3361" s="268">
        <v>44655</v>
      </c>
      <c r="C3361" s="237" t="s">
        <v>4513</v>
      </c>
      <c r="D3361" s="276">
        <v>10250</v>
      </c>
      <c r="E3361" s="276">
        <v>0</v>
      </c>
      <c r="G3361" s="8" t="s">
        <v>1372</v>
      </c>
      <c r="H3361" t="s">
        <v>1050</v>
      </c>
      <c r="K3361" s="69"/>
      <c r="L3361" s="232">
        <f t="shared" si="54"/>
        <v>1007930</v>
      </c>
      <c r="M3361" s="232">
        <f t="shared" si="55"/>
        <v>1007930</v>
      </c>
      <c r="N3361">
        <f t="shared" si="51"/>
        <v>10250</v>
      </c>
    </row>
    <row r="3362" spans="1:14" hidden="1">
      <c r="A3362" s="268">
        <v>44655</v>
      </c>
      <c r="C3362" s="237" t="s">
        <v>4514</v>
      </c>
      <c r="D3362" s="276">
        <v>6906</v>
      </c>
      <c r="E3362" s="276">
        <v>0</v>
      </c>
      <c r="H3362" t="s">
        <v>1050</v>
      </c>
      <c r="K3362" s="69"/>
      <c r="L3362" s="232">
        <f t="shared" si="54"/>
        <v>1007930</v>
      </c>
      <c r="M3362" s="232">
        <f t="shared" si="55"/>
        <v>1007930</v>
      </c>
      <c r="N3362">
        <f t="shared" si="51"/>
        <v>6906</v>
      </c>
    </row>
    <row r="3363" spans="1:14" hidden="1">
      <c r="A3363" s="268">
        <v>44655</v>
      </c>
      <c r="C3363" s="237" t="s">
        <v>4127</v>
      </c>
      <c r="D3363" s="276">
        <v>150000</v>
      </c>
      <c r="E3363" s="276">
        <v>0</v>
      </c>
      <c r="G3363" s="8" t="s">
        <v>1378</v>
      </c>
      <c r="H3363" t="s">
        <v>1050</v>
      </c>
      <c r="K3363" s="69"/>
      <c r="L3363" s="232">
        <f t="shared" si="54"/>
        <v>1007930</v>
      </c>
      <c r="M3363" s="232">
        <f t="shared" si="55"/>
        <v>1007930</v>
      </c>
      <c r="N3363">
        <f t="shared" si="51"/>
        <v>150000</v>
      </c>
    </row>
    <row r="3364" spans="1:14" hidden="1">
      <c r="A3364" s="268">
        <v>44656</v>
      </c>
      <c r="C3364" s="237" t="s">
        <v>4157</v>
      </c>
      <c r="D3364" s="276">
        <v>0</v>
      </c>
      <c r="E3364" s="276">
        <v>25000</v>
      </c>
      <c r="G3364" s="8" t="s">
        <v>1379</v>
      </c>
      <c r="H3364" t="s">
        <v>1050</v>
      </c>
      <c r="K3364" s="69"/>
      <c r="L3364" s="232">
        <f t="shared" si="54"/>
        <v>1008327</v>
      </c>
      <c r="M3364" s="232">
        <f t="shared" si="55"/>
        <v>1008327</v>
      </c>
      <c r="N3364">
        <f t="shared" si="51"/>
        <v>0</v>
      </c>
    </row>
    <row r="3365" spans="1:14" hidden="1">
      <c r="A3365" s="268">
        <v>44656</v>
      </c>
      <c r="C3365" s="237" t="s">
        <v>4158</v>
      </c>
      <c r="D3365" s="276">
        <v>0</v>
      </c>
      <c r="E3365" s="276">
        <v>653</v>
      </c>
      <c r="G3365" s="8" t="s">
        <v>1379</v>
      </c>
      <c r="H3365" t="s">
        <v>1050</v>
      </c>
      <c r="K3365" s="69"/>
      <c r="L3365" s="232">
        <f t="shared" si="54"/>
        <v>1008327</v>
      </c>
      <c r="M3365" s="232">
        <f t="shared" si="55"/>
        <v>1008327</v>
      </c>
      <c r="N3365">
        <f t="shared" si="51"/>
        <v>0</v>
      </c>
    </row>
    <row r="3366" spans="1:14" hidden="1">
      <c r="A3366" s="268">
        <v>44656</v>
      </c>
      <c r="C3366" s="237" t="s">
        <v>4515</v>
      </c>
      <c r="D3366" s="276">
        <v>9644</v>
      </c>
      <c r="E3366" s="276">
        <v>0</v>
      </c>
      <c r="H3366" t="s">
        <v>1050</v>
      </c>
      <c r="K3366" s="69"/>
      <c r="L3366" s="232">
        <f t="shared" si="54"/>
        <v>1008327</v>
      </c>
      <c r="M3366" s="232">
        <f t="shared" si="55"/>
        <v>1008327</v>
      </c>
      <c r="N3366">
        <f t="shared" si="51"/>
        <v>9644</v>
      </c>
    </row>
    <row r="3367" spans="1:14" hidden="1">
      <c r="A3367" s="268">
        <v>44656</v>
      </c>
      <c r="C3367" s="237" t="s">
        <v>4157</v>
      </c>
      <c r="D3367" s="276">
        <v>0</v>
      </c>
      <c r="E3367" s="276">
        <v>10000</v>
      </c>
      <c r="G3367" s="8" t="s">
        <v>1379</v>
      </c>
      <c r="H3367" t="s">
        <v>1050</v>
      </c>
      <c r="K3367" s="69"/>
      <c r="L3367" s="232">
        <f t="shared" si="54"/>
        <v>1008327</v>
      </c>
      <c r="M3367" s="232">
        <f t="shared" si="55"/>
        <v>1008327</v>
      </c>
      <c r="N3367">
        <f t="shared" si="51"/>
        <v>0</v>
      </c>
    </row>
    <row r="3368" spans="1:14" hidden="1">
      <c r="A3368" s="268">
        <v>44656</v>
      </c>
      <c r="C3368" s="237" t="s">
        <v>4158</v>
      </c>
      <c r="D3368" s="276">
        <v>0</v>
      </c>
      <c r="E3368" s="276">
        <v>262</v>
      </c>
      <c r="G3368" s="8" t="s">
        <v>1379</v>
      </c>
      <c r="H3368" t="s">
        <v>1050</v>
      </c>
      <c r="K3368" s="69"/>
      <c r="L3368" s="232">
        <f t="shared" si="54"/>
        <v>1008327</v>
      </c>
      <c r="M3368" s="232">
        <f t="shared" si="55"/>
        <v>1008327</v>
      </c>
      <c r="N3368">
        <f t="shared" si="51"/>
        <v>0</v>
      </c>
    </row>
    <row r="3369" spans="1:14" hidden="1">
      <c r="A3369" s="268">
        <v>44659</v>
      </c>
      <c r="C3369" s="237" t="s">
        <v>4516</v>
      </c>
      <c r="D3369" s="276">
        <v>367</v>
      </c>
      <c r="E3369" s="276">
        <v>0</v>
      </c>
      <c r="H3369" t="s">
        <v>1050</v>
      </c>
      <c r="K3369" s="69"/>
      <c r="L3369" s="232">
        <f t="shared" si="54"/>
        <v>1009514</v>
      </c>
      <c r="M3369" s="232">
        <f t="shared" si="55"/>
        <v>1009514</v>
      </c>
      <c r="N3369">
        <f t="shared" si="51"/>
        <v>367</v>
      </c>
    </row>
    <row r="3370" spans="1:14" hidden="1">
      <c r="A3370" s="268">
        <v>44662</v>
      </c>
      <c r="C3370" s="237" t="s">
        <v>4517</v>
      </c>
      <c r="D3370" s="276">
        <v>10250</v>
      </c>
      <c r="E3370" s="276">
        <v>0</v>
      </c>
      <c r="G3370" s="8" t="s">
        <v>1372</v>
      </c>
      <c r="H3370" t="s">
        <v>1050</v>
      </c>
      <c r="K3370" s="69"/>
      <c r="L3370" s="232">
        <f t="shared" si="54"/>
        <v>1010702</v>
      </c>
      <c r="M3370" s="232">
        <f t="shared" si="55"/>
        <v>1010702</v>
      </c>
      <c r="N3370">
        <f t="shared" si="51"/>
        <v>10250</v>
      </c>
    </row>
    <row r="3371" spans="1:14" hidden="1">
      <c r="A3371" s="268">
        <v>44662</v>
      </c>
      <c r="C3371" s="237" t="s">
        <v>4132</v>
      </c>
      <c r="D3371" s="276">
        <v>18640.060000000001</v>
      </c>
      <c r="E3371" s="276">
        <v>0</v>
      </c>
      <c r="G3371" s="8" t="s">
        <v>1362</v>
      </c>
      <c r="H3371" t="s">
        <v>1050</v>
      </c>
      <c r="K3371" s="69"/>
      <c r="L3371" s="232">
        <f t="shared" si="54"/>
        <v>1010702</v>
      </c>
      <c r="M3371" s="232">
        <f t="shared" si="55"/>
        <v>1010702</v>
      </c>
      <c r="N3371">
        <f t="shared" si="51"/>
        <v>18640.060000000001</v>
      </c>
    </row>
    <row r="3372" spans="1:14" hidden="1">
      <c r="A3372" s="268">
        <v>44662</v>
      </c>
      <c r="C3372" s="237" t="s">
        <v>4518</v>
      </c>
      <c r="D3372" s="276">
        <v>200000</v>
      </c>
      <c r="E3372" s="276">
        <v>0</v>
      </c>
      <c r="G3372" s="8" t="s">
        <v>1363</v>
      </c>
      <c r="H3372" t="s">
        <v>1050</v>
      </c>
      <c r="K3372" s="69"/>
      <c r="L3372" s="232">
        <f t="shared" si="54"/>
        <v>1010702</v>
      </c>
      <c r="M3372" s="232">
        <f t="shared" si="55"/>
        <v>1010702</v>
      </c>
      <c r="N3372">
        <f t="shared" si="51"/>
        <v>200000</v>
      </c>
    </row>
    <row r="3373" spans="1:14" hidden="1">
      <c r="A3373" s="268">
        <v>44662</v>
      </c>
      <c r="C3373" s="237" t="s">
        <v>4519</v>
      </c>
      <c r="D3373" s="276">
        <v>10000</v>
      </c>
      <c r="E3373" s="276">
        <v>0</v>
      </c>
      <c r="H3373" t="s">
        <v>1050</v>
      </c>
      <c r="K3373" s="69"/>
      <c r="L3373" s="232">
        <f t="shared" si="54"/>
        <v>1010702</v>
      </c>
      <c r="M3373" s="232">
        <f t="shared" si="55"/>
        <v>1010702</v>
      </c>
      <c r="N3373">
        <f t="shared" si="51"/>
        <v>10000</v>
      </c>
    </row>
    <row r="3374" spans="1:14" hidden="1">
      <c r="A3374" s="268">
        <v>44662</v>
      </c>
      <c r="C3374" s="237" t="s">
        <v>4520</v>
      </c>
      <c r="D3374" s="276">
        <v>0</v>
      </c>
      <c r="E3374" s="276">
        <v>10000</v>
      </c>
      <c r="H3374" t="s">
        <v>1050</v>
      </c>
      <c r="K3374" s="69"/>
      <c r="L3374" s="232">
        <f t="shared" si="54"/>
        <v>1010702</v>
      </c>
      <c r="M3374" s="232">
        <f t="shared" si="55"/>
        <v>1010702</v>
      </c>
      <c r="N3374">
        <f t="shared" si="51"/>
        <v>0</v>
      </c>
    </row>
    <row r="3375" spans="1:14" hidden="1">
      <c r="A3375" s="268">
        <v>44662</v>
      </c>
      <c r="C3375" s="237" t="s">
        <v>4157</v>
      </c>
      <c r="D3375" s="276">
        <v>0</v>
      </c>
      <c r="E3375" s="276">
        <v>230000</v>
      </c>
      <c r="G3375" s="8" t="s">
        <v>1379</v>
      </c>
      <c r="H3375" t="s">
        <v>1050</v>
      </c>
      <c r="K3375" s="69"/>
      <c r="L3375" s="232">
        <f t="shared" si="54"/>
        <v>1010702</v>
      </c>
      <c r="M3375" s="232">
        <f t="shared" si="55"/>
        <v>1010702</v>
      </c>
      <c r="N3375">
        <f t="shared" si="51"/>
        <v>0</v>
      </c>
    </row>
    <row r="3376" spans="1:14" hidden="1">
      <c r="A3376" s="268">
        <v>44662</v>
      </c>
      <c r="C3376" s="237" t="s">
        <v>4158</v>
      </c>
      <c r="D3376" s="276">
        <v>0</v>
      </c>
      <c r="E3376" s="276">
        <v>6154</v>
      </c>
      <c r="G3376" s="8" t="s">
        <v>1379</v>
      </c>
      <c r="H3376" t="s">
        <v>1050</v>
      </c>
      <c r="K3376" s="69"/>
      <c r="L3376" s="232">
        <f t="shared" si="54"/>
        <v>1010702</v>
      </c>
      <c r="M3376" s="232">
        <f t="shared" si="55"/>
        <v>1010702</v>
      </c>
      <c r="N3376">
        <f t="shared" si="51"/>
        <v>0</v>
      </c>
    </row>
    <row r="3377" spans="1:14" hidden="1">
      <c r="A3377" s="268">
        <v>44663</v>
      </c>
      <c r="C3377" s="237" t="s">
        <v>4521</v>
      </c>
      <c r="D3377" s="276">
        <v>68</v>
      </c>
      <c r="E3377" s="276">
        <v>0</v>
      </c>
      <c r="H3377" t="s">
        <v>1050</v>
      </c>
      <c r="K3377" s="69"/>
      <c r="L3377" s="232">
        <f t="shared" si="54"/>
        <v>1011096</v>
      </c>
      <c r="M3377" s="232">
        <f t="shared" si="55"/>
        <v>1011096</v>
      </c>
      <c r="N3377">
        <f t="shared" si="51"/>
        <v>68</v>
      </c>
    </row>
    <row r="3378" spans="1:14" hidden="1">
      <c r="A3378" s="268">
        <v>44663</v>
      </c>
      <c r="C3378" s="237" t="s">
        <v>4522</v>
      </c>
      <c r="D3378" s="276">
        <v>15.5</v>
      </c>
      <c r="E3378" s="276">
        <v>0</v>
      </c>
      <c r="H3378" t="s">
        <v>1050</v>
      </c>
      <c r="K3378" s="69"/>
      <c r="L3378" s="232">
        <f t="shared" si="54"/>
        <v>1011096</v>
      </c>
      <c r="M3378" s="232">
        <f t="shared" si="55"/>
        <v>1011096</v>
      </c>
      <c r="N3378">
        <f t="shared" si="51"/>
        <v>15.5</v>
      </c>
    </row>
    <row r="3379" spans="1:14" hidden="1">
      <c r="A3379" s="268">
        <v>44663</v>
      </c>
      <c r="C3379" s="237" t="s">
        <v>4523</v>
      </c>
      <c r="D3379" s="276">
        <v>250</v>
      </c>
      <c r="E3379" s="276">
        <v>0</v>
      </c>
      <c r="H3379" t="s">
        <v>1050</v>
      </c>
      <c r="K3379" s="69"/>
      <c r="L3379" s="232">
        <f t="shared" si="54"/>
        <v>1011096</v>
      </c>
      <c r="M3379" s="232">
        <f t="shared" si="55"/>
        <v>1011096</v>
      </c>
      <c r="N3379">
        <f t="shared" si="51"/>
        <v>250</v>
      </c>
    </row>
    <row r="3380" spans="1:14" hidden="1">
      <c r="A3380" s="268">
        <v>44665</v>
      </c>
      <c r="C3380" s="237" t="s">
        <v>4524</v>
      </c>
      <c r="D3380" s="276">
        <v>10000</v>
      </c>
      <c r="E3380" s="276">
        <v>0</v>
      </c>
      <c r="H3380" t="s">
        <v>1050</v>
      </c>
      <c r="K3380" s="69"/>
      <c r="L3380" s="232">
        <f t="shared" si="54"/>
        <v>1011887</v>
      </c>
      <c r="M3380" s="232">
        <f t="shared" si="55"/>
        <v>1011887</v>
      </c>
      <c r="N3380">
        <f t="shared" si="51"/>
        <v>10000</v>
      </c>
    </row>
    <row r="3381" spans="1:14" hidden="1">
      <c r="A3381" s="268">
        <v>44665</v>
      </c>
      <c r="C3381" s="237" t="s">
        <v>4525</v>
      </c>
      <c r="D3381" s="276">
        <v>0</v>
      </c>
      <c r="E3381" s="276">
        <v>4</v>
      </c>
      <c r="H3381" t="s">
        <v>1050</v>
      </c>
      <c r="K3381" s="69"/>
      <c r="L3381" s="232">
        <f t="shared" si="54"/>
        <v>1011887</v>
      </c>
      <c r="M3381" s="232">
        <f t="shared" si="55"/>
        <v>1011887</v>
      </c>
      <c r="N3381">
        <f t="shared" si="51"/>
        <v>0</v>
      </c>
    </row>
    <row r="3382" spans="1:14" hidden="1">
      <c r="A3382" s="268">
        <v>44665</v>
      </c>
      <c r="C3382" s="237" t="s">
        <v>4526</v>
      </c>
      <c r="D3382" s="276">
        <v>281</v>
      </c>
      <c r="E3382" s="276">
        <v>0</v>
      </c>
      <c r="H3382" t="s">
        <v>1050</v>
      </c>
      <c r="K3382" s="69"/>
      <c r="L3382" s="232">
        <f t="shared" si="54"/>
        <v>1011887</v>
      </c>
      <c r="M3382" s="232">
        <f t="shared" si="55"/>
        <v>1011887</v>
      </c>
      <c r="N3382">
        <f t="shared" si="51"/>
        <v>281</v>
      </c>
    </row>
    <row r="3383" spans="1:14" hidden="1">
      <c r="A3383" s="268">
        <v>44665</v>
      </c>
      <c r="C3383" s="237" t="s">
        <v>4527</v>
      </c>
      <c r="D3383" s="276">
        <v>17</v>
      </c>
      <c r="E3383" s="276">
        <v>0</v>
      </c>
      <c r="H3383" t="s">
        <v>1050</v>
      </c>
      <c r="K3383" s="69"/>
      <c r="L3383" s="232">
        <f t="shared" si="54"/>
        <v>1011887</v>
      </c>
      <c r="M3383" s="232">
        <f t="shared" si="55"/>
        <v>1011887</v>
      </c>
      <c r="N3383">
        <f t="shared" si="51"/>
        <v>17</v>
      </c>
    </row>
    <row r="3384" spans="1:14" hidden="1">
      <c r="A3384" s="268">
        <v>44665</v>
      </c>
      <c r="C3384" s="237" t="s">
        <v>4157</v>
      </c>
      <c r="D3384" s="276">
        <v>0</v>
      </c>
      <c r="E3384" s="276">
        <v>5000</v>
      </c>
      <c r="G3384" s="8" t="s">
        <v>1379</v>
      </c>
      <c r="H3384" t="s">
        <v>1050</v>
      </c>
      <c r="K3384" s="69"/>
      <c r="L3384" s="232">
        <f t="shared" si="54"/>
        <v>1011887</v>
      </c>
      <c r="M3384" s="232">
        <f t="shared" si="55"/>
        <v>1011887</v>
      </c>
      <c r="N3384">
        <f t="shared" si="51"/>
        <v>0</v>
      </c>
    </row>
    <row r="3385" spans="1:14" hidden="1">
      <c r="A3385" s="268">
        <v>44667</v>
      </c>
      <c r="C3385" s="237" t="s">
        <v>4528</v>
      </c>
      <c r="D3385" s="276">
        <v>9990</v>
      </c>
      <c r="E3385" s="276">
        <v>0</v>
      </c>
      <c r="G3385" s="8" t="s">
        <v>1383</v>
      </c>
      <c r="H3385" t="s">
        <v>1050</v>
      </c>
      <c r="K3385" s="69"/>
      <c r="L3385" s="232">
        <f t="shared" si="54"/>
        <v>1012679</v>
      </c>
      <c r="M3385" s="232">
        <f t="shared" si="55"/>
        <v>1012679</v>
      </c>
      <c r="N3385">
        <f t="shared" si="51"/>
        <v>9990</v>
      </c>
    </row>
    <row r="3386" spans="1:14" hidden="1">
      <c r="A3386" s="268">
        <v>44667</v>
      </c>
      <c r="C3386" s="237" t="s">
        <v>4157</v>
      </c>
      <c r="D3386" s="276">
        <v>0</v>
      </c>
      <c r="E3386" s="276">
        <v>10000</v>
      </c>
      <c r="G3386" s="8" t="s">
        <v>1379</v>
      </c>
      <c r="H3386" t="s">
        <v>1050</v>
      </c>
      <c r="K3386" s="69"/>
      <c r="L3386" s="232">
        <f t="shared" si="54"/>
        <v>1012679</v>
      </c>
      <c r="M3386" s="232">
        <f t="shared" si="55"/>
        <v>1012679</v>
      </c>
      <c r="N3386">
        <f t="shared" si="51"/>
        <v>0</v>
      </c>
    </row>
    <row r="3387" spans="1:14" hidden="1">
      <c r="A3387" s="268">
        <v>44667</v>
      </c>
      <c r="C3387" s="237" t="s">
        <v>4158</v>
      </c>
      <c r="D3387" s="276">
        <v>0</v>
      </c>
      <c r="E3387" s="276">
        <v>135</v>
      </c>
      <c r="G3387" s="8" t="s">
        <v>1379</v>
      </c>
      <c r="H3387" t="s">
        <v>1050</v>
      </c>
      <c r="K3387" s="69"/>
      <c r="L3387" s="232">
        <f t="shared" si="54"/>
        <v>1012679</v>
      </c>
      <c r="M3387" s="232">
        <f t="shared" si="55"/>
        <v>1012679</v>
      </c>
      <c r="N3387">
        <f t="shared" si="51"/>
        <v>0</v>
      </c>
    </row>
    <row r="3388" spans="1:14" hidden="1">
      <c r="A3388" s="268">
        <v>44669</v>
      </c>
      <c r="C3388" s="237" t="s">
        <v>4158</v>
      </c>
      <c r="D3388" s="276">
        <v>0</v>
      </c>
      <c r="E3388" s="276">
        <v>273</v>
      </c>
      <c r="G3388" s="8" t="s">
        <v>1379</v>
      </c>
      <c r="H3388" t="s">
        <v>1050</v>
      </c>
      <c r="K3388" s="69"/>
      <c r="L3388" s="232">
        <f t="shared" si="54"/>
        <v>1013471</v>
      </c>
      <c r="M3388" s="232">
        <f t="shared" si="55"/>
        <v>1013471</v>
      </c>
      <c r="N3388">
        <f t="shared" si="51"/>
        <v>0</v>
      </c>
    </row>
    <row r="3389" spans="1:14" hidden="1">
      <c r="A3389" s="268">
        <v>44669</v>
      </c>
      <c r="C3389" s="237" t="s">
        <v>4529</v>
      </c>
      <c r="D3389" s="276">
        <v>10250</v>
      </c>
      <c r="E3389" s="276">
        <v>0</v>
      </c>
      <c r="G3389" s="8" t="s">
        <v>1372</v>
      </c>
      <c r="H3389" t="s">
        <v>1050</v>
      </c>
      <c r="K3389" s="69"/>
      <c r="L3389" s="232">
        <f t="shared" si="54"/>
        <v>1013471</v>
      </c>
      <c r="M3389" s="232">
        <f t="shared" si="55"/>
        <v>1013471</v>
      </c>
      <c r="N3389">
        <f t="shared" si="51"/>
        <v>10250</v>
      </c>
    </row>
    <row r="3390" spans="1:14" hidden="1">
      <c r="A3390" s="268">
        <v>44669</v>
      </c>
      <c r="C3390" s="237" t="s">
        <v>4157</v>
      </c>
      <c r="D3390" s="276">
        <v>0</v>
      </c>
      <c r="E3390" s="276">
        <v>10000</v>
      </c>
      <c r="G3390" s="8" t="s">
        <v>1379</v>
      </c>
      <c r="H3390" t="s">
        <v>1050</v>
      </c>
      <c r="K3390" s="69"/>
      <c r="L3390" s="232">
        <f t="shared" si="54"/>
        <v>1013471</v>
      </c>
      <c r="M3390" s="232">
        <f t="shared" si="55"/>
        <v>1013471</v>
      </c>
      <c r="N3390">
        <f t="shared" si="51"/>
        <v>0</v>
      </c>
    </row>
    <row r="3391" spans="1:14" hidden="1">
      <c r="A3391" s="268">
        <v>44669</v>
      </c>
      <c r="C3391" s="237" t="s">
        <v>4158</v>
      </c>
      <c r="D3391" s="276">
        <v>0</v>
      </c>
      <c r="E3391" s="276">
        <v>275</v>
      </c>
      <c r="G3391" s="8" t="s">
        <v>1379</v>
      </c>
      <c r="H3391" t="s">
        <v>1050</v>
      </c>
      <c r="K3391" s="69"/>
      <c r="L3391" s="232">
        <f t="shared" si="54"/>
        <v>1013471</v>
      </c>
      <c r="M3391" s="232">
        <f t="shared" si="55"/>
        <v>1013471</v>
      </c>
      <c r="N3391">
        <f t="shared" si="51"/>
        <v>0</v>
      </c>
    </row>
    <row r="3392" spans="1:14" hidden="1">
      <c r="A3392" s="268">
        <v>44669</v>
      </c>
      <c r="C3392" s="237" t="s">
        <v>4530</v>
      </c>
      <c r="D3392" s="276">
        <v>1375</v>
      </c>
      <c r="E3392" s="276">
        <v>0</v>
      </c>
      <c r="H3392" t="s">
        <v>1050</v>
      </c>
      <c r="K3392" s="69"/>
      <c r="L3392" s="232">
        <f t="shared" si="54"/>
        <v>1013471</v>
      </c>
      <c r="M3392" s="232">
        <f t="shared" si="55"/>
        <v>1013471</v>
      </c>
      <c r="N3392">
        <f t="shared" si="51"/>
        <v>1375</v>
      </c>
    </row>
    <row r="3393" spans="1:14" hidden="1">
      <c r="A3393" s="268">
        <v>44671</v>
      </c>
      <c r="C3393" s="237" t="s">
        <v>4531</v>
      </c>
      <c r="D3393" s="276">
        <v>110</v>
      </c>
      <c r="E3393" s="276">
        <v>0</v>
      </c>
      <c r="H3393" t="s">
        <v>1050</v>
      </c>
      <c r="K3393" s="69"/>
      <c r="L3393" s="232">
        <f t="shared" si="54"/>
        <v>1014263</v>
      </c>
      <c r="M3393" s="232">
        <f t="shared" si="55"/>
        <v>1014263</v>
      </c>
      <c r="N3393">
        <f t="shared" si="51"/>
        <v>110</v>
      </c>
    </row>
    <row r="3394" spans="1:14" hidden="1">
      <c r="A3394" s="268">
        <v>44672</v>
      </c>
      <c r="C3394" s="237" t="s">
        <v>4532</v>
      </c>
      <c r="D3394" s="276">
        <v>33333</v>
      </c>
      <c r="E3394" s="276">
        <v>0</v>
      </c>
      <c r="G3394" s="8" t="s">
        <v>1381</v>
      </c>
      <c r="H3394" t="s">
        <v>1050</v>
      </c>
      <c r="K3394" s="69"/>
      <c r="L3394" s="232">
        <f t="shared" si="54"/>
        <v>1014658</v>
      </c>
      <c r="M3394" s="232">
        <f t="shared" si="55"/>
        <v>1014658</v>
      </c>
      <c r="N3394">
        <f t="shared" si="51"/>
        <v>33333</v>
      </c>
    </row>
    <row r="3395" spans="1:14" hidden="1">
      <c r="A3395" s="268">
        <v>44672</v>
      </c>
      <c r="C3395" s="237" t="s">
        <v>4157</v>
      </c>
      <c r="D3395" s="276">
        <v>0</v>
      </c>
      <c r="E3395" s="276">
        <v>35000</v>
      </c>
      <c r="G3395" s="8" t="s">
        <v>1379</v>
      </c>
      <c r="H3395" t="s">
        <v>1050</v>
      </c>
      <c r="K3395" s="69"/>
      <c r="L3395" s="232">
        <f t="shared" si="54"/>
        <v>1014658</v>
      </c>
      <c r="M3395" s="232">
        <f t="shared" si="55"/>
        <v>1014658</v>
      </c>
      <c r="N3395">
        <f t="shared" si="51"/>
        <v>0</v>
      </c>
    </row>
    <row r="3396" spans="1:14" hidden="1">
      <c r="A3396" s="268">
        <v>44672</v>
      </c>
      <c r="C3396" s="237" t="s">
        <v>4158</v>
      </c>
      <c r="D3396" s="276">
        <v>0</v>
      </c>
      <c r="E3396" s="276">
        <v>970</v>
      </c>
      <c r="G3396" s="8" t="s">
        <v>1379</v>
      </c>
      <c r="H3396" t="s">
        <v>1050</v>
      </c>
      <c r="K3396" s="69"/>
      <c r="L3396" s="232">
        <f t="shared" si="54"/>
        <v>1014658</v>
      </c>
      <c r="M3396" s="232">
        <f t="shared" si="55"/>
        <v>1014658</v>
      </c>
      <c r="N3396">
        <f t="shared" si="51"/>
        <v>0</v>
      </c>
    </row>
    <row r="3397" spans="1:14" hidden="1">
      <c r="A3397" s="268">
        <v>44676</v>
      </c>
      <c r="C3397" s="237" t="s">
        <v>4533</v>
      </c>
      <c r="D3397" s="276">
        <v>404</v>
      </c>
      <c r="E3397" s="276">
        <v>0</v>
      </c>
      <c r="H3397" t="s">
        <v>1050</v>
      </c>
      <c r="K3397" s="69"/>
      <c r="L3397" s="232">
        <f t="shared" si="54"/>
        <v>1016240</v>
      </c>
      <c r="M3397" s="232">
        <f t="shared" si="55"/>
        <v>1016240</v>
      </c>
      <c r="N3397">
        <f t="shared" si="51"/>
        <v>404</v>
      </c>
    </row>
    <row r="3398" spans="1:14" hidden="1">
      <c r="A3398" s="268">
        <v>44676</v>
      </c>
      <c r="C3398" s="237" t="s">
        <v>4534</v>
      </c>
      <c r="D3398" s="276">
        <v>225</v>
      </c>
      <c r="E3398" s="276">
        <v>0</v>
      </c>
      <c r="H3398" t="s">
        <v>1050</v>
      </c>
      <c r="K3398" s="69"/>
      <c r="L3398" s="232">
        <f t="shared" si="54"/>
        <v>1016240</v>
      </c>
      <c r="M3398" s="232">
        <f t="shared" si="55"/>
        <v>1016240</v>
      </c>
      <c r="N3398">
        <f t="shared" si="51"/>
        <v>225</v>
      </c>
    </row>
    <row r="3399" spans="1:14" hidden="1">
      <c r="A3399" s="268">
        <v>44676</v>
      </c>
      <c r="C3399" s="237" t="s">
        <v>4535</v>
      </c>
      <c r="D3399" s="276">
        <v>1200</v>
      </c>
      <c r="E3399" s="276">
        <v>0</v>
      </c>
      <c r="H3399" t="s">
        <v>1050</v>
      </c>
      <c r="K3399" s="69"/>
      <c r="L3399" s="232">
        <f t="shared" si="54"/>
        <v>1016240</v>
      </c>
      <c r="M3399" s="232">
        <f t="shared" si="55"/>
        <v>1016240</v>
      </c>
      <c r="N3399">
        <f t="shared" si="51"/>
        <v>1200</v>
      </c>
    </row>
    <row r="3400" spans="1:14" hidden="1">
      <c r="A3400" s="268">
        <v>44676</v>
      </c>
      <c r="C3400" s="237" t="s">
        <v>4536</v>
      </c>
      <c r="D3400" s="276">
        <v>10250</v>
      </c>
      <c r="E3400" s="276">
        <v>0</v>
      </c>
      <c r="G3400" s="8" t="s">
        <v>1372</v>
      </c>
      <c r="H3400" t="s">
        <v>1050</v>
      </c>
      <c r="K3400" s="69"/>
      <c r="L3400" s="232">
        <f t="shared" si="54"/>
        <v>1016240</v>
      </c>
      <c r="M3400" s="232">
        <f t="shared" si="55"/>
        <v>1016240</v>
      </c>
      <c r="N3400">
        <f t="shared" si="51"/>
        <v>10250</v>
      </c>
    </row>
    <row r="3401" spans="1:14" hidden="1">
      <c r="A3401" s="268">
        <v>44676</v>
      </c>
      <c r="C3401" s="237" t="s">
        <v>4157</v>
      </c>
      <c r="D3401" s="276">
        <v>0</v>
      </c>
      <c r="E3401" s="276">
        <v>10000</v>
      </c>
      <c r="G3401" s="8" t="s">
        <v>1379</v>
      </c>
      <c r="H3401" t="s">
        <v>1050</v>
      </c>
      <c r="K3401" s="69"/>
      <c r="L3401" s="232">
        <f t="shared" si="54"/>
        <v>1016240</v>
      </c>
      <c r="M3401" s="232">
        <f t="shared" si="55"/>
        <v>1016240</v>
      </c>
      <c r="N3401">
        <f t="shared" si="51"/>
        <v>0</v>
      </c>
    </row>
    <row r="3402" spans="1:14" hidden="1">
      <c r="A3402" s="268">
        <v>44676</v>
      </c>
      <c r="C3402" s="237" t="s">
        <v>4158</v>
      </c>
      <c r="D3402" s="276">
        <v>0</v>
      </c>
      <c r="E3402" s="276">
        <v>281</v>
      </c>
      <c r="G3402" s="8" t="s">
        <v>1379</v>
      </c>
      <c r="H3402" t="s">
        <v>1050</v>
      </c>
      <c r="K3402" s="69"/>
      <c r="L3402" s="232">
        <f t="shared" si="54"/>
        <v>1016240</v>
      </c>
      <c r="M3402" s="232">
        <f t="shared" si="55"/>
        <v>1016240</v>
      </c>
      <c r="N3402">
        <f t="shared" si="51"/>
        <v>0</v>
      </c>
    </row>
    <row r="3403" spans="1:14" hidden="1">
      <c r="A3403" s="268">
        <v>44677</v>
      </c>
      <c r="C3403" s="237" t="s">
        <v>4537</v>
      </c>
      <c r="D3403" s="276">
        <v>0</v>
      </c>
      <c r="E3403" s="276">
        <v>297908</v>
      </c>
      <c r="G3403" s="8" t="s">
        <v>1380</v>
      </c>
      <c r="H3403" t="s">
        <v>1050</v>
      </c>
      <c r="K3403" s="69"/>
      <c r="L3403" s="232">
        <f t="shared" si="54"/>
        <v>1016635</v>
      </c>
      <c r="M3403" s="232">
        <f t="shared" si="55"/>
        <v>1016635</v>
      </c>
      <c r="N3403">
        <f t="shared" ref="N3403:N3466" si="56">D3403*1</f>
        <v>0</v>
      </c>
    </row>
    <row r="3404" spans="1:14" hidden="1">
      <c r="A3404" s="268">
        <v>44678</v>
      </c>
      <c r="C3404" s="237" t="s">
        <v>4538</v>
      </c>
      <c r="D3404" s="276">
        <v>265</v>
      </c>
      <c r="E3404" s="276">
        <v>0</v>
      </c>
      <c r="H3404" t="s">
        <v>1050</v>
      </c>
      <c r="K3404" s="69"/>
      <c r="L3404" s="232">
        <f t="shared" si="54"/>
        <v>1017032</v>
      </c>
      <c r="M3404" s="232">
        <f t="shared" si="55"/>
        <v>1017032</v>
      </c>
      <c r="N3404">
        <f t="shared" si="56"/>
        <v>265</v>
      </c>
    </row>
    <row r="3405" spans="1:14" hidden="1">
      <c r="A3405" s="268">
        <v>44678</v>
      </c>
      <c r="C3405" s="237" t="s">
        <v>4539</v>
      </c>
      <c r="D3405" s="276">
        <v>0</v>
      </c>
      <c r="E3405" s="276">
        <v>3</v>
      </c>
      <c r="H3405" t="s">
        <v>1050</v>
      </c>
      <c r="K3405" s="69"/>
      <c r="L3405" s="232">
        <f t="shared" si="54"/>
        <v>1017032</v>
      </c>
      <c r="M3405" s="232">
        <f t="shared" si="55"/>
        <v>1017032</v>
      </c>
      <c r="N3405">
        <f t="shared" si="56"/>
        <v>0</v>
      </c>
    </row>
    <row r="3406" spans="1:14" hidden="1">
      <c r="A3406" s="268">
        <v>44678</v>
      </c>
      <c r="C3406" s="237" t="s">
        <v>4540</v>
      </c>
      <c r="D3406" s="276">
        <v>150000</v>
      </c>
      <c r="E3406" s="276">
        <v>0</v>
      </c>
      <c r="G3406" s="8" t="s">
        <v>1363</v>
      </c>
      <c r="H3406" t="s">
        <v>1050</v>
      </c>
      <c r="K3406" s="69"/>
      <c r="L3406" s="232">
        <f t="shared" si="54"/>
        <v>1017032</v>
      </c>
      <c r="M3406" s="232">
        <f t="shared" si="55"/>
        <v>1017032</v>
      </c>
      <c r="N3406">
        <f t="shared" si="56"/>
        <v>150000</v>
      </c>
    </row>
    <row r="3407" spans="1:14" hidden="1">
      <c r="A3407" s="268">
        <v>44679</v>
      </c>
      <c r="C3407" s="237" t="s">
        <v>4541</v>
      </c>
      <c r="D3407" s="276">
        <v>2000</v>
      </c>
      <c r="E3407" s="276">
        <v>0</v>
      </c>
      <c r="G3407" s="8" t="s">
        <v>1372</v>
      </c>
      <c r="H3407" t="s">
        <v>1050</v>
      </c>
      <c r="K3407" s="69"/>
      <c r="L3407" s="232">
        <f t="shared" si="54"/>
        <v>1017427</v>
      </c>
      <c r="M3407" s="232">
        <f t="shared" si="55"/>
        <v>1017427</v>
      </c>
      <c r="N3407">
        <f t="shared" si="56"/>
        <v>2000</v>
      </c>
    </row>
    <row r="3408" spans="1:14" hidden="1">
      <c r="A3408" s="268">
        <v>44679</v>
      </c>
      <c r="C3408" s="237" t="s">
        <v>4542</v>
      </c>
      <c r="D3408" s="276">
        <v>25000</v>
      </c>
      <c r="E3408" s="276">
        <v>0</v>
      </c>
      <c r="G3408" s="8" t="s">
        <v>1381</v>
      </c>
      <c r="H3408" t="s">
        <v>1050</v>
      </c>
      <c r="K3408" s="69"/>
      <c r="L3408" s="232">
        <f t="shared" si="54"/>
        <v>1017427</v>
      </c>
      <c r="M3408" s="232">
        <f t="shared" si="55"/>
        <v>1017427</v>
      </c>
      <c r="N3408">
        <f t="shared" si="56"/>
        <v>25000</v>
      </c>
    </row>
    <row r="3409" spans="1:14" hidden="1">
      <c r="A3409" s="268">
        <v>44680</v>
      </c>
      <c r="C3409" s="237" t="s">
        <v>4543</v>
      </c>
      <c r="D3409" s="276">
        <v>355</v>
      </c>
      <c r="E3409" s="276">
        <v>0</v>
      </c>
      <c r="H3409" t="s">
        <v>1050</v>
      </c>
      <c r="K3409" s="69"/>
      <c r="L3409" s="232">
        <f t="shared" si="54"/>
        <v>1017823</v>
      </c>
      <c r="M3409" s="232">
        <f t="shared" si="55"/>
        <v>1017823</v>
      </c>
      <c r="N3409">
        <f t="shared" si="56"/>
        <v>355</v>
      </c>
    </row>
    <row r="3410" spans="1:14" hidden="1">
      <c r="A3410" s="268">
        <v>44681</v>
      </c>
      <c r="C3410" s="237" t="s">
        <v>4544</v>
      </c>
      <c r="D3410" s="276">
        <v>100</v>
      </c>
      <c r="E3410" s="276">
        <v>0</v>
      </c>
      <c r="H3410" t="s">
        <v>1050</v>
      </c>
      <c r="K3410" s="69"/>
      <c r="L3410" s="232">
        <f t="shared" si="54"/>
        <v>1018219</v>
      </c>
      <c r="M3410" s="232">
        <f t="shared" si="55"/>
        <v>1018219</v>
      </c>
      <c r="N3410">
        <f t="shared" si="56"/>
        <v>100</v>
      </c>
    </row>
    <row r="3411" spans="1:14" hidden="1">
      <c r="A3411" s="268">
        <v>44683</v>
      </c>
      <c r="C3411" s="237" t="s">
        <v>4545</v>
      </c>
      <c r="D3411" s="276">
        <v>500</v>
      </c>
      <c r="E3411" s="276">
        <v>0</v>
      </c>
      <c r="G3411" s="8" t="s">
        <v>1363</v>
      </c>
      <c r="H3411" t="s">
        <v>1050</v>
      </c>
      <c r="K3411" s="69"/>
      <c r="L3411" s="232">
        <f t="shared" si="54"/>
        <v>1019011</v>
      </c>
      <c r="M3411" s="232">
        <f t="shared" si="55"/>
        <v>1019011</v>
      </c>
      <c r="N3411">
        <f t="shared" si="56"/>
        <v>500</v>
      </c>
    </row>
    <row r="3412" spans="1:14" hidden="1">
      <c r="A3412" s="268">
        <v>44683</v>
      </c>
      <c r="C3412" s="237" t="s">
        <v>4546</v>
      </c>
      <c r="D3412" s="276">
        <v>190</v>
      </c>
      <c r="E3412" s="276">
        <v>0</v>
      </c>
      <c r="H3412" t="s">
        <v>1050</v>
      </c>
      <c r="K3412" s="69"/>
      <c r="L3412" s="232">
        <f t="shared" si="54"/>
        <v>1019011</v>
      </c>
      <c r="M3412" s="232">
        <f t="shared" si="55"/>
        <v>1019011</v>
      </c>
      <c r="N3412">
        <f t="shared" si="56"/>
        <v>190</v>
      </c>
    </row>
    <row r="3413" spans="1:14" hidden="1">
      <c r="A3413" s="268">
        <v>44683</v>
      </c>
      <c r="C3413" s="237" t="s">
        <v>4547</v>
      </c>
      <c r="D3413" s="276">
        <v>10250</v>
      </c>
      <c r="E3413" s="276">
        <v>0</v>
      </c>
      <c r="G3413" s="8" t="s">
        <v>1372</v>
      </c>
      <c r="H3413" t="s">
        <v>1050</v>
      </c>
      <c r="K3413" s="69"/>
      <c r="L3413" s="232">
        <f t="shared" si="54"/>
        <v>1019011</v>
      </c>
      <c r="M3413" s="232">
        <f t="shared" si="55"/>
        <v>1019011</v>
      </c>
      <c r="N3413">
        <f t="shared" si="56"/>
        <v>10250</v>
      </c>
    </row>
    <row r="3414" spans="1:14" hidden="1">
      <c r="A3414" s="268">
        <v>44684</v>
      </c>
      <c r="C3414" s="237" t="s">
        <v>4548</v>
      </c>
      <c r="D3414" s="276">
        <v>2000</v>
      </c>
      <c r="E3414" s="276">
        <v>0</v>
      </c>
      <c r="H3414" t="s">
        <v>1050</v>
      </c>
      <c r="K3414" s="69"/>
      <c r="L3414" s="232">
        <f t="shared" si="54"/>
        <v>1019406</v>
      </c>
      <c r="M3414" s="232">
        <f t="shared" si="55"/>
        <v>1019406</v>
      </c>
      <c r="N3414">
        <f t="shared" si="56"/>
        <v>2000</v>
      </c>
    </row>
    <row r="3415" spans="1:14" hidden="1">
      <c r="A3415" s="268">
        <v>44685</v>
      </c>
      <c r="C3415" s="237" t="s">
        <v>4549</v>
      </c>
      <c r="D3415" s="276">
        <v>11049</v>
      </c>
      <c r="E3415" s="276">
        <v>0</v>
      </c>
      <c r="H3415" t="s">
        <v>1050</v>
      </c>
      <c r="K3415" s="69"/>
      <c r="L3415" s="232">
        <f t="shared" si="54"/>
        <v>1019802</v>
      </c>
      <c r="M3415" s="232">
        <f t="shared" si="55"/>
        <v>1019802</v>
      </c>
      <c r="N3415">
        <f t="shared" si="56"/>
        <v>11049</v>
      </c>
    </row>
    <row r="3416" spans="1:14" hidden="1">
      <c r="A3416" s="268">
        <v>44687</v>
      </c>
      <c r="C3416" s="237" t="s">
        <v>4550</v>
      </c>
      <c r="D3416" s="276">
        <v>464</v>
      </c>
      <c r="E3416" s="276">
        <v>0</v>
      </c>
      <c r="H3416" t="s">
        <v>1050</v>
      </c>
      <c r="K3416" s="69"/>
      <c r="L3416" s="232">
        <f t="shared" si="54"/>
        <v>1020592</v>
      </c>
      <c r="M3416" s="232">
        <f t="shared" si="55"/>
        <v>1020592</v>
      </c>
      <c r="N3416">
        <f t="shared" si="56"/>
        <v>464</v>
      </c>
    </row>
    <row r="3417" spans="1:14" hidden="1">
      <c r="A3417" s="268">
        <v>44690</v>
      </c>
      <c r="C3417" s="237" t="s">
        <v>4551</v>
      </c>
      <c r="D3417" s="276">
        <v>10250</v>
      </c>
      <c r="E3417" s="276">
        <v>0</v>
      </c>
      <c r="G3417" s="8" t="s">
        <v>1372</v>
      </c>
      <c r="H3417" t="s">
        <v>1050</v>
      </c>
      <c r="K3417" s="69"/>
      <c r="L3417" s="232">
        <f t="shared" si="54"/>
        <v>1021780</v>
      </c>
      <c r="M3417" s="232">
        <f t="shared" si="55"/>
        <v>1021780</v>
      </c>
      <c r="N3417">
        <f t="shared" si="56"/>
        <v>10250</v>
      </c>
    </row>
    <row r="3418" spans="1:14" hidden="1">
      <c r="A3418" s="268">
        <v>44690</v>
      </c>
      <c r="C3418" s="237" t="s">
        <v>4552</v>
      </c>
      <c r="D3418" s="276">
        <v>0</v>
      </c>
      <c r="E3418" s="276">
        <v>385.68</v>
      </c>
      <c r="G3418" s="8" t="s">
        <v>1380</v>
      </c>
      <c r="H3418" t="s">
        <v>1050</v>
      </c>
      <c r="K3418" s="69"/>
      <c r="L3418" s="232">
        <f t="shared" si="54"/>
        <v>1021780</v>
      </c>
      <c r="M3418" s="232">
        <f t="shared" si="55"/>
        <v>1021780</v>
      </c>
      <c r="N3418">
        <f t="shared" si="56"/>
        <v>0</v>
      </c>
    </row>
    <row r="3419" spans="1:14" hidden="1">
      <c r="A3419" s="268">
        <v>44690</v>
      </c>
      <c r="C3419" s="237" t="s">
        <v>4553</v>
      </c>
      <c r="D3419" s="276">
        <v>6000</v>
      </c>
      <c r="E3419" s="276">
        <v>0</v>
      </c>
      <c r="H3419" t="s">
        <v>1050</v>
      </c>
      <c r="K3419" s="69"/>
      <c r="L3419" s="232">
        <f t="shared" si="54"/>
        <v>1021780</v>
      </c>
      <c r="M3419" s="232">
        <f t="shared" si="55"/>
        <v>1021780</v>
      </c>
      <c r="N3419">
        <f t="shared" si="56"/>
        <v>6000</v>
      </c>
    </row>
    <row r="3420" spans="1:14" hidden="1">
      <c r="A3420" s="268">
        <v>44691</v>
      </c>
      <c r="C3420" s="237" t="s">
        <v>4132</v>
      </c>
      <c r="D3420" s="276">
        <v>147422.85</v>
      </c>
      <c r="E3420" s="276">
        <v>0</v>
      </c>
      <c r="G3420" s="8" t="s">
        <v>1362</v>
      </c>
      <c r="H3420" t="s">
        <v>1050</v>
      </c>
      <c r="K3420" s="69"/>
      <c r="L3420" s="232">
        <f t="shared" si="54"/>
        <v>1022175</v>
      </c>
      <c r="M3420" s="232">
        <f t="shared" si="55"/>
        <v>1022175</v>
      </c>
      <c r="N3420">
        <f t="shared" si="56"/>
        <v>147422.85</v>
      </c>
    </row>
    <row r="3421" spans="1:14" hidden="1">
      <c r="A3421" s="268">
        <v>44691</v>
      </c>
      <c r="C3421" s="237" t="s">
        <v>4554</v>
      </c>
      <c r="D3421" s="276">
        <v>0</v>
      </c>
      <c r="E3421" s="276">
        <v>10000</v>
      </c>
      <c r="H3421" t="s">
        <v>1050</v>
      </c>
      <c r="K3421" s="69"/>
      <c r="L3421" s="232">
        <f t="shared" si="54"/>
        <v>1022175</v>
      </c>
      <c r="M3421" s="232">
        <f t="shared" si="55"/>
        <v>1022175</v>
      </c>
      <c r="N3421">
        <f t="shared" si="56"/>
        <v>0</v>
      </c>
    </row>
    <row r="3422" spans="1:14" hidden="1">
      <c r="A3422" s="268">
        <v>44691</v>
      </c>
      <c r="C3422" s="237" t="s">
        <v>4157</v>
      </c>
      <c r="D3422" s="276">
        <v>0</v>
      </c>
      <c r="E3422" s="276">
        <v>55000</v>
      </c>
      <c r="G3422" s="8" t="s">
        <v>1379</v>
      </c>
      <c r="H3422" t="s">
        <v>1050</v>
      </c>
      <c r="K3422" s="69"/>
      <c r="L3422" s="232">
        <f t="shared" ref="L3422:L3485" si="57">M3422</f>
        <v>1022175</v>
      </c>
      <c r="M3422" s="232">
        <f t="shared" ref="M3422:M3485" si="58">DATE(VALUE(RIGHT(A3422,4)), VALUE(MID(A3422,4,2)), VALUE(LEFT(A3422,2)))</f>
        <v>1022175</v>
      </c>
      <c r="N3422">
        <f t="shared" si="56"/>
        <v>0</v>
      </c>
    </row>
    <row r="3423" spans="1:14" hidden="1">
      <c r="A3423" s="268">
        <v>44691</v>
      </c>
      <c r="C3423" s="237" t="s">
        <v>4158</v>
      </c>
      <c r="D3423" s="276">
        <v>0</v>
      </c>
      <c r="E3423" s="276">
        <v>1920</v>
      </c>
      <c r="G3423" s="8" t="s">
        <v>1379</v>
      </c>
      <c r="H3423" t="s">
        <v>1050</v>
      </c>
      <c r="K3423" s="69"/>
      <c r="L3423" s="232">
        <f t="shared" si="57"/>
        <v>1022175</v>
      </c>
      <c r="M3423" s="232">
        <f t="shared" si="58"/>
        <v>1022175</v>
      </c>
      <c r="N3423">
        <f t="shared" si="56"/>
        <v>0</v>
      </c>
    </row>
    <row r="3424" spans="1:14" hidden="1">
      <c r="A3424" s="268">
        <v>44697</v>
      </c>
      <c r="C3424" s="237" t="s">
        <v>4555</v>
      </c>
      <c r="D3424" s="276">
        <v>680</v>
      </c>
      <c r="E3424" s="276">
        <v>0</v>
      </c>
      <c r="H3424" t="s">
        <v>1050</v>
      </c>
      <c r="K3424" s="69"/>
      <c r="L3424" s="232">
        <f t="shared" si="57"/>
        <v>1024550</v>
      </c>
      <c r="M3424" s="232">
        <f t="shared" si="58"/>
        <v>1024550</v>
      </c>
      <c r="N3424">
        <f t="shared" si="56"/>
        <v>680</v>
      </c>
    </row>
    <row r="3425" spans="1:14" hidden="1">
      <c r="A3425" s="268">
        <v>44697</v>
      </c>
      <c r="C3425" s="237" t="s">
        <v>4556</v>
      </c>
      <c r="D3425" s="276">
        <v>10250</v>
      </c>
      <c r="E3425" s="276">
        <v>0</v>
      </c>
      <c r="G3425" s="8" t="s">
        <v>1372</v>
      </c>
      <c r="H3425" t="s">
        <v>1050</v>
      </c>
      <c r="K3425" s="69"/>
      <c r="L3425" s="232">
        <f t="shared" si="57"/>
        <v>1024550</v>
      </c>
      <c r="M3425" s="232">
        <f t="shared" si="58"/>
        <v>1024550</v>
      </c>
      <c r="N3425">
        <f t="shared" si="56"/>
        <v>10250</v>
      </c>
    </row>
    <row r="3426" spans="1:14" hidden="1">
      <c r="A3426" s="268">
        <v>44697</v>
      </c>
      <c r="C3426" s="237" t="s">
        <v>4557</v>
      </c>
      <c r="D3426" s="276">
        <v>283</v>
      </c>
      <c r="E3426" s="276">
        <v>0</v>
      </c>
      <c r="H3426" t="s">
        <v>1050</v>
      </c>
      <c r="K3426" s="69"/>
      <c r="L3426" s="232">
        <f t="shared" si="57"/>
        <v>1024550</v>
      </c>
      <c r="M3426" s="232">
        <f t="shared" si="58"/>
        <v>1024550</v>
      </c>
      <c r="N3426">
        <f t="shared" si="56"/>
        <v>283</v>
      </c>
    </row>
    <row r="3427" spans="1:14" hidden="1">
      <c r="A3427" s="268">
        <v>44697</v>
      </c>
      <c r="C3427" s="237" t="s">
        <v>4558</v>
      </c>
      <c r="D3427" s="276">
        <v>9990</v>
      </c>
      <c r="E3427" s="276">
        <v>0</v>
      </c>
      <c r="G3427" s="8" t="s">
        <v>1383</v>
      </c>
      <c r="H3427" t="s">
        <v>1050</v>
      </c>
      <c r="K3427" s="69"/>
      <c r="L3427" s="232">
        <f t="shared" si="57"/>
        <v>1024550</v>
      </c>
      <c r="M3427" s="232">
        <f t="shared" si="58"/>
        <v>1024550</v>
      </c>
      <c r="N3427">
        <f t="shared" si="56"/>
        <v>9990</v>
      </c>
    </row>
    <row r="3428" spans="1:14" hidden="1">
      <c r="A3428" s="268">
        <v>44697</v>
      </c>
      <c r="C3428" s="237" t="s">
        <v>4157</v>
      </c>
      <c r="D3428" s="276">
        <v>0</v>
      </c>
      <c r="E3428" s="276">
        <v>20000</v>
      </c>
      <c r="G3428" s="8" t="s">
        <v>1379</v>
      </c>
      <c r="H3428" t="s">
        <v>1050</v>
      </c>
      <c r="K3428" s="69"/>
      <c r="L3428" s="232">
        <f t="shared" si="57"/>
        <v>1024550</v>
      </c>
      <c r="M3428" s="232">
        <f t="shared" si="58"/>
        <v>1024550</v>
      </c>
      <c r="N3428">
        <f t="shared" si="56"/>
        <v>0</v>
      </c>
    </row>
    <row r="3429" spans="1:14" hidden="1">
      <c r="A3429" s="268">
        <v>44698</v>
      </c>
      <c r="C3429" s="237" t="s">
        <v>4158</v>
      </c>
      <c r="D3429" s="276">
        <v>0</v>
      </c>
      <c r="E3429" s="276">
        <v>711</v>
      </c>
      <c r="G3429" s="8" t="s">
        <v>1379</v>
      </c>
      <c r="H3429" t="s">
        <v>1050</v>
      </c>
      <c r="K3429" s="69"/>
      <c r="L3429" s="232">
        <f t="shared" si="57"/>
        <v>1024946</v>
      </c>
      <c r="M3429" s="232">
        <f t="shared" si="58"/>
        <v>1024946</v>
      </c>
      <c r="N3429">
        <f t="shared" si="56"/>
        <v>0</v>
      </c>
    </row>
    <row r="3430" spans="1:14" hidden="1">
      <c r="A3430" s="268">
        <v>44701</v>
      </c>
      <c r="C3430" s="237" t="s">
        <v>4559</v>
      </c>
      <c r="D3430" s="276">
        <v>339</v>
      </c>
      <c r="E3430" s="276">
        <v>0</v>
      </c>
      <c r="H3430" t="s">
        <v>1050</v>
      </c>
      <c r="K3430" s="69"/>
      <c r="L3430" s="232">
        <f t="shared" si="57"/>
        <v>1023089</v>
      </c>
      <c r="M3430" s="232">
        <f t="shared" si="58"/>
        <v>1023089</v>
      </c>
      <c r="N3430">
        <f t="shared" si="56"/>
        <v>339</v>
      </c>
    </row>
    <row r="3431" spans="1:14" hidden="1">
      <c r="A3431" s="268">
        <v>44701</v>
      </c>
      <c r="C3431" s="237" t="s">
        <v>4560</v>
      </c>
      <c r="D3431" s="276">
        <v>100</v>
      </c>
      <c r="E3431" s="276">
        <v>0</v>
      </c>
      <c r="H3431" t="s">
        <v>1050</v>
      </c>
      <c r="K3431" s="69"/>
      <c r="L3431" s="232">
        <f t="shared" si="57"/>
        <v>1023089</v>
      </c>
      <c r="M3431" s="232">
        <f t="shared" si="58"/>
        <v>1023089</v>
      </c>
      <c r="N3431">
        <f t="shared" si="56"/>
        <v>100</v>
      </c>
    </row>
    <row r="3432" spans="1:14" hidden="1">
      <c r="A3432" s="268">
        <v>44701</v>
      </c>
      <c r="C3432" s="237" t="s">
        <v>4561</v>
      </c>
      <c r="D3432" s="276">
        <v>270570</v>
      </c>
      <c r="E3432" s="276">
        <v>0</v>
      </c>
      <c r="G3432" s="8" t="s">
        <v>1370</v>
      </c>
      <c r="H3432" t="s">
        <v>1050</v>
      </c>
      <c r="K3432" s="69"/>
      <c r="L3432" s="232">
        <f t="shared" si="57"/>
        <v>1023089</v>
      </c>
      <c r="M3432" s="232">
        <f t="shared" si="58"/>
        <v>1023089</v>
      </c>
      <c r="N3432">
        <f t="shared" si="56"/>
        <v>270570</v>
      </c>
    </row>
    <row r="3433" spans="1:14" hidden="1">
      <c r="A3433" s="268">
        <v>44701</v>
      </c>
      <c r="C3433" s="237" t="s">
        <v>4562</v>
      </c>
      <c r="D3433" s="276">
        <v>797.5</v>
      </c>
      <c r="E3433" s="276">
        <v>0</v>
      </c>
      <c r="H3433" t="s">
        <v>1050</v>
      </c>
      <c r="K3433" s="69"/>
      <c r="L3433" s="232">
        <f t="shared" si="57"/>
        <v>1023089</v>
      </c>
      <c r="M3433" s="232">
        <f t="shared" si="58"/>
        <v>1023089</v>
      </c>
      <c r="N3433">
        <f t="shared" si="56"/>
        <v>797.5</v>
      </c>
    </row>
    <row r="3434" spans="1:14" hidden="1">
      <c r="A3434" s="268">
        <v>44701</v>
      </c>
      <c r="C3434" s="237" t="s">
        <v>4157</v>
      </c>
      <c r="D3434" s="276">
        <v>0</v>
      </c>
      <c r="E3434" s="276">
        <v>270000</v>
      </c>
      <c r="G3434" s="8" t="s">
        <v>1379</v>
      </c>
      <c r="H3434" t="s">
        <v>1050</v>
      </c>
      <c r="K3434" s="69"/>
      <c r="L3434" s="232">
        <f t="shared" si="57"/>
        <v>1023089</v>
      </c>
      <c r="M3434" s="232">
        <f t="shared" si="58"/>
        <v>1023089</v>
      </c>
      <c r="N3434">
        <f t="shared" si="56"/>
        <v>0</v>
      </c>
    </row>
    <row r="3435" spans="1:14" hidden="1">
      <c r="A3435" s="268">
        <v>44701</v>
      </c>
      <c r="C3435" s="237" t="s">
        <v>4158</v>
      </c>
      <c r="D3435" s="276">
        <v>0</v>
      </c>
      <c r="E3435" s="276">
        <v>9727</v>
      </c>
      <c r="G3435" s="8" t="s">
        <v>1379</v>
      </c>
      <c r="H3435" t="s">
        <v>1050</v>
      </c>
      <c r="K3435" s="69"/>
      <c r="L3435" s="232">
        <f t="shared" si="57"/>
        <v>1023089</v>
      </c>
      <c r="M3435" s="232">
        <f t="shared" si="58"/>
        <v>1023089</v>
      </c>
      <c r="N3435">
        <f t="shared" si="56"/>
        <v>0</v>
      </c>
    </row>
    <row r="3436" spans="1:14" hidden="1">
      <c r="A3436" s="268">
        <v>44702</v>
      </c>
      <c r="C3436" s="237" t="s">
        <v>4563</v>
      </c>
      <c r="D3436" s="276">
        <v>33333</v>
      </c>
      <c r="E3436" s="276">
        <v>0</v>
      </c>
      <c r="G3436" s="8" t="s">
        <v>1381</v>
      </c>
      <c r="H3436" t="s">
        <v>1050</v>
      </c>
      <c r="K3436" s="69"/>
      <c r="L3436" s="232">
        <f t="shared" si="57"/>
        <v>1023485</v>
      </c>
      <c r="M3436" s="232">
        <f t="shared" si="58"/>
        <v>1023485</v>
      </c>
      <c r="N3436">
        <f t="shared" si="56"/>
        <v>33333</v>
      </c>
    </row>
    <row r="3437" spans="1:14" hidden="1">
      <c r="A3437" s="268">
        <v>44702</v>
      </c>
      <c r="C3437" s="237" t="s">
        <v>4157</v>
      </c>
      <c r="D3437" s="276">
        <v>0</v>
      </c>
      <c r="E3437" s="276">
        <v>25000</v>
      </c>
      <c r="G3437" s="8" t="s">
        <v>1379</v>
      </c>
      <c r="H3437" t="s">
        <v>1050</v>
      </c>
      <c r="K3437" s="69"/>
      <c r="L3437" s="232">
        <f t="shared" si="57"/>
        <v>1023485</v>
      </c>
      <c r="M3437" s="232">
        <f t="shared" si="58"/>
        <v>1023485</v>
      </c>
      <c r="N3437">
        <f t="shared" si="56"/>
        <v>0</v>
      </c>
    </row>
    <row r="3438" spans="1:14" hidden="1">
      <c r="A3438" s="268">
        <v>44702</v>
      </c>
      <c r="C3438" s="237" t="s">
        <v>4158</v>
      </c>
      <c r="D3438" s="276">
        <v>0</v>
      </c>
      <c r="E3438" s="276">
        <v>904</v>
      </c>
      <c r="G3438" s="8" t="s">
        <v>1379</v>
      </c>
      <c r="H3438" t="s">
        <v>1050</v>
      </c>
      <c r="K3438" s="69"/>
      <c r="L3438" s="232">
        <f t="shared" si="57"/>
        <v>1023485</v>
      </c>
      <c r="M3438" s="232">
        <f t="shared" si="58"/>
        <v>1023485</v>
      </c>
      <c r="N3438">
        <f t="shared" si="56"/>
        <v>0</v>
      </c>
    </row>
    <row r="3439" spans="1:14" hidden="1">
      <c r="A3439" s="268">
        <v>44704</v>
      </c>
      <c r="C3439" s="237" t="s">
        <v>4564</v>
      </c>
      <c r="D3439" s="276">
        <v>240</v>
      </c>
      <c r="E3439" s="276">
        <v>0</v>
      </c>
      <c r="H3439" t="s">
        <v>1050</v>
      </c>
      <c r="K3439" s="69"/>
      <c r="L3439" s="232">
        <f t="shared" si="57"/>
        <v>1024275</v>
      </c>
      <c r="M3439" s="232">
        <f t="shared" si="58"/>
        <v>1024275</v>
      </c>
      <c r="N3439">
        <f t="shared" si="56"/>
        <v>240</v>
      </c>
    </row>
    <row r="3440" spans="1:14" hidden="1">
      <c r="A3440" s="268">
        <v>44704</v>
      </c>
      <c r="C3440" s="237" t="s">
        <v>4565</v>
      </c>
      <c r="D3440" s="276">
        <v>10250</v>
      </c>
      <c r="E3440" s="276">
        <v>0</v>
      </c>
      <c r="G3440" s="8" t="s">
        <v>1372</v>
      </c>
      <c r="H3440" t="s">
        <v>1050</v>
      </c>
      <c r="K3440" s="69"/>
      <c r="L3440" s="232">
        <f t="shared" si="57"/>
        <v>1024275</v>
      </c>
      <c r="M3440" s="232">
        <f t="shared" si="58"/>
        <v>1024275</v>
      </c>
      <c r="N3440">
        <f t="shared" si="56"/>
        <v>10250</v>
      </c>
    </row>
    <row r="3441" spans="1:14" hidden="1">
      <c r="A3441" s="268">
        <v>44704</v>
      </c>
      <c r="C3441" s="237" t="s">
        <v>4566</v>
      </c>
      <c r="D3441" s="276">
        <v>239</v>
      </c>
      <c r="E3441" s="276">
        <v>0</v>
      </c>
      <c r="H3441" t="s">
        <v>1050</v>
      </c>
      <c r="K3441" s="69"/>
      <c r="L3441" s="232">
        <f t="shared" si="57"/>
        <v>1024275</v>
      </c>
      <c r="M3441" s="232">
        <f t="shared" si="58"/>
        <v>1024275</v>
      </c>
      <c r="N3441">
        <f t="shared" si="56"/>
        <v>239</v>
      </c>
    </row>
    <row r="3442" spans="1:14" hidden="1">
      <c r="A3442" s="268">
        <v>44704</v>
      </c>
      <c r="C3442" s="237" t="s">
        <v>4157</v>
      </c>
      <c r="D3442" s="276">
        <v>0</v>
      </c>
      <c r="E3442" s="276">
        <v>10000</v>
      </c>
      <c r="G3442" s="8" t="s">
        <v>1379</v>
      </c>
      <c r="H3442" t="s">
        <v>1050</v>
      </c>
      <c r="K3442" s="69"/>
      <c r="L3442" s="232">
        <f t="shared" si="57"/>
        <v>1024275</v>
      </c>
      <c r="M3442" s="232">
        <f t="shared" si="58"/>
        <v>1024275</v>
      </c>
      <c r="N3442">
        <f t="shared" si="56"/>
        <v>0</v>
      </c>
    </row>
    <row r="3443" spans="1:14" hidden="1">
      <c r="A3443" s="268">
        <v>44704</v>
      </c>
      <c r="C3443" s="237" t="s">
        <v>4158</v>
      </c>
      <c r="D3443" s="276">
        <v>0</v>
      </c>
      <c r="E3443" s="276">
        <v>364</v>
      </c>
      <c r="G3443" s="8" t="s">
        <v>1379</v>
      </c>
      <c r="H3443" t="s">
        <v>1050</v>
      </c>
      <c r="K3443" s="69"/>
      <c r="L3443" s="232">
        <f t="shared" si="57"/>
        <v>1024275</v>
      </c>
      <c r="M3443" s="232">
        <f t="shared" si="58"/>
        <v>1024275</v>
      </c>
      <c r="N3443">
        <f t="shared" si="56"/>
        <v>0</v>
      </c>
    </row>
    <row r="3444" spans="1:14" hidden="1">
      <c r="A3444" s="268">
        <v>44707</v>
      </c>
      <c r="C3444" s="237" t="s">
        <v>4567</v>
      </c>
      <c r="D3444" s="276">
        <v>150</v>
      </c>
      <c r="E3444" s="276">
        <v>0</v>
      </c>
      <c r="H3444" t="s">
        <v>1050</v>
      </c>
      <c r="K3444" s="69"/>
      <c r="L3444" s="232">
        <f t="shared" si="57"/>
        <v>1025461</v>
      </c>
      <c r="M3444" s="232">
        <f t="shared" si="58"/>
        <v>1025461</v>
      </c>
      <c r="N3444">
        <f t="shared" si="56"/>
        <v>150</v>
      </c>
    </row>
    <row r="3445" spans="1:14" hidden="1">
      <c r="A3445" s="268">
        <v>44707</v>
      </c>
      <c r="C3445" s="237" t="s">
        <v>4568</v>
      </c>
      <c r="D3445" s="276">
        <v>0</v>
      </c>
      <c r="E3445" s="276">
        <v>297908</v>
      </c>
      <c r="G3445" s="8" t="s">
        <v>1380</v>
      </c>
      <c r="H3445" t="s">
        <v>1050</v>
      </c>
      <c r="K3445" s="69"/>
      <c r="L3445" s="232">
        <f t="shared" si="57"/>
        <v>1025461</v>
      </c>
      <c r="M3445" s="232">
        <f t="shared" si="58"/>
        <v>1025461</v>
      </c>
      <c r="N3445">
        <f t="shared" si="56"/>
        <v>0</v>
      </c>
    </row>
    <row r="3446" spans="1:14" hidden="1">
      <c r="A3446" s="268">
        <v>44707</v>
      </c>
      <c r="C3446" s="237" t="s">
        <v>4569</v>
      </c>
      <c r="D3446" s="276">
        <v>150000</v>
      </c>
      <c r="E3446" s="276">
        <v>0</v>
      </c>
      <c r="G3446" s="8" t="s">
        <v>1363</v>
      </c>
      <c r="H3446" t="s">
        <v>1050</v>
      </c>
      <c r="K3446" s="69"/>
      <c r="L3446" s="232">
        <f t="shared" si="57"/>
        <v>1025461</v>
      </c>
      <c r="M3446" s="232">
        <f t="shared" si="58"/>
        <v>1025461</v>
      </c>
      <c r="N3446">
        <f t="shared" si="56"/>
        <v>150000</v>
      </c>
    </row>
    <row r="3447" spans="1:14" hidden="1">
      <c r="A3447" s="268">
        <v>44711</v>
      </c>
      <c r="C3447" s="237" t="s">
        <v>4570</v>
      </c>
      <c r="D3447" s="276">
        <v>300</v>
      </c>
      <c r="E3447" s="276">
        <v>0</v>
      </c>
      <c r="H3447" t="s">
        <v>1050</v>
      </c>
      <c r="K3447" s="69"/>
      <c r="L3447" s="232">
        <f t="shared" si="57"/>
        <v>1027045</v>
      </c>
      <c r="M3447" s="232">
        <f t="shared" si="58"/>
        <v>1027045</v>
      </c>
      <c r="N3447">
        <f t="shared" si="56"/>
        <v>300</v>
      </c>
    </row>
    <row r="3448" spans="1:14" hidden="1">
      <c r="A3448" s="268">
        <v>44711</v>
      </c>
      <c r="C3448" s="237" t="s">
        <v>4571</v>
      </c>
      <c r="D3448" s="276">
        <v>25000</v>
      </c>
      <c r="E3448" s="276">
        <v>0</v>
      </c>
      <c r="G3448" s="8" t="s">
        <v>1381</v>
      </c>
      <c r="H3448" t="s">
        <v>1050</v>
      </c>
      <c r="K3448" s="69"/>
      <c r="L3448" s="232">
        <f t="shared" si="57"/>
        <v>1027045</v>
      </c>
      <c r="M3448" s="232">
        <f t="shared" si="58"/>
        <v>1027045</v>
      </c>
      <c r="N3448">
        <f t="shared" si="56"/>
        <v>25000</v>
      </c>
    </row>
    <row r="3449" spans="1:14" hidden="1">
      <c r="A3449" s="268">
        <v>44711</v>
      </c>
      <c r="C3449" s="237" t="s">
        <v>4572</v>
      </c>
      <c r="D3449" s="276">
        <v>2000</v>
      </c>
      <c r="E3449" s="276">
        <v>0</v>
      </c>
      <c r="G3449" s="8" t="s">
        <v>1372</v>
      </c>
      <c r="H3449" t="s">
        <v>1050</v>
      </c>
      <c r="K3449" s="69"/>
      <c r="L3449" s="232">
        <f t="shared" si="57"/>
        <v>1027045</v>
      </c>
      <c r="M3449" s="232">
        <f t="shared" si="58"/>
        <v>1027045</v>
      </c>
      <c r="N3449">
        <f t="shared" si="56"/>
        <v>2000</v>
      </c>
    </row>
    <row r="3450" spans="1:14" hidden="1">
      <c r="A3450" s="268">
        <v>44711</v>
      </c>
      <c r="C3450" s="237" t="s">
        <v>4573</v>
      </c>
      <c r="D3450" s="276">
        <v>10250</v>
      </c>
      <c r="E3450" s="276">
        <v>0</v>
      </c>
      <c r="G3450" s="8" t="s">
        <v>1372</v>
      </c>
      <c r="H3450" t="s">
        <v>1050</v>
      </c>
      <c r="K3450" s="69"/>
      <c r="L3450" s="232">
        <f t="shared" si="57"/>
        <v>1027045</v>
      </c>
      <c r="M3450" s="232">
        <f t="shared" si="58"/>
        <v>1027045</v>
      </c>
      <c r="N3450">
        <f t="shared" si="56"/>
        <v>10250</v>
      </c>
    </row>
    <row r="3451" spans="1:14" hidden="1">
      <c r="A3451" s="268">
        <v>44713</v>
      </c>
      <c r="C3451" s="237" t="s">
        <v>4574</v>
      </c>
      <c r="D3451" s="276">
        <v>500</v>
      </c>
      <c r="E3451" s="276">
        <v>0</v>
      </c>
      <c r="G3451" s="8" t="s">
        <v>1363</v>
      </c>
      <c r="H3451" t="s">
        <v>1050</v>
      </c>
      <c r="K3451" s="69"/>
      <c r="L3451" s="232">
        <f t="shared" si="57"/>
        <v>1027837</v>
      </c>
      <c r="M3451" s="232">
        <f t="shared" si="58"/>
        <v>1027837</v>
      </c>
      <c r="N3451">
        <f t="shared" si="56"/>
        <v>500</v>
      </c>
    </row>
    <row r="3452" spans="1:14" hidden="1">
      <c r="A3452" s="268">
        <v>44713</v>
      </c>
      <c r="C3452" s="237" t="s">
        <v>4575</v>
      </c>
      <c r="D3452" s="276">
        <v>355</v>
      </c>
      <c r="E3452" s="276">
        <v>0</v>
      </c>
      <c r="H3452" t="s">
        <v>1050</v>
      </c>
      <c r="K3452" s="69"/>
      <c r="L3452" s="232">
        <f t="shared" si="57"/>
        <v>1027837</v>
      </c>
      <c r="M3452" s="232">
        <f t="shared" si="58"/>
        <v>1027837</v>
      </c>
      <c r="N3452">
        <f t="shared" si="56"/>
        <v>355</v>
      </c>
    </row>
    <row r="3453" spans="1:14" hidden="1">
      <c r="A3453" s="268">
        <v>44713</v>
      </c>
      <c r="C3453" s="237" t="s">
        <v>4576</v>
      </c>
      <c r="D3453" s="276">
        <v>12534</v>
      </c>
      <c r="E3453" s="276">
        <v>0</v>
      </c>
      <c r="H3453" t="s">
        <v>1050</v>
      </c>
      <c r="K3453" s="69"/>
      <c r="L3453" s="232">
        <f t="shared" si="57"/>
        <v>1027837</v>
      </c>
      <c r="M3453" s="232">
        <f t="shared" si="58"/>
        <v>1027837</v>
      </c>
      <c r="N3453">
        <f t="shared" si="56"/>
        <v>12534</v>
      </c>
    </row>
    <row r="3454" spans="1:14" hidden="1">
      <c r="A3454" s="268">
        <v>44713</v>
      </c>
      <c r="C3454" s="237" t="s">
        <v>4577</v>
      </c>
      <c r="D3454" s="276">
        <v>2000</v>
      </c>
      <c r="E3454" s="276">
        <v>0</v>
      </c>
      <c r="H3454" t="s">
        <v>1050</v>
      </c>
      <c r="K3454" s="69"/>
      <c r="L3454" s="232">
        <f t="shared" si="57"/>
        <v>1027837</v>
      </c>
      <c r="M3454" s="232">
        <f t="shared" si="58"/>
        <v>1027837</v>
      </c>
      <c r="N3454">
        <f t="shared" si="56"/>
        <v>2000</v>
      </c>
    </row>
    <row r="3455" spans="1:14" hidden="1">
      <c r="A3455" s="268">
        <v>44714</v>
      </c>
      <c r="C3455" s="237" t="s">
        <v>4578</v>
      </c>
      <c r="D3455" s="276">
        <v>0</v>
      </c>
      <c r="E3455" s="276">
        <v>3</v>
      </c>
      <c r="H3455" t="s">
        <v>1050</v>
      </c>
      <c r="K3455" s="69"/>
      <c r="L3455" s="232">
        <f t="shared" si="57"/>
        <v>1028233</v>
      </c>
      <c r="M3455" s="232">
        <f t="shared" si="58"/>
        <v>1028233</v>
      </c>
      <c r="N3455">
        <f t="shared" si="56"/>
        <v>0</v>
      </c>
    </row>
    <row r="3456" spans="1:14" hidden="1">
      <c r="A3456" s="268">
        <v>44715</v>
      </c>
      <c r="C3456" s="237" t="s">
        <v>4579</v>
      </c>
      <c r="D3456" s="276">
        <v>0</v>
      </c>
      <c r="E3456" s="276">
        <v>671385</v>
      </c>
      <c r="G3456" s="8" t="s">
        <v>1375</v>
      </c>
      <c r="H3456" t="s">
        <v>1050</v>
      </c>
      <c r="K3456" s="69"/>
      <c r="L3456" s="232">
        <f t="shared" si="57"/>
        <v>1028627</v>
      </c>
      <c r="M3456" s="232">
        <f t="shared" si="58"/>
        <v>1028627</v>
      </c>
      <c r="N3456">
        <f t="shared" si="56"/>
        <v>0</v>
      </c>
    </row>
    <row r="3457" spans="1:14" hidden="1">
      <c r="A3457" s="268">
        <v>44715</v>
      </c>
      <c r="C3457" s="237" t="s">
        <v>4580</v>
      </c>
      <c r="D3457" s="276">
        <v>146</v>
      </c>
      <c r="E3457" s="276">
        <v>0</v>
      </c>
      <c r="H3457" t="s">
        <v>1050</v>
      </c>
      <c r="K3457" s="69"/>
      <c r="L3457" s="232">
        <f t="shared" si="57"/>
        <v>1028627</v>
      </c>
      <c r="M3457" s="232">
        <f t="shared" si="58"/>
        <v>1028627</v>
      </c>
      <c r="N3457">
        <f t="shared" si="56"/>
        <v>146</v>
      </c>
    </row>
    <row r="3458" spans="1:14" hidden="1">
      <c r="A3458" s="268">
        <v>44715</v>
      </c>
      <c r="C3458" s="237" t="s">
        <v>4581</v>
      </c>
      <c r="D3458" s="276">
        <v>163</v>
      </c>
      <c r="E3458" s="276">
        <v>0</v>
      </c>
      <c r="H3458" t="s">
        <v>1050</v>
      </c>
      <c r="K3458" s="69"/>
      <c r="L3458" s="232">
        <f t="shared" si="57"/>
        <v>1028627</v>
      </c>
      <c r="M3458" s="232">
        <f t="shared" si="58"/>
        <v>1028627</v>
      </c>
      <c r="N3458">
        <f t="shared" si="56"/>
        <v>163</v>
      </c>
    </row>
    <row r="3459" spans="1:14" hidden="1">
      <c r="A3459" s="268">
        <v>44716</v>
      </c>
      <c r="C3459" s="237" t="s">
        <v>4582</v>
      </c>
      <c r="D3459" s="276">
        <v>465</v>
      </c>
      <c r="E3459" s="276">
        <v>0</v>
      </c>
      <c r="H3459" t="s">
        <v>1050</v>
      </c>
      <c r="K3459" s="69"/>
      <c r="L3459" s="232">
        <f t="shared" si="57"/>
        <v>1029023</v>
      </c>
      <c r="M3459" s="232">
        <f t="shared" si="58"/>
        <v>1029023</v>
      </c>
      <c r="N3459">
        <f t="shared" si="56"/>
        <v>465</v>
      </c>
    </row>
    <row r="3460" spans="1:14" hidden="1">
      <c r="A3460" s="268">
        <v>44718</v>
      </c>
      <c r="C3460" s="237" t="s">
        <v>4583</v>
      </c>
      <c r="D3460" s="276">
        <v>1019</v>
      </c>
      <c r="E3460" s="276">
        <v>0</v>
      </c>
      <c r="H3460" t="s">
        <v>1050</v>
      </c>
      <c r="K3460" s="69"/>
      <c r="L3460" s="232">
        <f t="shared" si="57"/>
        <v>1029814</v>
      </c>
      <c r="M3460" s="232">
        <f t="shared" si="58"/>
        <v>1029814</v>
      </c>
      <c r="N3460">
        <f t="shared" si="56"/>
        <v>1019</v>
      </c>
    </row>
    <row r="3461" spans="1:14" hidden="1">
      <c r="A3461" s="268">
        <v>44718</v>
      </c>
      <c r="C3461" s="237" t="s">
        <v>4584</v>
      </c>
      <c r="D3461" s="276">
        <v>10250</v>
      </c>
      <c r="E3461" s="276">
        <v>0</v>
      </c>
      <c r="G3461" s="8" t="s">
        <v>1372</v>
      </c>
      <c r="H3461" t="s">
        <v>1050</v>
      </c>
      <c r="K3461" s="69"/>
      <c r="L3461" s="232">
        <f t="shared" si="57"/>
        <v>1029814</v>
      </c>
      <c r="M3461" s="232">
        <f t="shared" si="58"/>
        <v>1029814</v>
      </c>
      <c r="N3461">
        <f t="shared" si="56"/>
        <v>10250</v>
      </c>
    </row>
    <row r="3462" spans="1:14" hidden="1">
      <c r="A3462" s="268">
        <v>44718</v>
      </c>
      <c r="C3462" s="237" t="s">
        <v>4585</v>
      </c>
      <c r="D3462" s="276">
        <v>372</v>
      </c>
      <c r="E3462" s="276">
        <v>0</v>
      </c>
      <c r="H3462" t="s">
        <v>1050</v>
      </c>
      <c r="K3462" s="69"/>
      <c r="L3462" s="232">
        <f t="shared" si="57"/>
        <v>1029814</v>
      </c>
      <c r="M3462" s="232">
        <f t="shared" si="58"/>
        <v>1029814</v>
      </c>
      <c r="N3462">
        <f t="shared" si="56"/>
        <v>372</v>
      </c>
    </row>
    <row r="3463" spans="1:14" hidden="1">
      <c r="A3463" s="268">
        <v>44721</v>
      </c>
      <c r="C3463" s="237" t="s">
        <v>4586</v>
      </c>
      <c r="D3463" s="276">
        <v>3727</v>
      </c>
      <c r="E3463" s="276">
        <v>0</v>
      </c>
      <c r="H3463" t="s">
        <v>1050</v>
      </c>
      <c r="K3463" s="69"/>
      <c r="L3463" s="232">
        <f t="shared" si="57"/>
        <v>1031002</v>
      </c>
      <c r="M3463" s="232">
        <f t="shared" si="58"/>
        <v>1031002</v>
      </c>
      <c r="N3463">
        <f t="shared" si="56"/>
        <v>3727</v>
      </c>
    </row>
    <row r="3464" spans="1:14" hidden="1">
      <c r="A3464" s="268">
        <v>44722</v>
      </c>
      <c r="C3464" s="237" t="s">
        <v>4132</v>
      </c>
      <c r="D3464" s="276">
        <v>119796.64</v>
      </c>
      <c r="E3464" s="276">
        <v>0</v>
      </c>
      <c r="G3464" s="8" t="s">
        <v>1362</v>
      </c>
      <c r="H3464" t="s">
        <v>1050</v>
      </c>
      <c r="K3464" s="69"/>
      <c r="L3464" s="232">
        <f t="shared" si="57"/>
        <v>1031397</v>
      </c>
      <c r="M3464" s="232">
        <f t="shared" si="58"/>
        <v>1031397</v>
      </c>
      <c r="N3464">
        <f t="shared" si="56"/>
        <v>119796.64</v>
      </c>
    </row>
    <row r="3465" spans="1:14" hidden="1">
      <c r="A3465" s="268">
        <v>44722</v>
      </c>
      <c r="C3465" s="237" t="s">
        <v>4587</v>
      </c>
      <c r="D3465" s="276">
        <v>0</v>
      </c>
      <c r="E3465" s="276">
        <v>10779</v>
      </c>
      <c r="H3465" t="s">
        <v>1050</v>
      </c>
      <c r="K3465" s="69"/>
      <c r="L3465" s="232">
        <f t="shared" si="57"/>
        <v>1031397</v>
      </c>
      <c r="M3465" s="232">
        <f t="shared" si="58"/>
        <v>1031397</v>
      </c>
      <c r="N3465">
        <f t="shared" si="56"/>
        <v>0</v>
      </c>
    </row>
    <row r="3466" spans="1:14" hidden="1">
      <c r="A3466" s="268">
        <v>44725</v>
      </c>
      <c r="C3466" s="237" t="s">
        <v>4588</v>
      </c>
      <c r="D3466" s="276">
        <v>636</v>
      </c>
      <c r="E3466" s="276">
        <v>0</v>
      </c>
      <c r="H3466" t="s">
        <v>1050</v>
      </c>
      <c r="K3466" s="69"/>
      <c r="L3466" s="232">
        <f t="shared" si="57"/>
        <v>1032585</v>
      </c>
      <c r="M3466" s="232">
        <f t="shared" si="58"/>
        <v>1032585</v>
      </c>
      <c r="N3466">
        <f t="shared" si="56"/>
        <v>636</v>
      </c>
    </row>
    <row r="3467" spans="1:14" hidden="1">
      <c r="A3467" s="268">
        <v>44725</v>
      </c>
      <c r="C3467" s="237" t="s">
        <v>4589</v>
      </c>
      <c r="D3467" s="276">
        <v>10250</v>
      </c>
      <c r="E3467" s="276">
        <v>0</v>
      </c>
      <c r="G3467" s="8" t="s">
        <v>1372</v>
      </c>
      <c r="H3467" t="s">
        <v>1050</v>
      </c>
      <c r="K3467" s="69"/>
      <c r="L3467" s="232">
        <f t="shared" si="57"/>
        <v>1032585</v>
      </c>
      <c r="M3467" s="232">
        <f t="shared" si="58"/>
        <v>1032585</v>
      </c>
      <c r="N3467">
        <f t="shared" ref="N3467:N3530" si="59">D3467*1</f>
        <v>10250</v>
      </c>
    </row>
    <row r="3468" spans="1:14" hidden="1">
      <c r="A3468" s="268">
        <v>44727</v>
      </c>
      <c r="C3468" s="237" t="s">
        <v>4590</v>
      </c>
      <c r="D3468" s="276">
        <v>100</v>
      </c>
      <c r="E3468" s="276">
        <v>0</v>
      </c>
      <c r="H3468" t="s">
        <v>1050</v>
      </c>
      <c r="K3468" s="69"/>
      <c r="L3468" s="232">
        <f t="shared" si="57"/>
        <v>1033375</v>
      </c>
      <c r="M3468" s="232">
        <f t="shared" si="58"/>
        <v>1033375</v>
      </c>
      <c r="N3468">
        <f t="shared" si="59"/>
        <v>100</v>
      </c>
    </row>
    <row r="3469" spans="1:14" hidden="1">
      <c r="A3469" s="268">
        <v>44727</v>
      </c>
      <c r="C3469" s="237" t="s">
        <v>4591</v>
      </c>
      <c r="D3469" s="276">
        <v>387</v>
      </c>
      <c r="E3469" s="276">
        <v>0</v>
      </c>
      <c r="H3469" t="s">
        <v>1050</v>
      </c>
      <c r="K3469" s="69"/>
      <c r="L3469" s="232">
        <f t="shared" si="57"/>
        <v>1033375</v>
      </c>
      <c r="M3469" s="232">
        <f t="shared" si="58"/>
        <v>1033375</v>
      </c>
      <c r="N3469">
        <f t="shared" si="59"/>
        <v>387</v>
      </c>
    </row>
    <row r="3470" spans="1:14" hidden="1">
      <c r="A3470" s="268">
        <v>44727</v>
      </c>
      <c r="C3470" s="237" t="s">
        <v>4592</v>
      </c>
      <c r="D3470" s="276">
        <v>0</v>
      </c>
      <c r="E3470" s="276">
        <v>3</v>
      </c>
      <c r="H3470" t="s">
        <v>1050</v>
      </c>
      <c r="K3470" s="69"/>
      <c r="L3470" s="232">
        <f t="shared" si="57"/>
        <v>1033375</v>
      </c>
      <c r="M3470" s="232">
        <f t="shared" si="58"/>
        <v>1033375</v>
      </c>
      <c r="N3470">
        <f t="shared" si="59"/>
        <v>0</v>
      </c>
    </row>
    <row r="3471" spans="1:14" hidden="1">
      <c r="A3471" s="268">
        <v>44728</v>
      </c>
      <c r="C3471" s="237" t="s">
        <v>4593</v>
      </c>
      <c r="D3471" s="276">
        <v>9990</v>
      </c>
      <c r="E3471" s="276">
        <v>0</v>
      </c>
      <c r="G3471" s="8" t="s">
        <v>1383</v>
      </c>
      <c r="H3471" t="s">
        <v>1050</v>
      </c>
      <c r="K3471" s="69"/>
      <c r="L3471" s="232">
        <f t="shared" si="57"/>
        <v>1033771</v>
      </c>
      <c r="M3471" s="232">
        <f t="shared" si="58"/>
        <v>1033771</v>
      </c>
      <c r="N3471">
        <f t="shared" si="59"/>
        <v>9990</v>
      </c>
    </row>
    <row r="3472" spans="1:14" hidden="1">
      <c r="A3472" s="268">
        <v>44729</v>
      </c>
      <c r="C3472" s="237" t="s">
        <v>4594</v>
      </c>
      <c r="D3472" s="276">
        <v>427</v>
      </c>
      <c r="E3472" s="276">
        <v>0</v>
      </c>
      <c r="H3472" t="s">
        <v>1050</v>
      </c>
      <c r="K3472" s="69"/>
      <c r="L3472" s="232">
        <f t="shared" si="57"/>
        <v>1034166</v>
      </c>
      <c r="M3472" s="232">
        <f t="shared" si="58"/>
        <v>1034166</v>
      </c>
      <c r="N3472">
        <f t="shared" si="59"/>
        <v>427</v>
      </c>
    </row>
    <row r="3473" spans="1:14" hidden="1">
      <c r="A3473" s="268">
        <v>44729</v>
      </c>
      <c r="C3473" s="237" t="s">
        <v>4595</v>
      </c>
      <c r="D3473" s="276">
        <v>240</v>
      </c>
      <c r="E3473" s="276">
        <v>0</v>
      </c>
      <c r="H3473" t="s">
        <v>1050</v>
      </c>
      <c r="K3473" s="69"/>
      <c r="L3473" s="232">
        <f t="shared" si="57"/>
        <v>1034166</v>
      </c>
      <c r="M3473" s="232">
        <f t="shared" si="58"/>
        <v>1034166</v>
      </c>
      <c r="N3473">
        <f t="shared" si="59"/>
        <v>240</v>
      </c>
    </row>
    <row r="3474" spans="1:14" hidden="1">
      <c r="A3474" s="268">
        <v>44730</v>
      </c>
      <c r="C3474" s="237" t="s">
        <v>4596</v>
      </c>
      <c r="D3474" s="276">
        <v>100</v>
      </c>
      <c r="E3474" s="276">
        <v>0</v>
      </c>
      <c r="H3474" t="s">
        <v>1050</v>
      </c>
      <c r="K3474" s="69"/>
      <c r="L3474" s="232">
        <f t="shared" si="57"/>
        <v>1034563</v>
      </c>
      <c r="M3474" s="232">
        <f t="shared" si="58"/>
        <v>1034563</v>
      </c>
      <c r="N3474">
        <f t="shared" si="59"/>
        <v>100</v>
      </c>
    </row>
    <row r="3475" spans="1:14" hidden="1">
      <c r="A3475" s="268">
        <v>44732</v>
      </c>
      <c r="C3475" s="237" t="s">
        <v>4597</v>
      </c>
      <c r="D3475" s="276">
        <v>10250</v>
      </c>
      <c r="E3475" s="276">
        <v>0</v>
      </c>
      <c r="G3475" s="8" t="s">
        <v>1372</v>
      </c>
      <c r="H3475" t="s">
        <v>1050</v>
      </c>
      <c r="K3475" s="69"/>
      <c r="L3475" s="232">
        <f t="shared" si="57"/>
        <v>1035354</v>
      </c>
      <c r="M3475" s="232">
        <f t="shared" si="58"/>
        <v>1035354</v>
      </c>
      <c r="N3475">
        <f t="shared" si="59"/>
        <v>10250</v>
      </c>
    </row>
    <row r="3476" spans="1:14" hidden="1">
      <c r="A3476" s="268">
        <v>44732</v>
      </c>
      <c r="C3476" s="237" t="s">
        <v>4598</v>
      </c>
      <c r="D3476" s="276">
        <v>1000</v>
      </c>
      <c r="E3476" s="276">
        <v>0</v>
      </c>
      <c r="H3476" t="s">
        <v>1050</v>
      </c>
      <c r="K3476" s="69"/>
      <c r="L3476" s="232">
        <f t="shared" si="57"/>
        <v>1035354</v>
      </c>
      <c r="M3476" s="232">
        <f t="shared" si="58"/>
        <v>1035354</v>
      </c>
      <c r="N3476">
        <f t="shared" si="59"/>
        <v>1000</v>
      </c>
    </row>
    <row r="3477" spans="1:14" hidden="1">
      <c r="A3477" s="268">
        <v>44733</v>
      </c>
      <c r="C3477" s="237" t="s">
        <v>4599</v>
      </c>
      <c r="D3477" s="276">
        <v>33333</v>
      </c>
      <c r="E3477" s="276">
        <v>0</v>
      </c>
      <c r="G3477" s="8" t="s">
        <v>1381</v>
      </c>
      <c r="H3477" t="s">
        <v>1050</v>
      </c>
      <c r="K3477" s="69"/>
      <c r="L3477" s="232">
        <f t="shared" si="57"/>
        <v>1035750</v>
      </c>
      <c r="M3477" s="232">
        <f t="shared" si="58"/>
        <v>1035750</v>
      </c>
      <c r="N3477">
        <f t="shared" si="59"/>
        <v>33333</v>
      </c>
    </row>
    <row r="3478" spans="1:14" hidden="1">
      <c r="A3478" s="268">
        <v>44736</v>
      </c>
      <c r="C3478" s="237" t="s">
        <v>4600</v>
      </c>
      <c r="D3478" s="276">
        <v>500</v>
      </c>
      <c r="E3478" s="276">
        <v>0</v>
      </c>
      <c r="H3478" t="s">
        <v>1050</v>
      </c>
      <c r="K3478" s="69"/>
      <c r="L3478" s="232">
        <f t="shared" si="57"/>
        <v>1036937</v>
      </c>
      <c r="M3478" s="232">
        <f t="shared" si="58"/>
        <v>1036937</v>
      </c>
      <c r="N3478">
        <f t="shared" si="59"/>
        <v>500</v>
      </c>
    </row>
    <row r="3479" spans="1:14" hidden="1">
      <c r="A3479" s="268">
        <v>44736</v>
      </c>
      <c r="C3479" s="237" t="s">
        <v>4601</v>
      </c>
      <c r="D3479" s="276">
        <v>0</v>
      </c>
      <c r="E3479" s="276">
        <v>297907</v>
      </c>
      <c r="G3479" s="8" t="s">
        <v>1380</v>
      </c>
      <c r="H3479" t="s">
        <v>1050</v>
      </c>
      <c r="K3479" s="69"/>
      <c r="L3479" s="232">
        <f t="shared" si="57"/>
        <v>1036937</v>
      </c>
      <c r="M3479" s="232">
        <f t="shared" si="58"/>
        <v>1036937</v>
      </c>
      <c r="N3479">
        <f t="shared" si="59"/>
        <v>0</v>
      </c>
    </row>
    <row r="3480" spans="1:14" hidden="1">
      <c r="A3480" s="268">
        <v>44736</v>
      </c>
      <c r="C3480" s="237" t="s">
        <v>4602</v>
      </c>
      <c r="D3480" s="276">
        <v>70</v>
      </c>
      <c r="E3480" s="276">
        <v>0</v>
      </c>
      <c r="H3480" t="s">
        <v>1050</v>
      </c>
      <c r="K3480" s="69"/>
      <c r="L3480" s="232">
        <f t="shared" si="57"/>
        <v>1036937</v>
      </c>
      <c r="M3480" s="232">
        <f t="shared" si="58"/>
        <v>1036937</v>
      </c>
      <c r="N3480">
        <f t="shared" si="59"/>
        <v>70</v>
      </c>
    </row>
    <row r="3481" spans="1:14" hidden="1">
      <c r="A3481" s="268">
        <v>44739</v>
      </c>
      <c r="C3481" s="237" t="s">
        <v>4603</v>
      </c>
      <c r="D3481" s="276">
        <v>6250</v>
      </c>
      <c r="E3481" s="276">
        <v>0</v>
      </c>
      <c r="H3481" t="s">
        <v>1050</v>
      </c>
      <c r="K3481" s="69"/>
      <c r="L3481" s="232">
        <f t="shared" si="57"/>
        <v>1038123</v>
      </c>
      <c r="M3481" s="232">
        <f t="shared" si="58"/>
        <v>1038123</v>
      </c>
      <c r="N3481">
        <f t="shared" si="59"/>
        <v>6250</v>
      </c>
    </row>
    <row r="3482" spans="1:14" hidden="1">
      <c r="A3482" s="268">
        <v>44739</v>
      </c>
      <c r="C3482" s="237" t="s">
        <v>4604</v>
      </c>
      <c r="D3482" s="276">
        <v>10250</v>
      </c>
      <c r="E3482" s="276">
        <v>0</v>
      </c>
      <c r="G3482" s="8" t="s">
        <v>1372</v>
      </c>
      <c r="H3482" t="s">
        <v>1050</v>
      </c>
      <c r="K3482" s="69"/>
      <c r="L3482" s="232">
        <f t="shared" si="57"/>
        <v>1038123</v>
      </c>
      <c r="M3482" s="232">
        <f t="shared" si="58"/>
        <v>1038123</v>
      </c>
      <c r="N3482">
        <f t="shared" si="59"/>
        <v>10250</v>
      </c>
    </row>
    <row r="3483" spans="1:14" hidden="1">
      <c r="A3483" s="268">
        <v>44740</v>
      </c>
      <c r="C3483" s="237" t="s">
        <v>4605</v>
      </c>
      <c r="D3483" s="276">
        <v>2000</v>
      </c>
      <c r="E3483" s="276">
        <v>0</v>
      </c>
      <c r="G3483" s="8" t="s">
        <v>1372</v>
      </c>
      <c r="H3483" t="s">
        <v>1050</v>
      </c>
      <c r="K3483" s="69"/>
      <c r="L3483" s="232">
        <f t="shared" si="57"/>
        <v>1038519</v>
      </c>
      <c r="M3483" s="232">
        <f t="shared" si="58"/>
        <v>1038519</v>
      </c>
      <c r="N3483">
        <f t="shared" si="59"/>
        <v>2000</v>
      </c>
    </row>
    <row r="3484" spans="1:14" hidden="1">
      <c r="A3484" s="268">
        <v>44740</v>
      </c>
      <c r="C3484" s="237" t="s">
        <v>4606</v>
      </c>
      <c r="D3484" s="276">
        <v>25000</v>
      </c>
      <c r="E3484" s="276">
        <v>0</v>
      </c>
      <c r="G3484" s="8" t="s">
        <v>1381</v>
      </c>
      <c r="H3484" t="s">
        <v>1050</v>
      </c>
      <c r="K3484" s="69"/>
      <c r="L3484" s="232">
        <f t="shared" si="57"/>
        <v>1038519</v>
      </c>
      <c r="M3484" s="232">
        <f t="shared" si="58"/>
        <v>1038519</v>
      </c>
      <c r="N3484">
        <f t="shared" si="59"/>
        <v>25000</v>
      </c>
    </row>
    <row r="3485" spans="1:14" hidden="1">
      <c r="A3485" s="268">
        <v>44740</v>
      </c>
      <c r="C3485" s="237" t="s">
        <v>4607</v>
      </c>
      <c r="D3485" s="276">
        <v>150000</v>
      </c>
      <c r="E3485" s="276">
        <v>0</v>
      </c>
      <c r="G3485" s="8" t="s">
        <v>1363</v>
      </c>
      <c r="H3485" t="s">
        <v>1050</v>
      </c>
      <c r="K3485" s="69"/>
      <c r="L3485" s="232">
        <f t="shared" si="57"/>
        <v>1038519</v>
      </c>
      <c r="M3485" s="232">
        <f t="shared" si="58"/>
        <v>1038519</v>
      </c>
      <c r="N3485">
        <f t="shared" si="59"/>
        <v>150000</v>
      </c>
    </row>
    <row r="3486" spans="1:14" hidden="1">
      <c r="A3486" s="268">
        <v>44742</v>
      </c>
      <c r="C3486" s="237" t="s">
        <v>4608</v>
      </c>
      <c r="D3486" s="276">
        <v>0</v>
      </c>
      <c r="E3486" s="276">
        <v>2037</v>
      </c>
      <c r="G3486" s="8" t="s">
        <v>1368</v>
      </c>
      <c r="H3486" t="s">
        <v>1050</v>
      </c>
      <c r="K3486" s="69"/>
      <c r="L3486" s="232">
        <f t="shared" ref="L3486:L3549" si="60">M3486</f>
        <v>1039311</v>
      </c>
      <c r="M3486" s="232">
        <f t="shared" ref="M3486:M3549" si="61">DATE(VALUE(RIGHT(A3486,4)), VALUE(MID(A3486,4,2)), VALUE(LEFT(A3486,2)))</f>
        <v>1039311</v>
      </c>
      <c r="N3486">
        <f t="shared" si="59"/>
        <v>0</v>
      </c>
    </row>
    <row r="3487" spans="1:14" hidden="1">
      <c r="A3487" s="268">
        <v>44742</v>
      </c>
      <c r="C3487" s="237" t="s">
        <v>4609</v>
      </c>
      <c r="D3487" s="276">
        <v>1420</v>
      </c>
      <c r="E3487" s="276">
        <v>0</v>
      </c>
      <c r="H3487" t="s">
        <v>1050</v>
      </c>
      <c r="K3487" s="69"/>
      <c r="L3487" s="232">
        <f t="shared" si="60"/>
        <v>1039311</v>
      </c>
      <c r="M3487" s="232">
        <f t="shared" si="61"/>
        <v>1039311</v>
      </c>
      <c r="N3487">
        <f t="shared" si="59"/>
        <v>1420</v>
      </c>
    </row>
    <row r="3488" spans="1:14" hidden="1">
      <c r="A3488" s="268">
        <v>44742</v>
      </c>
      <c r="C3488" s="237" t="s">
        <v>4610</v>
      </c>
      <c r="D3488" s="276">
        <v>244</v>
      </c>
      <c r="E3488" s="276">
        <v>0</v>
      </c>
      <c r="H3488" t="s">
        <v>1050</v>
      </c>
      <c r="K3488" s="69"/>
      <c r="L3488" s="232">
        <f t="shared" si="60"/>
        <v>1039311</v>
      </c>
      <c r="M3488" s="232">
        <f t="shared" si="61"/>
        <v>1039311</v>
      </c>
      <c r="N3488">
        <f t="shared" si="59"/>
        <v>244</v>
      </c>
    </row>
    <row r="3489" spans="1:14" hidden="1">
      <c r="A3489" s="268">
        <v>44743</v>
      </c>
      <c r="C3489" s="237" t="s">
        <v>4611</v>
      </c>
      <c r="D3489" s="276">
        <v>500</v>
      </c>
      <c r="E3489" s="276">
        <v>0</v>
      </c>
      <c r="G3489" s="8" t="s">
        <v>1363</v>
      </c>
      <c r="H3489" t="s">
        <v>1050</v>
      </c>
      <c r="K3489" s="69"/>
      <c r="L3489" s="232">
        <f t="shared" si="60"/>
        <v>1039706</v>
      </c>
      <c r="M3489" s="232">
        <f t="shared" si="61"/>
        <v>1039706</v>
      </c>
      <c r="N3489">
        <f t="shared" si="59"/>
        <v>500</v>
      </c>
    </row>
    <row r="3490" spans="1:14" hidden="1">
      <c r="A3490" s="268">
        <v>44744</v>
      </c>
      <c r="C3490" s="237" t="s">
        <v>4612</v>
      </c>
      <c r="D3490" s="276">
        <v>70</v>
      </c>
      <c r="E3490" s="276">
        <v>0</v>
      </c>
      <c r="H3490" t="s">
        <v>1050</v>
      </c>
      <c r="K3490" s="69"/>
      <c r="L3490" s="232">
        <f t="shared" si="60"/>
        <v>1040102</v>
      </c>
      <c r="M3490" s="232">
        <f t="shared" si="61"/>
        <v>1040102</v>
      </c>
      <c r="N3490">
        <f t="shared" si="59"/>
        <v>70</v>
      </c>
    </row>
    <row r="3491" spans="1:14" hidden="1">
      <c r="A3491" s="268">
        <v>44746</v>
      </c>
      <c r="C3491" s="237" t="s">
        <v>4613</v>
      </c>
      <c r="D3491" s="276">
        <v>2000</v>
      </c>
      <c r="E3491" s="276">
        <v>0</v>
      </c>
      <c r="H3491" t="s">
        <v>1050</v>
      </c>
      <c r="K3491" s="69"/>
      <c r="L3491" s="232">
        <f t="shared" si="60"/>
        <v>1040894</v>
      </c>
      <c r="M3491" s="232">
        <f t="shared" si="61"/>
        <v>1040894</v>
      </c>
      <c r="N3491">
        <f t="shared" si="59"/>
        <v>2000</v>
      </c>
    </row>
    <row r="3492" spans="1:14" hidden="1">
      <c r="A3492" s="268">
        <v>44746</v>
      </c>
      <c r="C3492" s="237" t="s">
        <v>4614</v>
      </c>
      <c r="D3492" s="276">
        <v>355</v>
      </c>
      <c r="E3492" s="276">
        <v>0</v>
      </c>
      <c r="H3492" t="s">
        <v>1050</v>
      </c>
      <c r="K3492" s="69"/>
      <c r="L3492" s="232">
        <f t="shared" si="60"/>
        <v>1040894</v>
      </c>
      <c r="M3492" s="232">
        <f t="shared" si="61"/>
        <v>1040894</v>
      </c>
      <c r="N3492">
        <f t="shared" si="59"/>
        <v>355</v>
      </c>
    </row>
    <row r="3493" spans="1:14" hidden="1">
      <c r="A3493" s="268">
        <v>44746</v>
      </c>
      <c r="C3493" s="237" t="s">
        <v>4615</v>
      </c>
      <c r="D3493" s="276">
        <v>10250</v>
      </c>
      <c r="E3493" s="276">
        <v>0</v>
      </c>
      <c r="G3493" s="8" t="s">
        <v>1372</v>
      </c>
      <c r="H3493" t="s">
        <v>1050</v>
      </c>
      <c r="K3493" s="69"/>
      <c r="L3493" s="232">
        <f t="shared" si="60"/>
        <v>1040894</v>
      </c>
      <c r="M3493" s="232">
        <f t="shared" si="61"/>
        <v>1040894</v>
      </c>
      <c r="N3493">
        <f t="shared" si="59"/>
        <v>10250</v>
      </c>
    </row>
    <row r="3494" spans="1:14" hidden="1">
      <c r="A3494" s="268">
        <v>44746</v>
      </c>
      <c r="C3494" s="237" t="s">
        <v>4616</v>
      </c>
      <c r="D3494" s="276">
        <v>10614</v>
      </c>
      <c r="E3494" s="276">
        <v>0</v>
      </c>
      <c r="H3494" t="s">
        <v>1050</v>
      </c>
      <c r="K3494" s="69"/>
      <c r="L3494" s="232">
        <f t="shared" si="60"/>
        <v>1040894</v>
      </c>
      <c r="M3494" s="232">
        <f t="shared" si="61"/>
        <v>1040894</v>
      </c>
      <c r="N3494">
        <f t="shared" si="59"/>
        <v>10614</v>
      </c>
    </row>
    <row r="3495" spans="1:14" hidden="1">
      <c r="A3495" s="268">
        <v>44748</v>
      </c>
      <c r="C3495" s="237" t="s">
        <v>4617</v>
      </c>
      <c r="D3495" s="276">
        <v>25000</v>
      </c>
      <c r="E3495" s="276">
        <v>0</v>
      </c>
      <c r="H3495" t="s">
        <v>1050</v>
      </c>
      <c r="K3495" s="69"/>
      <c r="L3495" s="232">
        <f t="shared" si="60"/>
        <v>1041685</v>
      </c>
      <c r="M3495" s="232">
        <f t="shared" si="61"/>
        <v>1041685</v>
      </c>
      <c r="N3495">
        <f t="shared" si="59"/>
        <v>25000</v>
      </c>
    </row>
    <row r="3496" spans="1:14" hidden="1">
      <c r="A3496" s="268">
        <v>44753</v>
      </c>
      <c r="C3496" s="237" t="s">
        <v>4618</v>
      </c>
      <c r="D3496" s="276">
        <v>10250</v>
      </c>
      <c r="E3496" s="276">
        <v>0</v>
      </c>
      <c r="G3496" s="8" t="s">
        <v>1372</v>
      </c>
      <c r="H3496" t="s">
        <v>1050</v>
      </c>
      <c r="K3496" s="69"/>
      <c r="L3496" s="232">
        <f t="shared" si="60"/>
        <v>1043663</v>
      </c>
      <c r="M3496" s="232">
        <f t="shared" si="61"/>
        <v>1043663</v>
      </c>
      <c r="N3496">
        <f t="shared" si="59"/>
        <v>10250</v>
      </c>
    </row>
    <row r="3497" spans="1:14" hidden="1">
      <c r="A3497" s="268">
        <v>44753</v>
      </c>
      <c r="C3497" s="237" t="s">
        <v>4132</v>
      </c>
      <c r="D3497" s="276">
        <v>32692.82</v>
      </c>
      <c r="E3497" s="276">
        <v>0</v>
      </c>
      <c r="G3497" s="8" t="s">
        <v>1362</v>
      </c>
      <c r="H3497" t="s">
        <v>1050</v>
      </c>
      <c r="K3497" s="69"/>
      <c r="L3497" s="232">
        <f t="shared" si="60"/>
        <v>1043663</v>
      </c>
      <c r="M3497" s="232">
        <f t="shared" si="61"/>
        <v>1043663</v>
      </c>
      <c r="N3497">
        <f t="shared" si="59"/>
        <v>32692.82</v>
      </c>
    </row>
    <row r="3498" spans="1:14" hidden="1">
      <c r="A3498" s="268">
        <v>44755</v>
      </c>
      <c r="C3498" s="237" t="s">
        <v>4619</v>
      </c>
      <c r="D3498" s="276">
        <v>632.5</v>
      </c>
      <c r="E3498" s="276">
        <v>0</v>
      </c>
      <c r="H3498" t="s">
        <v>1050</v>
      </c>
      <c r="K3498" s="69"/>
      <c r="L3498" s="232">
        <f t="shared" si="60"/>
        <v>1044454</v>
      </c>
      <c r="M3498" s="232">
        <f t="shared" si="61"/>
        <v>1044454</v>
      </c>
      <c r="N3498">
        <f t="shared" si="59"/>
        <v>632.5</v>
      </c>
    </row>
    <row r="3499" spans="1:14" hidden="1">
      <c r="A3499" s="268">
        <v>44755</v>
      </c>
      <c r="C3499" s="237" t="s">
        <v>4620</v>
      </c>
      <c r="D3499" s="276">
        <v>0</v>
      </c>
      <c r="E3499" s="276">
        <v>3</v>
      </c>
      <c r="H3499" t="s">
        <v>1050</v>
      </c>
      <c r="K3499" s="69"/>
      <c r="L3499" s="232">
        <f t="shared" si="60"/>
        <v>1044454</v>
      </c>
      <c r="M3499" s="232">
        <f t="shared" si="61"/>
        <v>1044454</v>
      </c>
      <c r="N3499">
        <f t="shared" si="59"/>
        <v>0</v>
      </c>
    </row>
    <row r="3500" spans="1:14" hidden="1">
      <c r="A3500" s="268">
        <v>44755</v>
      </c>
      <c r="C3500" s="237" t="s">
        <v>4621</v>
      </c>
      <c r="D3500" s="276">
        <v>3540</v>
      </c>
      <c r="E3500" s="276">
        <v>0</v>
      </c>
      <c r="H3500" t="s">
        <v>1050</v>
      </c>
      <c r="K3500" s="69"/>
      <c r="L3500" s="232">
        <f t="shared" si="60"/>
        <v>1044454</v>
      </c>
      <c r="M3500" s="232">
        <f t="shared" si="61"/>
        <v>1044454</v>
      </c>
      <c r="N3500">
        <f t="shared" si="59"/>
        <v>3540</v>
      </c>
    </row>
    <row r="3501" spans="1:14" hidden="1">
      <c r="A3501" s="268">
        <v>44757</v>
      </c>
      <c r="C3501" s="237" t="s">
        <v>4622</v>
      </c>
      <c r="D3501" s="276">
        <v>173680</v>
      </c>
      <c r="E3501" s="276">
        <v>0</v>
      </c>
      <c r="H3501" t="s">
        <v>1050</v>
      </c>
      <c r="K3501" s="69"/>
      <c r="L3501" s="232">
        <f t="shared" si="60"/>
        <v>1045247</v>
      </c>
      <c r="M3501" s="232">
        <f t="shared" si="61"/>
        <v>1045247</v>
      </c>
      <c r="N3501">
        <f t="shared" si="59"/>
        <v>173680</v>
      </c>
    </row>
    <row r="3502" spans="1:14" hidden="1">
      <c r="A3502" s="268">
        <v>44758</v>
      </c>
      <c r="C3502" s="237" t="s">
        <v>4623</v>
      </c>
      <c r="D3502" s="276">
        <v>138</v>
      </c>
      <c r="E3502" s="276">
        <v>0</v>
      </c>
      <c r="H3502" t="s">
        <v>1050</v>
      </c>
      <c r="K3502" s="69"/>
      <c r="L3502" s="232">
        <f t="shared" si="60"/>
        <v>1045642</v>
      </c>
      <c r="M3502" s="232">
        <f t="shared" si="61"/>
        <v>1045642</v>
      </c>
      <c r="N3502">
        <f t="shared" si="59"/>
        <v>138</v>
      </c>
    </row>
    <row r="3503" spans="1:14" hidden="1">
      <c r="A3503" s="268">
        <v>44758</v>
      </c>
      <c r="C3503" s="237" t="s">
        <v>4624</v>
      </c>
      <c r="D3503" s="276">
        <v>9990</v>
      </c>
      <c r="E3503" s="276">
        <v>0</v>
      </c>
      <c r="G3503" s="8" t="s">
        <v>1383</v>
      </c>
      <c r="H3503" t="s">
        <v>1050</v>
      </c>
      <c r="K3503" s="69"/>
      <c r="L3503" s="232">
        <f t="shared" si="60"/>
        <v>1045642</v>
      </c>
      <c r="M3503" s="232">
        <f t="shared" si="61"/>
        <v>1045642</v>
      </c>
      <c r="N3503">
        <f t="shared" si="59"/>
        <v>9990</v>
      </c>
    </row>
    <row r="3504" spans="1:14" hidden="1">
      <c r="A3504" s="268">
        <v>44760</v>
      </c>
      <c r="C3504" s="237" t="s">
        <v>4625</v>
      </c>
      <c r="D3504" s="276">
        <v>10250</v>
      </c>
      <c r="E3504" s="276">
        <v>0</v>
      </c>
      <c r="G3504" s="8" t="s">
        <v>1372</v>
      </c>
      <c r="H3504" t="s">
        <v>1050</v>
      </c>
      <c r="K3504" s="69"/>
      <c r="L3504" s="232">
        <f t="shared" si="60"/>
        <v>1046434</v>
      </c>
      <c r="M3504" s="232">
        <f t="shared" si="61"/>
        <v>1046434</v>
      </c>
      <c r="N3504">
        <f t="shared" si="59"/>
        <v>10250</v>
      </c>
    </row>
    <row r="3505" spans="1:14" hidden="1">
      <c r="A3505" s="268">
        <v>44763</v>
      </c>
      <c r="C3505" s="237" t="s">
        <v>4626</v>
      </c>
      <c r="D3505" s="276">
        <v>33333</v>
      </c>
      <c r="E3505" s="276">
        <v>0</v>
      </c>
      <c r="G3505" s="8" t="s">
        <v>1381</v>
      </c>
      <c r="H3505" t="s">
        <v>1050</v>
      </c>
      <c r="K3505" s="69"/>
      <c r="L3505" s="232">
        <f t="shared" si="60"/>
        <v>1047620</v>
      </c>
      <c r="M3505" s="232">
        <f t="shared" si="61"/>
        <v>1047620</v>
      </c>
      <c r="N3505">
        <f t="shared" si="59"/>
        <v>33333</v>
      </c>
    </row>
    <row r="3506" spans="1:14" hidden="1">
      <c r="A3506" s="268">
        <v>44763</v>
      </c>
      <c r="C3506" s="237" t="s">
        <v>4627</v>
      </c>
      <c r="D3506" s="276">
        <v>40</v>
      </c>
      <c r="E3506" s="276">
        <v>0</v>
      </c>
      <c r="H3506" t="s">
        <v>1050</v>
      </c>
      <c r="K3506" s="69"/>
      <c r="L3506" s="232">
        <f t="shared" si="60"/>
        <v>1047620</v>
      </c>
      <c r="M3506" s="232">
        <f t="shared" si="61"/>
        <v>1047620</v>
      </c>
      <c r="N3506">
        <f t="shared" si="59"/>
        <v>40</v>
      </c>
    </row>
    <row r="3507" spans="1:14" hidden="1">
      <c r="A3507" s="268">
        <v>44767</v>
      </c>
      <c r="C3507" s="237" t="s">
        <v>4628</v>
      </c>
      <c r="D3507" s="276">
        <v>607</v>
      </c>
      <c r="E3507" s="276">
        <v>0</v>
      </c>
      <c r="H3507" t="s">
        <v>1050</v>
      </c>
      <c r="K3507" s="69"/>
      <c r="L3507" s="232">
        <f t="shared" si="60"/>
        <v>1049203</v>
      </c>
      <c r="M3507" s="232">
        <f t="shared" si="61"/>
        <v>1049203</v>
      </c>
      <c r="N3507">
        <f t="shared" si="59"/>
        <v>607</v>
      </c>
    </row>
    <row r="3508" spans="1:14" hidden="1">
      <c r="A3508" s="268">
        <v>44767</v>
      </c>
      <c r="C3508" s="237" t="s">
        <v>4629</v>
      </c>
      <c r="D3508" s="276">
        <v>10250</v>
      </c>
      <c r="E3508" s="276">
        <v>0</v>
      </c>
      <c r="G3508" s="8" t="s">
        <v>1372</v>
      </c>
      <c r="H3508" t="s">
        <v>1050</v>
      </c>
      <c r="K3508" s="69"/>
      <c r="L3508" s="232">
        <f t="shared" si="60"/>
        <v>1049203</v>
      </c>
      <c r="M3508" s="232">
        <f t="shared" si="61"/>
        <v>1049203</v>
      </c>
      <c r="N3508">
        <f t="shared" si="59"/>
        <v>10250</v>
      </c>
    </row>
    <row r="3509" spans="1:14" hidden="1">
      <c r="A3509" s="268">
        <v>44768</v>
      </c>
      <c r="C3509" s="237" t="s">
        <v>4630</v>
      </c>
      <c r="D3509" s="276">
        <v>20</v>
      </c>
      <c r="E3509" s="276">
        <v>0</v>
      </c>
      <c r="H3509" t="s">
        <v>1050</v>
      </c>
      <c r="K3509" s="69"/>
      <c r="L3509" s="232">
        <f t="shared" si="60"/>
        <v>1049599</v>
      </c>
      <c r="M3509" s="232">
        <f t="shared" si="61"/>
        <v>1049599</v>
      </c>
      <c r="N3509">
        <f t="shared" si="59"/>
        <v>20</v>
      </c>
    </row>
    <row r="3510" spans="1:14" hidden="1">
      <c r="A3510" s="268">
        <v>44768</v>
      </c>
      <c r="C3510" s="237" t="s">
        <v>4631</v>
      </c>
      <c r="D3510" s="276">
        <v>0</v>
      </c>
      <c r="E3510" s="276">
        <v>297908</v>
      </c>
      <c r="G3510" s="8" t="s">
        <v>1380</v>
      </c>
      <c r="H3510" t="s">
        <v>1050</v>
      </c>
      <c r="K3510" s="69"/>
      <c r="L3510" s="232">
        <f t="shared" si="60"/>
        <v>1049599</v>
      </c>
      <c r="M3510" s="232">
        <f t="shared" si="61"/>
        <v>1049599</v>
      </c>
      <c r="N3510">
        <f t="shared" si="59"/>
        <v>0</v>
      </c>
    </row>
    <row r="3511" spans="1:14" hidden="1">
      <c r="A3511" s="268">
        <v>44770</v>
      </c>
      <c r="C3511" s="237" t="s">
        <v>4632</v>
      </c>
      <c r="D3511" s="276">
        <v>2000</v>
      </c>
      <c r="E3511" s="276">
        <v>0</v>
      </c>
      <c r="G3511" s="8" t="s">
        <v>1372</v>
      </c>
      <c r="H3511" t="s">
        <v>1050</v>
      </c>
      <c r="K3511" s="69"/>
      <c r="L3511" s="232">
        <f t="shared" si="60"/>
        <v>1050390</v>
      </c>
      <c r="M3511" s="232">
        <f t="shared" si="61"/>
        <v>1050390</v>
      </c>
      <c r="N3511">
        <f t="shared" si="59"/>
        <v>2000</v>
      </c>
    </row>
    <row r="3512" spans="1:14" hidden="1">
      <c r="A3512" s="268">
        <v>44770</v>
      </c>
      <c r="C3512" s="237" t="s">
        <v>4633</v>
      </c>
      <c r="D3512" s="276">
        <v>20</v>
      </c>
      <c r="E3512" s="276">
        <v>0</v>
      </c>
      <c r="H3512" t="s">
        <v>1050</v>
      </c>
      <c r="K3512" s="69"/>
      <c r="L3512" s="232">
        <f t="shared" si="60"/>
        <v>1050390</v>
      </c>
      <c r="M3512" s="232">
        <f t="shared" si="61"/>
        <v>1050390</v>
      </c>
      <c r="N3512">
        <f t="shared" si="59"/>
        <v>20</v>
      </c>
    </row>
    <row r="3513" spans="1:14" hidden="1">
      <c r="A3513" s="268">
        <v>44770</v>
      </c>
      <c r="C3513" s="237" t="s">
        <v>4634</v>
      </c>
      <c r="D3513" s="276">
        <v>25000</v>
      </c>
      <c r="E3513" s="276">
        <v>0</v>
      </c>
      <c r="G3513" s="8" t="s">
        <v>1381</v>
      </c>
      <c r="H3513" t="s">
        <v>1050</v>
      </c>
      <c r="K3513" s="69"/>
      <c r="L3513" s="232">
        <f t="shared" si="60"/>
        <v>1050390</v>
      </c>
      <c r="M3513" s="232">
        <f t="shared" si="61"/>
        <v>1050390</v>
      </c>
      <c r="N3513">
        <f t="shared" si="59"/>
        <v>25000</v>
      </c>
    </row>
    <row r="3514" spans="1:14" hidden="1">
      <c r="A3514" s="268">
        <v>44772</v>
      </c>
      <c r="C3514" s="237" t="s">
        <v>4635</v>
      </c>
      <c r="D3514" s="276">
        <v>417</v>
      </c>
      <c r="E3514" s="276">
        <v>0</v>
      </c>
      <c r="H3514" t="s">
        <v>1050</v>
      </c>
      <c r="K3514" s="69"/>
      <c r="L3514" s="232">
        <f t="shared" si="60"/>
        <v>1051182</v>
      </c>
      <c r="M3514" s="232">
        <f t="shared" si="61"/>
        <v>1051182</v>
      </c>
      <c r="N3514">
        <f t="shared" si="59"/>
        <v>417</v>
      </c>
    </row>
    <row r="3515" spans="1:14" hidden="1">
      <c r="A3515" s="268">
        <v>44774</v>
      </c>
      <c r="C3515" s="237" t="s">
        <v>4636</v>
      </c>
      <c r="D3515" s="276">
        <v>330</v>
      </c>
      <c r="E3515" s="276">
        <v>0</v>
      </c>
      <c r="H3515" t="s">
        <v>1050</v>
      </c>
      <c r="K3515" s="69"/>
      <c r="L3515" s="232">
        <f t="shared" si="60"/>
        <v>1051974</v>
      </c>
      <c r="M3515" s="232">
        <f t="shared" si="61"/>
        <v>1051974</v>
      </c>
      <c r="N3515">
        <f t="shared" si="59"/>
        <v>330</v>
      </c>
    </row>
    <row r="3516" spans="1:14" hidden="1">
      <c r="A3516" s="268">
        <v>44774</v>
      </c>
      <c r="C3516" s="237" t="s">
        <v>4637</v>
      </c>
      <c r="D3516" s="276">
        <v>0</v>
      </c>
      <c r="E3516" s="276">
        <v>4</v>
      </c>
      <c r="H3516" t="s">
        <v>1050</v>
      </c>
      <c r="K3516" s="69"/>
      <c r="L3516" s="232">
        <f t="shared" si="60"/>
        <v>1051974</v>
      </c>
      <c r="M3516" s="232">
        <f t="shared" si="61"/>
        <v>1051974</v>
      </c>
      <c r="N3516">
        <f t="shared" si="59"/>
        <v>0</v>
      </c>
    </row>
    <row r="3517" spans="1:14" hidden="1">
      <c r="A3517" s="268">
        <v>44774</v>
      </c>
      <c r="C3517" s="237" t="s">
        <v>4638</v>
      </c>
      <c r="D3517" s="276">
        <v>500</v>
      </c>
      <c r="E3517" s="276">
        <v>0</v>
      </c>
      <c r="G3517" s="8" t="s">
        <v>1363</v>
      </c>
      <c r="H3517" t="s">
        <v>1050</v>
      </c>
      <c r="K3517" s="69"/>
      <c r="L3517" s="232">
        <f t="shared" si="60"/>
        <v>1051974</v>
      </c>
      <c r="M3517" s="232">
        <f t="shared" si="61"/>
        <v>1051974</v>
      </c>
      <c r="N3517">
        <f t="shared" si="59"/>
        <v>500</v>
      </c>
    </row>
    <row r="3518" spans="1:14" hidden="1">
      <c r="A3518" s="268">
        <v>44774</v>
      </c>
      <c r="C3518" s="237" t="s">
        <v>4639</v>
      </c>
      <c r="D3518" s="276">
        <v>10250</v>
      </c>
      <c r="E3518" s="276">
        <v>0</v>
      </c>
      <c r="G3518" s="8" t="s">
        <v>1372</v>
      </c>
      <c r="H3518" t="s">
        <v>1050</v>
      </c>
      <c r="K3518" s="69"/>
      <c r="L3518" s="232">
        <f t="shared" si="60"/>
        <v>1051974</v>
      </c>
      <c r="M3518" s="232">
        <f t="shared" si="61"/>
        <v>1051974</v>
      </c>
      <c r="N3518">
        <f t="shared" si="59"/>
        <v>10250</v>
      </c>
    </row>
    <row r="3519" spans="1:14" hidden="1">
      <c r="A3519" s="268">
        <v>44774</v>
      </c>
      <c r="C3519" s="237" t="s">
        <v>4640</v>
      </c>
      <c r="D3519" s="276">
        <v>2000</v>
      </c>
      <c r="E3519" s="276">
        <v>0</v>
      </c>
      <c r="H3519" t="s">
        <v>1050</v>
      </c>
      <c r="K3519" s="69"/>
      <c r="L3519" s="232">
        <f t="shared" si="60"/>
        <v>1051974</v>
      </c>
      <c r="M3519" s="232">
        <f t="shared" si="61"/>
        <v>1051974</v>
      </c>
      <c r="N3519">
        <f t="shared" si="59"/>
        <v>2000</v>
      </c>
    </row>
    <row r="3520" spans="1:14" hidden="1">
      <c r="A3520" s="268">
        <v>44776</v>
      </c>
      <c r="C3520" s="237" t="s">
        <v>4641</v>
      </c>
      <c r="D3520" s="276">
        <v>9421</v>
      </c>
      <c r="E3520" s="276">
        <v>0</v>
      </c>
      <c r="H3520" t="s">
        <v>1050</v>
      </c>
      <c r="K3520" s="69"/>
      <c r="L3520" s="232">
        <f t="shared" si="60"/>
        <v>1052764</v>
      </c>
      <c r="M3520" s="232">
        <f t="shared" si="61"/>
        <v>1052764</v>
      </c>
      <c r="N3520">
        <f t="shared" si="59"/>
        <v>9421</v>
      </c>
    </row>
    <row r="3521" spans="1:14" hidden="1">
      <c r="A3521" s="268">
        <v>44777</v>
      </c>
      <c r="C3521" s="237" t="s">
        <v>4642</v>
      </c>
      <c r="D3521" s="276">
        <v>20</v>
      </c>
      <c r="E3521" s="276">
        <v>0</v>
      </c>
      <c r="H3521" t="s">
        <v>1050</v>
      </c>
      <c r="K3521" s="69"/>
      <c r="L3521" s="232">
        <f t="shared" si="60"/>
        <v>1053159</v>
      </c>
      <c r="M3521" s="232">
        <f t="shared" si="61"/>
        <v>1053159</v>
      </c>
      <c r="N3521">
        <f t="shared" si="59"/>
        <v>20</v>
      </c>
    </row>
    <row r="3522" spans="1:14" hidden="1">
      <c r="A3522" s="268">
        <v>44779</v>
      </c>
      <c r="C3522" s="237" t="s">
        <v>4643</v>
      </c>
      <c r="D3522" s="276">
        <v>75000</v>
      </c>
      <c r="E3522" s="276">
        <v>0</v>
      </c>
      <c r="G3522" s="8" t="s">
        <v>1363</v>
      </c>
      <c r="H3522" t="s">
        <v>1050</v>
      </c>
      <c r="K3522" s="69"/>
      <c r="L3522" s="232">
        <f t="shared" si="60"/>
        <v>1053951</v>
      </c>
      <c r="M3522" s="232">
        <f t="shared" si="61"/>
        <v>1053951</v>
      </c>
      <c r="N3522">
        <f t="shared" si="59"/>
        <v>75000</v>
      </c>
    </row>
    <row r="3523" spans="1:14" hidden="1">
      <c r="A3523" s="268">
        <v>44779</v>
      </c>
      <c r="C3523" s="237" t="s">
        <v>4644</v>
      </c>
      <c r="D3523" s="276">
        <v>355</v>
      </c>
      <c r="E3523" s="276">
        <v>0</v>
      </c>
      <c r="H3523" t="s">
        <v>1050</v>
      </c>
      <c r="K3523" s="69"/>
      <c r="L3523" s="232">
        <f t="shared" si="60"/>
        <v>1053951</v>
      </c>
      <c r="M3523" s="232">
        <f t="shared" si="61"/>
        <v>1053951</v>
      </c>
      <c r="N3523">
        <f t="shared" si="59"/>
        <v>355</v>
      </c>
    </row>
    <row r="3524" spans="1:14" hidden="1">
      <c r="A3524" s="268">
        <v>44781</v>
      </c>
      <c r="C3524" s="237" t="s">
        <v>4645</v>
      </c>
      <c r="D3524" s="276">
        <v>0</v>
      </c>
      <c r="E3524" s="276">
        <v>0</v>
      </c>
      <c r="H3524" t="s">
        <v>1050</v>
      </c>
      <c r="K3524" s="69"/>
      <c r="L3524" s="232">
        <f t="shared" si="60"/>
        <v>1054743</v>
      </c>
      <c r="M3524" s="232">
        <f t="shared" si="61"/>
        <v>1054743</v>
      </c>
      <c r="N3524">
        <f t="shared" si="59"/>
        <v>0</v>
      </c>
    </row>
    <row r="3525" spans="1:14" hidden="1">
      <c r="A3525" s="268">
        <v>44781</v>
      </c>
      <c r="C3525" s="237" t="s">
        <v>4646</v>
      </c>
      <c r="D3525" s="276">
        <v>10250</v>
      </c>
      <c r="E3525" s="276">
        <v>0</v>
      </c>
      <c r="G3525" s="8" t="s">
        <v>1372</v>
      </c>
      <c r="H3525" t="s">
        <v>1050</v>
      </c>
      <c r="K3525" s="69"/>
      <c r="L3525" s="232">
        <f t="shared" si="60"/>
        <v>1054743</v>
      </c>
      <c r="M3525" s="232">
        <f t="shared" si="61"/>
        <v>1054743</v>
      </c>
      <c r="N3525">
        <f t="shared" si="59"/>
        <v>10250</v>
      </c>
    </row>
    <row r="3526" spans="1:14" hidden="1">
      <c r="A3526" s="268">
        <v>44782</v>
      </c>
      <c r="C3526" s="237" t="s">
        <v>4132</v>
      </c>
      <c r="D3526" s="276">
        <v>1522.82</v>
      </c>
      <c r="E3526" s="276">
        <v>0</v>
      </c>
      <c r="G3526" s="8" t="s">
        <v>1362</v>
      </c>
      <c r="H3526" t="s">
        <v>1050</v>
      </c>
      <c r="K3526" s="69"/>
      <c r="L3526" s="232">
        <f t="shared" si="60"/>
        <v>1055139</v>
      </c>
      <c r="M3526" s="232">
        <f t="shared" si="61"/>
        <v>1055139</v>
      </c>
      <c r="N3526">
        <f t="shared" si="59"/>
        <v>1522.82</v>
      </c>
    </row>
    <row r="3527" spans="1:14" hidden="1">
      <c r="A3527" s="268">
        <v>44782</v>
      </c>
      <c r="C3527" s="237" t="s">
        <v>4647</v>
      </c>
      <c r="D3527" s="276">
        <v>0</v>
      </c>
      <c r="E3527" s="276">
        <v>40</v>
      </c>
      <c r="H3527" t="s">
        <v>1050</v>
      </c>
      <c r="K3527" s="69"/>
      <c r="L3527" s="232">
        <f t="shared" si="60"/>
        <v>1055139</v>
      </c>
      <c r="M3527" s="232">
        <f t="shared" si="61"/>
        <v>1055139</v>
      </c>
      <c r="N3527">
        <f t="shared" si="59"/>
        <v>0</v>
      </c>
    </row>
    <row r="3528" spans="1:14" hidden="1">
      <c r="A3528" s="268">
        <v>44782</v>
      </c>
      <c r="C3528" s="237" t="s">
        <v>4648</v>
      </c>
      <c r="D3528" s="276">
        <v>60</v>
      </c>
      <c r="E3528" s="276">
        <v>0</v>
      </c>
      <c r="H3528" t="s">
        <v>1050</v>
      </c>
      <c r="K3528" s="69"/>
      <c r="L3528" s="232">
        <f t="shared" si="60"/>
        <v>1055139</v>
      </c>
      <c r="M3528" s="232">
        <f t="shared" si="61"/>
        <v>1055139</v>
      </c>
      <c r="N3528">
        <f t="shared" si="59"/>
        <v>60</v>
      </c>
    </row>
    <row r="3529" spans="1:14" hidden="1">
      <c r="A3529" s="268">
        <v>44784</v>
      </c>
      <c r="C3529" s="237" t="s">
        <v>4649</v>
      </c>
      <c r="D3529" s="276">
        <v>20</v>
      </c>
      <c r="E3529" s="276">
        <v>0</v>
      </c>
      <c r="H3529" t="s">
        <v>1050</v>
      </c>
      <c r="K3529" s="69"/>
      <c r="L3529" s="232">
        <f t="shared" si="60"/>
        <v>1055930</v>
      </c>
      <c r="M3529" s="232">
        <f t="shared" si="61"/>
        <v>1055930</v>
      </c>
      <c r="N3529">
        <f t="shared" si="59"/>
        <v>20</v>
      </c>
    </row>
    <row r="3530" spans="1:14" hidden="1">
      <c r="A3530" s="268">
        <v>44785</v>
      </c>
      <c r="C3530" s="237" t="s">
        <v>4650</v>
      </c>
      <c r="D3530" s="276">
        <v>600</v>
      </c>
      <c r="E3530" s="276">
        <v>0</v>
      </c>
      <c r="H3530" t="s">
        <v>1050</v>
      </c>
      <c r="K3530" s="69"/>
      <c r="L3530" s="232">
        <f t="shared" si="60"/>
        <v>1056326</v>
      </c>
      <c r="M3530" s="232">
        <f t="shared" si="61"/>
        <v>1056326</v>
      </c>
      <c r="N3530">
        <f t="shared" si="59"/>
        <v>600</v>
      </c>
    </row>
    <row r="3531" spans="1:14" hidden="1">
      <c r="A3531" s="268">
        <v>44789</v>
      </c>
      <c r="C3531" s="237" t="s">
        <v>4651</v>
      </c>
      <c r="D3531" s="276">
        <v>179</v>
      </c>
      <c r="E3531" s="276">
        <v>0</v>
      </c>
      <c r="H3531" t="s">
        <v>1050</v>
      </c>
      <c r="K3531" s="69"/>
      <c r="L3531" s="232">
        <f t="shared" si="60"/>
        <v>1057908</v>
      </c>
      <c r="M3531" s="232">
        <f t="shared" si="61"/>
        <v>1057908</v>
      </c>
      <c r="N3531">
        <f t="shared" ref="N3531:N3594" si="62">D3531*1</f>
        <v>179</v>
      </c>
    </row>
    <row r="3532" spans="1:14" hidden="1">
      <c r="A3532" s="268">
        <v>44789</v>
      </c>
      <c r="C3532" s="237" t="s">
        <v>4652</v>
      </c>
      <c r="D3532" s="276">
        <v>270</v>
      </c>
      <c r="E3532" s="276">
        <v>0</v>
      </c>
      <c r="H3532" t="s">
        <v>1050</v>
      </c>
      <c r="K3532" s="69"/>
      <c r="L3532" s="232">
        <f t="shared" si="60"/>
        <v>1057908</v>
      </c>
      <c r="M3532" s="232">
        <f t="shared" si="61"/>
        <v>1057908</v>
      </c>
      <c r="N3532">
        <f t="shared" si="62"/>
        <v>270</v>
      </c>
    </row>
    <row r="3533" spans="1:14" hidden="1">
      <c r="A3533" s="268">
        <v>44789</v>
      </c>
      <c r="C3533" s="237" t="s">
        <v>4653</v>
      </c>
      <c r="D3533" s="276">
        <v>10250</v>
      </c>
      <c r="E3533" s="276">
        <v>0</v>
      </c>
      <c r="G3533" s="8" t="s">
        <v>1372</v>
      </c>
      <c r="H3533" t="s">
        <v>1050</v>
      </c>
      <c r="K3533" s="69"/>
      <c r="L3533" s="232">
        <f t="shared" si="60"/>
        <v>1057908</v>
      </c>
      <c r="M3533" s="232">
        <f t="shared" si="61"/>
        <v>1057908</v>
      </c>
      <c r="N3533">
        <f t="shared" si="62"/>
        <v>10250</v>
      </c>
    </row>
    <row r="3534" spans="1:14" hidden="1">
      <c r="A3534" s="268">
        <v>44789</v>
      </c>
      <c r="C3534" s="237" t="s">
        <v>4654</v>
      </c>
      <c r="D3534" s="276">
        <v>0</v>
      </c>
      <c r="E3534" s="276">
        <v>1</v>
      </c>
      <c r="H3534" t="s">
        <v>1050</v>
      </c>
      <c r="K3534" s="69"/>
      <c r="L3534" s="232">
        <f t="shared" si="60"/>
        <v>1057908</v>
      </c>
      <c r="M3534" s="232">
        <f t="shared" si="61"/>
        <v>1057908</v>
      </c>
      <c r="N3534">
        <f t="shared" si="62"/>
        <v>0</v>
      </c>
    </row>
    <row r="3535" spans="1:14" hidden="1">
      <c r="A3535" s="268">
        <v>44789</v>
      </c>
      <c r="C3535" s="237" t="s">
        <v>4655</v>
      </c>
      <c r="D3535" s="276">
        <v>883.5</v>
      </c>
      <c r="E3535" s="276">
        <v>0</v>
      </c>
      <c r="H3535" t="s">
        <v>1050</v>
      </c>
      <c r="K3535" s="69"/>
      <c r="L3535" s="232">
        <f t="shared" si="60"/>
        <v>1057908</v>
      </c>
      <c r="M3535" s="232">
        <f t="shared" si="61"/>
        <v>1057908</v>
      </c>
      <c r="N3535">
        <f t="shared" si="62"/>
        <v>883.5</v>
      </c>
    </row>
    <row r="3536" spans="1:14" hidden="1">
      <c r="A3536" s="268">
        <v>44789</v>
      </c>
      <c r="C3536" s="237" t="s">
        <v>4656</v>
      </c>
      <c r="D3536" s="276">
        <v>299</v>
      </c>
      <c r="E3536" s="276">
        <v>0</v>
      </c>
      <c r="H3536" t="s">
        <v>1050</v>
      </c>
      <c r="K3536" s="69"/>
      <c r="L3536" s="232">
        <f t="shared" si="60"/>
        <v>1057908</v>
      </c>
      <c r="M3536" s="232">
        <f t="shared" si="61"/>
        <v>1057908</v>
      </c>
      <c r="N3536">
        <f t="shared" si="62"/>
        <v>299</v>
      </c>
    </row>
    <row r="3537" spans="1:14" hidden="1">
      <c r="A3537" s="268">
        <v>44789</v>
      </c>
      <c r="C3537" s="237" t="s">
        <v>4657</v>
      </c>
      <c r="D3537" s="276">
        <v>52</v>
      </c>
      <c r="E3537" s="276">
        <v>0</v>
      </c>
      <c r="H3537" t="s">
        <v>1050</v>
      </c>
      <c r="K3537" s="69"/>
      <c r="L3537" s="232">
        <f t="shared" si="60"/>
        <v>1057908</v>
      </c>
      <c r="M3537" s="232">
        <f t="shared" si="61"/>
        <v>1057908</v>
      </c>
      <c r="N3537">
        <f t="shared" si="62"/>
        <v>52</v>
      </c>
    </row>
    <row r="3538" spans="1:14" hidden="1">
      <c r="A3538" s="268">
        <v>44789</v>
      </c>
      <c r="C3538" s="237" t="s">
        <v>4658</v>
      </c>
      <c r="D3538" s="276">
        <v>20</v>
      </c>
      <c r="E3538" s="276">
        <v>0</v>
      </c>
      <c r="H3538" t="s">
        <v>1050</v>
      </c>
      <c r="K3538" s="69"/>
      <c r="L3538" s="232">
        <f t="shared" si="60"/>
        <v>1057908</v>
      </c>
      <c r="M3538" s="232">
        <f t="shared" si="61"/>
        <v>1057908</v>
      </c>
      <c r="N3538">
        <f t="shared" si="62"/>
        <v>20</v>
      </c>
    </row>
    <row r="3539" spans="1:14" hidden="1">
      <c r="A3539" s="268">
        <v>44789</v>
      </c>
      <c r="C3539" s="237" t="s">
        <v>4659</v>
      </c>
      <c r="D3539" s="276">
        <v>9990</v>
      </c>
      <c r="E3539" s="276">
        <v>0</v>
      </c>
      <c r="G3539" s="8" t="s">
        <v>1383</v>
      </c>
      <c r="H3539" t="s">
        <v>1050</v>
      </c>
      <c r="K3539" s="69"/>
      <c r="L3539" s="232">
        <f t="shared" si="60"/>
        <v>1057908</v>
      </c>
      <c r="M3539" s="232">
        <f t="shared" si="61"/>
        <v>1057908</v>
      </c>
      <c r="N3539">
        <f t="shared" si="62"/>
        <v>9990</v>
      </c>
    </row>
    <row r="3540" spans="1:14" hidden="1">
      <c r="A3540" s="268">
        <v>44790</v>
      </c>
      <c r="C3540" s="237" t="s">
        <v>4660</v>
      </c>
      <c r="D3540" s="276">
        <v>227</v>
      </c>
      <c r="E3540" s="276">
        <v>0</v>
      </c>
      <c r="H3540" t="s">
        <v>1050</v>
      </c>
      <c r="K3540" s="69"/>
      <c r="L3540" s="232">
        <f t="shared" si="60"/>
        <v>1058304</v>
      </c>
      <c r="M3540" s="232">
        <f t="shared" si="61"/>
        <v>1058304</v>
      </c>
      <c r="N3540">
        <f t="shared" si="62"/>
        <v>227</v>
      </c>
    </row>
    <row r="3541" spans="1:14" hidden="1">
      <c r="A3541" s="268">
        <v>44791</v>
      </c>
      <c r="C3541" s="237" t="s">
        <v>4661</v>
      </c>
      <c r="D3541" s="276">
        <v>20</v>
      </c>
      <c r="E3541" s="276">
        <v>0</v>
      </c>
      <c r="H3541" t="s">
        <v>1050</v>
      </c>
      <c r="K3541" s="69"/>
      <c r="L3541" s="232">
        <f t="shared" si="60"/>
        <v>1058699</v>
      </c>
      <c r="M3541" s="232">
        <f t="shared" si="61"/>
        <v>1058699</v>
      </c>
      <c r="N3541">
        <f t="shared" si="62"/>
        <v>20</v>
      </c>
    </row>
    <row r="3542" spans="1:14" hidden="1">
      <c r="A3542" s="268">
        <v>44793</v>
      </c>
      <c r="C3542" s="237" t="s">
        <v>4662</v>
      </c>
      <c r="D3542" s="276">
        <v>293</v>
      </c>
      <c r="E3542" s="276">
        <v>0</v>
      </c>
      <c r="H3542" t="s">
        <v>1050</v>
      </c>
      <c r="K3542" s="69"/>
      <c r="L3542" s="232">
        <f t="shared" si="60"/>
        <v>1059492</v>
      </c>
      <c r="M3542" s="232">
        <f t="shared" si="61"/>
        <v>1059492</v>
      </c>
      <c r="N3542">
        <f t="shared" si="62"/>
        <v>293</v>
      </c>
    </row>
    <row r="3543" spans="1:14" hidden="1">
      <c r="A3543" s="268">
        <v>44793</v>
      </c>
      <c r="C3543" s="237" t="s">
        <v>4663</v>
      </c>
      <c r="D3543" s="276">
        <v>50</v>
      </c>
      <c r="E3543" s="276">
        <v>0</v>
      </c>
      <c r="H3543" t="s">
        <v>1050</v>
      </c>
      <c r="K3543" s="69"/>
      <c r="L3543" s="232">
        <f t="shared" si="60"/>
        <v>1059492</v>
      </c>
      <c r="M3543" s="232">
        <f t="shared" si="61"/>
        <v>1059492</v>
      </c>
      <c r="N3543">
        <f t="shared" si="62"/>
        <v>50</v>
      </c>
    </row>
    <row r="3544" spans="1:14" hidden="1">
      <c r="A3544" s="268">
        <v>44793</v>
      </c>
      <c r="C3544" s="237" t="s">
        <v>4664</v>
      </c>
      <c r="D3544" s="276">
        <v>60</v>
      </c>
      <c r="E3544" s="276">
        <v>0</v>
      </c>
      <c r="H3544" t="s">
        <v>1050</v>
      </c>
      <c r="K3544" s="69"/>
      <c r="L3544" s="232">
        <f t="shared" si="60"/>
        <v>1059492</v>
      </c>
      <c r="M3544" s="232">
        <f t="shared" si="61"/>
        <v>1059492</v>
      </c>
      <c r="N3544">
        <f t="shared" si="62"/>
        <v>60</v>
      </c>
    </row>
    <row r="3545" spans="1:14" hidden="1">
      <c r="A3545" s="268">
        <v>44795</v>
      </c>
      <c r="C3545" s="237" t="s">
        <v>4665</v>
      </c>
      <c r="D3545" s="276">
        <v>10250</v>
      </c>
      <c r="E3545" s="276">
        <v>0</v>
      </c>
      <c r="G3545" s="8" t="s">
        <v>1372</v>
      </c>
      <c r="H3545" t="s">
        <v>1050</v>
      </c>
      <c r="K3545" s="69"/>
      <c r="L3545" s="232">
        <f t="shared" si="60"/>
        <v>1060283</v>
      </c>
      <c r="M3545" s="232">
        <f t="shared" si="61"/>
        <v>1060283</v>
      </c>
      <c r="N3545">
        <f t="shared" si="62"/>
        <v>10250</v>
      </c>
    </row>
    <row r="3546" spans="1:14" hidden="1">
      <c r="A3546" s="268">
        <v>44795</v>
      </c>
      <c r="C3546" s="237" t="s">
        <v>4666</v>
      </c>
      <c r="D3546" s="276">
        <v>33333</v>
      </c>
      <c r="E3546" s="276">
        <v>0</v>
      </c>
      <c r="G3546" s="8" t="s">
        <v>1381</v>
      </c>
      <c r="H3546" t="s">
        <v>1050</v>
      </c>
      <c r="K3546" s="69"/>
      <c r="L3546" s="232">
        <f t="shared" si="60"/>
        <v>1060283</v>
      </c>
      <c r="M3546" s="232">
        <f t="shared" si="61"/>
        <v>1060283</v>
      </c>
      <c r="N3546">
        <f t="shared" si="62"/>
        <v>33333</v>
      </c>
    </row>
    <row r="3547" spans="1:14" hidden="1">
      <c r="A3547" s="268">
        <v>44795</v>
      </c>
      <c r="C3547" s="237" t="s">
        <v>4667</v>
      </c>
      <c r="D3547" s="276">
        <v>500</v>
      </c>
      <c r="E3547" s="276">
        <v>0</v>
      </c>
      <c r="H3547" t="s">
        <v>1050</v>
      </c>
      <c r="K3547" s="69"/>
      <c r="L3547" s="232">
        <f t="shared" si="60"/>
        <v>1060283</v>
      </c>
      <c r="M3547" s="232">
        <f t="shared" si="61"/>
        <v>1060283</v>
      </c>
      <c r="N3547">
        <f t="shared" si="62"/>
        <v>500</v>
      </c>
    </row>
    <row r="3548" spans="1:14" hidden="1">
      <c r="A3548" s="268">
        <v>44799</v>
      </c>
      <c r="C3548" s="237" t="s">
        <v>4668</v>
      </c>
      <c r="D3548" s="276">
        <v>0</v>
      </c>
      <c r="E3548" s="276">
        <v>297907</v>
      </c>
      <c r="G3548" s="8" t="s">
        <v>1380</v>
      </c>
      <c r="H3548" t="s">
        <v>1050</v>
      </c>
      <c r="K3548" s="69"/>
      <c r="L3548" s="232">
        <f t="shared" si="60"/>
        <v>1061864</v>
      </c>
      <c r="M3548" s="232">
        <f t="shared" si="61"/>
        <v>1061864</v>
      </c>
      <c r="N3548">
        <f t="shared" si="62"/>
        <v>0</v>
      </c>
    </row>
    <row r="3549" spans="1:14" hidden="1">
      <c r="A3549" s="268">
        <v>44802</v>
      </c>
      <c r="C3549" s="237" t="s">
        <v>4669</v>
      </c>
      <c r="D3549" s="276">
        <v>1000</v>
      </c>
      <c r="E3549" s="276">
        <v>0</v>
      </c>
      <c r="H3549" t="s">
        <v>1050</v>
      </c>
      <c r="K3549" s="69"/>
      <c r="L3549" s="232">
        <f t="shared" si="60"/>
        <v>1060010</v>
      </c>
      <c r="M3549" s="232">
        <f t="shared" si="61"/>
        <v>1060010</v>
      </c>
      <c r="N3549">
        <f t="shared" si="62"/>
        <v>1000</v>
      </c>
    </row>
    <row r="3550" spans="1:14" hidden="1">
      <c r="A3550" s="268">
        <v>44802</v>
      </c>
      <c r="C3550" s="237" t="s">
        <v>4670</v>
      </c>
      <c r="D3550" s="276">
        <v>2000</v>
      </c>
      <c r="E3550" s="276">
        <v>0</v>
      </c>
      <c r="G3550" s="8" t="s">
        <v>1372</v>
      </c>
      <c r="H3550" t="s">
        <v>1050</v>
      </c>
      <c r="K3550" s="69"/>
      <c r="L3550" s="232">
        <f t="shared" ref="L3550:L3613" si="63">M3550</f>
        <v>1060010</v>
      </c>
      <c r="M3550" s="232">
        <f t="shared" ref="M3550:M3613" si="64">DATE(VALUE(RIGHT(A3550,4)), VALUE(MID(A3550,4,2)), VALUE(LEFT(A3550,2)))</f>
        <v>1060010</v>
      </c>
      <c r="N3550">
        <f t="shared" si="62"/>
        <v>2000</v>
      </c>
    </row>
    <row r="3551" spans="1:14" hidden="1">
      <c r="A3551" s="268">
        <v>44802</v>
      </c>
      <c r="C3551" s="237" t="s">
        <v>4671</v>
      </c>
      <c r="D3551" s="276">
        <v>10250</v>
      </c>
      <c r="E3551" s="276">
        <v>0</v>
      </c>
      <c r="G3551" s="8" t="s">
        <v>1372</v>
      </c>
      <c r="H3551" t="s">
        <v>1050</v>
      </c>
      <c r="K3551" s="69"/>
      <c r="L3551" s="232">
        <f t="shared" si="63"/>
        <v>1060010</v>
      </c>
      <c r="M3551" s="232">
        <f t="shared" si="64"/>
        <v>1060010</v>
      </c>
      <c r="N3551">
        <f t="shared" si="62"/>
        <v>10250</v>
      </c>
    </row>
    <row r="3552" spans="1:14" hidden="1">
      <c r="A3552" s="268">
        <v>44802</v>
      </c>
      <c r="C3552" s="237" t="s">
        <v>4672</v>
      </c>
      <c r="D3552" s="276">
        <v>25000</v>
      </c>
      <c r="E3552" s="276">
        <v>0</v>
      </c>
      <c r="G3552" s="8" t="s">
        <v>1381</v>
      </c>
      <c r="H3552" t="s">
        <v>1050</v>
      </c>
      <c r="K3552" s="69"/>
      <c r="L3552" s="232">
        <f t="shared" si="63"/>
        <v>1060010</v>
      </c>
      <c r="M3552" s="232">
        <f t="shared" si="64"/>
        <v>1060010</v>
      </c>
      <c r="N3552">
        <f t="shared" si="62"/>
        <v>25000</v>
      </c>
    </row>
    <row r="3553" spans="1:14" hidden="1">
      <c r="A3553" s="268">
        <v>44803</v>
      </c>
      <c r="C3553" s="237" t="s">
        <v>4673</v>
      </c>
      <c r="D3553" s="276">
        <v>228</v>
      </c>
      <c r="E3553" s="276">
        <v>0</v>
      </c>
      <c r="H3553" t="s">
        <v>1050</v>
      </c>
      <c r="K3553" s="69"/>
      <c r="L3553" s="232">
        <f t="shared" si="63"/>
        <v>1060403</v>
      </c>
      <c r="M3553" s="232">
        <f t="shared" si="64"/>
        <v>1060403</v>
      </c>
      <c r="N3553">
        <f t="shared" si="62"/>
        <v>228</v>
      </c>
    </row>
    <row r="3554" spans="1:14" hidden="1">
      <c r="A3554" s="268">
        <v>44803</v>
      </c>
      <c r="C3554" s="237" t="s">
        <v>4674</v>
      </c>
      <c r="D3554" s="276">
        <v>1023</v>
      </c>
      <c r="E3554" s="276">
        <v>0</v>
      </c>
      <c r="H3554" t="s">
        <v>1050</v>
      </c>
      <c r="K3554" s="69"/>
      <c r="L3554" s="232">
        <f t="shared" si="63"/>
        <v>1060403</v>
      </c>
      <c r="M3554" s="232">
        <f t="shared" si="64"/>
        <v>1060403</v>
      </c>
      <c r="N3554">
        <f t="shared" si="62"/>
        <v>1023</v>
      </c>
    </row>
    <row r="3555" spans="1:14" hidden="1">
      <c r="A3555" s="268">
        <v>44804</v>
      </c>
      <c r="C3555" s="237" t="s">
        <v>4675</v>
      </c>
      <c r="D3555" s="276">
        <v>20</v>
      </c>
      <c r="E3555" s="276">
        <v>0</v>
      </c>
      <c r="H3555" t="s">
        <v>1050</v>
      </c>
      <c r="K3555" s="69"/>
      <c r="L3555" s="232">
        <f t="shared" si="63"/>
        <v>1060800</v>
      </c>
      <c r="M3555" s="232">
        <f t="shared" si="64"/>
        <v>1060800</v>
      </c>
      <c r="N3555">
        <f t="shared" si="62"/>
        <v>20</v>
      </c>
    </row>
    <row r="3556" spans="1:14" hidden="1">
      <c r="A3556" s="268">
        <v>44805</v>
      </c>
      <c r="C3556" s="237" t="s">
        <v>4676</v>
      </c>
      <c r="D3556" s="276">
        <v>500</v>
      </c>
      <c r="E3556" s="276">
        <v>0</v>
      </c>
      <c r="G3556" s="8" t="s">
        <v>1363</v>
      </c>
      <c r="H3556" t="s">
        <v>1050</v>
      </c>
      <c r="K3556" s="69"/>
      <c r="L3556" s="232">
        <f t="shared" si="63"/>
        <v>1061195</v>
      </c>
      <c r="M3556" s="232">
        <f t="shared" si="64"/>
        <v>1061195</v>
      </c>
      <c r="N3556">
        <f t="shared" si="62"/>
        <v>500</v>
      </c>
    </row>
    <row r="3557" spans="1:14" hidden="1">
      <c r="A3557" s="268">
        <v>44805</v>
      </c>
      <c r="C3557" s="237" t="s">
        <v>4677</v>
      </c>
      <c r="D3557" s="276">
        <v>38</v>
      </c>
      <c r="E3557" s="276">
        <v>0</v>
      </c>
      <c r="H3557" t="s">
        <v>1050</v>
      </c>
      <c r="K3557" s="69"/>
      <c r="L3557" s="232">
        <f t="shared" si="63"/>
        <v>1061195</v>
      </c>
      <c r="M3557" s="232">
        <f t="shared" si="64"/>
        <v>1061195</v>
      </c>
      <c r="N3557">
        <f t="shared" si="62"/>
        <v>38</v>
      </c>
    </row>
    <row r="3558" spans="1:14" hidden="1">
      <c r="A3558" s="268">
        <v>44807</v>
      </c>
      <c r="C3558" s="237" t="s">
        <v>4678</v>
      </c>
      <c r="D3558" s="276">
        <v>500</v>
      </c>
      <c r="E3558" s="276">
        <v>0</v>
      </c>
      <c r="H3558" t="s">
        <v>1050</v>
      </c>
      <c r="K3558" s="69"/>
      <c r="L3558" s="232">
        <f t="shared" si="63"/>
        <v>1061986</v>
      </c>
      <c r="M3558" s="232">
        <f t="shared" si="64"/>
        <v>1061986</v>
      </c>
      <c r="N3558">
        <f t="shared" si="62"/>
        <v>500</v>
      </c>
    </row>
    <row r="3559" spans="1:14" hidden="1">
      <c r="A3559" s="268">
        <v>44809</v>
      </c>
      <c r="C3559" s="237" t="s">
        <v>4679</v>
      </c>
      <c r="D3559" s="276">
        <v>2000</v>
      </c>
      <c r="E3559" s="276">
        <v>0</v>
      </c>
      <c r="H3559" t="s">
        <v>1050</v>
      </c>
      <c r="K3559" s="69"/>
      <c r="L3559" s="232">
        <f t="shared" si="63"/>
        <v>1062779</v>
      </c>
      <c r="M3559" s="232">
        <f t="shared" si="64"/>
        <v>1062779</v>
      </c>
      <c r="N3559">
        <f t="shared" si="62"/>
        <v>2000</v>
      </c>
    </row>
    <row r="3560" spans="1:14" hidden="1">
      <c r="A3560" s="268">
        <v>44809</v>
      </c>
      <c r="C3560" s="237" t="s">
        <v>4680</v>
      </c>
      <c r="D3560" s="276">
        <v>0</v>
      </c>
      <c r="E3560" s="276">
        <v>4</v>
      </c>
      <c r="H3560" t="s">
        <v>1050</v>
      </c>
      <c r="K3560" s="69"/>
      <c r="L3560" s="232">
        <f t="shared" si="63"/>
        <v>1062779</v>
      </c>
      <c r="M3560" s="232">
        <f t="shared" si="64"/>
        <v>1062779</v>
      </c>
      <c r="N3560">
        <f t="shared" si="62"/>
        <v>0</v>
      </c>
    </row>
    <row r="3561" spans="1:14" hidden="1">
      <c r="A3561" s="268">
        <v>44809</v>
      </c>
      <c r="C3561" s="237" t="s">
        <v>4681</v>
      </c>
      <c r="D3561" s="276">
        <v>40</v>
      </c>
      <c r="E3561" s="276">
        <v>0</v>
      </c>
      <c r="H3561" t="s">
        <v>1050</v>
      </c>
      <c r="K3561" s="69"/>
      <c r="L3561" s="232">
        <f t="shared" si="63"/>
        <v>1062779</v>
      </c>
      <c r="M3561" s="232">
        <f t="shared" si="64"/>
        <v>1062779</v>
      </c>
      <c r="N3561">
        <f t="shared" si="62"/>
        <v>40</v>
      </c>
    </row>
    <row r="3562" spans="1:14" hidden="1">
      <c r="A3562" s="268">
        <v>44809</v>
      </c>
      <c r="C3562" s="237" t="s">
        <v>4682</v>
      </c>
      <c r="D3562" s="276">
        <v>355</v>
      </c>
      <c r="E3562" s="276">
        <v>0</v>
      </c>
      <c r="H3562" t="s">
        <v>1050</v>
      </c>
      <c r="K3562" s="69"/>
      <c r="L3562" s="232">
        <f t="shared" si="63"/>
        <v>1062779</v>
      </c>
      <c r="M3562" s="232">
        <f t="shared" si="64"/>
        <v>1062779</v>
      </c>
      <c r="N3562">
        <f t="shared" si="62"/>
        <v>355</v>
      </c>
    </row>
    <row r="3563" spans="1:14" hidden="1">
      <c r="A3563" s="268">
        <v>44809</v>
      </c>
      <c r="C3563" s="237" t="s">
        <v>4683</v>
      </c>
      <c r="D3563" s="276">
        <v>9705</v>
      </c>
      <c r="E3563" s="276">
        <v>0</v>
      </c>
      <c r="H3563" t="s">
        <v>1050</v>
      </c>
      <c r="K3563" s="69"/>
      <c r="L3563" s="232">
        <f t="shared" si="63"/>
        <v>1062779</v>
      </c>
      <c r="M3563" s="232">
        <f t="shared" si="64"/>
        <v>1062779</v>
      </c>
      <c r="N3563">
        <f t="shared" si="62"/>
        <v>9705</v>
      </c>
    </row>
    <row r="3564" spans="1:14" hidden="1">
      <c r="A3564" s="268">
        <v>44809</v>
      </c>
      <c r="C3564" s="237" t="s">
        <v>4684</v>
      </c>
      <c r="D3564" s="276">
        <v>10250</v>
      </c>
      <c r="E3564" s="276">
        <v>0</v>
      </c>
      <c r="G3564" s="8" t="s">
        <v>1372</v>
      </c>
      <c r="H3564" t="s">
        <v>1050</v>
      </c>
      <c r="K3564" s="69"/>
      <c r="L3564" s="232">
        <f t="shared" si="63"/>
        <v>1062779</v>
      </c>
      <c r="M3564" s="232">
        <f t="shared" si="64"/>
        <v>1062779</v>
      </c>
      <c r="N3564">
        <f t="shared" si="62"/>
        <v>10250</v>
      </c>
    </row>
    <row r="3565" spans="1:14" hidden="1">
      <c r="A3565" s="268">
        <v>44809</v>
      </c>
      <c r="C3565" s="237" t="s">
        <v>4685</v>
      </c>
      <c r="D3565" s="276">
        <v>107</v>
      </c>
      <c r="E3565" s="276">
        <v>0</v>
      </c>
      <c r="H3565" t="s">
        <v>1050</v>
      </c>
      <c r="K3565" s="69"/>
      <c r="L3565" s="232">
        <f t="shared" si="63"/>
        <v>1062779</v>
      </c>
      <c r="M3565" s="232">
        <f t="shared" si="64"/>
        <v>1062779</v>
      </c>
      <c r="N3565">
        <f t="shared" si="62"/>
        <v>107</v>
      </c>
    </row>
    <row r="3566" spans="1:14" hidden="1">
      <c r="A3566" s="268">
        <v>44810</v>
      </c>
      <c r="C3566" s="237" t="s">
        <v>4686</v>
      </c>
      <c r="D3566" s="276">
        <v>75000</v>
      </c>
      <c r="E3566" s="276">
        <v>0</v>
      </c>
      <c r="G3566" s="8" t="s">
        <v>1363</v>
      </c>
      <c r="H3566" t="s">
        <v>1050</v>
      </c>
      <c r="K3566" s="69"/>
      <c r="L3566" s="232">
        <f t="shared" si="63"/>
        <v>1063174</v>
      </c>
      <c r="M3566" s="232">
        <f t="shared" si="64"/>
        <v>1063174</v>
      </c>
      <c r="N3566">
        <f t="shared" si="62"/>
        <v>75000</v>
      </c>
    </row>
    <row r="3567" spans="1:14" hidden="1">
      <c r="A3567" s="268">
        <v>44813</v>
      </c>
      <c r="C3567" s="237" t="s">
        <v>4687</v>
      </c>
      <c r="D3567" s="276">
        <v>280</v>
      </c>
      <c r="E3567" s="276">
        <v>0</v>
      </c>
      <c r="H3567" t="s">
        <v>1050</v>
      </c>
      <c r="K3567" s="69"/>
      <c r="L3567" s="232">
        <f t="shared" si="63"/>
        <v>1064362</v>
      </c>
      <c r="M3567" s="232">
        <f t="shared" si="64"/>
        <v>1064362</v>
      </c>
      <c r="N3567">
        <f t="shared" si="62"/>
        <v>280</v>
      </c>
    </row>
    <row r="3568" spans="1:14" hidden="1">
      <c r="A3568" s="268">
        <v>44813</v>
      </c>
      <c r="C3568" s="237" t="s">
        <v>4688</v>
      </c>
      <c r="D3568" s="276">
        <v>0</v>
      </c>
      <c r="E3568" s="276">
        <v>3</v>
      </c>
      <c r="H3568" t="s">
        <v>1050</v>
      </c>
      <c r="K3568" s="69"/>
      <c r="L3568" s="232">
        <f t="shared" si="63"/>
        <v>1064362</v>
      </c>
      <c r="M3568" s="232">
        <f t="shared" si="64"/>
        <v>1064362</v>
      </c>
      <c r="N3568">
        <f t="shared" si="62"/>
        <v>0</v>
      </c>
    </row>
    <row r="3569" spans="1:14" hidden="1">
      <c r="A3569" s="268">
        <v>44816</v>
      </c>
      <c r="C3569" s="237" t="s">
        <v>4689</v>
      </c>
      <c r="D3569" s="276">
        <v>1320</v>
      </c>
      <c r="E3569" s="276">
        <v>0</v>
      </c>
      <c r="H3569" t="s">
        <v>1050</v>
      </c>
      <c r="K3569" s="69"/>
      <c r="L3569" s="232">
        <f t="shared" si="63"/>
        <v>1065548</v>
      </c>
      <c r="M3569" s="232">
        <f t="shared" si="64"/>
        <v>1065548</v>
      </c>
      <c r="N3569">
        <f t="shared" si="62"/>
        <v>1320</v>
      </c>
    </row>
    <row r="3570" spans="1:14" hidden="1">
      <c r="A3570" s="268">
        <v>44816</v>
      </c>
      <c r="C3570" s="237" t="s">
        <v>4690</v>
      </c>
      <c r="D3570" s="276">
        <v>10250</v>
      </c>
      <c r="E3570" s="276">
        <v>0</v>
      </c>
      <c r="G3570" s="8" t="s">
        <v>1372</v>
      </c>
      <c r="H3570" t="s">
        <v>1050</v>
      </c>
      <c r="K3570" s="69"/>
      <c r="L3570" s="232">
        <f t="shared" si="63"/>
        <v>1065548</v>
      </c>
      <c r="M3570" s="232">
        <f t="shared" si="64"/>
        <v>1065548</v>
      </c>
      <c r="N3570">
        <f t="shared" si="62"/>
        <v>10250</v>
      </c>
    </row>
    <row r="3571" spans="1:14" hidden="1">
      <c r="A3571" s="268">
        <v>44816</v>
      </c>
      <c r="C3571" s="237" t="s">
        <v>4132</v>
      </c>
      <c r="D3571" s="276">
        <v>7213.64</v>
      </c>
      <c r="E3571" s="276">
        <v>0</v>
      </c>
      <c r="G3571" s="8" t="s">
        <v>1362</v>
      </c>
      <c r="H3571" t="s">
        <v>1050</v>
      </c>
      <c r="K3571" s="69"/>
      <c r="L3571" s="232">
        <f t="shared" si="63"/>
        <v>1065548</v>
      </c>
      <c r="M3571" s="232">
        <f t="shared" si="64"/>
        <v>1065548</v>
      </c>
      <c r="N3571">
        <f t="shared" si="62"/>
        <v>7213.64</v>
      </c>
    </row>
    <row r="3572" spans="1:14" hidden="1">
      <c r="A3572" s="268">
        <v>44820</v>
      </c>
      <c r="C3572" s="237" t="s">
        <v>4691</v>
      </c>
      <c r="D3572" s="276">
        <v>9990</v>
      </c>
      <c r="E3572" s="276">
        <v>0</v>
      </c>
      <c r="G3572" s="8" t="s">
        <v>1383</v>
      </c>
      <c r="H3572" t="s">
        <v>1050</v>
      </c>
      <c r="K3572" s="69"/>
      <c r="L3572" s="232">
        <f t="shared" si="63"/>
        <v>1067131</v>
      </c>
      <c r="M3572" s="232">
        <f t="shared" si="64"/>
        <v>1067131</v>
      </c>
      <c r="N3572">
        <f t="shared" si="62"/>
        <v>9990</v>
      </c>
    </row>
    <row r="3573" spans="1:14" hidden="1">
      <c r="A3573" s="268">
        <v>44820</v>
      </c>
      <c r="C3573" s="237" t="s">
        <v>4692</v>
      </c>
      <c r="D3573" s="276">
        <v>883.5</v>
      </c>
      <c r="E3573" s="276">
        <v>0</v>
      </c>
      <c r="H3573" t="s">
        <v>1050</v>
      </c>
      <c r="K3573" s="69"/>
      <c r="L3573" s="232">
        <f t="shared" si="63"/>
        <v>1067131</v>
      </c>
      <c r="M3573" s="232">
        <f t="shared" si="64"/>
        <v>1067131</v>
      </c>
      <c r="N3573">
        <f t="shared" si="62"/>
        <v>883.5</v>
      </c>
    </row>
    <row r="3574" spans="1:14" hidden="1">
      <c r="A3574" s="268">
        <v>44823</v>
      </c>
      <c r="C3574" s="237" t="s">
        <v>4693</v>
      </c>
      <c r="D3574" s="276">
        <v>55</v>
      </c>
      <c r="E3574" s="276">
        <v>0</v>
      </c>
      <c r="H3574" t="s">
        <v>1050</v>
      </c>
      <c r="K3574" s="69"/>
      <c r="L3574" s="232">
        <f t="shared" si="63"/>
        <v>1068319</v>
      </c>
      <c r="M3574" s="232">
        <f t="shared" si="64"/>
        <v>1068319</v>
      </c>
      <c r="N3574">
        <f t="shared" si="62"/>
        <v>55</v>
      </c>
    </row>
    <row r="3575" spans="1:14" hidden="1">
      <c r="A3575" s="268">
        <v>44823</v>
      </c>
      <c r="C3575" s="237" t="s">
        <v>4694</v>
      </c>
      <c r="D3575" s="276">
        <v>20</v>
      </c>
      <c r="E3575" s="276">
        <v>0</v>
      </c>
      <c r="H3575" t="s">
        <v>1050</v>
      </c>
      <c r="K3575" s="69"/>
      <c r="L3575" s="232">
        <f t="shared" si="63"/>
        <v>1068319</v>
      </c>
      <c r="M3575" s="232">
        <f>DATE(VALUE(RIGHT(A3575,4)), VALUE(MID(A3575,4,2)), VALUE(LEFT(A3575,2)))</f>
        <v>1068319</v>
      </c>
      <c r="N3575">
        <f t="shared" si="62"/>
        <v>20</v>
      </c>
    </row>
    <row r="3576" spans="1:14" hidden="1">
      <c r="A3576" s="268">
        <v>44823</v>
      </c>
      <c r="C3576" s="237" t="s">
        <v>4695</v>
      </c>
      <c r="D3576" s="276">
        <v>10250</v>
      </c>
      <c r="E3576" s="276">
        <v>0</v>
      </c>
      <c r="G3576" s="8" t="s">
        <v>1372</v>
      </c>
      <c r="H3576" t="s">
        <v>1050</v>
      </c>
      <c r="K3576" s="69"/>
      <c r="L3576" s="232">
        <f t="shared" si="63"/>
        <v>1068319</v>
      </c>
      <c r="M3576" s="232">
        <f t="shared" si="64"/>
        <v>1068319</v>
      </c>
      <c r="N3576">
        <f t="shared" si="62"/>
        <v>10250</v>
      </c>
    </row>
    <row r="3577" spans="1:14" hidden="1">
      <c r="A3577" s="268">
        <v>44825</v>
      </c>
      <c r="C3577" s="237" t="s">
        <v>4696</v>
      </c>
      <c r="D3577" s="276">
        <v>33333</v>
      </c>
      <c r="E3577" s="276">
        <v>0</v>
      </c>
      <c r="G3577" s="8" t="s">
        <v>1381</v>
      </c>
      <c r="H3577" t="s">
        <v>1050</v>
      </c>
      <c r="K3577" s="69"/>
      <c r="L3577" s="232">
        <f t="shared" si="63"/>
        <v>1069110</v>
      </c>
      <c r="M3577" s="232">
        <f t="shared" si="64"/>
        <v>1069110</v>
      </c>
      <c r="N3577">
        <f t="shared" si="62"/>
        <v>33333</v>
      </c>
    </row>
    <row r="3578" spans="1:14" hidden="1">
      <c r="A3578" s="268">
        <v>44830</v>
      </c>
      <c r="C3578" s="237" t="s">
        <v>4697</v>
      </c>
      <c r="D3578" s="276">
        <v>10250</v>
      </c>
      <c r="E3578" s="276">
        <v>0</v>
      </c>
      <c r="G3578" s="8" t="s">
        <v>1372</v>
      </c>
      <c r="H3578" t="s">
        <v>1050</v>
      </c>
      <c r="K3578" s="69"/>
      <c r="L3578" s="232">
        <f t="shared" si="63"/>
        <v>1071088</v>
      </c>
      <c r="M3578" s="232">
        <f t="shared" si="64"/>
        <v>1071088</v>
      </c>
      <c r="N3578">
        <f t="shared" si="62"/>
        <v>10250</v>
      </c>
    </row>
    <row r="3579" spans="1:14" hidden="1">
      <c r="A3579" s="268">
        <v>44830</v>
      </c>
      <c r="C3579" s="237" t="s">
        <v>4698</v>
      </c>
      <c r="D3579" s="276">
        <v>0</v>
      </c>
      <c r="E3579" s="276">
        <v>295450</v>
      </c>
      <c r="G3579" s="8" t="s">
        <v>1380</v>
      </c>
      <c r="H3579" t="s">
        <v>1050</v>
      </c>
      <c r="K3579" s="69"/>
      <c r="L3579" s="232">
        <f t="shared" si="63"/>
        <v>1071088</v>
      </c>
      <c r="M3579" s="232">
        <f t="shared" si="64"/>
        <v>1071088</v>
      </c>
      <c r="N3579">
        <f t="shared" si="62"/>
        <v>0</v>
      </c>
    </row>
    <row r="3580" spans="1:14" hidden="1">
      <c r="A3580" s="268">
        <v>44831</v>
      </c>
      <c r="C3580" s="237" t="s">
        <v>4699</v>
      </c>
      <c r="D3580" s="276">
        <v>5896</v>
      </c>
      <c r="E3580" s="276">
        <v>0</v>
      </c>
      <c r="H3580" t="s">
        <v>1050</v>
      </c>
      <c r="K3580" s="69"/>
      <c r="L3580" s="232">
        <f t="shared" si="63"/>
        <v>1071483</v>
      </c>
      <c r="M3580" s="232">
        <f t="shared" si="64"/>
        <v>1071483</v>
      </c>
      <c r="N3580">
        <f t="shared" si="62"/>
        <v>5896</v>
      </c>
    </row>
    <row r="3581" spans="1:14" hidden="1">
      <c r="A3581" s="268">
        <v>44832</v>
      </c>
      <c r="C3581" s="237" t="s">
        <v>4700</v>
      </c>
      <c r="D3581" s="276">
        <v>2000</v>
      </c>
      <c r="E3581" s="276">
        <v>0</v>
      </c>
      <c r="G3581" s="8" t="s">
        <v>1372</v>
      </c>
      <c r="H3581" t="s">
        <v>1050</v>
      </c>
      <c r="K3581" s="69"/>
      <c r="L3581" s="232">
        <f t="shared" si="63"/>
        <v>1071879</v>
      </c>
      <c r="M3581" s="232">
        <f t="shared" si="64"/>
        <v>1071879</v>
      </c>
      <c r="N3581">
        <f t="shared" si="62"/>
        <v>2000</v>
      </c>
    </row>
    <row r="3582" spans="1:14" hidden="1">
      <c r="A3582" s="268">
        <v>44832</v>
      </c>
      <c r="C3582" s="237" t="s">
        <v>4701</v>
      </c>
      <c r="D3582" s="276">
        <v>25000</v>
      </c>
      <c r="E3582" s="276">
        <v>0</v>
      </c>
      <c r="G3582" s="8" t="s">
        <v>1381</v>
      </c>
      <c r="H3582" t="s">
        <v>1050</v>
      </c>
      <c r="K3582" s="69"/>
      <c r="L3582" s="232">
        <f t="shared" si="63"/>
        <v>1071879</v>
      </c>
      <c r="M3582" s="232">
        <f t="shared" si="64"/>
        <v>1071879</v>
      </c>
      <c r="N3582">
        <f t="shared" si="62"/>
        <v>25000</v>
      </c>
    </row>
    <row r="3583" spans="1:14" hidden="1">
      <c r="A3583" s="268">
        <v>44833</v>
      </c>
      <c r="C3583" s="237" t="s">
        <v>4702</v>
      </c>
      <c r="D3583" s="276">
        <v>190</v>
      </c>
      <c r="E3583" s="276">
        <v>0</v>
      </c>
      <c r="H3583" t="s">
        <v>1050</v>
      </c>
      <c r="K3583" s="69"/>
      <c r="L3583" s="232">
        <f t="shared" si="63"/>
        <v>1072275</v>
      </c>
      <c r="M3583" s="232">
        <f t="shared" si="64"/>
        <v>1072275</v>
      </c>
      <c r="N3583">
        <f t="shared" si="62"/>
        <v>190</v>
      </c>
    </row>
    <row r="3584" spans="1:14" hidden="1">
      <c r="A3584" s="268">
        <v>44834</v>
      </c>
      <c r="C3584" s="237" t="s">
        <v>4703</v>
      </c>
      <c r="D3584" s="276">
        <v>0</v>
      </c>
      <c r="E3584" s="276">
        <v>4396</v>
      </c>
      <c r="G3584" s="8" t="s">
        <v>1368</v>
      </c>
      <c r="H3584" t="s">
        <v>1050</v>
      </c>
      <c r="K3584" s="69"/>
      <c r="L3584" s="232">
        <f t="shared" si="63"/>
        <v>1072671</v>
      </c>
      <c r="M3584" s="232">
        <f t="shared" si="64"/>
        <v>1072671</v>
      </c>
      <c r="N3584">
        <f t="shared" si="62"/>
        <v>0</v>
      </c>
    </row>
    <row r="3585" spans="1:14" hidden="1">
      <c r="A3585" s="268">
        <v>44834</v>
      </c>
      <c r="C3585" s="237" t="s">
        <v>4704</v>
      </c>
      <c r="D3585" s="276">
        <v>1099</v>
      </c>
      <c r="E3585" s="276">
        <v>0</v>
      </c>
      <c r="H3585" t="s">
        <v>1050</v>
      </c>
      <c r="K3585" s="69"/>
      <c r="L3585" s="232">
        <f t="shared" si="63"/>
        <v>1072671</v>
      </c>
      <c r="M3585" s="232">
        <f t="shared" si="64"/>
        <v>1072671</v>
      </c>
      <c r="N3585">
        <f t="shared" si="62"/>
        <v>1099</v>
      </c>
    </row>
    <row r="3586" spans="1:14" hidden="1">
      <c r="A3586" s="268">
        <v>44835</v>
      </c>
      <c r="C3586" s="237" t="s">
        <v>4705</v>
      </c>
      <c r="D3586" s="276">
        <v>500</v>
      </c>
      <c r="E3586" s="276">
        <v>0</v>
      </c>
      <c r="G3586" s="8" t="s">
        <v>1363</v>
      </c>
      <c r="H3586" t="s">
        <v>1050</v>
      </c>
      <c r="K3586" s="69"/>
      <c r="L3586" s="232">
        <f t="shared" si="63"/>
        <v>1073067</v>
      </c>
      <c r="M3586" s="232">
        <f t="shared" si="64"/>
        <v>1073067</v>
      </c>
      <c r="N3586">
        <f t="shared" si="62"/>
        <v>500</v>
      </c>
    </row>
    <row r="3587" spans="1:14" hidden="1">
      <c r="A3587" s="268">
        <v>44837</v>
      </c>
      <c r="C3587" s="237" t="s">
        <v>4706</v>
      </c>
      <c r="D3587" s="276">
        <v>120</v>
      </c>
      <c r="E3587" s="276">
        <v>0</v>
      </c>
      <c r="H3587" t="s">
        <v>1050</v>
      </c>
      <c r="K3587" s="69"/>
      <c r="L3587" s="232">
        <f t="shared" si="63"/>
        <v>1073858</v>
      </c>
      <c r="M3587" s="232">
        <f t="shared" si="64"/>
        <v>1073858</v>
      </c>
      <c r="N3587">
        <f t="shared" si="62"/>
        <v>120</v>
      </c>
    </row>
    <row r="3588" spans="1:14" hidden="1">
      <c r="A3588" s="268">
        <v>44837</v>
      </c>
      <c r="C3588" s="237" t="s">
        <v>4707</v>
      </c>
      <c r="D3588" s="276">
        <v>150</v>
      </c>
      <c r="E3588" s="276">
        <v>0</v>
      </c>
      <c r="H3588" t="s">
        <v>1050</v>
      </c>
      <c r="K3588" s="69"/>
      <c r="L3588" s="232">
        <f t="shared" si="63"/>
        <v>1073858</v>
      </c>
      <c r="M3588" s="232">
        <f t="shared" si="64"/>
        <v>1073858</v>
      </c>
      <c r="N3588">
        <f t="shared" si="62"/>
        <v>150</v>
      </c>
    </row>
    <row r="3589" spans="1:14" hidden="1">
      <c r="A3589" s="268">
        <v>44837</v>
      </c>
      <c r="C3589" s="237" t="s">
        <v>4708</v>
      </c>
      <c r="D3589" s="276">
        <v>2000</v>
      </c>
      <c r="E3589" s="276">
        <v>0</v>
      </c>
      <c r="H3589" t="s">
        <v>1050</v>
      </c>
      <c r="K3589" s="69"/>
      <c r="L3589" s="232">
        <f t="shared" si="63"/>
        <v>1073858</v>
      </c>
      <c r="M3589" s="232">
        <f t="shared" si="64"/>
        <v>1073858</v>
      </c>
      <c r="N3589">
        <f t="shared" si="62"/>
        <v>2000</v>
      </c>
    </row>
    <row r="3590" spans="1:14" hidden="1">
      <c r="A3590" s="268">
        <v>44837</v>
      </c>
      <c r="C3590" s="237" t="s">
        <v>4709</v>
      </c>
      <c r="D3590" s="276">
        <v>10250</v>
      </c>
      <c r="E3590" s="276">
        <v>0</v>
      </c>
      <c r="G3590" s="8" t="s">
        <v>1372</v>
      </c>
      <c r="H3590" t="s">
        <v>1050</v>
      </c>
      <c r="K3590" s="69"/>
      <c r="L3590" s="232">
        <f t="shared" si="63"/>
        <v>1073858</v>
      </c>
      <c r="M3590" s="232">
        <f t="shared" si="64"/>
        <v>1073858</v>
      </c>
      <c r="N3590">
        <f t="shared" si="62"/>
        <v>10250</v>
      </c>
    </row>
    <row r="3591" spans="1:14" hidden="1">
      <c r="A3591" s="268">
        <v>44837</v>
      </c>
      <c r="C3591" s="237" t="s">
        <v>4710</v>
      </c>
      <c r="D3591" s="276">
        <v>147</v>
      </c>
      <c r="E3591" s="276">
        <v>0</v>
      </c>
      <c r="H3591" t="s">
        <v>1050</v>
      </c>
      <c r="K3591" s="69"/>
      <c r="L3591" s="232">
        <f t="shared" si="63"/>
        <v>1073858</v>
      </c>
      <c r="M3591" s="232">
        <f t="shared" si="64"/>
        <v>1073858</v>
      </c>
      <c r="N3591">
        <f t="shared" si="62"/>
        <v>147</v>
      </c>
    </row>
    <row r="3592" spans="1:14" hidden="1">
      <c r="A3592" s="268">
        <v>44837</v>
      </c>
      <c r="C3592" s="237" t="s">
        <v>4711</v>
      </c>
      <c r="D3592" s="276">
        <v>210</v>
      </c>
      <c r="E3592" s="276">
        <v>0</v>
      </c>
      <c r="H3592" t="s">
        <v>1050</v>
      </c>
      <c r="K3592" s="69"/>
      <c r="L3592" s="232">
        <f t="shared" si="63"/>
        <v>1073858</v>
      </c>
      <c r="M3592" s="232">
        <f t="shared" si="64"/>
        <v>1073858</v>
      </c>
      <c r="N3592">
        <f t="shared" si="62"/>
        <v>210</v>
      </c>
    </row>
    <row r="3593" spans="1:14" hidden="1">
      <c r="A3593" s="268">
        <v>44837</v>
      </c>
      <c r="C3593" s="237" t="s">
        <v>4712</v>
      </c>
      <c r="D3593" s="276">
        <v>9724</v>
      </c>
      <c r="E3593" s="276">
        <v>0</v>
      </c>
      <c r="H3593" t="s">
        <v>1050</v>
      </c>
      <c r="K3593" s="69"/>
      <c r="L3593" s="232">
        <f t="shared" si="63"/>
        <v>1073858</v>
      </c>
      <c r="M3593" s="232">
        <f t="shared" si="64"/>
        <v>1073858</v>
      </c>
      <c r="N3593">
        <f t="shared" si="62"/>
        <v>9724</v>
      </c>
    </row>
    <row r="3594" spans="1:14" hidden="1">
      <c r="A3594" s="268">
        <v>44840</v>
      </c>
      <c r="C3594" s="237" t="s">
        <v>4713</v>
      </c>
      <c r="D3594" s="276">
        <v>75000</v>
      </c>
      <c r="E3594" s="276">
        <v>0</v>
      </c>
      <c r="G3594" s="8" t="s">
        <v>1363</v>
      </c>
      <c r="H3594" t="s">
        <v>1050</v>
      </c>
      <c r="K3594" s="69"/>
      <c r="L3594" s="232">
        <f t="shared" si="63"/>
        <v>1075044</v>
      </c>
      <c r="M3594" s="232">
        <f t="shared" si="64"/>
        <v>1075044</v>
      </c>
      <c r="N3594">
        <f t="shared" si="62"/>
        <v>75000</v>
      </c>
    </row>
    <row r="3595" spans="1:14" hidden="1">
      <c r="A3595" s="268">
        <v>44842</v>
      </c>
      <c r="C3595" s="237" t="s">
        <v>4714</v>
      </c>
      <c r="D3595" s="276">
        <v>5000</v>
      </c>
      <c r="E3595" s="276">
        <v>0</v>
      </c>
      <c r="G3595" s="8" t="s">
        <v>1361</v>
      </c>
      <c r="H3595" t="s">
        <v>1050</v>
      </c>
      <c r="K3595" s="69"/>
      <c r="L3595" s="232">
        <f t="shared" si="63"/>
        <v>1075836</v>
      </c>
      <c r="M3595" s="232">
        <f t="shared" si="64"/>
        <v>1075836</v>
      </c>
      <c r="N3595">
        <f t="shared" ref="N3595:N3658" si="65">D3595*1</f>
        <v>5000</v>
      </c>
    </row>
    <row r="3596" spans="1:14" hidden="1">
      <c r="A3596" s="268">
        <v>44844</v>
      </c>
      <c r="C3596" s="237" t="s">
        <v>4715</v>
      </c>
      <c r="D3596" s="276">
        <v>10250</v>
      </c>
      <c r="E3596" s="276">
        <v>0</v>
      </c>
      <c r="G3596" s="8" t="s">
        <v>1372</v>
      </c>
      <c r="H3596" t="s">
        <v>1050</v>
      </c>
      <c r="K3596" s="69"/>
      <c r="L3596" s="232">
        <f t="shared" si="63"/>
        <v>1076627</v>
      </c>
      <c r="M3596" s="232">
        <f t="shared" si="64"/>
        <v>1076627</v>
      </c>
      <c r="N3596">
        <f t="shared" si="65"/>
        <v>10250</v>
      </c>
    </row>
    <row r="3597" spans="1:14" hidden="1">
      <c r="A3597" s="268">
        <v>44844</v>
      </c>
      <c r="C3597" s="237" t="s">
        <v>4716</v>
      </c>
      <c r="D3597" s="276">
        <v>660</v>
      </c>
      <c r="E3597" s="276">
        <v>0</v>
      </c>
      <c r="H3597" t="s">
        <v>1050</v>
      </c>
      <c r="K3597" s="69"/>
      <c r="L3597" s="232">
        <f t="shared" si="63"/>
        <v>1076627</v>
      </c>
      <c r="M3597" s="232">
        <f t="shared" si="64"/>
        <v>1076627</v>
      </c>
      <c r="N3597">
        <f t="shared" si="65"/>
        <v>660</v>
      </c>
    </row>
    <row r="3598" spans="1:14" hidden="1">
      <c r="A3598" s="268">
        <v>44844</v>
      </c>
      <c r="C3598" s="237" t="s">
        <v>4717</v>
      </c>
      <c r="D3598" s="276">
        <v>25000</v>
      </c>
      <c r="E3598" s="276">
        <v>0</v>
      </c>
      <c r="G3598" s="8" t="s">
        <v>1381</v>
      </c>
      <c r="H3598" t="s">
        <v>1050</v>
      </c>
      <c r="K3598" s="69"/>
      <c r="L3598" s="232">
        <f t="shared" si="63"/>
        <v>1076627</v>
      </c>
      <c r="M3598" s="232">
        <f t="shared" si="64"/>
        <v>1076627</v>
      </c>
      <c r="N3598">
        <f t="shared" si="65"/>
        <v>25000</v>
      </c>
    </row>
    <row r="3599" spans="1:14" hidden="1">
      <c r="A3599" s="268">
        <v>44845</v>
      </c>
      <c r="C3599" s="237" t="s">
        <v>4132</v>
      </c>
      <c r="D3599" s="276">
        <v>13066</v>
      </c>
      <c r="E3599" s="276">
        <v>0</v>
      </c>
      <c r="G3599" s="8" t="s">
        <v>1362</v>
      </c>
      <c r="H3599" t="s">
        <v>1050</v>
      </c>
      <c r="K3599" s="69"/>
      <c r="L3599" s="232">
        <f t="shared" si="63"/>
        <v>1077024</v>
      </c>
      <c r="M3599" s="232">
        <f t="shared" si="64"/>
        <v>1077024</v>
      </c>
      <c r="N3599">
        <f t="shared" si="65"/>
        <v>13066</v>
      </c>
    </row>
    <row r="3600" spans="1:14" hidden="1">
      <c r="A3600" s="268">
        <v>44845</v>
      </c>
      <c r="C3600" s="237" t="s">
        <v>4718</v>
      </c>
      <c r="D3600" s="276">
        <v>0</v>
      </c>
      <c r="E3600" s="276">
        <v>24300</v>
      </c>
      <c r="G3600" s="8" t="s">
        <v>1380</v>
      </c>
      <c r="H3600" t="s">
        <v>1050</v>
      </c>
      <c r="K3600" s="69"/>
      <c r="L3600" s="232">
        <f t="shared" si="63"/>
        <v>1077024</v>
      </c>
      <c r="M3600" s="232">
        <f t="shared" si="64"/>
        <v>1077024</v>
      </c>
      <c r="N3600">
        <f t="shared" si="65"/>
        <v>0</v>
      </c>
    </row>
    <row r="3601" spans="1:14" hidden="1">
      <c r="A3601" s="268">
        <v>44847</v>
      </c>
      <c r="C3601" s="237" t="s">
        <v>4719</v>
      </c>
      <c r="D3601" s="276">
        <v>212</v>
      </c>
      <c r="E3601" s="276">
        <v>0</v>
      </c>
      <c r="H3601" t="s">
        <v>1050</v>
      </c>
      <c r="K3601" s="69"/>
      <c r="L3601" s="232">
        <f t="shared" si="63"/>
        <v>1077815</v>
      </c>
      <c r="M3601" s="232">
        <f t="shared" si="64"/>
        <v>1077815</v>
      </c>
      <c r="N3601">
        <f t="shared" si="65"/>
        <v>212</v>
      </c>
    </row>
    <row r="3602" spans="1:14" hidden="1">
      <c r="A3602" s="268">
        <v>44849</v>
      </c>
      <c r="C3602" s="237" t="s">
        <v>4720</v>
      </c>
      <c r="D3602" s="276">
        <v>3000</v>
      </c>
      <c r="E3602" s="276">
        <v>0</v>
      </c>
      <c r="G3602" s="8" t="s">
        <v>1361</v>
      </c>
      <c r="H3602" t="s">
        <v>1050</v>
      </c>
      <c r="K3602" s="69"/>
      <c r="L3602" s="232">
        <f t="shared" si="63"/>
        <v>1078607</v>
      </c>
      <c r="M3602" s="232">
        <f t="shared" si="64"/>
        <v>1078607</v>
      </c>
      <c r="N3602">
        <f t="shared" si="65"/>
        <v>3000</v>
      </c>
    </row>
    <row r="3603" spans="1:14" hidden="1">
      <c r="A3603" s="268">
        <v>44849</v>
      </c>
      <c r="C3603" s="237" t="s">
        <v>4721</v>
      </c>
      <c r="D3603" s="276">
        <v>60</v>
      </c>
      <c r="E3603" s="276">
        <v>0</v>
      </c>
      <c r="H3603" t="s">
        <v>1050</v>
      </c>
      <c r="K3603" s="69"/>
      <c r="L3603" s="232">
        <f t="shared" si="63"/>
        <v>1078607</v>
      </c>
      <c r="M3603" s="232">
        <f t="shared" si="64"/>
        <v>1078607</v>
      </c>
      <c r="N3603">
        <f t="shared" si="65"/>
        <v>60</v>
      </c>
    </row>
    <row r="3604" spans="1:14" hidden="1">
      <c r="A3604" s="268">
        <v>44849</v>
      </c>
      <c r="C3604" s="237" t="s">
        <v>4722</v>
      </c>
      <c r="D3604" s="276">
        <v>885</v>
      </c>
      <c r="E3604" s="276">
        <v>0</v>
      </c>
      <c r="H3604" t="s">
        <v>1050</v>
      </c>
      <c r="K3604" s="69"/>
      <c r="L3604" s="232">
        <f t="shared" si="63"/>
        <v>1078607</v>
      </c>
      <c r="M3604" s="232">
        <f t="shared" si="64"/>
        <v>1078607</v>
      </c>
      <c r="N3604">
        <f t="shared" si="65"/>
        <v>885</v>
      </c>
    </row>
    <row r="3605" spans="1:14" hidden="1">
      <c r="A3605" s="268">
        <v>44851</v>
      </c>
      <c r="C3605" s="237" t="s">
        <v>4723</v>
      </c>
      <c r="D3605" s="276">
        <v>10250</v>
      </c>
      <c r="E3605" s="276">
        <v>0</v>
      </c>
      <c r="G3605" s="8" t="s">
        <v>1372</v>
      </c>
      <c r="H3605" t="s">
        <v>1050</v>
      </c>
      <c r="K3605" s="69"/>
      <c r="L3605" s="232">
        <f t="shared" si="63"/>
        <v>1079396</v>
      </c>
      <c r="M3605" s="232">
        <f t="shared" si="64"/>
        <v>1079396</v>
      </c>
      <c r="N3605">
        <f t="shared" si="65"/>
        <v>10250</v>
      </c>
    </row>
    <row r="3606" spans="1:14" hidden="1">
      <c r="A3606" s="268">
        <v>44851</v>
      </c>
      <c r="C3606" s="237" t="s">
        <v>4724</v>
      </c>
      <c r="D3606" s="276">
        <v>167</v>
      </c>
      <c r="E3606" s="276">
        <v>0</v>
      </c>
      <c r="H3606" t="s">
        <v>1050</v>
      </c>
      <c r="K3606" s="69"/>
      <c r="L3606" s="232">
        <f t="shared" si="63"/>
        <v>1079396</v>
      </c>
      <c r="M3606" s="232">
        <f t="shared" si="64"/>
        <v>1079396</v>
      </c>
      <c r="N3606">
        <f t="shared" si="65"/>
        <v>167</v>
      </c>
    </row>
    <row r="3607" spans="1:14" hidden="1">
      <c r="A3607" s="268">
        <v>44851</v>
      </c>
      <c r="C3607" s="237" t="s">
        <v>4725</v>
      </c>
      <c r="D3607" s="276">
        <v>9990</v>
      </c>
      <c r="E3607" s="276">
        <v>0</v>
      </c>
      <c r="G3607" s="8" t="s">
        <v>1383</v>
      </c>
      <c r="H3607" t="s">
        <v>1050</v>
      </c>
      <c r="K3607" s="69"/>
      <c r="L3607" s="232">
        <f t="shared" si="63"/>
        <v>1079396</v>
      </c>
      <c r="M3607" s="232">
        <f t="shared" si="64"/>
        <v>1079396</v>
      </c>
      <c r="N3607">
        <f t="shared" si="65"/>
        <v>9990</v>
      </c>
    </row>
    <row r="3608" spans="1:14" hidden="1">
      <c r="A3608" s="268">
        <v>44853</v>
      </c>
      <c r="C3608" s="237" t="s">
        <v>4726</v>
      </c>
      <c r="D3608" s="276">
        <v>301</v>
      </c>
      <c r="E3608" s="276">
        <v>0</v>
      </c>
      <c r="H3608" t="s">
        <v>1050</v>
      </c>
      <c r="K3608" s="69"/>
      <c r="L3608" s="232">
        <f t="shared" si="63"/>
        <v>1080188</v>
      </c>
      <c r="M3608" s="232">
        <f t="shared" si="64"/>
        <v>1080188</v>
      </c>
      <c r="N3608">
        <f t="shared" si="65"/>
        <v>301</v>
      </c>
    </row>
    <row r="3609" spans="1:14" hidden="1">
      <c r="A3609" s="268">
        <v>44853</v>
      </c>
      <c r="C3609" s="237" t="s">
        <v>4727</v>
      </c>
      <c r="D3609" s="276">
        <v>0</v>
      </c>
      <c r="E3609" s="276">
        <v>3</v>
      </c>
      <c r="H3609" t="s">
        <v>1050</v>
      </c>
      <c r="K3609" s="69"/>
      <c r="L3609" s="232">
        <f t="shared" si="63"/>
        <v>1080188</v>
      </c>
      <c r="M3609" s="232">
        <f t="shared" si="64"/>
        <v>1080188</v>
      </c>
      <c r="N3609">
        <f t="shared" si="65"/>
        <v>0</v>
      </c>
    </row>
    <row r="3610" spans="1:14" hidden="1">
      <c r="A3610" s="268">
        <v>44854</v>
      </c>
      <c r="C3610" s="237" t="s">
        <v>4728</v>
      </c>
      <c r="D3610" s="276">
        <v>40</v>
      </c>
      <c r="E3610" s="276">
        <v>0</v>
      </c>
      <c r="H3610" t="s">
        <v>1050</v>
      </c>
      <c r="K3610" s="69"/>
      <c r="L3610" s="232">
        <f t="shared" si="63"/>
        <v>1080584</v>
      </c>
      <c r="M3610" s="232">
        <f t="shared" si="64"/>
        <v>1080584</v>
      </c>
      <c r="N3610">
        <f t="shared" si="65"/>
        <v>40</v>
      </c>
    </row>
    <row r="3611" spans="1:14" hidden="1">
      <c r="A3611" s="268">
        <v>44855</v>
      </c>
      <c r="C3611" s="237" t="s">
        <v>4729</v>
      </c>
      <c r="D3611" s="276">
        <v>33333</v>
      </c>
      <c r="E3611" s="276">
        <v>0</v>
      </c>
      <c r="G3611" s="8" t="s">
        <v>1381</v>
      </c>
      <c r="H3611" t="s">
        <v>1050</v>
      </c>
      <c r="K3611" s="69"/>
      <c r="L3611" s="232">
        <f t="shared" si="63"/>
        <v>1080979</v>
      </c>
      <c r="M3611" s="232">
        <f t="shared" si="64"/>
        <v>1080979</v>
      </c>
      <c r="N3611">
        <f t="shared" si="65"/>
        <v>33333</v>
      </c>
    </row>
    <row r="3612" spans="1:14" hidden="1">
      <c r="A3612" s="268">
        <v>44858</v>
      </c>
      <c r="C3612" s="237" t="s">
        <v>4730</v>
      </c>
      <c r="D3612" s="276">
        <v>10250</v>
      </c>
      <c r="E3612" s="276">
        <v>0</v>
      </c>
      <c r="G3612" s="8" t="s">
        <v>1372</v>
      </c>
      <c r="H3612" t="s">
        <v>1050</v>
      </c>
      <c r="K3612" s="69"/>
      <c r="L3612" s="232">
        <f t="shared" si="63"/>
        <v>1082167</v>
      </c>
      <c r="M3612" s="232">
        <f t="shared" si="64"/>
        <v>1082167</v>
      </c>
      <c r="N3612">
        <f t="shared" si="65"/>
        <v>10250</v>
      </c>
    </row>
    <row r="3613" spans="1:14" hidden="1">
      <c r="A3613" s="268">
        <v>44859</v>
      </c>
      <c r="C3613" s="237" t="s">
        <v>4731</v>
      </c>
      <c r="D3613" s="276">
        <v>798</v>
      </c>
      <c r="E3613" s="276">
        <v>0</v>
      </c>
      <c r="H3613" t="s">
        <v>1050</v>
      </c>
      <c r="K3613" s="69"/>
      <c r="L3613" s="232">
        <f t="shared" si="63"/>
        <v>1082563</v>
      </c>
      <c r="M3613" s="232">
        <f t="shared" si="64"/>
        <v>1082563</v>
      </c>
      <c r="N3613">
        <f t="shared" si="65"/>
        <v>798</v>
      </c>
    </row>
    <row r="3614" spans="1:14" hidden="1">
      <c r="A3614" s="268">
        <v>44859</v>
      </c>
      <c r="C3614" s="237" t="s">
        <v>4732</v>
      </c>
      <c r="D3614" s="276">
        <v>0</v>
      </c>
      <c r="E3614" s="276">
        <v>295450</v>
      </c>
      <c r="G3614" s="8" t="s">
        <v>1380</v>
      </c>
      <c r="H3614" t="s">
        <v>1050</v>
      </c>
      <c r="K3614" s="69"/>
      <c r="L3614" s="232">
        <f t="shared" ref="L3614:L3677" si="66">M3614</f>
        <v>1082563</v>
      </c>
      <c r="M3614" s="232">
        <f t="shared" ref="M3614:M3659" si="67">DATE(VALUE(RIGHT(A3614,4)), VALUE(MID(A3614,4,2)), VALUE(LEFT(A3614,2)))</f>
        <v>1082563</v>
      </c>
      <c r="N3614">
        <f t="shared" si="65"/>
        <v>0</v>
      </c>
    </row>
    <row r="3615" spans="1:14" hidden="1">
      <c r="A3615" s="268">
        <v>44859</v>
      </c>
      <c r="C3615" s="237" t="s">
        <v>4733</v>
      </c>
      <c r="D3615" s="276">
        <v>999</v>
      </c>
      <c r="E3615" s="276">
        <v>0</v>
      </c>
      <c r="H3615" t="s">
        <v>1050</v>
      </c>
      <c r="K3615" s="69"/>
      <c r="L3615" s="232">
        <f t="shared" si="66"/>
        <v>1082563</v>
      </c>
      <c r="M3615" s="232">
        <f t="shared" si="67"/>
        <v>1082563</v>
      </c>
      <c r="N3615">
        <f t="shared" si="65"/>
        <v>999</v>
      </c>
    </row>
    <row r="3616" spans="1:14" hidden="1">
      <c r="A3616" s="268">
        <v>44861</v>
      </c>
      <c r="C3616" s="237" t="s">
        <v>4734</v>
      </c>
      <c r="D3616" s="276">
        <v>25</v>
      </c>
      <c r="E3616" s="276">
        <v>0</v>
      </c>
      <c r="H3616" t="s">
        <v>1050</v>
      </c>
      <c r="K3616" s="69"/>
      <c r="L3616" s="232">
        <f t="shared" si="66"/>
        <v>1083355</v>
      </c>
      <c r="M3616" s="232">
        <f t="shared" si="67"/>
        <v>1083355</v>
      </c>
      <c r="N3616">
        <f t="shared" si="65"/>
        <v>25</v>
      </c>
    </row>
    <row r="3617" spans="1:14" hidden="1">
      <c r="A3617" s="268">
        <v>44862</v>
      </c>
      <c r="C3617" s="237" t="s">
        <v>4735</v>
      </c>
      <c r="D3617" s="276">
        <v>2000</v>
      </c>
      <c r="E3617" s="276">
        <v>0</v>
      </c>
      <c r="G3617" s="8" t="s">
        <v>1372</v>
      </c>
      <c r="H3617" t="s">
        <v>1050</v>
      </c>
      <c r="K3617" s="69"/>
      <c r="L3617" s="232">
        <f t="shared" si="66"/>
        <v>1083751</v>
      </c>
      <c r="M3617" s="232">
        <f t="shared" si="67"/>
        <v>1083751</v>
      </c>
      <c r="N3617">
        <f t="shared" si="65"/>
        <v>2000</v>
      </c>
    </row>
    <row r="3618" spans="1:14" hidden="1">
      <c r="A3618" s="268">
        <v>44862</v>
      </c>
      <c r="C3618" s="237" t="s">
        <v>4736</v>
      </c>
      <c r="D3618" s="276">
        <v>25000</v>
      </c>
      <c r="E3618" s="276">
        <v>0</v>
      </c>
      <c r="G3618" s="8" t="s">
        <v>1381</v>
      </c>
      <c r="H3618" t="s">
        <v>1050</v>
      </c>
      <c r="K3618" s="69"/>
      <c r="L3618" s="232">
        <f t="shared" si="66"/>
        <v>1083751</v>
      </c>
      <c r="M3618" s="232">
        <f t="shared" si="67"/>
        <v>1083751</v>
      </c>
      <c r="N3618">
        <f t="shared" si="65"/>
        <v>25000</v>
      </c>
    </row>
    <row r="3619" spans="1:14" hidden="1">
      <c r="A3619" s="268">
        <v>44865</v>
      </c>
      <c r="C3619" s="237" t="s">
        <v>4737</v>
      </c>
      <c r="D3619" s="276">
        <v>10250</v>
      </c>
      <c r="E3619" s="276">
        <v>0</v>
      </c>
      <c r="G3619" s="8" t="s">
        <v>1372</v>
      </c>
      <c r="H3619" t="s">
        <v>1050</v>
      </c>
      <c r="K3619" s="69"/>
      <c r="L3619" s="232">
        <f t="shared" si="66"/>
        <v>1084936</v>
      </c>
      <c r="M3619" s="232">
        <f t="shared" si="67"/>
        <v>1084936</v>
      </c>
      <c r="N3619">
        <f t="shared" si="65"/>
        <v>10250</v>
      </c>
    </row>
    <row r="3620" spans="1:14" hidden="1">
      <c r="A3620" s="268">
        <v>44865</v>
      </c>
      <c r="C3620" s="237" t="s">
        <v>4738</v>
      </c>
      <c r="D3620" s="276">
        <v>44</v>
      </c>
      <c r="E3620" s="276">
        <v>0</v>
      </c>
      <c r="H3620" t="s">
        <v>1050</v>
      </c>
      <c r="K3620" s="69"/>
      <c r="L3620" s="232">
        <f t="shared" si="66"/>
        <v>1084936</v>
      </c>
      <c r="M3620" s="232">
        <f t="shared" si="67"/>
        <v>1084936</v>
      </c>
      <c r="N3620">
        <f t="shared" si="65"/>
        <v>44</v>
      </c>
    </row>
    <row r="3621" spans="1:14" hidden="1">
      <c r="A3621" s="268">
        <v>44866</v>
      </c>
      <c r="C3621" s="237" t="s">
        <v>4739</v>
      </c>
      <c r="D3621" s="276">
        <v>500</v>
      </c>
      <c r="E3621" s="276">
        <v>0</v>
      </c>
      <c r="G3621" s="8" t="s">
        <v>1363</v>
      </c>
      <c r="H3621" t="s">
        <v>1050</v>
      </c>
      <c r="K3621" s="69"/>
      <c r="L3621" s="232">
        <f t="shared" si="66"/>
        <v>1085332</v>
      </c>
      <c r="M3621" s="232">
        <f t="shared" si="67"/>
        <v>1085332</v>
      </c>
      <c r="N3621">
        <f t="shared" si="65"/>
        <v>500</v>
      </c>
    </row>
    <row r="3622" spans="1:14" hidden="1">
      <c r="A3622" s="268">
        <v>44866</v>
      </c>
      <c r="C3622" s="237" t="s">
        <v>4740</v>
      </c>
      <c r="D3622" s="276">
        <v>52</v>
      </c>
      <c r="E3622" s="276">
        <v>0</v>
      </c>
      <c r="H3622" t="s">
        <v>1050</v>
      </c>
      <c r="K3622" s="69"/>
      <c r="L3622" s="232">
        <f t="shared" si="66"/>
        <v>1085332</v>
      </c>
      <c r="M3622" s="232">
        <f t="shared" si="67"/>
        <v>1085332</v>
      </c>
      <c r="N3622">
        <f t="shared" si="65"/>
        <v>52</v>
      </c>
    </row>
    <row r="3623" spans="1:14" hidden="1">
      <c r="A3623" s="268">
        <v>44866</v>
      </c>
      <c r="C3623" s="237" t="s">
        <v>4741</v>
      </c>
      <c r="D3623" s="276">
        <v>20</v>
      </c>
      <c r="E3623" s="276">
        <v>0</v>
      </c>
      <c r="H3623" t="s">
        <v>1050</v>
      </c>
      <c r="K3623" s="69"/>
      <c r="L3623" s="232">
        <f t="shared" si="66"/>
        <v>1085332</v>
      </c>
      <c r="M3623" s="232">
        <f t="shared" si="67"/>
        <v>1085332</v>
      </c>
      <c r="N3623">
        <f t="shared" si="65"/>
        <v>20</v>
      </c>
    </row>
    <row r="3624" spans="1:14" hidden="1">
      <c r="A3624" s="268">
        <v>44867</v>
      </c>
      <c r="C3624" s="237" t="s">
        <v>4742</v>
      </c>
      <c r="D3624" s="276">
        <v>3000</v>
      </c>
      <c r="E3624" s="276">
        <v>0</v>
      </c>
      <c r="H3624" t="s">
        <v>1050</v>
      </c>
      <c r="K3624" s="69"/>
      <c r="L3624" s="232">
        <f t="shared" si="66"/>
        <v>1085728</v>
      </c>
      <c r="M3624" s="232">
        <f t="shared" si="67"/>
        <v>1085728</v>
      </c>
      <c r="N3624">
        <f t="shared" si="65"/>
        <v>3000</v>
      </c>
    </row>
    <row r="3625" spans="1:14" hidden="1">
      <c r="A3625" s="268">
        <v>44867</v>
      </c>
      <c r="C3625" s="237" t="s">
        <v>4743</v>
      </c>
      <c r="D3625" s="276">
        <v>20</v>
      </c>
      <c r="E3625" s="276">
        <v>0</v>
      </c>
      <c r="H3625" t="s">
        <v>1050</v>
      </c>
      <c r="K3625" s="69"/>
      <c r="L3625" s="232">
        <f t="shared" si="66"/>
        <v>1085728</v>
      </c>
      <c r="M3625" s="232">
        <f t="shared" si="67"/>
        <v>1085728</v>
      </c>
      <c r="N3625">
        <f t="shared" si="65"/>
        <v>20</v>
      </c>
    </row>
    <row r="3626" spans="1:14" hidden="1">
      <c r="A3626" s="268">
        <v>44869</v>
      </c>
      <c r="C3626" s="237" t="s">
        <v>4744</v>
      </c>
      <c r="D3626" s="276">
        <v>9807</v>
      </c>
      <c r="E3626" s="276">
        <v>0</v>
      </c>
      <c r="H3626" t="s">
        <v>1050</v>
      </c>
      <c r="K3626" s="69"/>
      <c r="L3626" s="232">
        <f t="shared" si="66"/>
        <v>1086520</v>
      </c>
      <c r="M3626" s="232">
        <f t="shared" si="67"/>
        <v>1086520</v>
      </c>
      <c r="N3626">
        <f t="shared" si="65"/>
        <v>9807</v>
      </c>
    </row>
    <row r="3627" spans="1:14" hidden="1">
      <c r="A3627" s="268">
        <v>44870</v>
      </c>
      <c r="C3627" s="237" t="s">
        <v>4745</v>
      </c>
      <c r="D3627" s="276">
        <v>161</v>
      </c>
      <c r="E3627" s="276">
        <v>0</v>
      </c>
      <c r="H3627" t="s">
        <v>1050</v>
      </c>
      <c r="K3627" s="69"/>
      <c r="L3627" s="232">
        <f t="shared" si="66"/>
        <v>1086915</v>
      </c>
      <c r="M3627" s="232">
        <f t="shared" si="67"/>
        <v>1086915</v>
      </c>
      <c r="N3627">
        <f t="shared" si="65"/>
        <v>161</v>
      </c>
    </row>
    <row r="3628" spans="1:14" hidden="1">
      <c r="A3628" s="268">
        <v>44872</v>
      </c>
      <c r="C3628" s="237" t="s">
        <v>4746</v>
      </c>
      <c r="D3628" s="276">
        <v>75000</v>
      </c>
      <c r="E3628" s="276">
        <v>0</v>
      </c>
      <c r="G3628" s="8" t="s">
        <v>1363</v>
      </c>
      <c r="H3628" t="s">
        <v>1050</v>
      </c>
      <c r="K3628" s="69"/>
      <c r="L3628" s="232">
        <f t="shared" si="66"/>
        <v>1087707</v>
      </c>
      <c r="M3628" s="232">
        <f t="shared" si="67"/>
        <v>1087707</v>
      </c>
      <c r="N3628">
        <f t="shared" si="65"/>
        <v>75000</v>
      </c>
    </row>
    <row r="3629" spans="1:14" hidden="1">
      <c r="A3629" s="268">
        <v>44872</v>
      </c>
      <c r="C3629" s="237" t="s">
        <v>4747</v>
      </c>
      <c r="D3629" s="276">
        <v>10250</v>
      </c>
      <c r="E3629" s="276">
        <v>0</v>
      </c>
      <c r="G3629" s="8" t="s">
        <v>1372</v>
      </c>
      <c r="H3629" t="s">
        <v>1050</v>
      </c>
      <c r="K3629" s="69"/>
      <c r="L3629" s="232">
        <f t="shared" si="66"/>
        <v>1087707</v>
      </c>
      <c r="M3629" s="232">
        <f t="shared" si="67"/>
        <v>1087707</v>
      </c>
      <c r="N3629">
        <f t="shared" si="65"/>
        <v>10250</v>
      </c>
    </row>
    <row r="3630" spans="1:14" hidden="1">
      <c r="A3630" s="268">
        <v>44873</v>
      </c>
      <c r="C3630" s="237" t="s">
        <v>4748</v>
      </c>
      <c r="D3630" s="276">
        <v>375</v>
      </c>
      <c r="E3630" s="276">
        <v>0</v>
      </c>
      <c r="H3630" t="s">
        <v>1050</v>
      </c>
      <c r="K3630" s="69"/>
      <c r="L3630" s="232">
        <f t="shared" si="66"/>
        <v>1088103</v>
      </c>
      <c r="M3630" s="232">
        <f t="shared" si="67"/>
        <v>1088103</v>
      </c>
      <c r="N3630">
        <f t="shared" si="65"/>
        <v>375</v>
      </c>
    </row>
    <row r="3631" spans="1:14" hidden="1">
      <c r="A3631" s="268">
        <v>44873</v>
      </c>
      <c r="C3631" s="237" t="s">
        <v>4749</v>
      </c>
      <c r="D3631" s="276">
        <v>20</v>
      </c>
      <c r="E3631" s="276">
        <v>0</v>
      </c>
      <c r="H3631" t="s">
        <v>1050</v>
      </c>
      <c r="K3631" s="69"/>
      <c r="L3631" s="232">
        <f t="shared" si="66"/>
        <v>1088103</v>
      </c>
      <c r="M3631" s="232">
        <f t="shared" si="67"/>
        <v>1088103</v>
      </c>
      <c r="N3631">
        <f t="shared" si="65"/>
        <v>20</v>
      </c>
    </row>
    <row r="3632" spans="1:14" hidden="1">
      <c r="A3632" s="268">
        <v>44875</v>
      </c>
      <c r="C3632" s="237" t="s">
        <v>4132</v>
      </c>
      <c r="D3632" s="276">
        <v>43260.95</v>
      </c>
      <c r="E3632" s="276">
        <v>0</v>
      </c>
      <c r="G3632" s="8" t="s">
        <v>1362</v>
      </c>
      <c r="H3632" t="s">
        <v>1050</v>
      </c>
      <c r="K3632" s="69"/>
      <c r="L3632" s="232">
        <f t="shared" si="66"/>
        <v>1088893</v>
      </c>
      <c r="M3632" s="232">
        <f t="shared" si="67"/>
        <v>1088893</v>
      </c>
      <c r="N3632">
        <f t="shared" si="65"/>
        <v>43260.95</v>
      </c>
    </row>
    <row r="3633" spans="1:14" hidden="1">
      <c r="A3633" s="268">
        <v>44876</v>
      </c>
      <c r="C3633" s="237" t="s">
        <v>4750</v>
      </c>
      <c r="D3633" s="276">
        <v>15400</v>
      </c>
      <c r="E3633" s="276">
        <v>0</v>
      </c>
      <c r="H3633" t="s">
        <v>1050</v>
      </c>
      <c r="K3633" s="69"/>
      <c r="L3633" s="232">
        <f t="shared" si="66"/>
        <v>1089289</v>
      </c>
      <c r="M3633" s="232">
        <f t="shared" si="67"/>
        <v>1089289</v>
      </c>
      <c r="N3633">
        <f t="shared" si="65"/>
        <v>15400</v>
      </c>
    </row>
    <row r="3634" spans="1:14" hidden="1">
      <c r="A3634" s="268">
        <v>44876</v>
      </c>
      <c r="C3634" s="237" t="s">
        <v>4751</v>
      </c>
      <c r="D3634" s="276">
        <v>480</v>
      </c>
      <c r="E3634" s="276">
        <v>0</v>
      </c>
      <c r="H3634" t="s">
        <v>1050</v>
      </c>
      <c r="K3634" s="69"/>
      <c r="L3634" s="232">
        <f t="shared" si="66"/>
        <v>1089289</v>
      </c>
      <c r="M3634" s="232">
        <f t="shared" si="67"/>
        <v>1089289</v>
      </c>
      <c r="N3634">
        <f t="shared" si="65"/>
        <v>480</v>
      </c>
    </row>
    <row r="3635" spans="1:14" hidden="1">
      <c r="A3635" s="268">
        <v>44877</v>
      </c>
      <c r="C3635" s="237" t="s">
        <v>4752</v>
      </c>
      <c r="D3635" s="276">
        <v>216</v>
      </c>
      <c r="E3635" s="276">
        <v>0</v>
      </c>
      <c r="H3635" t="s">
        <v>1050</v>
      </c>
      <c r="K3635" s="69"/>
      <c r="L3635" s="232">
        <f t="shared" si="66"/>
        <v>1089684</v>
      </c>
      <c r="M3635" s="232">
        <f t="shared" si="67"/>
        <v>1089684</v>
      </c>
      <c r="N3635">
        <f t="shared" si="65"/>
        <v>216</v>
      </c>
    </row>
    <row r="3636" spans="1:14" hidden="1">
      <c r="A3636" s="268">
        <v>44879</v>
      </c>
      <c r="C3636" s="237" t="s">
        <v>4753</v>
      </c>
      <c r="D3636" s="276">
        <v>799</v>
      </c>
      <c r="E3636" s="276">
        <v>0</v>
      </c>
      <c r="H3636" t="s">
        <v>1050</v>
      </c>
      <c r="K3636" s="69"/>
      <c r="L3636" s="232">
        <f t="shared" si="66"/>
        <v>1090476</v>
      </c>
      <c r="M3636" s="232">
        <f t="shared" si="67"/>
        <v>1090476</v>
      </c>
      <c r="N3636">
        <f t="shared" si="65"/>
        <v>799</v>
      </c>
    </row>
    <row r="3637" spans="1:14" hidden="1">
      <c r="A3637" s="268">
        <v>44879</v>
      </c>
      <c r="C3637" s="237" t="s">
        <v>4754</v>
      </c>
      <c r="D3637" s="276">
        <v>10250</v>
      </c>
      <c r="E3637" s="276">
        <v>0</v>
      </c>
      <c r="G3637" s="8" t="s">
        <v>1372</v>
      </c>
      <c r="H3637" t="s">
        <v>1050</v>
      </c>
      <c r="K3637" s="69"/>
      <c r="L3637" s="232">
        <f t="shared" si="66"/>
        <v>1090476</v>
      </c>
      <c r="M3637" s="232">
        <f t="shared" si="67"/>
        <v>1090476</v>
      </c>
      <c r="N3637">
        <f t="shared" si="65"/>
        <v>10250</v>
      </c>
    </row>
    <row r="3638" spans="1:14" hidden="1">
      <c r="A3638" s="268">
        <v>44879</v>
      </c>
      <c r="C3638" s="237" t="s">
        <v>4755</v>
      </c>
      <c r="D3638" s="276">
        <v>207</v>
      </c>
      <c r="E3638" s="276">
        <v>0</v>
      </c>
      <c r="H3638" t="s">
        <v>1050</v>
      </c>
      <c r="K3638" s="69"/>
      <c r="L3638" s="232">
        <f t="shared" si="66"/>
        <v>1090476</v>
      </c>
      <c r="M3638" s="232">
        <f t="shared" si="67"/>
        <v>1090476</v>
      </c>
      <c r="N3638">
        <f t="shared" si="65"/>
        <v>207</v>
      </c>
    </row>
    <row r="3639" spans="1:14" hidden="1">
      <c r="A3639" s="268">
        <v>44879</v>
      </c>
      <c r="C3639" s="237" t="s">
        <v>4756</v>
      </c>
      <c r="D3639" s="276">
        <v>25</v>
      </c>
      <c r="E3639" s="276">
        <v>0</v>
      </c>
      <c r="H3639" t="s">
        <v>1050</v>
      </c>
      <c r="K3639" s="69"/>
      <c r="L3639" s="232">
        <f t="shared" si="66"/>
        <v>1090476</v>
      </c>
      <c r="M3639" s="232">
        <f t="shared" si="67"/>
        <v>1090476</v>
      </c>
      <c r="N3639">
        <f t="shared" si="65"/>
        <v>25</v>
      </c>
    </row>
    <row r="3640" spans="1:14" hidden="1">
      <c r="A3640" s="268">
        <v>44880</v>
      </c>
      <c r="C3640" s="237" t="s">
        <v>4757</v>
      </c>
      <c r="D3640" s="276">
        <v>20</v>
      </c>
      <c r="E3640" s="276">
        <v>0</v>
      </c>
      <c r="H3640" t="s">
        <v>1050</v>
      </c>
      <c r="K3640" s="69"/>
      <c r="L3640" s="232">
        <f t="shared" si="66"/>
        <v>1090872</v>
      </c>
      <c r="M3640" s="232">
        <f t="shared" si="67"/>
        <v>1090872</v>
      </c>
      <c r="N3640">
        <f t="shared" si="65"/>
        <v>20</v>
      </c>
    </row>
    <row r="3641" spans="1:14" hidden="1">
      <c r="A3641" s="268">
        <v>44880</v>
      </c>
      <c r="C3641" s="237" t="s">
        <v>4758</v>
      </c>
      <c r="D3641" s="276">
        <v>120</v>
      </c>
      <c r="E3641" s="276">
        <v>0</v>
      </c>
      <c r="H3641" t="s">
        <v>1050</v>
      </c>
      <c r="K3641" s="69"/>
      <c r="L3641" s="232">
        <f t="shared" si="66"/>
        <v>1090872</v>
      </c>
      <c r="M3641" s="232">
        <f t="shared" si="67"/>
        <v>1090872</v>
      </c>
      <c r="N3641">
        <f t="shared" si="65"/>
        <v>120</v>
      </c>
    </row>
    <row r="3642" spans="1:14" hidden="1">
      <c r="A3642" s="268">
        <v>44880</v>
      </c>
      <c r="C3642" s="237" t="s">
        <v>4759</v>
      </c>
      <c r="D3642" s="276">
        <v>72</v>
      </c>
      <c r="E3642" s="276">
        <v>0</v>
      </c>
      <c r="H3642" t="s">
        <v>1050</v>
      </c>
      <c r="K3642" s="69"/>
      <c r="L3642" s="232">
        <f t="shared" si="66"/>
        <v>1090872</v>
      </c>
      <c r="M3642" s="232">
        <f t="shared" si="67"/>
        <v>1090872</v>
      </c>
      <c r="N3642">
        <f t="shared" si="65"/>
        <v>72</v>
      </c>
    </row>
    <row r="3643" spans="1:14" hidden="1">
      <c r="A3643" s="268">
        <v>44881</v>
      </c>
      <c r="C3643" s="237" t="s">
        <v>4760</v>
      </c>
      <c r="D3643" s="276">
        <v>9990</v>
      </c>
      <c r="E3643" s="276">
        <v>0</v>
      </c>
      <c r="G3643" s="8" t="s">
        <v>1383</v>
      </c>
      <c r="H3643" t="s">
        <v>1050</v>
      </c>
      <c r="K3643" s="69"/>
      <c r="L3643" s="232">
        <f t="shared" si="66"/>
        <v>1091268</v>
      </c>
      <c r="M3643" s="232">
        <f t="shared" si="67"/>
        <v>1091268</v>
      </c>
      <c r="N3643">
        <f t="shared" si="65"/>
        <v>9990</v>
      </c>
    </row>
    <row r="3644" spans="1:14" hidden="1">
      <c r="A3644" s="268">
        <v>44882</v>
      </c>
      <c r="C3644" s="237" t="s">
        <v>4761</v>
      </c>
      <c r="D3644" s="276">
        <v>454</v>
      </c>
      <c r="E3644" s="276">
        <v>0</v>
      </c>
      <c r="H3644" t="s">
        <v>1050</v>
      </c>
      <c r="K3644" s="69"/>
      <c r="L3644" s="232">
        <f t="shared" si="66"/>
        <v>1091664</v>
      </c>
      <c r="M3644" s="232">
        <f t="shared" si="67"/>
        <v>1091664</v>
      </c>
      <c r="N3644">
        <f t="shared" si="65"/>
        <v>454</v>
      </c>
    </row>
    <row r="3645" spans="1:14" hidden="1">
      <c r="A3645" s="268">
        <v>44882</v>
      </c>
      <c r="C3645" s="237" t="s">
        <v>4762</v>
      </c>
      <c r="D3645" s="276">
        <v>280</v>
      </c>
      <c r="E3645" s="276">
        <v>0</v>
      </c>
      <c r="H3645" t="s">
        <v>1050</v>
      </c>
      <c r="K3645" s="69"/>
      <c r="L3645" s="232">
        <f t="shared" si="66"/>
        <v>1091664</v>
      </c>
      <c r="M3645" s="232">
        <f t="shared" si="67"/>
        <v>1091664</v>
      </c>
      <c r="N3645">
        <f t="shared" si="65"/>
        <v>280</v>
      </c>
    </row>
    <row r="3646" spans="1:14" hidden="1">
      <c r="A3646" s="268">
        <v>44882</v>
      </c>
      <c r="C3646" s="237" t="s">
        <v>4763</v>
      </c>
      <c r="D3646" s="276">
        <v>31</v>
      </c>
      <c r="E3646" s="276">
        <v>0</v>
      </c>
      <c r="H3646" t="s">
        <v>1050</v>
      </c>
      <c r="K3646" s="69"/>
      <c r="L3646" s="232">
        <f t="shared" si="66"/>
        <v>1091664</v>
      </c>
      <c r="M3646" s="232">
        <f t="shared" si="67"/>
        <v>1091664</v>
      </c>
      <c r="N3646">
        <f t="shared" si="65"/>
        <v>31</v>
      </c>
    </row>
    <row r="3647" spans="1:14" hidden="1">
      <c r="A3647" s="268">
        <v>44883</v>
      </c>
      <c r="C3647" s="237" t="s">
        <v>4764</v>
      </c>
      <c r="D3647" s="276">
        <v>40</v>
      </c>
      <c r="E3647" s="276">
        <v>0</v>
      </c>
      <c r="H3647" t="s">
        <v>1050</v>
      </c>
      <c r="K3647" s="69"/>
      <c r="L3647" s="232">
        <f t="shared" si="66"/>
        <v>1092060</v>
      </c>
      <c r="M3647" s="232">
        <f t="shared" si="67"/>
        <v>1092060</v>
      </c>
      <c r="N3647">
        <f t="shared" si="65"/>
        <v>40</v>
      </c>
    </row>
    <row r="3648" spans="1:14" hidden="1">
      <c r="A3648" s="268">
        <v>44883</v>
      </c>
      <c r="C3648" s="237" t="s">
        <v>4765</v>
      </c>
      <c r="D3648" s="276">
        <v>10</v>
      </c>
      <c r="E3648" s="276">
        <v>0</v>
      </c>
      <c r="H3648" t="s">
        <v>1050</v>
      </c>
      <c r="K3648" s="69"/>
      <c r="L3648" s="232">
        <f t="shared" si="66"/>
        <v>1092060</v>
      </c>
      <c r="M3648" s="232">
        <f t="shared" si="67"/>
        <v>1092060</v>
      </c>
      <c r="N3648">
        <f t="shared" si="65"/>
        <v>10</v>
      </c>
    </row>
    <row r="3649" spans="1:14" hidden="1">
      <c r="A3649" s="268">
        <v>44886</v>
      </c>
      <c r="C3649" s="237" t="s">
        <v>4766</v>
      </c>
      <c r="D3649" s="276">
        <v>10250</v>
      </c>
      <c r="E3649" s="276">
        <v>0</v>
      </c>
      <c r="G3649" s="8" t="s">
        <v>1372</v>
      </c>
      <c r="H3649" t="s">
        <v>1050</v>
      </c>
      <c r="K3649" s="69"/>
      <c r="L3649" s="232">
        <f t="shared" si="66"/>
        <v>1093248</v>
      </c>
      <c r="M3649" s="232">
        <f t="shared" si="67"/>
        <v>1093248</v>
      </c>
      <c r="N3649">
        <f t="shared" si="65"/>
        <v>10250</v>
      </c>
    </row>
    <row r="3650" spans="1:14" hidden="1">
      <c r="A3650" s="268">
        <v>44886</v>
      </c>
      <c r="C3650" s="237" t="s">
        <v>4767</v>
      </c>
      <c r="D3650" s="276">
        <v>33333</v>
      </c>
      <c r="E3650" s="276">
        <v>0</v>
      </c>
      <c r="G3650" s="8" t="s">
        <v>1381</v>
      </c>
      <c r="H3650" t="s">
        <v>1050</v>
      </c>
      <c r="K3650" s="69"/>
      <c r="L3650" s="232">
        <f t="shared" si="66"/>
        <v>1093248</v>
      </c>
      <c r="M3650" s="232">
        <f t="shared" si="67"/>
        <v>1093248</v>
      </c>
      <c r="N3650">
        <f t="shared" si="65"/>
        <v>33333</v>
      </c>
    </row>
    <row r="3651" spans="1:14" hidden="1">
      <c r="A3651" s="268">
        <v>44887</v>
      </c>
      <c r="C3651" s="237" t="s">
        <v>4768</v>
      </c>
      <c r="D3651" s="276">
        <v>25</v>
      </c>
      <c r="E3651" s="276">
        <v>0</v>
      </c>
      <c r="H3651" t="s">
        <v>1050</v>
      </c>
      <c r="K3651" s="69"/>
      <c r="L3651" s="232">
        <f t="shared" si="66"/>
        <v>1093641</v>
      </c>
      <c r="M3651" s="232">
        <f t="shared" si="67"/>
        <v>1093641</v>
      </c>
      <c r="N3651">
        <f t="shared" si="65"/>
        <v>25</v>
      </c>
    </row>
    <row r="3652" spans="1:14" hidden="1">
      <c r="A3652" s="268">
        <v>44889</v>
      </c>
      <c r="C3652" s="237" t="s">
        <v>4769</v>
      </c>
      <c r="D3652" s="276">
        <v>914.5</v>
      </c>
      <c r="E3652" s="276">
        <v>0</v>
      </c>
      <c r="H3652" t="s">
        <v>1050</v>
      </c>
      <c r="K3652" s="69"/>
      <c r="L3652" s="232">
        <f t="shared" si="66"/>
        <v>1094433</v>
      </c>
      <c r="M3652" s="232">
        <f t="shared" si="67"/>
        <v>1094433</v>
      </c>
      <c r="N3652">
        <f t="shared" si="65"/>
        <v>914.5</v>
      </c>
    </row>
    <row r="3653" spans="1:14" hidden="1">
      <c r="A3653" s="268">
        <v>44889</v>
      </c>
      <c r="C3653" s="237" t="s">
        <v>4770</v>
      </c>
      <c r="D3653" s="276">
        <v>324</v>
      </c>
      <c r="E3653" s="276">
        <v>0</v>
      </c>
      <c r="H3653" t="s">
        <v>1050</v>
      </c>
      <c r="K3653" s="69"/>
      <c r="L3653" s="232">
        <f t="shared" si="66"/>
        <v>1094433</v>
      </c>
      <c r="M3653" s="232">
        <f t="shared" si="67"/>
        <v>1094433</v>
      </c>
      <c r="N3653">
        <f t="shared" si="65"/>
        <v>324</v>
      </c>
    </row>
    <row r="3654" spans="1:14" hidden="1">
      <c r="A3654" s="268">
        <v>44890</v>
      </c>
      <c r="C3654" s="237" t="s">
        <v>4771</v>
      </c>
      <c r="D3654" s="276">
        <v>0</v>
      </c>
      <c r="E3654" s="276">
        <v>295450</v>
      </c>
      <c r="G3654" s="8" t="s">
        <v>1380</v>
      </c>
      <c r="H3654" t="s">
        <v>1050</v>
      </c>
      <c r="K3654" s="69"/>
      <c r="L3654" s="232">
        <f t="shared" si="66"/>
        <v>1094829</v>
      </c>
      <c r="M3654" s="232">
        <f t="shared" si="67"/>
        <v>1094829</v>
      </c>
      <c r="N3654">
        <f t="shared" si="65"/>
        <v>0</v>
      </c>
    </row>
    <row r="3655" spans="1:14" hidden="1">
      <c r="A3655" s="268">
        <v>44893</v>
      </c>
      <c r="C3655" s="237" t="s">
        <v>4772</v>
      </c>
      <c r="D3655" s="276">
        <v>2000</v>
      </c>
      <c r="E3655" s="276">
        <v>0</v>
      </c>
      <c r="G3655" s="8" t="s">
        <v>1372</v>
      </c>
      <c r="H3655" t="s">
        <v>1050</v>
      </c>
      <c r="K3655" s="69"/>
      <c r="L3655" s="232">
        <f t="shared" si="66"/>
        <v>1096016</v>
      </c>
      <c r="M3655" s="232">
        <f t="shared" si="67"/>
        <v>1096016</v>
      </c>
      <c r="N3655">
        <f t="shared" si="65"/>
        <v>2000</v>
      </c>
    </row>
    <row r="3656" spans="1:14" hidden="1">
      <c r="A3656" s="268">
        <v>44893</v>
      </c>
      <c r="C3656" s="237" t="s">
        <v>4773</v>
      </c>
      <c r="D3656" s="276">
        <v>10250</v>
      </c>
      <c r="E3656" s="276">
        <v>0</v>
      </c>
      <c r="G3656" s="8" t="s">
        <v>1372</v>
      </c>
      <c r="H3656" t="s">
        <v>1050</v>
      </c>
      <c r="K3656" s="69"/>
      <c r="L3656" s="232">
        <f t="shared" si="66"/>
        <v>1096016</v>
      </c>
      <c r="M3656" s="232">
        <f t="shared" si="67"/>
        <v>1096016</v>
      </c>
      <c r="N3656">
        <f t="shared" si="65"/>
        <v>10250</v>
      </c>
    </row>
    <row r="3657" spans="1:14" hidden="1">
      <c r="A3657" s="268">
        <v>44893</v>
      </c>
      <c r="C3657" s="237" t="s">
        <v>4774</v>
      </c>
      <c r="D3657" s="276">
        <v>25000</v>
      </c>
      <c r="E3657" s="276">
        <v>0</v>
      </c>
      <c r="G3657" s="8" t="s">
        <v>1381</v>
      </c>
      <c r="H3657" t="s">
        <v>1050</v>
      </c>
      <c r="K3657" s="69"/>
      <c r="L3657" s="232">
        <f t="shared" si="66"/>
        <v>1096016</v>
      </c>
      <c r="M3657" s="232">
        <f t="shared" si="67"/>
        <v>1096016</v>
      </c>
      <c r="N3657">
        <f t="shared" si="65"/>
        <v>25000</v>
      </c>
    </row>
    <row r="3658" spans="1:14" hidden="1">
      <c r="A3658" s="268">
        <v>44894</v>
      </c>
      <c r="C3658" s="237" t="s">
        <v>4775</v>
      </c>
      <c r="D3658" s="276">
        <v>328</v>
      </c>
      <c r="E3658" s="276">
        <v>0</v>
      </c>
      <c r="H3658" t="s">
        <v>1050</v>
      </c>
      <c r="K3658" s="69"/>
      <c r="L3658" s="232">
        <f t="shared" si="66"/>
        <v>1096411</v>
      </c>
      <c r="M3658" s="232">
        <f t="shared" si="67"/>
        <v>1096411</v>
      </c>
      <c r="N3658">
        <f t="shared" si="65"/>
        <v>328</v>
      </c>
    </row>
    <row r="3659" spans="1:14" hidden="1">
      <c r="A3659" s="268">
        <v>44894</v>
      </c>
      <c r="C3659" s="237" t="s">
        <v>4776</v>
      </c>
      <c r="D3659" s="276">
        <v>0</v>
      </c>
      <c r="E3659" s="276">
        <v>3</v>
      </c>
      <c r="H3659" t="s">
        <v>1050</v>
      </c>
      <c r="K3659" s="69"/>
      <c r="L3659" s="232">
        <f t="shared" si="66"/>
        <v>1096411</v>
      </c>
      <c r="M3659" s="232">
        <f t="shared" si="67"/>
        <v>1096411</v>
      </c>
      <c r="N3659">
        <f t="shared" ref="N3659:N3722" si="68">D3659*1</f>
        <v>0</v>
      </c>
    </row>
    <row r="3660" spans="1:14" hidden="1">
      <c r="A3660" s="268">
        <v>44654</v>
      </c>
      <c r="C3660" s="238" t="s">
        <v>4777</v>
      </c>
      <c r="D3660" s="277">
        <v>25000</v>
      </c>
      <c r="E3660" s="277">
        <v>0</v>
      </c>
      <c r="G3660" s="8" t="s">
        <v>1379</v>
      </c>
      <c r="H3660" t="s">
        <v>1336</v>
      </c>
      <c r="K3660" s="69"/>
      <c r="L3660" s="232">
        <f t="shared" si="66"/>
        <v>57905</v>
      </c>
      <c r="M3660" s="232">
        <f>DATE(VALUE("20" &amp; RIGHT(A3660,2)), VALUE(MID(A3660,4,2)), VALUE(LEFT(A3660,2)))</f>
        <v>57905</v>
      </c>
      <c r="N3660">
        <f t="shared" si="68"/>
        <v>25000</v>
      </c>
    </row>
    <row r="3661" spans="1:14" hidden="1">
      <c r="A3661" s="268">
        <v>44655</v>
      </c>
      <c r="C3661" s="238" t="s">
        <v>4319</v>
      </c>
      <c r="D3661" s="277">
        <v>111034</v>
      </c>
      <c r="E3661" s="277">
        <v>0</v>
      </c>
      <c r="G3661" s="8" t="s">
        <v>1362</v>
      </c>
      <c r="H3661" t="s">
        <v>1336</v>
      </c>
      <c r="K3661" s="69"/>
      <c r="L3661" s="232">
        <f t="shared" si="66"/>
        <v>58300</v>
      </c>
      <c r="M3661" s="232">
        <f t="shared" ref="M3661:M3681" si="69">DATE(VALUE("20" &amp; RIGHT(A3661,2)), VALUE(MID(A3661,4,2)), VALUE(LEFT(A3661,2)))</f>
        <v>58300</v>
      </c>
      <c r="N3661">
        <f t="shared" si="68"/>
        <v>111034</v>
      </c>
    </row>
    <row r="3662" spans="1:14" hidden="1">
      <c r="A3662" s="268">
        <v>44662</v>
      </c>
      <c r="C3662" s="238" t="s">
        <v>4778</v>
      </c>
      <c r="D3662" s="277">
        <v>0</v>
      </c>
      <c r="E3662" s="277">
        <v>200000</v>
      </c>
      <c r="G3662" s="8" t="s">
        <v>1363</v>
      </c>
      <c r="H3662" t="s">
        <v>1336</v>
      </c>
      <c r="K3662" s="69"/>
      <c r="L3662" s="232">
        <f t="shared" si="66"/>
        <v>61072</v>
      </c>
      <c r="M3662" s="232">
        <f t="shared" si="69"/>
        <v>61072</v>
      </c>
      <c r="N3662">
        <f t="shared" si="68"/>
        <v>0</v>
      </c>
    </row>
    <row r="3663" spans="1:14" hidden="1">
      <c r="A3663" s="268">
        <v>44684</v>
      </c>
      <c r="C3663" s="238" t="s">
        <v>4779</v>
      </c>
      <c r="D3663" s="277">
        <v>25000</v>
      </c>
      <c r="E3663" s="277">
        <v>0</v>
      </c>
      <c r="G3663" s="8" t="s">
        <v>1379</v>
      </c>
      <c r="H3663" t="s">
        <v>1336</v>
      </c>
      <c r="K3663" s="69"/>
      <c r="L3663" s="232">
        <f t="shared" si="66"/>
        <v>69776</v>
      </c>
      <c r="M3663" s="232">
        <f t="shared" si="69"/>
        <v>69776</v>
      </c>
      <c r="N3663">
        <f t="shared" si="68"/>
        <v>25000</v>
      </c>
    </row>
    <row r="3664" spans="1:14" hidden="1">
      <c r="A3664" s="268">
        <v>44714</v>
      </c>
      <c r="C3664" s="238" t="s">
        <v>4780</v>
      </c>
      <c r="D3664" s="277">
        <v>25000</v>
      </c>
      <c r="E3664" s="277">
        <v>0</v>
      </c>
      <c r="G3664" s="8" t="s">
        <v>1379</v>
      </c>
      <c r="H3664" t="s">
        <v>1336</v>
      </c>
      <c r="K3664" s="69"/>
      <c r="L3664" s="232">
        <f t="shared" si="66"/>
        <v>42079</v>
      </c>
      <c r="M3664" s="232">
        <f t="shared" si="69"/>
        <v>42079</v>
      </c>
      <c r="N3664">
        <f t="shared" si="68"/>
        <v>25000</v>
      </c>
    </row>
    <row r="3665" spans="1:14" hidden="1">
      <c r="A3665" s="268">
        <v>44716</v>
      </c>
      <c r="C3665" s="238" t="s">
        <v>4319</v>
      </c>
      <c r="D3665" s="277">
        <v>17492</v>
      </c>
      <c r="E3665" s="277">
        <v>0</v>
      </c>
      <c r="G3665" s="8" t="s">
        <v>1362</v>
      </c>
      <c r="H3665" t="s">
        <v>1336</v>
      </c>
      <c r="K3665" s="69"/>
      <c r="L3665" s="232">
        <f t="shared" si="66"/>
        <v>42869</v>
      </c>
      <c r="M3665" s="232">
        <f t="shared" si="69"/>
        <v>42869</v>
      </c>
      <c r="N3665">
        <f t="shared" si="68"/>
        <v>17492</v>
      </c>
    </row>
    <row r="3666" spans="1:14" hidden="1">
      <c r="A3666" s="268">
        <v>44743</v>
      </c>
      <c r="C3666" s="238" t="s">
        <v>4256</v>
      </c>
      <c r="D3666" s="277">
        <v>0</v>
      </c>
      <c r="E3666" s="277">
        <v>2122</v>
      </c>
      <c r="G3666" s="8" t="s">
        <v>1368</v>
      </c>
      <c r="H3666" t="s">
        <v>1336</v>
      </c>
      <c r="K3666" s="69"/>
      <c r="L3666" s="232">
        <f t="shared" si="66"/>
        <v>53552</v>
      </c>
      <c r="M3666" s="232">
        <f t="shared" si="69"/>
        <v>53552</v>
      </c>
      <c r="N3666">
        <f t="shared" si="68"/>
        <v>0</v>
      </c>
    </row>
    <row r="3667" spans="1:14" hidden="1">
      <c r="A3667" s="268">
        <v>44745</v>
      </c>
      <c r="C3667" s="238" t="s">
        <v>4781</v>
      </c>
      <c r="D3667" s="277">
        <v>25000</v>
      </c>
      <c r="E3667" s="277">
        <v>0</v>
      </c>
      <c r="G3667" s="8" t="s">
        <v>1379</v>
      </c>
      <c r="H3667" t="s">
        <v>1336</v>
      </c>
      <c r="K3667" s="69"/>
      <c r="L3667" s="232">
        <f t="shared" si="66"/>
        <v>54345</v>
      </c>
      <c r="M3667" s="232">
        <f t="shared" si="69"/>
        <v>54345</v>
      </c>
      <c r="N3667">
        <f t="shared" si="68"/>
        <v>25000</v>
      </c>
    </row>
    <row r="3668" spans="1:14" hidden="1">
      <c r="A3668" s="268">
        <v>44747</v>
      </c>
      <c r="C3668" s="238" t="s">
        <v>4319</v>
      </c>
      <c r="D3668" s="277">
        <v>14266</v>
      </c>
      <c r="E3668" s="277">
        <v>0</v>
      </c>
      <c r="G3668" s="8" t="s">
        <v>1362</v>
      </c>
      <c r="H3668" t="s">
        <v>1336</v>
      </c>
      <c r="K3668" s="69"/>
      <c r="L3668" s="232">
        <f t="shared" si="66"/>
        <v>55136</v>
      </c>
      <c r="M3668" s="232">
        <f t="shared" si="69"/>
        <v>55136</v>
      </c>
      <c r="N3668">
        <f t="shared" si="68"/>
        <v>14266</v>
      </c>
    </row>
    <row r="3669" spans="1:14" hidden="1">
      <c r="A3669" s="268">
        <v>44775</v>
      </c>
      <c r="C3669" s="238" t="s">
        <v>4782</v>
      </c>
      <c r="D3669" s="277">
        <v>25000</v>
      </c>
      <c r="E3669" s="277">
        <v>0</v>
      </c>
      <c r="G3669" s="8" t="s">
        <v>1379</v>
      </c>
      <c r="H3669" t="s">
        <v>1336</v>
      </c>
      <c r="K3669" s="69"/>
      <c r="L3669" s="232">
        <f t="shared" si="66"/>
        <v>66214</v>
      </c>
      <c r="M3669" s="232">
        <f t="shared" si="69"/>
        <v>66214</v>
      </c>
      <c r="N3669">
        <f t="shared" si="68"/>
        <v>25000</v>
      </c>
    </row>
    <row r="3670" spans="1:14" hidden="1">
      <c r="A3670" s="268">
        <v>44777</v>
      </c>
      <c r="C3670" s="238" t="s">
        <v>4319</v>
      </c>
      <c r="D3670" s="277">
        <v>9074</v>
      </c>
      <c r="E3670" s="277">
        <v>0</v>
      </c>
      <c r="G3670" s="8" t="s">
        <v>1362</v>
      </c>
      <c r="H3670" t="s">
        <v>1336</v>
      </c>
      <c r="K3670" s="69"/>
      <c r="L3670" s="232">
        <f t="shared" si="66"/>
        <v>67005</v>
      </c>
      <c r="M3670" s="232">
        <f t="shared" si="69"/>
        <v>67005</v>
      </c>
      <c r="N3670">
        <f t="shared" si="68"/>
        <v>9074</v>
      </c>
    </row>
    <row r="3671" spans="1:14" hidden="1">
      <c r="A3671" s="268">
        <v>44779</v>
      </c>
      <c r="C3671" s="238" t="s">
        <v>4783</v>
      </c>
      <c r="D3671" s="277">
        <v>0</v>
      </c>
      <c r="E3671" s="277">
        <v>75000</v>
      </c>
      <c r="G3671" s="8" t="s">
        <v>1363</v>
      </c>
      <c r="H3671" t="s">
        <v>1336</v>
      </c>
      <c r="K3671" s="69"/>
      <c r="L3671" s="232">
        <f t="shared" si="66"/>
        <v>67797</v>
      </c>
      <c r="M3671" s="232">
        <f t="shared" si="69"/>
        <v>67797</v>
      </c>
      <c r="N3671">
        <f t="shared" si="68"/>
        <v>0</v>
      </c>
    </row>
    <row r="3672" spans="1:14" hidden="1">
      <c r="A3672" s="268">
        <v>44807</v>
      </c>
      <c r="C3672" s="238" t="s">
        <v>4784</v>
      </c>
      <c r="D3672" s="277">
        <v>25000</v>
      </c>
      <c r="E3672" s="277">
        <v>0</v>
      </c>
      <c r="G3672" s="8" t="s">
        <v>1379</v>
      </c>
      <c r="H3672" t="s">
        <v>1336</v>
      </c>
      <c r="K3672" s="69"/>
      <c r="L3672" s="232">
        <f t="shared" si="66"/>
        <v>39307</v>
      </c>
      <c r="M3672" s="232">
        <f t="shared" si="69"/>
        <v>39307</v>
      </c>
      <c r="N3672">
        <f t="shared" si="68"/>
        <v>25000</v>
      </c>
    </row>
    <row r="3673" spans="1:14" hidden="1">
      <c r="A3673" s="268">
        <v>44808</v>
      </c>
      <c r="C3673" s="238" t="s">
        <v>4319</v>
      </c>
      <c r="D3673" s="277">
        <v>15419</v>
      </c>
      <c r="E3673" s="277">
        <v>0</v>
      </c>
      <c r="G3673" s="8" t="s">
        <v>1362</v>
      </c>
      <c r="H3673" t="s">
        <v>1336</v>
      </c>
      <c r="K3673" s="69"/>
      <c r="L3673" s="232">
        <f t="shared" si="66"/>
        <v>39704</v>
      </c>
      <c r="M3673" s="232">
        <f t="shared" si="69"/>
        <v>39704</v>
      </c>
      <c r="N3673">
        <f t="shared" si="68"/>
        <v>15419</v>
      </c>
    </row>
    <row r="3674" spans="1:14" hidden="1">
      <c r="A3674" s="268">
        <v>44810</v>
      </c>
      <c r="C3674" s="238" t="s">
        <v>4785</v>
      </c>
      <c r="D3674" s="277">
        <v>0</v>
      </c>
      <c r="E3674" s="277">
        <v>75000</v>
      </c>
      <c r="G3674" s="8" t="s">
        <v>1363</v>
      </c>
      <c r="H3674" t="s">
        <v>1336</v>
      </c>
      <c r="K3674" s="69"/>
      <c r="L3674" s="232">
        <f t="shared" si="66"/>
        <v>40495</v>
      </c>
      <c r="M3674" s="232">
        <f t="shared" si="69"/>
        <v>40495</v>
      </c>
      <c r="N3674">
        <f t="shared" si="68"/>
        <v>0</v>
      </c>
    </row>
    <row r="3675" spans="1:14" hidden="1">
      <c r="A3675" s="268">
        <v>44835</v>
      </c>
      <c r="C3675" s="238" t="s">
        <v>4256</v>
      </c>
      <c r="D3675" s="277">
        <v>0</v>
      </c>
      <c r="E3675" s="277">
        <v>1960</v>
      </c>
      <c r="G3675" s="8" t="s">
        <v>1368</v>
      </c>
      <c r="H3675" t="s">
        <v>1336</v>
      </c>
      <c r="K3675" s="69"/>
      <c r="L3675" s="232">
        <f t="shared" si="66"/>
        <v>50388</v>
      </c>
      <c r="M3675" s="232">
        <f t="shared" si="69"/>
        <v>50388</v>
      </c>
      <c r="N3675">
        <f t="shared" si="68"/>
        <v>0</v>
      </c>
    </row>
    <row r="3676" spans="1:14" hidden="1">
      <c r="A3676" s="268">
        <v>44837</v>
      </c>
      <c r="C3676" s="238" t="s">
        <v>4786</v>
      </c>
      <c r="D3676" s="277">
        <v>25000</v>
      </c>
      <c r="E3676" s="277">
        <v>0</v>
      </c>
      <c r="G3676" s="8" t="s">
        <v>1379</v>
      </c>
      <c r="H3676" t="s">
        <v>1336</v>
      </c>
      <c r="K3676" s="69"/>
      <c r="L3676" s="232">
        <f t="shared" si="66"/>
        <v>51179</v>
      </c>
      <c r="M3676" s="232">
        <f t="shared" si="69"/>
        <v>51179</v>
      </c>
      <c r="N3676">
        <f t="shared" si="68"/>
        <v>25000</v>
      </c>
    </row>
    <row r="3677" spans="1:14" hidden="1">
      <c r="A3677" s="268">
        <v>44839</v>
      </c>
      <c r="C3677" s="238" t="s">
        <v>4319</v>
      </c>
      <c r="D3677" s="277">
        <v>13283</v>
      </c>
      <c r="E3677" s="277">
        <v>0</v>
      </c>
      <c r="G3677" s="8" t="s">
        <v>1362</v>
      </c>
      <c r="H3677" t="s">
        <v>1336</v>
      </c>
      <c r="K3677" s="69"/>
      <c r="L3677" s="232">
        <f t="shared" si="66"/>
        <v>51969</v>
      </c>
      <c r="M3677" s="232">
        <f t="shared" si="69"/>
        <v>51969</v>
      </c>
      <c r="N3677">
        <f t="shared" si="68"/>
        <v>13283</v>
      </c>
    </row>
    <row r="3678" spans="1:14" hidden="1">
      <c r="A3678" s="268">
        <v>44840</v>
      </c>
      <c r="C3678" s="238" t="s">
        <v>4787</v>
      </c>
      <c r="D3678" s="277">
        <v>0</v>
      </c>
      <c r="E3678" s="277">
        <v>75000</v>
      </c>
      <c r="G3678" s="8" t="s">
        <v>1363</v>
      </c>
      <c r="H3678" t="s">
        <v>1336</v>
      </c>
      <c r="K3678" s="69"/>
      <c r="L3678" s="232">
        <f t="shared" ref="L3678:L3681" si="70">M3678</f>
        <v>52365</v>
      </c>
      <c r="M3678" s="232">
        <f t="shared" si="69"/>
        <v>52365</v>
      </c>
      <c r="N3678">
        <f t="shared" si="68"/>
        <v>0</v>
      </c>
    </row>
    <row r="3679" spans="1:14" hidden="1">
      <c r="A3679" s="268">
        <v>44867</v>
      </c>
      <c r="C3679" s="238" t="s">
        <v>4788</v>
      </c>
      <c r="D3679" s="277">
        <v>0</v>
      </c>
      <c r="E3679" s="277">
        <v>387470</v>
      </c>
      <c r="G3679" s="8" t="s">
        <v>1379</v>
      </c>
      <c r="H3679" t="s">
        <v>1336</v>
      </c>
      <c r="K3679" s="69"/>
      <c r="L3679" s="232">
        <f t="shared" si="70"/>
        <v>63049</v>
      </c>
      <c r="M3679" s="232">
        <f t="shared" si="69"/>
        <v>63049</v>
      </c>
      <c r="N3679">
        <f t="shared" si="68"/>
        <v>0</v>
      </c>
    </row>
    <row r="3680" spans="1:14" hidden="1">
      <c r="A3680" s="268">
        <v>44869</v>
      </c>
      <c r="C3680" s="238" t="s">
        <v>4319</v>
      </c>
      <c r="D3680" s="277">
        <v>14841</v>
      </c>
      <c r="E3680" s="277">
        <v>0</v>
      </c>
      <c r="G3680" s="8" t="s">
        <v>1362</v>
      </c>
      <c r="H3680" t="s">
        <v>1336</v>
      </c>
      <c r="K3680" s="69"/>
      <c r="L3680" s="232">
        <f t="shared" si="70"/>
        <v>63841</v>
      </c>
      <c r="M3680" s="232">
        <f t="shared" si="69"/>
        <v>63841</v>
      </c>
      <c r="N3680">
        <f t="shared" si="68"/>
        <v>14841</v>
      </c>
    </row>
    <row r="3681" spans="1:14" hidden="1">
      <c r="A3681" s="268">
        <v>44871</v>
      </c>
      <c r="C3681" s="238" t="s">
        <v>4789</v>
      </c>
      <c r="D3681" s="277">
        <v>0</v>
      </c>
      <c r="E3681" s="277">
        <v>75000</v>
      </c>
      <c r="G3681" s="8" t="s">
        <v>1363</v>
      </c>
      <c r="H3681" t="s">
        <v>1336</v>
      </c>
      <c r="K3681" s="69"/>
      <c r="L3681" s="232">
        <f t="shared" si="70"/>
        <v>64633</v>
      </c>
      <c r="M3681" s="232">
        <f t="shared" si="69"/>
        <v>64633</v>
      </c>
      <c r="N3681">
        <f t="shared" si="68"/>
        <v>0</v>
      </c>
    </row>
    <row r="3682" spans="1:14" hidden="1">
      <c r="A3682" s="268">
        <v>44896</v>
      </c>
      <c r="B3682" s="237" t="s">
        <v>4124</v>
      </c>
      <c r="C3682" s="237" t="s">
        <v>4790</v>
      </c>
      <c r="D3682" s="276">
        <v>500</v>
      </c>
      <c r="E3682" s="276">
        <v>0</v>
      </c>
      <c r="G3682" s="8" t="s">
        <v>1363</v>
      </c>
      <c r="H3682" t="s">
        <v>1050</v>
      </c>
      <c r="N3682">
        <f t="shared" si="68"/>
        <v>500</v>
      </c>
    </row>
    <row r="3683" spans="1:14" hidden="1">
      <c r="A3683" s="268">
        <v>44896</v>
      </c>
      <c r="B3683" s="237" t="s">
        <v>4124</v>
      </c>
      <c r="C3683" s="237" t="s">
        <v>4791</v>
      </c>
      <c r="D3683" s="276">
        <v>40</v>
      </c>
      <c r="E3683" s="276">
        <v>0</v>
      </c>
      <c r="H3683" t="s">
        <v>1050</v>
      </c>
      <c r="N3683">
        <f t="shared" si="68"/>
        <v>40</v>
      </c>
    </row>
    <row r="3684" spans="1:14" hidden="1">
      <c r="A3684" s="268">
        <v>44897</v>
      </c>
      <c r="B3684" s="237" t="s">
        <v>4124</v>
      </c>
      <c r="C3684" s="237" t="s">
        <v>4792</v>
      </c>
      <c r="D3684" s="276">
        <v>2560</v>
      </c>
      <c r="E3684" s="276">
        <v>0</v>
      </c>
      <c r="H3684" t="s">
        <v>1050</v>
      </c>
      <c r="N3684">
        <f t="shared" si="68"/>
        <v>2560</v>
      </c>
    </row>
    <row r="3685" spans="1:14" hidden="1">
      <c r="A3685" s="268">
        <v>44898</v>
      </c>
      <c r="B3685" s="237" t="s">
        <v>4124</v>
      </c>
      <c r="C3685" s="237" t="s">
        <v>4793</v>
      </c>
      <c r="D3685" s="276">
        <v>2000</v>
      </c>
      <c r="E3685" s="276">
        <v>0</v>
      </c>
      <c r="H3685" t="s">
        <v>1050</v>
      </c>
      <c r="N3685">
        <f t="shared" si="68"/>
        <v>2000</v>
      </c>
    </row>
    <row r="3686" spans="1:14" hidden="1">
      <c r="A3686" s="268">
        <v>44898</v>
      </c>
      <c r="B3686" s="237" t="s">
        <v>4124</v>
      </c>
      <c r="C3686" s="237" t="s">
        <v>4794</v>
      </c>
      <c r="D3686" s="276">
        <v>9550</v>
      </c>
      <c r="E3686" s="276">
        <v>0</v>
      </c>
      <c r="H3686" t="s">
        <v>1050</v>
      </c>
      <c r="N3686">
        <f t="shared" si="68"/>
        <v>9550</v>
      </c>
    </row>
    <row r="3687" spans="1:14" hidden="1">
      <c r="A3687" s="268">
        <v>44900</v>
      </c>
      <c r="B3687" s="237" t="s">
        <v>4124</v>
      </c>
      <c r="C3687" s="237" t="s">
        <v>4795</v>
      </c>
      <c r="D3687" s="276">
        <v>5392</v>
      </c>
      <c r="E3687" s="276">
        <v>0</v>
      </c>
      <c r="H3687" t="s">
        <v>1050</v>
      </c>
      <c r="N3687">
        <f t="shared" si="68"/>
        <v>5392</v>
      </c>
    </row>
    <row r="3688" spans="1:14" hidden="1">
      <c r="A3688" s="268">
        <v>44900</v>
      </c>
      <c r="B3688" s="237" t="s">
        <v>4124</v>
      </c>
      <c r="C3688" s="237" t="s">
        <v>4796</v>
      </c>
      <c r="D3688" s="276">
        <v>10250</v>
      </c>
      <c r="E3688" s="276">
        <v>0</v>
      </c>
      <c r="G3688" s="8" t="s">
        <v>1372</v>
      </c>
      <c r="H3688" t="s">
        <v>1050</v>
      </c>
      <c r="N3688">
        <f t="shared" si="68"/>
        <v>10250</v>
      </c>
    </row>
    <row r="3689" spans="1:14" hidden="1">
      <c r="A3689" s="268">
        <v>44901</v>
      </c>
      <c r="B3689" s="237" t="s">
        <v>4124</v>
      </c>
      <c r="C3689" s="237" t="s">
        <v>4797</v>
      </c>
      <c r="D3689" s="276">
        <v>75000</v>
      </c>
      <c r="E3689" s="276">
        <v>0</v>
      </c>
      <c r="G3689" s="8" t="s">
        <v>1363</v>
      </c>
      <c r="H3689" t="s">
        <v>1050</v>
      </c>
      <c r="N3689">
        <f t="shared" si="68"/>
        <v>75000</v>
      </c>
    </row>
    <row r="3690" spans="1:14" hidden="1">
      <c r="A3690" s="268">
        <v>44903</v>
      </c>
      <c r="B3690" s="237" t="s">
        <v>4124</v>
      </c>
      <c r="C3690" s="237" t="s">
        <v>4798</v>
      </c>
      <c r="D3690" s="276">
        <v>22</v>
      </c>
      <c r="E3690" s="276">
        <v>0</v>
      </c>
      <c r="H3690" t="s">
        <v>1050</v>
      </c>
      <c r="N3690">
        <f t="shared" si="68"/>
        <v>22</v>
      </c>
    </row>
    <row r="3691" spans="1:14" hidden="1">
      <c r="A3691" s="268">
        <v>44904</v>
      </c>
      <c r="B3691" s="237" t="s">
        <v>4124</v>
      </c>
      <c r="C3691" s="237" t="s">
        <v>4799</v>
      </c>
      <c r="D3691" s="276">
        <v>82</v>
      </c>
      <c r="E3691" s="276">
        <v>0</v>
      </c>
      <c r="H3691" t="s">
        <v>1050</v>
      </c>
      <c r="N3691">
        <f t="shared" si="68"/>
        <v>82</v>
      </c>
    </row>
    <row r="3692" spans="1:14" hidden="1">
      <c r="A3692" s="268">
        <v>44904</v>
      </c>
      <c r="B3692" s="237" t="s">
        <v>4124</v>
      </c>
      <c r="C3692" s="237" t="s">
        <v>4800</v>
      </c>
      <c r="D3692" s="276">
        <v>1460</v>
      </c>
      <c r="E3692" s="276">
        <v>0</v>
      </c>
      <c r="H3692" t="s">
        <v>1050</v>
      </c>
      <c r="N3692">
        <f t="shared" si="68"/>
        <v>1460</v>
      </c>
    </row>
    <row r="3693" spans="1:14" hidden="1">
      <c r="A3693" s="268">
        <v>44907</v>
      </c>
      <c r="B3693" s="237" t="s">
        <v>4124</v>
      </c>
      <c r="C3693" s="237" t="s">
        <v>4801</v>
      </c>
      <c r="D3693" s="276">
        <v>10250</v>
      </c>
      <c r="E3693" s="276">
        <v>0</v>
      </c>
      <c r="G3693" s="8" t="s">
        <v>1372</v>
      </c>
      <c r="H3693" t="s">
        <v>1050</v>
      </c>
      <c r="N3693">
        <f t="shared" si="68"/>
        <v>10250</v>
      </c>
    </row>
    <row r="3694" spans="1:14" hidden="1">
      <c r="A3694" s="268">
        <v>44907</v>
      </c>
      <c r="B3694" s="237" t="s">
        <v>4124</v>
      </c>
      <c r="C3694" s="237" t="s">
        <v>4132</v>
      </c>
      <c r="D3694" s="276">
        <v>32166.93</v>
      </c>
      <c r="E3694" s="276">
        <v>0</v>
      </c>
      <c r="G3694" s="8" t="s">
        <v>1362</v>
      </c>
      <c r="H3694" t="s">
        <v>1050</v>
      </c>
      <c r="N3694">
        <f t="shared" si="68"/>
        <v>32166.93</v>
      </c>
    </row>
    <row r="3695" spans="1:14" hidden="1">
      <c r="A3695" s="268">
        <v>44907</v>
      </c>
      <c r="B3695" s="237" t="s">
        <v>4124</v>
      </c>
      <c r="C3695" s="237" t="s">
        <v>4802</v>
      </c>
      <c r="D3695" s="276">
        <v>45</v>
      </c>
      <c r="E3695" s="276">
        <v>0</v>
      </c>
      <c r="H3695" t="s">
        <v>1050</v>
      </c>
      <c r="N3695">
        <f t="shared" si="68"/>
        <v>45</v>
      </c>
    </row>
    <row r="3696" spans="1:14" hidden="1">
      <c r="A3696" s="268">
        <v>44907</v>
      </c>
      <c r="B3696" s="237" t="s">
        <v>4124</v>
      </c>
      <c r="C3696" s="237" t="s">
        <v>4803</v>
      </c>
      <c r="D3696" s="276">
        <v>980</v>
      </c>
      <c r="E3696" s="276">
        <v>0</v>
      </c>
      <c r="H3696" t="s">
        <v>1050</v>
      </c>
      <c r="N3696">
        <f t="shared" si="68"/>
        <v>980</v>
      </c>
    </row>
    <row r="3697" spans="1:14" hidden="1">
      <c r="A3697" s="268">
        <v>44908</v>
      </c>
      <c r="B3697" s="237" t="s">
        <v>4124</v>
      </c>
      <c r="C3697" s="237" t="s">
        <v>4804</v>
      </c>
      <c r="D3697" s="276">
        <v>313</v>
      </c>
      <c r="E3697" s="276">
        <v>0</v>
      </c>
      <c r="H3697" t="s">
        <v>1050</v>
      </c>
      <c r="N3697">
        <f t="shared" si="68"/>
        <v>313</v>
      </c>
    </row>
    <row r="3698" spans="1:14" hidden="1">
      <c r="A3698" s="268">
        <v>44909</v>
      </c>
      <c r="B3698" s="237" t="s">
        <v>4124</v>
      </c>
      <c r="C3698" s="237" t="s">
        <v>4805</v>
      </c>
      <c r="D3698" s="276">
        <v>82</v>
      </c>
      <c r="E3698" s="276">
        <v>0</v>
      </c>
      <c r="H3698" t="s">
        <v>1050</v>
      </c>
      <c r="N3698">
        <f t="shared" si="68"/>
        <v>82</v>
      </c>
    </row>
    <row r="3699" spans="1:14" hidden="1">
      <c r="A3699" s="268">
        <v>44911</v>
      </c>
      <c r="B3699" s="237" t="s">
        <v>4124</v>
      </c>
      <c r="C3699" s="237" t="s">
        <v>4806</v>
      </c>
      <c r="D3699" s="276">
        <v>18</v>
      </c>
      <c r="E3699" s="276">
        <v>0</v>
      </c>
      <c r="H3699" t="s">
        <v>1050</v>
      </c>
      <c r="N3699">
        <f t="shared" si="68"/>
        <v>18</v>
      </c>
    </row>
    <row r="3700" spans="1:14" hidden="1">
      <c r="A3700" s="268">
        <v>44911</v>
      </c>
      <c r="B3700" s="237" t="s">
        <v>4124</v>
      </c>
      <c r="C3700" s="237" t="s">
        <v>4807</v>
      </c>
      <c r="D3700" s="276">
        <v>9990</v>
      </c>
      <c r="E3700" s="276">
        <v>0</v>
      </c>
      <c r="G3700" s="8" t="s">
        <v>1383</v>
      </c>
      <c r="H3700" t="s">
        <v>1050</v>
      </c>
      <c r="N3700">
        <f t="shared" si="68"/>
        <v>9990</v>
      </c>
    </row>
    <row r="3701" spans="1:14" hidden="1">
      <c r="A3701" s="268">
        <v>44914</v>
      </c>
      <c r="B3701" s="237" t="s">
        <v>4124</v>
      </c>
      <c r="C3701" s="237" t="s">
        <v>4808</v>
      </c>
      <c r="D3701" s="276">
        <v>220</v>
      </c>
      <c r="E3701" s="276">
        <v>0</v>
      </c>
      <c r="H3701" t="s">
        <v>1050</v>
      </c>
      <c r="N3701">
        <f t="shared" si="68"/>
        <v>220</v>
      </c>
    </row>
    <row r="3702" spans="1:14" hidden="1">
      <c r="A3702" s="268">
        <v>44914</v>
      </c>
      <c r="B3702" s="237" t="s">
        <v>4124</v>
      </c>
      <c r="C3702" s="237" t="s">
        <v>4809</v>
      </c>
      <c r="D3702" s="276">
        <v>10250</v>
      </c>
      <c r="E3702" s="276">
        <v>0</v>
      </c>
      <c r="G3702" s="8" t="s">
        <v>1372</v>
      </c>
      <c r="H3702" t="s">
        <v>1050</v>
      </c>
      <c r="N3702">
        <f t="shared" si="68"/>
        <v>10250</v>
      </c>
    </row>
    <row r="3703" spans="1:14" hidden="1">
      <c r="A3703" s="268">
        <v>44916</v>
      </c>
      <c r="B3703" s="237" t="s">
        <v>4124</v>
      </c>
      <c r="C3703" s="237" t="s">
        <v>4810</v>
      </c>
      <c r="D3703" s="276">
        <v>33333</v>
      </c>
      <c r="E3703" s="276">
        <v>0</v>
      </c>
      <c r="G3703" s="8" t="s">
        <v>1381</v>
      </c>
      <c r="H3703" t="s">
        <v>1050</v>
      </c>
      <c r="N3703">
        <f t="shared" si="68"/>
        <v>33333</v>
      </c>
    </row>
    <row r="3704" spans="1:14" hidden="1">
      <c r="A3704" s="268">
        <v>44917</v>
      </c>
      <c r="B3704" s="237" t="s">
        <v>4124</v>
      </c>
      <c r="C3704" s="237" t="s">
        <v>4811</v>
      </c>
      <c r="D3704" s="276">
        <v>86</v>
      </c>
      <c r="E3704" s="276">
        <v>0</v>
      </c>
      <c r="H3704" t="s">
        <v>1050</v>
      </c>
      <c r="N3704">
        <f t="shared" si="68"/>
        <v>86</v>
      </c>
    </row>
    <row r="3705" spans="1:14" hidden="1">
      <c r="A3705" s="268">
        <v>44921</v>
      </c>
      <c r="B3705" s="237" t="s">
        <v>4124</v>
      </c>
      <c r="C3705" s="237" t="s">
        <v>4812</v>
      </c>
      <c r="D3705" s="276">
        <v>470</v>
      </c>
      <c r="E3705" s="276">
        <v>0</v>
      </c>
      <c r="H3705" t="s">
        <v>1050</v>
      </c>
      <c r="N3705">
        <f t="shared" si="68"/>
        <v>470</v>
      </c>
    </row>
    <row r="3706" spans="1:14" hidden="1">
      <c r="A3706" s="268">
        <v>44921</v>
      </c>
      <c r="B3706" s="237" t="s">
        <v>4124</v>
      </c>
      <c r="C3706" s="237" t="s">
        <v>4813</v>
      </c>
      <c r="D3706" s="276">
        <v>279</v>
      </c>
      <c r="E3706" s="276">
        <v>0</v>
      </c>
      <c r="H3706" t="s">
        <v>1050</v>
      </c>
      <c r="N3706">
        <f t="shared" si="68"/>
        <v>279</v>
      </c>
    </row>
    <row r="3707" spans="1:14" hidden="1">
      <c r="A3707" s="268">
        <v>44921</v>
      </c>
      <c r="B3707" s="237" t="s">
        <v>4124</v>
      </c>
      <c r="C3707" s="237" t="s">
        <v>4814</v>
      </c>
      <c r="D3707" s="276">
        <v>0</v>
      </c>
      <c r="E3707" s="276">
        <v>4</v>
      </c>
      <c r="H3707" t="s">
        <v>1050</v>
      </c>
      <c r="N3707">
        <f t="shared" si="68"/>
        <v>0</v>
      </c>
    </row>
    <row r="3708" spans="1:14" hidden="1">
      <c r="A3708" s="268">
        <v>44921</v>
      </c>
      <c r="B3708" s="237" t="s">
        <v>4124</v>
      </c>
      <c r="C3708" s="237" t="s">
        <v>4815</v>
      </c>
      <c r="D3708" s="276">
        <v>10250</v>
      </c>
      <c r="E3708" s="276">
        <v>0</v>
      </c>
      <c r="G3708" s="8" t="s">
        <v>1372</v>
      </c>
      <c r="H3708" t="s">
        <v>1050</v>
      </c>
      <c r="N3708">
        <f t="shared" si="68"/>
        <v>10250</v>
      </c>
    </row>
    <row r="3709" spans="1:14" hidden="1">
      <c r="A3709" s="268">
        <v>44921</v>
      </c>
      <c r="B3709" s="237" t="s">
        <v>4124</v>
      </c>
      <c r="C3709" s="237" t="s">
        <v>4816</v>
      </c>
      <c r="D3709" s="276">
        <v>0</v>
      </c>
      <c r="E3709" s="276">
        <v>297907</v>
      </c>
      <c r="G3709" s="8" t="s">
        <v>1380</v>
      </c>
      <c r="H3709" t="s">
        <v>1050</v>
      </c>
      <c r="N3709">
        <f t="shared" si="68"/>
        <v>0</v>
      </c>
    </row>
    <row r="3710" spans="1:14" hidden="1">
      <c r="A3710" s="268">
        <v>44921</v>
      </c>
      <c r="B3710" s="237" t="s">
        <v>4124</v>
      </c>
      <c r="C3710" s="237" t="s">
        <v>4817</v>
      </c>
      <c r="D3710" s="276">
        <v>885</v>
      </c>
      <c r="E3710" s="276">
        <v>0</v>
      </c>
      <c r="H3710" t="s">
        <v>1050</v>
      </c>
      <c r="N3710">
        <f t="shared" si="68"/>
        <v>885</v>
      </c>
    </row>
    <row r="3711" spans="1:14" hidden="1">
      <c r="A3711" s="268">
        <v>44923</v>
      </c>
      <c r="B3711" s="237" t="s">
        <v>4124</v>
      </c>
      <c r="C3711" s="237" t="s">
        <v>4818</v>
      </c>
      <c r="D3711" s="276">
        <v>2000</v>
      </c>
      <c r="E3711" s="276">
        <v>0</v>
      </c>
      <c r="G3711" s="8" t="s">
        <v>1372</v>
      </c>
      <c r="H3711" t="s">
        <v>1050</v>
      </c>
      <c r="N3711">
        <f t="shared" si="68"/>
        <v>2000</v>
      </c>
    </row>
    <row r="3712" spans="1:14" hidden="1">
      <c r="A3712" s="268">
        <v>44923</v>
      </c>
      <c r="B3712" s="237" t="s">
        <v>4124</v>
      </c>
      <c r="C3712" s="237" t="s">
        <v>4819</v>
      </c>
      <c r="D3712" s="276">
        <v>400</v>
      </c>
      <c r="E3712" s="276">
        <v>0</v>
      </c>
      <c r="G3712" s="8" t="s">
        <v>1361</v>
      </c>
      <c r="H3712" t="s">
        <v>1050</v>
      </c>
      <c r="N3712">
        <f t="shared" si="68"/>
        <v>400</v>
      </c>
    </row>
    <row r="3713" spans="1:14" hidden="1">
      <c r="A3713" s="268">
        <v>44923</v>
      </c>
      <c r="B3713" s="237" t="s">
        <v>4124</v>
      </c>
      <c r="C3713" s="237" t="s">
        <v>4819</v>
      </c>
      <c r="D3713" s="276">
        <v>400</v>
      </c>
      <c r="E3713" s="276">
        <v>0</v>
      </c>
      <c r="G3713" s="8" t="s">
        <v>1361</v>
      </c>
      <c r="H3713" t="s">
        <v>1050</v>
      </c>
      <c r="N3713">
        <f t="shared" si="68"/>
        <v>400</v>
      </c>
    </row>
    <row r="3714" spans="1:14" hidden="1">
      <c r="A3714" s="268">
        <v>44923</v>
      </c>
      <c r="B3714" s="237" t="s">
        <v>4124</v>
      </c>
      <c r="C3714" s="237" t="s">
        <v>4819</v>
      </c>
      <c r="D3714" s="276">
        <v>400</v>
      </c>
      <c r="E3714" s="276">
        <v>0</v>
      </c>
      <c r="G3714" s="8" t="s">
        <v>1361</v>
      </c>
      <c r="H3714" t="s">
        <v>1050</v>
      </c>
      <c r="N3714">
        <f t="shared" si="68"/>
        <v>400</v>
      </c>
    </row>
    <row r="3715" spans="1:14" hidden="1">
      <c r="A3715" s="268">
        <v>44923</v>
      </c>
      <c r="B3715" s="237" t="s">
        <v>4124</v>
      </c>
      <c r="C3715" s="237" t="s">
        <v>4819</v>
      </c>
      <c r="D3715" s="276">
        <v>5000</v>
      </c>
      <c r="E3715" s="276">
        <v>0</v>
      </c>
      <c r="G3715" s="8" t="s">
        <v>1361</v>
      </c>
      <c r="H3715" t="s">
        <v>1050</v>
      </c>
      <c r="N3715">
        <f t="shared" si="68"/>
        <v>5000</v>
      </c>
    </row>
    <row r="3716" spans="1:14" hidden="1">
      <c r="A3716" s="268">
        <v>44923</v>
      </c>
      <c r="B3716" s="237" t="s">
        <v>4124</v>
      </c>
      <c r="C3716" s="237" t="s">
        <v>4820</v>
      </c>
      <c r="D3716" s="276">
        <v>25000</v>
      </c>
      <c r="E3716" s="276">
        <v>0</v>
      </c>
      <c r="G3716" s="8" t="s">
        <v>1381</v>
      </c>
      <c r="H3716" t="s">
        <v>1050</v>
      </c>
      <c r="N3716">
        <f t="shared" si="68"/>
        <v>25000</v>
      </c>
    </row>
    <row r="3717" spans="1:14" hidden="1">
      <c r="A3717" s="268">
        <v>44923</v>
      </c>
      <c r="B3717" s="237" t="s">
        <v>4124</v>
      </c>
      <c r="C3717" s="237" t="s">
        <v>4821</v>
      </c>
      <c r="D3717" s="276">
        <v>710</v>
      </c>
      <c r="E3717" s="276">
        <v>0</v>
      </c>
      <c r="H3717" t="s">
        <v>1050</v>
      </c>
      <c r="N3717">
        <f t="shared" si="68"/>
        <v>710</v>
      </c>
    </row>
    <row r="3718" spans="1:14" hidden="1">
      <c r="A3718" s="268">
        <v>44923</v>
      </c>
      <c r="B3718" s="237" t="s">
        <v>4124</v>
      </c>
      <c r="C3718" s="237" t="s">
        <v>4822</v>
      </c>
      <c r="D3718" s="276">
        <v>100</v>
      </c>
      <c r="E3718" s="276">
        <v>0</v>
      </c>
      <c r="H3718" t="s">
        <v>1050</v>
      </c>
      <c r="N3718">
        <f t="shared" si="68"/>
        <v>100</v>
      </c>
    </row>
    <row r="3719" spans="1:14" hidden="1">
      <c r="A3719" s="268">
        <v>44923</v>
      </c>
      <c r="B3719" s="237" t="s">
        <v>4124</v>
      </c>
      <c r="C3719" s="237" t="s">
        <v>4823</v>
      </c>
      <c r="D3719" s="276">
        <v>60</v>
      </c>
      <c r="E3719" s="276">
        <v>0</v>
      </c>
      <c r="H3719" t="s">
        <v>1050</v>
      </c>
      <c r="N3719">
        <f t="shared" si="68"/>
        <v>60</v>
      </c>
    </row>
    <row r="3720" spans="1:14" hidden="1">
      <c r="A3720" s="268">
        <v>44924</v>
      </c>
      <c r="B3720" s="237" t="s">
        <v>4124</v>
      </c>
      <c r="C3720" s="237" t="s">
        <v>4824</v>
      </c>
      <c r="D3720" s="276">
        <v>20</v>
      </c>
      <c r="E3720" s="276">
        <v>0</v>
      </c>
      <c r="H3720" t="s">
        <v>1050</v>
      </c>
      <c r="N3720">
        <f t="shared" si="68"/>
        <v>20</v>
      </c>
    </row>
    <row r="3721" spans="1:14" hidden="1">
      <c r="A3721" s="268">
        <v>44924</v>
      </c>
      <c r="B3721" s="237" t="s">
        <v>4124</v>
      </c>
      <c r="C3721" s="237" t="s">
        <v>4825</v>
      </c>
      <c r="D3721" s="276">
        <v>1000</v>
      </c>
      <c r="E3721" s="276">
        <v>0</v>
      </c>
      <c r="H3721" t="s">
        <v>1050</v>
      </c>
      <c r="N3721">
        <f t="shared" si="68"/>
        <v>1000</v>
      </c>
    </row>
    <row r="3722" spans="1:14" hidden="1">
      <c r="A3722" s="268">
        <v>44926</v>
      </c>
      <c r="B3722" s="237" t="s">
        <v>4124</v>
      </c>
      <c r="C3722" s="237" t="s">
        <v>4826</v>
      </c>
      <c r="D3722" s="276">
        <v>0</v>
      </c>
      <c r="E3722" s="276">
        <v>5715</v>
      </c>
      <c r="G3722" s="8" t="s">
        <v>1368</v>
      </c>
      <c r="H3722" t="s">
        <v>1050</v>
      </c>
      <c r="N3722">
        <f t="shared" si="68"/>
        <v>0</v>
      </c>
    </row>
    <row r="3723" spans="1:14" hidden="1">
      <c r="A3723" s="268">
        <v>44926</v>
      </c>
      <c r="B3723" s="237" t="s">
        <v>4124</v>
      </c>
      <c r="C3723" s="237" t="s">
        <v>4827</v>
      </c>
      <c r="D3723" s="276">
        <v>96</v>
      </c>
      <c r="E3723" s="276">
        <v>0</v>
      </c>
      <c r="H3723" t="s">
        <v>1050</v>
      </c>
      <c r="N3723">
        <f t="shared" ref="N3723:N3786" si="71">D3723*1</f>
        <v>96</v>
      </c>
    </row>
    <row r="3724" spans="1:14" hidden="1">
      <c r="A3724" s="268">
        <v>44900</v>
      </c>
      <c r="C3724" s="3" t="s">
        <v>4319</v>
      </c>
      <c r="D3724" s="278">
        <v>13863</v>
      </c>
      <c r="E3724" s="1">
        <v>0</v>
      </c>
      <c r="G3724" s="8" t="s">
        <v>1362</v>
      </c>
      <c r="H3724" t="s">
        <v>1336</v>
      </c>
      <c r="N3724">
        <f t="shared" si="71"/>
        <v>13863</v>
      </c>
    </row>
    <row r="3725" spans="1:14" hidden="1">
      <c r="A3725" s="268">
        <v>44901</v>
      </c>
      <c r="C3725" s="3" t="s">
        <v>4828</v>
      </c>
      <c r="D3725" s="278"/>
      <c r="E3725" s="278">
        <v>75000</v>
      </c>
      <c r="G3725" s="8" t="s">
        <v>1363</v>
      </c>
      <c r="H3725" t="s">
        <v>1336</v>
      </c>
      <c r="N3725">
        <f t="shared" si="71"/>
        <v>0</v>
      </c>
    </row>
    <row r="3726" spans="1:14" hidden="1">
      <c r="A3726" s="268">
        <v>44927</v>
      </c>
      <c r="C3726" s="3" t="s">
        <v>4256</v>
      </c>
      <c r="D3726" s="278"/>
      <c r="E3726" s="278">
        <v>4868</v>
      </c>
      <c r="G3726" s="8" t="s">
        <v>1368</v>
      </c>
      <c r="H3726" t="s">
        <v>1336</v>
      </c>
      <c r="N3726">
        <f t="shared" si="71"/>
        <v>0</v>
      </c>
    </row>
    <row r="3727" spans="1:14" hidden="1">
      <c r="A3727" s="232">
        <v>44927</v>
      </c>
      <c r="C3727" t="s">
        <v>4829</v>
      </c>
      <c r="D3727" s="1">
        <v>500</v>
      </c>
      <c r="E3727" s="1">
        <v>0</v>
      </c>
      <c r="G3727" s="8" t="s">
        <v>1363</v>
      </c>
      <c r="H3727" t="s">
        <v>1050</v>
      </c>
      <c r="N3727">
        <f t="shared" si="71"/>
        <v>500</v>
      </c>
    </row>
    <row r="3728" spans="1:14" hidden="1">
      <c r="A3728" s="232">
        <v>44928</v>
      </c>
      <c r="C3728" t="s">
        <v>4830</v>
      </c>
      <c r="D3728" s="1">
        <v>0</v>
      </c>
      <c r="E3728" s="1">
        <v>3</v>
      </c>
      <c r="H3728" t="s">
        <v>1050</v>
      </c>
      <c r="N3728">
        <f t="shared" si="71"/>
        <v>0</v>
      </c>
    </row>
    <row r="3729" spans="1:14" hidden="1">
      <c r="A3729" s="232">
        <v>44928</v>
      </c>
      <c r="C3729" t="s">
        <v>4831</v>
      </c>
      <c r="D3729" s="1">
        <v>2000</v>
      </c>
      <c r="E3729" s="1">
        <v>0</v>
      </c>
      <c r="H3729" t="s">
        <v>1050</v>
      </c>
      <c r="N3729">
        <f t="shared" si="71"/>
        <v>2000</v>
      </c>
    </row>
    <row r="3730" spans="1:14" hidden="1">
      <c r="A3730" s="232">
        <v>44928</v>
      </c>
      <c r="C3730" t="s">
        <v>4832</v>
      </c>
      <c r="D3730" s="1">
        <v>10250</v>
      </c>
      <c r="E3730" s="1">
        <v>0</v>
      </c>
      <c r="G3730" s="8" t="s">
        <v>1372</v>
      </c>
      <c r="H3730" t="s">
        <v>1050</v>
      </c>
      <c r="N3730">
        <f t="shared" si="71"/>
        <v>10250</v>
      </c>
    </row>
    <row r="3731" spans="1:14" hidden="1">
      <c r="A3731" s="232">
        <v>44928</v>
      </c>
      <c r="C3731" t="s">
        <v>4833</v>
      </c>
      <c r="D3731" s="1">
        <v>9822</v>
      </c>
      <c r="E3731" s="1">
        <v>0</v>
      </c>
      <c r="H3731" t="s">
        <v>1050</v>
      </c>
      <c r="N3731">
        <f t="shared" si="71"/>
        <v>9822</v>
      </c>
    </row>
    <row r="3732" spans="1:14" hidden="1">
      <c r="A3732" s="232">
        <v>44929</v>
      </c>
      <c r="C3732" t="s">
        <v>4834</v>
      </c>
      <c r="D3732" s="1">
        <v>597</v>
      </c>
      <c r="E3732" s="1">
        <v>0</v>
      </c>
      <c r="H3732" t="s">
        <v>1050</v>
      </c>
      <c r="N3732">
        <f t="shared" si="71"/>
        <v>597</v>
      </c>
    </row>
    <row r="3733" spans="1:14" hidden="1">
      <c r="A3733" s="232">
        <v>44931</v>
      </c>
      <c r="C3733" t="s">
        <v>4835</v>
      </c>
      <c r="D3733" s="1">
        <v>75000</v>
      </c>
      <c r="E3733" s="1">
        <v>0</v>
      </c>
      <c r="G3733" s="8" t="s">
        <v>1363</v>
      </c>
      <c r="H3733" t="s">
        <v>1050</v>
      </c>
      <c r="N3733">
        <f t="shared" si="71"/>
        <v>75000</v>
      </c>
    </row>
    <row r="3734" spans="1:14" hidden="1">
      <c r="A3734" s="232">
        <v>44932</v>
      </c>
      <c r="C3734" t="s">
        <v>4836</v>
      </c>
      <c r="D3734" s="1">
        <v>120</v>
      </c>
      <c r="E3734" s="1">
        <v>0</v>
      </c>
      <c r="H3734" t="s">
        <v>1050</v>
      </c>
      <c r="N3734">
        <f t="shared" si="71"/>
        <v>120</v>
      </c>
    </row>
    <row r="3735" spans="1:14" hidden="1">
      <c r="A3735" s="232">
        <v>44932</v>
      </c>
      <c r="C3735" t="s">
        <v>4837</v>
      </c>
      <c r="D3735" s="1">
        <v>10250</v>
      </c>
      <c r="E3735" s="1">
        <v>0</v>
      </c>
      <c r="G3735" s="8" t="s">
        <v>1372</v>
      </c>
      <c r="H3735" t="s">
        <v>1050</v>
      </c>
      <c r="N3735">
        <f t="shared" si="71"/>
        <v>10250</v>
      </c>
    </row>
    <row r="3736" spans="1:14" hidden="1">
      <c r="A3736" s="232">
        <v>44935</v>
      </c>
      <c r="C3736" t="s">
        <v>4838</v>
      </c>
      <c r="D3736" s="1">
        <v>302</v>
      </c>
      <c r="E3736" s="1">
        <v>0</v>
      </c>
      <c r="H3736" t="s">
        <v>1050</v>
      </c>
      <c r="N3736">
        <f t="shared" si="71"/>
        <v>302</v>
      </c>
    </row>
    <row r="3737" spans="1:14" hidden="1">
      <c r="A3737" s="232">
        <v>44935</v>
      </c>
      <c r="C3737" t="s">
        <v>4839</v>
      </c>
      <c r="D3737" s="1">
        <v>4960</v>
      </c>
      <c r="E3737" s="1">
        <v>0</v>
      </c>
      <c r="H3737" t="s">
        <v>1050</v>
      </c>
      <c r="N3737">
        <f t="shared" si="71"/>
        <v>4960</v>
      </c>
    </row>
    <row r="3738" spans="1:14" hidden="1">
      <c r="A3738" s="232">
        <v>44935</v>
      </c>
      <c r="C3738" t="s">
        <v>2738</v>
      </c>
      <c r="D3738" s="1">
        <v>31973.69</v>
      </c>
      <c r="E3738" s="1">
        <v>0</v>
      </c>
      <c r="G3738" s="8" t="s">
        <v>1362</v>
      </c>
      <c r="H3738" t="s">
        <v>1050</v>
      </c>
      <c r="N3738">
        <f t="shared" si="71"/>
        <v>31973.69</v>
      </c>
    </row>
    <row r="3739" spans="1:14" hidden="1">
      <c r="A3739" s="232">
        <v>44936</v>
      </c>
      <c r="C3739" t="s">
        <v>4840</v>
      </c>
      <c r="D3739" s="1">
        <v>120</v>
      </c>
      <c r="E3739" s="1">
        <v>0</v>
      </c>
      <c r="H3739" t="s">
        <v>1050</v>
      </c>
      <c r="N3739">
        <f t="shared" si="71"/>
        <v>120</v>
      </c>
    </row>
    <row r="3740" spans="1:14" hidden="1">
      <c r="A3740" s="232">
        <v>44938</v>
      </c>
      <c r="C3740" t="s">
        <v>4841</v>
      </c>
      <c r="D3740" s="1">
        <v>10250</v>
      </c>
      <c r="E3740" s="1">
        <v>0</v>
      </c>
      <c r="G3740" s="8" t="s">
        <v>1372</v>
      </c>
      <c r="H3740" t="s">
        <v>1050</v>
      </c>
      <c r="N3740">
        <f t="shared" si="71"/>
        <v>10250</v>
      </c>
    </row>
    <row r="3741" spans="1:14" hidden="1">
      <c r="A3741" s="232">
        <v>44942</v>
      </c>
      <c r="C3741" t="s">
        <v>4842</v>
      </c>
      <c r="D3741" s="1">
        <v>287</v>
      </c>
      <c r="E3741" s="1">
        <v>0</v>
      </c>
      <c r="H3741" t="s">
        <v>1050</v>
      </c>
      <c r="N3741">
        <f t="shared" si="71"/>
        <v>287</v>
      </c>
    </row>
    <row r="3742" spans="1:14" hidden="1">
      <c r="A3742" s="232">
        <v>44942</v>
      </c>
      <c r="C3742" t="s">
        <v>4843</v>
      </c>
      <c r="D3742" s="1">
        <v>9990</v>
      </c>
      <c r="E3742" s="1">
        <v>0</v>
      </c>
      <c r="G3742" s="8" t="s">
        <v>1383</v>
      </c>
      <c r="H3742" t="s">
        <v>1050</v>
      </c>
      <c r="N3742">
        <f t="shared" si="71"/>
        <v>9990</v>
      </c>
    </row>
    <row r="3743" spans="1:14" hidden="1">
      <c r="A3743" s="232">
        <v>44942</v>
      </c>
      <c r="C3743" t="s">
        <v>4844</v>
      </c>
      <c r="D3743" s="1">
        <v>10000</v>
      </c>
      <c r="E3743" s="1">
        <v>0</v>
      </c>
      <c r="H3743" t="s">
        <v>1050</v>
      </c>
      <c r="N3743">
        <f t="shared" si="71"/>
        <v>10000</v>
      </c>
    </row>
    <row r="3744" spans="1:14" hidden="1">
      <c r="A3744" s="232">
        <v>44944</v>
      </c>
      <c r="C3744" t="s">
        <v>4845</v>
      </c>
      <c r="D3744" s="1">
        <v>265</v>
      </c>
      <c r="E3744" s="1">
        <v>0</v>
      </c>
      <c r="H3744" t="s">
        <v>1050</v>
      </c>
      <c r="N3744">
        <f t="shared" si="71"/>
        <v>265</v>
      </c>
    </row>
    <row r="3745" spans="1:14" hidden="1">
      <c r="A3745" s="232">
        <v>44945</v>
      </c>
      <c r="C3745" t="s">
        <v>4846</v>
      </c>
      <c r="D3745" s="1">
        <v>120</v>
      </c>
      <c r="E3745" s="1">
        <v>0</v>
      </c>
      <c r="H3745" t="s">
        <v>1050</v>
      </c>
      <c r="N3745">
        <f t="shared" si="71"/>
        <v>120</v>
      </c>
    </row>
    <row r="3746" spans="1:14" hidden="1">
      <c r="A3746" s="232">
        <v>44945</v>
      </c>
      <c r="C3746" t="s">
        <v>4847</v>
      </c>
      <c r="D3746" s="1">
        <v>260</v>
      </c>
      <c r="E3746" s="1">
        <v>0</v>
      </c>
      <c r="H3746" t="s">
        <v>1050</v>
      </c>
      <c r="N3746">
        <f t="shared" si="71"/>
        <v>260</v>
      </c>
    </row>
    <row r="3747" spans="1:14" hidden="1">
      <c r="A3747" s="232">
        <v>44946</v>
      </c>
      <c r="C3747" t="s">
        <v>4848</v>
      </c>
      <c r="D3747" s="1">
        <v>154</v>
      </c>
      <c r="E3747" s="1">
        <v>0</v>
      </c>
      <c r="H3747" t="s">
        <v>1050</v>
      </c>
      <c r="N3747">
        <f t="shared" si="71"/>
        <v>154</v>
      </c>
    </row>
    <row r="3748" spans="1:14" hidden="1">
      <c r="A3748" s="232">
        <v>44947</v>
      </c>
      <c r="C3748" t="s">
        <v>4849</v>
      </c>
      <c r="D3748" s="1">
        <v>33333</v>
      </c>
      <c r="E3748" s="1">
        <v>0</v>
      </c>
      <c r="G3748" s="8" t="s">
        <v>1381</v>
      </c>
      <c r="H3748" t="s">
        <v>1050</v>
      </c>
      <c r="N3748">
        <f t="shared" si="71"/>
        <v>33333</v>
      </c>
    </row>
    <row r="3749" spans="1:14" hidden="1">
      <c r="A3749" s="232">
        <v>44947</v>
      </c>
      <c r="C3749" t="s">
        <v>4850</v>
      </c>
      <c r="D3749" s="1">
        <v>1000</v>
      </c>
      <c r="E3749" s="1">
        <v>0</v>
      </c>
      <c r="H3749" t="s">
        <v>1050</v>
      </c>
      <c r="N3749">
        <f t="shared" si="71"/>
        <v>1000</v>
      </c>
    </row>
    <row r="3750" spans="1:14" hidden="1">
      <c r="A3750" s="232">
        <v>44949</v>
      </c>
      <c r="C3750" t="s">
        <v>4851</v>
      </c>
      <c r="D3750" s="1">
        <v>10250</v>
      </c>
      <c r="E3750" s="1">
        <v>0</v>
      </c>
      <c r="G3750" s="8" t="s">
        <v>1372</v>
      </c>
      <c r="H3750" t="s">
        <v>1050</v>
      </c>
      <c r="N3750">
        <f t="shared" si="71"/>
        <v>10250</v>
      </c>
    </row>
    <row r="3751" spans="1:14" hidden="1">
      <c r="A3751" s="232">
        <v>44949</v>
      </c>
      <c r="C3751" t="s">
        <v>4852</v>
      </c>
      <c r="D3751" s="1">
        <v>0</v>
      </c>
      <c r="E3751" s="1">
        <v>297908</v>
      </c>
      <c r="G3751" s="8" t="s">
        <v>1380</v>
      </c>
      <c r="H3751" t="s">
        <v>1050</v>
      </c>
      <c r="N3751">
        <f t="shared" si="71"/>
        <v>0</v>
      </c>
    </row>
    <row r="3752" spans="1:14" hidden="1">
      <c r="A3752" s="232">
        <v>44951</v>
      </c>
      <c r="C3752" t="s">
        <v>4853</v>
      </c>
      <c r="D3752" s="1">
        <v>0</v>
      </c>
      <c r="E3752" s="1">
        <v>8120.23</v>
      </c>
      <c r="G3752" s="8" t="s">
        <v>1380</v>
      </c>
      <c r="H3752" t="s">
        <v>1050</v>
      </c>
      <c r="N3752">
        <f t="shared" si="71"/>
        <v>0</v>
      </c>
    </row>
    <row r="3753" spans="1:14" hidden="1">
      <c r="A3753" s="232">
        <v>44953</v>
      </c>
      <c r="C3753" t="s">
        <v>4854</v>
      </c>
      <c r="D3753" s="1">
        <v>207</v>
      </c>
      <c r="E3753" s="1">
        <v>0</v>
      </c>
      <c r="H3753" t="s">
        <v>1050</v>
      </c>
      <c r="N3753">
        <f t="shared" si="71"/>
        <v>207</v>
      </c>
    </row>
    <row r="3754" spans="1:14" hidden="1">
      <c r="A3754" s="232">
        <v>44954</v>
      </c>
      <c r="C3754" t="s">
        <v>4855</v>
      </c>
      <c r="D3754" s="1">
        <v>25000</v>
      </c>
      <c r="E3754" s="1">
        <v>0</v>
      </c>
      <c r="G3754" s="8" t="s">
        <v>1381</v>
      </c>
      <c r="H3754" t="s">
        <v>1050</v>
      </c>
      <c r="N3754">
        <f t="shared" si="71"/>
        <v>25000</v>
      </c>
    </row>
    <row r="3755" spans="1:14" hidden="1">
      <c r="A3755" s="232">
        <v>44956</v>
      </c>
      <c r="C3755" t="s">
        <v>4856</v>
      </c>
      <c r="D3755" s="1">
        <v>2000</v>
      </c>
      <c r="E3755" s="1">
        <v>0</v>
      </c>
      <c r="G3755" s="8" t="s">
        <v>1372</v>
      </c>
      <c r="H3755" t="s">
        <v>1050</v>
      </c>
      <c r="N3755">
        <f t="shared" si="71"/>
        <v>2000</v>
      </c>
    </row>
    <row r="3756" spans="1:14" hidden="1">
      <c r="A3756" s="232">
        <v>44956</v>
      </c>
      <c r="C3756" t="s">
        <v>4857</v>
      </c>
      <c r="D3756" s="1">
        <v>10250</v>
      </c>
      <c r="E3756" s="1">
        <v>0</v>
      </c>
      <c r="G3756" s="8" t="s">
        <v>1372</v>
      </c>
      <c r="H3756" t="s">
        <v>1050</v>
      </c>
      <c r="N3756">
        <f t="shared" si="71"/>
        <v>10250</v>
      </c>
    </row>
    <row r="3757" spans="1:14" hidden="1">
      <c r="A3757" s="232">
        <v>44956</v>
      </c>
      <c r="C3757" t="s">
        <v>4858</v>
      </c>
      <c r="D3757" s="1">
        <v>344</v>
      </c>
      <c r="E3757" s="1">
        <v>0</v>
      </c>
      <c r="H3757" t="s">
        <v>1050</v>
      </c>
      <c r="N3757">
        <f t="shared" si="71"/>
        <v>344</v>
      </c>
    </row>
    <row r="3758" spans="1:14" hidden="1">
      <c r="A3758" s="245">
        <v>44927</v>
      </c>
      <c r="C3758" s="3" t="s">
        <v>4859</v>
      </c>
      <c r="D3758" s="278">
        <v>25000</v>
      </c>
      <c r="E3758" s="1">
        <v>0</v>
      </c>
      <c r="G3758" s="8" t="s">
        <v>1379</v>
      </c>
      <c r="H3758" t="s">
        <v>1336</v>
      </c>
      <c r="N3758">
        <f t="shared" si="71"/>
        <v>25000</v>
      </c>
    </row>
    <row r="3759" spans="1:14" hidden="1">
      <c r="A3759" s="245">
        <v>44930</v>
      </c>
      <c r="C3759" s="3" t="s">
        <v>4319</v>
      </c>
      <c r="D3759" s="278">
        <v>7788</v>
      </c>
      <c r="E3759" s="1">
        <v>0</v>
      </c>
      <c r="G3759" s="8" t="s">
        <v>1362</v>
      </c>
      <c r="H3759" t="s">
        <v>1336</v>
      </c>
      <c r="N3759">
        <f t="shared" si="71"/>
        <v>7788</v>
      </c>
    </row>
    <row r="3760" spans="1:14" hidden="1">
      <c r="A3760" s="245">
        <v>44932</v>
      </c>
      <c r="C3760" s="3" t="s">
        <v>4860</v>
      </c>
      <c r="D3760" s="278"/>
      <c r="E3760" s="278">
        <v>75000</v>
      </c>
      <c r="G3760" s="8" t="s">
        <v>1363</v>
      </c>
      <c r="H3760" t="s">
        <v>1336</v>
      </c>
      <c r="N3760">
        <f t="shared" si="71"/>
        <v>0</v>
      </c>
    </row>
    <row r="3761" spans="1:14" hidden="1">
      <c r="A3761" s="245">
        <v>44946</v>
      </c>
      <c r="C3761" s="3" t="s">
        <v>4861</v>
      </c>
      <c r="D3761" s="278"/>
      <c r="E3761" s="278">
        <v>70200</v>
      </c>
      <c r="H3761" t="s">
        <v>1336</v>
      </c>
      <c r="N3761">
        <f t="shared" si="71"/>
        <v>0</v>
      </c>
    </row>
    <row r="3762" spans="1:14" hidden="1">
      <c r="A3762" s="232">
        <v>44958</v>
      </c>
      <c r="C3762" t="s">
        <v>4862</v>
      </c>
      <c r="D3762" s="1">
        <v>500</v>
      </c>
      <c r="E3762" s="1">
        <v>0</v>
      </c>
      <c r="G3762" s="8" t="s">
        <v>1363</v>
      </c>
      <c r="H3762" t="s">
        <v>1050</v>
      </c>
      <c r="N3762">
        <f t="shared" si="71"/>
        <v>500</v>
      </c>
    </row>
    <row r="3763" spans="1:14" hidden="1">
      <c r="A3763" s="232">
        <v>44959</v>
      </c>
      <c r="C3763" t="s">
        <v>4863</v>
      </c>
      <c r="D3763" s="1">
        <v>2000</v>
      </c>
      <c r="E3763" s="1">
        <v>0</v>
      </c>
      <c r="H3763" t="s">
        <v>1050</v>
      </c>
      <c r="N3763">
        <f t="shared" si="71"/>
        <v>2000</v>
      </c>
    </row>
    <row r="3764" spans="1:14" hidden="1">
      <c r="A3764" s="232">
        <v>44959</v>
      </c>
      <c r="C3764" t="s">
        <v>4864</v>
      </c>
      <c r="D3764" s="1">
        <v>0</v>
      </c>
      <c r="E3764" s="1">
        <v>3</v>
      </c>
      <c r="H3764" t="s">
        <v>1050</v>
      </c>
      <c r="N3764">
        <f t="shared" si="71"/>
        <v>0</v>
      </c>
    </row>
    <row r="3765" spans="1:14" hidden="1">
      <c r="A3765" s="232">
        <v>44960</v>
      </c>
      <c r="C3765" t="s">
        <v>4865</v>
      </c>
      <c r="D3765" s="1">
        <v>470</v>
      </c>
      <c r="E3765" s="1">
        <v>0</v>
      </c>
      <c r="H3765" t="s">
        <v>1050</v>
      </c>
      <c r="N3765">
        <f t="shared" si="71"/>
        <v>470</v>
      </c>
    </row>
    <row r="3766" spans="1:14" hidden="1">
      <c r="A3766" s="232">
        <v>44960</v>
      </c>
      <c r="C3766" t="s">
        <v>4866</v>
      </c>
      <c r="D3766" s="1">
        <v>0</v>
      </c>
      <c r="E3766" s="1">
        <v>9</v>
      </c>
      <c r="H3766" t="s">
        <v>1050</v>
      </c>
      <c r="N3766">
        <f t="shared" si="71"/>
        <v>0</v>
      </c>
    </row>
    <row r="3767" spans="1:14" hidden="1">
      <c r="A3767" s="232">
        <v>44960</v>
      </c>
      <c r="B3767" t="s">
        <v>1997</v>
      </c>
      <c r="C3767" t="s">
        <v>4867</v>
      </c>
      <c r="D3767" s="1">
        <v>9458</v>
      </c>
      <c r="E3767" s="1">
        <v>0</v>
      </c>
      <c r="H3767" t="s">
        <v>1050</v>
      </c>
      <c r="N3767">
        <f t="shared" si="71"/>
        <v>9458</v>
      </c>
    </row>
    <row r="3768" spans="1:14" hidden="1">
      <c r="A3768" s="232">
        <v>44963</v>
      </c>
      <c r="C3768" t="s">
        <v>4868</v>
      </c>
      <c r="D3768" s="1">
        <v>75000</v>
      </c>
      <c r="E3768" s="1">
        <v>0</v>
      </c>
      <c r="G3768" s="8" t="s">
        <v>1363</v>
      </c>
      <c r="H3768" t="s">
        <v>1050</v>
      </c>
      <c r="N3768">
        <f t="shared" si="71"/>
        <v>75000</v>
      </c>
    </row>
    <row r="3769" spans="1:14" hidden="1">
      <c r="A3769" s="232">
        <v>44963</v>
      </c>
      <c r="C3769" t="s">
        <v>4869</v>
      </c>
      <c r="D3769" s="1">
        <v>10250</v>
      </c>
      <c r="E3769" s="1">
        <v>0</v>
      </c>
      <c r="G3769" s="8" t="s">
        <v>1372</v>
      </c>
      <c r="H3769" t="s">
        <v>1050</v>
      </c>
      <c r="N3769">
        <f t="shared" si="71"/>
        <v>10250</v>
      </c>
    </row>
    <row r="3770" spans="1:14" hidden="1">
      <c r="A3770" s="232">
        <v>44966</v>
      </c>
      <c r="C3770" t="s">
        <v>4870</v>
      </c>
      <c r="D3770" s="1">
        <v>260</v>
      </c>
      <c r="E3770" s="1">
        <v>0</v>
      </c>
      <c r="H3770" t="s">
        <v>1050</v>
      </c>
      <c r="N3770">
        <f t="shared" si="71"/>
        <v>260</v>
      </c>
    </row>
    <row r="3771" spans="1:14" hidden="1">
      <c r="A3771" s="232">
        <v>44967</v>
      </c>
      <c r="B3771" t="s">
        <v>2737</v>
      </c>
      <c r="C3771" t="s">
        <v>2738</v>
      </c>
      <c r="D3771" s="1">
        <v>56259.53</v>
      </c>
      <c r="E3771" s="1">
        <v>0</v>
      </c>
      <c r="G3771" s="8" t="s">
        <v>1362</v>
      </c>
      <c r="H3771" t="s">
        <v>1050</v>
      </c>
      <c r="N3771">
        <f t="shared" si="71"/>
        <v>56259.53</v>
      </c>
    </row>
    <row r="3772" spans="1:14" hidden="1">
      <c r="A3772" s="232">
        <v>44967</v>
      </c>
      <c r="C3772" t="s">
        <v>4871</v>
      </c>
      <c r="D3772" s="1">
        <v>66</v>
      </c>
      <c r="E3772" s="1">
        <v>0</v>
      </c>
      <c r="H3772" t="s">
        <v>1050</v>
      </c>
      <c r="N3772">
        <f t="shared" si="71"/>
        <v>66</v>
      </c>
    </row>
    <row r="3773" spans="1:14" hidden="1">
      <c r="A3773" s="232">
        <v>44967</v>
      </c>
      <c r="C3773" t="s">
        <v>4872</v>
      </c>
      <c r="D3773" s="1">
        <v>729</v>
      </c>
      <c r="E3773" s="1">
        <v>0</v>
      </c>
      <c r="H3773" t="s">
        <v>1050</v>
      </c>
      <c r="N3773">
        <f t="shared" si="71"/>
        <v>729</v>
      </c>
    </row>
    <row r="3774" spans="1:14" hidden="1">
      <c r="A3774" s="232">
        <v>44970</v>
      </c>
      <c r="C3774" t="s">
        <v>4873</v>
      </c>
      <c r="D3774" s="1">
        <v>10250</v>
      </c>
      <c r="E3774" s="1">
        <v>0</v>
      </c>
      <c r="G3774" s="8" t="s">
        <v>1372</v>
      </c>
      <c r="H3774" t="s">
        <v>1050</v>
      </c>
      <c r="N3774">
        <f t="shared" si="71"/>
        <v>10250</v>
      </c>
    </row>
    <row r="3775" spans="1:14" hidden="1">
      <c r="A3775" s="232">
        <v>44972</v>
      </c>
      <c r="C3775" t="s">
        <v>4874</v>
      </c>
      <c r="D3775" s="1">
        <v>1471.5</v>
      </c>
      <c r="E3775" s="1">
        <v>0</v>
      </c>
      <c r="H3775" t="s">
        <v>1050</v>
      </c>
      <c r="N3775">
        <f t="shared" si="71"/>
        <v>1471.5</v>
      </c>
    </row>
    <row r="3776" spans="1:14" hidden="1">
      <c r="A3776" s="232">
        <v>44973</v>
      </c>
      <c r="B3776" t="s">
        <v>1938</v>
      </c>
      <c r="C3776" t="s">
        <v>4875</v>
      </c>
      <c r="D3776" s="1">
        <v>9990</v>
      </c>
      <c r="E3776" s="1">
        <v>0</v>
      </c>
      <c r="G3776" s="8" t="s">
        <v>1383</v>
      </c>
      <c r="H3776" t="s">
        <v>1050</v>
      </c>
      <c r="N3776">
        <f t="shared" si="71"/>
        <v>9990</v>
      </c>
    </row>
    <row r="3777" spans="1:14" hidden="1">
      <c r="A3777" s="232">
        <v>44977</v>
      </c>
      <c r="C3777" t="s">
        <v>4876</v>
      </c>
      <c r="D3777" s="1">
        <v>10250</v>
      </c>
      <c r="E3777" s="1">
        <v>0</v>
      </c>
      <c r="G3777" s="8" t="s">
        <v>1372</v>
      </c>
      <c r="H3777" t="s">
        <v>1050</v>
      </c>
      <c r="N3777">
        <f t="shared" si="71"/>
        <v>10250</v>
      </c>
    </row>
    <row r="3778" spans="1:14" hidden="1">
      <c r="A3778" s="232">
        <v>44978</v>
      </c>
      <c r="B3778" t="s">
        <v>1938</v>
      </c>
      <c r="C3778" t="s">
        <v>4877</v>
      </c>
      <c r="D3778" s="1">
        <v>33333</v>
      </c>
      <c r="E3778" s="1">
        <v>0</v>
      </c>
      <c r="G3778" s="8" t="s">
        <v>1381</v>
      </c>
      <c r="H3778" t="s">
        <v>1050</v>
      </c>
      <c r="N3778">
        <f t="shared" si="71"/>
        <v>33333</v>
      </c>
    </row>
    <row r="3779" spans="1:14" hidden="1">
      <c r="A3779" s="232">
        <v>44979</v>
      </c>
      <c r="C3779" t="s">
        <v>4878</v>
      </c>
      <c r="D3779" s="1">
        <v>10</v>
      </c>
      <c r="E3779" s="1">
        <v>0</v>
      </c>
      <c r="H3779" t="s">
        <v>1050</v>
      </c>
      <c r="N3779">
        <f t="shared" si="71"/>
        <v>10</v>
      </c>
    </row>
    <row r="3780" spans="1:14" hidden="1">
      <c r="A3780" s="232">
        <v>44980</v>
      </c>
      <c r="C3780" t="s">
        <v>4879</v>
      </c>
      <c r="D3780" s="1">
        <v>107.5</v>
      </c>
      <c r="E3780" s="1">
        <v>0</v>
      </c>
      <c r="H3780" t="s">
        <v>1050</v>
      </c>
      <c r="N3780">
        <f t="shared" si="71"/>
        <v>107.5</v>
      </c>
    </row>
    <row r="3781" spans="1:14" hidden="1">
      <c r="A3781" s="232">
        <v>44984</v>
      </c>
      <c r="C3781" t="s">
        <v>4880</v>
      </c>
      <c r="D3781" s="1">
        <v>10250</v>
      </c>
      <c r="E3781" s="1">
        <v>0</v>
      </c>
      <c r="G3781" s="8" t="s">
        <v>1372</v>
      </c>
      <c r="H3781" t="s">
        <v>1050</v>
      </c>
      <c r="N3781">
        <f t="shared" si="71"/>
        <v>10250</v>
      </c>
    </row>
    <row r="3782" spans="1:14" hidden="1">
      <c r="A3782" s="232">
        <v>44984</v>
      </c>
      <c r="C3782" t="s">
        <v>4881</v>
      </c>
      <c r="D3782" s="1">
        <v>0</v>
      </c>
      <c r="E3782" s="1">
        <v>320512</v>
      </c>
      <c r="G3782" s="8" t="s">
        <v>1380</v>
      </c>
      <c r="H3782" t="s">
        <v>1050</v>
      </c>
      <c r="N3782">
        <f t="shared" si="71"/>
        <v>0</v>
      </c>
    </row>
    <row r="3783" spans="1:14" hidden="1">
      <c r="A3783" s="232">
        <v>44984</v>
      </c>
      <c r="C3783" t="s">
        <v>4882</v>
      </c>
      <c r="D3783" s="1">
        <v>107.5</v>
      </c>
      <c r="E3783" s="1">
        <v>0</v>
      </c>
      <c r="H3783" t="s">
        <v>1050</v>
      </c>
      <c r="N3783">
        <f t="shared" si="71"/>
        <v>107.5</v>
      </c>
    </row>
    <row r="3784" spans="1:14" hidden="1">
      <c r="A3784" s="232">
        <v>44985</v>
      </c>
      <c r="B3784" t="s">
        <v>1938</v>
      </c>
      <c r="C3784" t="s">
        <v>4883</v>
      </c>
      <c r="D3784" s="1">
        <v>2000</v>
      </c>
      <c r="E3784" s="1">
        <v>0</v>
      </c>
      <c r="G3784" s="8" t="s">
        <v>1372</v>
      </c>
      <c r="H3784" t="s">
        <v>1050</v>
      </c>
      <c r="N3784">
        <f t="shared" si="71"/>
        <v>2000</v>
      </c>
    </row>
    <row r="3785" spans="1:14" hidden="1">
      <c r="A3785" s="232">
        <v>44985</v>
      </c>
      <c r="B3785" t="s">
        <v>1938</v>
      </c>
      <c r="C3785" t="s">
        <v>4884</v>
      </c>
      <c r="D3785" s="1">
        <v>25000</v>
      </c>
      <c r="E3785" s="1">
        <v>0</v>
      </c>
      <c r="G3785" s="8" t="s">
        <v>1381</v>
      </c>
      <c r="H3785" t="s">
        <v>1050</v>
      </c>
      <c r="N3785">
        <f t="shared" si="71"/>
        <v>25000</v>
      </c>
    </row>
    <row r="3786" spans="1:14" hidden="1">
      <c r="A3786" s="247">
        <v>44959</v>
      </c>
      <c r="C3786" s="3" t="s">
        <v>4885</v>
      </c>
      <c r="D3786" s="278">
        <v>25000</v>
      </c>
      <c r="E3786" s="1">
        <v>0</v>
      </c>
      <c r="G3786" s="8" t="s">
        <v>1379</v>
      </c>
      <c r="H3786" t="s">
        <v>1336</v>
      </c>
      <c r="N3786">
        <f t="shared" si="71"/>
        <v>25000</v>
      </c>
    </row>
    <row r="3787" spans="1:14" hidden="1">
      <c r="A3787" s="247">
        <v>44961</v>
      </c>
      <c r="C3787" s="3" t="s">
        <v>4319</v>
      </c>
      <c r="D3787" s="278">
        <v>65739</v>
      </c>
      <c r="E3787" s="1">
        <v>0</v>
      </c>
      <c r="G3787" s="8" t="s">
        <v>1362</v>
      </c>
      <c r="H3787" t="s">
        <v>1336</v>
      </c>
      <c r="N3787">
        <f t="shared" ref="N3787:N3830" si="72">D3787*1</f>
        <v>65739</v>
      </c>
    </row>
    <row r="3788" spans="1:14" hidden="1">
      <c r="A3788" s="247">
        <v>44963</v>
      </c>
      <c r="C3788" s="3" t="s">
        <v>4886</v>
      </c>
      <c r="D3788" s="278"/>
      <c r="E3788" s="278">
        <v>75000</v>
      </c>
      <c r="G3788" s="8" t="s">
        <v>1363</v>
      </c>
      <c r="H3788" t="s">
        <v>1336</v>
      </c>
      <c r="N3788">
        <f t="shared" si="72"/>
        <v>0</v>
      </c>
    </row>
    <row r="3789" spans="1:14" hidden="1">
      <c r="A3789" s="232">
        <v>44986</v>
      </c>
      <c r="C3789" s="229" t="s">
        <v>4887</v>
      </c>
      <c r="D3789" s="1">
        <v>500</v>
      </c>
      <c r="E3789" s="275">
        <v>0</v>
      </c>
      <c r="G3789" s="8" t="s">
        <v>1363</v>
      </c>
      <c r="H3789" t="s">
        <v>1050</v>
      </c>
      <c r="N3789">
        <f t="shared" si="72"/>
        <v>500</v>
      </c>
    </row>
    <row r="3790" spans="1:14" hidden="1">
      <c r="A3790" s="232">
        <v>44988</v>
      </c>
      <c r="C3790" s="229" t="s">
        <v>4888</v>
      </c>
      <c r="D3790" s="1">
        <v>10360</v>
      </c>
      <c r="E3790" s="275">
        <v>0</v>
      </c>
      <c r="H3790" t="s">
        <v>1050</v>
      </c>
      <c r="N3790">
        <f t="shared" si="72"/>
        <v>10360</v>
      </c>
    </row>
    <row r="3791" spans="1:14" hidden="1">
      <c r="A3791" s="232">
        <v>44988</v>
      </c>
      <c r="C3791" s="229" t="s">
        <v>4889</v>
      </c>
      <c r="D3791" s="1">
        <v>550</v>
      </c>
      <c r="E3791" s="275">
        <v>0</v>
      </c>
      <c r="H3791" t="s">
        <v>1050</v>
      </c>
      <c r="N3791">
        <f t="shared" si="72"/>
        <v>550</v>
      </c>
    </row>
    <row r="3792" spans="1:14" hidden="1">
      <c r="A3792" s="232">
        <v>44989</v>
      </c>
      <c r="C3792" s="229" t="s">
        <v>4890</v>
      </c>
      <c r="D3792" s="1">
        <v>2000</v>
      </c>
      <c r="E3792" s="275">
        <v>0</v>
      </c>
      <c r="H3792" t="s">
        <v>1050</v>
      </c>
      <c r="N3792">
        <f t="shared" si="72"/>
        <v>2000</v>
      </c>
    </row>
    <row r="3793" spans="1:14" hidden="1">
      <c r="A3793" s="232">
        <v>44990</v>
      </c>
      <c r="C3793" s="229" t="s">
        <v>4891</v>
      </c>
      <c r="D3793" s="1">
        <v>325</v>
      </c>
      <c r="E3793" s="275">
        <v>0</v>
      </c>
      <c r="H3793" t="s">
        <v>1050</v>
      </c>
      <c r="N3793">
        <f t="shared" si="72"/>
        <v>325</v>
      </c>
    </row>
    <row r="3794" spans="1:14" hidden="1">
      <c r="A3794" s="232">
        <v>44990</v>
      </c>
      <c r="C3794" s="229" t="s">
        <v>4892</v>
      </c>
      <c r="D3794" s="1">
        <v>120</v>
      </c>
      <c r="E3794" s="275">
        <v>0</v>
      </c>
      <c r="H3794" t="s">
        <v>1050</v>
      </c>
      <c r="N3794">
        <f t="shared" si="72"/>
        <v>120</v>
      </c>
    </row>
    <row r="3795" spans="1:14" hidden="1">
      <c r="A3795" s="232">
        <v>44990</v>
      </c>
      <c r="C3795" s="229" t="s">
        <v>4893</v>
      </c>
      <c r="D3795" s="1">
        <v>210</v>
      </c>
      <c r="E3795" s="275">
        <v>0</v>
      </c>
      <c r="H3795" t="s">
        <v>1050</v>
      </c>
      <c r="N3795">
        <f t="shared" si="72"/>
        <v>210</v>
      </c>
    </row>
    <row r="3796" spans="1:14" hidden="1">
      <c r="A3796" s="232">
        <v>44991</v>
      </c>
      <c r="C3796" s="229" t="s">
        <v>4894</v>
      </c>
      <c r="D3796" s="1">
        <v>10250</v>
      </c>
      <c r="E3796" s="275">
        <v>0</v>
      </c>
      <c r="G3796" s="8" t="s">
        <v>1372</v>
      </c>
      <c r="H3796" t="s">
        <v>1050</v>
      </c>
      <c r="N3796">
        <f t="shared" si="72"/>
        <v>10250</v>
      </c>
    </row>
    <row r="3797" spans="1:14" hidden="1">
      <c r="A3797" s="232">
        <v>44991</v>
      </c>
      <c r="C3797" s="229" t="s">
        <v>4895</v>
      </c>
      <c r="D3797" s="1">
        <v>75000</v>
      </c>
      <c r="E3797" s="275">
        <v>0</v>
      </c>
      <c r="G3797" s="8" t="s">
        <v>1363</v>
      </c>
      <c r="H3797" t="s">
        <v>1050</v>
      </c>
      <c r="N3797">
        <f t="shared" si="72"/>
        <v>75000</v>
      </c>
    </row>
    <row r="3798" spans="1:14" hidden="1">
      <c r="A3798" s="232">
        <v>44992</v>
      </c>
      <c r="C3798" s="229" t="s">
        <v>4896</v>
      </c>
      <c r="D3798" s="1">
        <v>122</v>
      </c>
      <c r="E3798" s="275">
        <v>0</v>
      </c>
      <c r="H3798" t="s">
        <v>1050</v>
      </c>
      <c r="N3798">
        <f t="shared" si="72"/>
        <v>122</v>
      </c>
    </row>
    <row r="3799" spans="1:14" hidden="1">
      <c r="A3799" s="232">
        <v>44992</v>
      </c>
      <c r="C3799" s="229" t="s">
        <v>4897</v>
      </c>
      <c r="D3799" s="1">
        <v>200</v>
      </c>
      <c r="E3799" s="275">
        <v>0</v>
      </c>
      <c r="H3799" t="s">
        <v>1050</v>
      </c>
      <c r="N3799">
        <f t="shared" si="72"/>
        <v>200</v>
      </c>
    </row>
    <row r="3800" spans="1:14" hidden="1">
      <c r="A3800" s="232">
        <v>44993</v>
      </c>
      <c r="C3800" s="229" t="s">
        <v>4898</v>
      </c>
      <c r="D3800" s="1">
        <v>120</v>
      </c>
      <c r="E3800" s="275">
        <v>0</v>
      </c>
      <c r="H3800" t="s">
        <v>1050</v>
      </c>
      <c r="N3800">
        <f t="shared" si="72"/>
        <v>120</v>
      </c>
    </row>
    <row r="3801" spans="1:14" hidden="1">
      <c r="A3801" s="232">
        <v>44994</v>
      </c>
      <c r="C3801" s="229" t="s">
        <v>4899</v>
      </c>
      <c r="D3801" s="1">
        <v>406</v>
      </c>
      <c r="E3801" s="275">
        <v>0</v>
      </c>
      <c r="H3801" t="s">
        <v>1050</v>
      </c>
      <c r="N3801">
        <f t="shared" si="72"/>
        <v>406</v>
      </c>
    </row>
    <row r="3802" spans="1:14" hidden="1">
      <c r="A3802" s="232">
        <v>44997</v>
      </c>
      <c r="C3802" s="229" t="s">
        <v>4900</v>
      </c>
      <c r="D3802" s="1">
        <v>20000</v>
      </c>
      <c r="E3802" s="275">
        <v>0</v>
      </c>
      <c r="H3802" t="s">
        <v>1050</v>
      </c>
      <c r="N3802">
        <f t="shared" si="72"/>
        <v>20000</v>
      </c>
    </row>
    <row r="3803" spans="1:14" hidden="1">
      <c r="A3803" s="232">
        <v>44997</v>
      </c>
      <c r="C3803" s="229" t="s">
        <v>4901</v>
      </c>
      <c r="D3803" s="1">
        <v>355</v>
      </c>
      <c r="E3803" s="275">
        <v>0</v>
      </c>
      <c r="H3803" t="s">
        <v>1050</v>
      </c>
      <c r="N3803">
        <f t="shared" si="72"/>
        <v>355</v>
      </c>
    </row>
    <row r="3804" spans="1:14" hidden="1">
      <c r="A3804" s="232">
        <v>44998</v>
      </c>
      <c r="C3804" s="229" t="s">
        <v>4902</v>
      </c>
      <c r="D3804" s="1">
        <v>10250</v>
      </c>
      <c r="E3804" s="275">
        <v>0</v>
      </c>
      <c r="G3804" s="8" t="s">
        <v>1372</v>
      </c>
      <c r="H3804" t="s">
        <v>1050</v>
      </c>
      <c r="N3804">
        <f t="shared" si="72"/>
        <v>10250</v>
      </c>
    </row>
    <row r="3805" spans="1:14" hidden="1">
      <c r="A3805" s="232">
        <v>44998</v>
      </c>
      <c r="C3805" s="229" t="s">
        <v>4132</v>
      </c>
      <c r="D3805" s="1">
        <v>257237.38</v>
      </c>
      <c r="E3805" s="275">
        <v>0</v>
      </c>
      <c r="G3805" s="8" t="s">
        <v>1362</v>
      </c>
      <c r="H3805" t="s">
        <v>1050</v>
      </c>
      <c r="N3805">
        <f t="shared" si="72"/>
        <v>257237.38</v>
      </c>
    </row>
    <row r="3806" spans="1:14" hidden="1">
      <c r="A3806" s="232">
        <v>44998</v>
      </c>
      <c r="C3806" s="229" t="s">
        <v>4903</v>
      </c>
      <c r="D3806" s="1">
        <v>10000</v>
      </c>
      <c r="E3806" s="275">
        <v>0</v>
      </c>
      <c r="G3806" s="8" t="s">
        <v>1361</v>
      </c>
      <c r="H3806" t="s">
        <v>1050</v>
      </c>
      <c r="N3806">
        <f t="shared" si="72"/>
        <v>10000</v>
      </c>
    </row>
    <row r="3807" spans="1:14" hidden="1">
      <c r="A3807" s="232">
        <v>44999</v>
      </c>
      <c r="C3807" s="229" t="s">
        <v>4904</v>
      </c>
      <c r="D3807" s="1">
        <v>0</v>
      </c>
      <c r="E3807" s="275">
        <v>93145.66</v>
      </c>
      <c r="G3807" s="8" t="s">
        <v>1380</v>
      </c>
      <c r="H3807" t="s">
        <v>1050</v>
      </c>
      <c r="N3807">
        <f t="shared" si="72"/>
        <v>0</v>
      </c>
    </row>
    <row r="3808" spans="1:14" hidden="1">
      <c r="A3808" s="232">
        <v>45001</v>
      </c>
      <c r="C3808" s="229" t="s">
        <v>4905</v>
      </c>
      <c r="D3808" s="1">
        <v>9990</v>
      </c>
      <c r="E3808" s="275">
        <v>0</v>
      </c>
      <c r="G3808" s="8" t="s">
        <v>1383</v>
      </c>
      <c r="H3808" t="s">
        <v>1050</v>
      </c>
      <c r="N3808">
        <f t="shared" si="72"/>
        <v>9990</v>
      </c>
    </row>
    <row r="3809" spans="1:14" hidden="1">
      <c r="A3809" s="232">
        <v>45005</v>
      </c>
      <c r="C3809" s="229" t="s">
        <v>4906</v>
      </c>
      <c r="D3809" s="1">
        <v>10250</v>
      </c>
      <c r="E3809" s="275">
        <v>0</v>
      </c>
      <c r="G3809" s="8" t="s">
        <v>1372</v>
      </c>
      <c r="H3809" t="s">
        <v>1050</v>
      </c>
      <c r="N3809">
        <f t="shared" si="72"/>
        <v>10250</v>
      </c>
    </row>
    <row r="3810" spans="1:14" hidden="1">
      <c r="A3810" s="232">
        <v>45005</v>
      </c>
      <c r="C3810" s="229" t="s">
        <v>4907</v>
      </c>
      <c r="D3810" s="1">
        <v>38</v>
      </c>
      <c r="E3810" s="275">
        <v>0</v>
      </c>
      <c r="H3810" t="s">
        <v>1050</v>
      </c>
      <c r="N3810">
        <f t="shared" si="72"/>
        <v>38</v>
      </c>
    </row>
    <row r="3811" spans="1:14" hidden="1">
      <c r="A3811" s="232">
        <v>45006</v>
      </c>
      <c r="C3811" s="229" t="s">
        <v>4908</v>
      </c>
      <c r="D3811" s="1">
        <v>543</v>
      </c>
      <c r="E3811" s="275">
        <v>0</v>
      </c>
      <c r="H3811" t="s">
        <v>1050</v>
      </c>
      <c r="N3811">
        <f t="shared" si="72"/>
        <v>543</v>
      </c>
    </row>
    <row r="3812" spans="1:14" hidden="1">
      <c r="A3812" s="232">
        <v>45006</v>
      </c>
      <c r="C3812" s="229" t="s">
        <v>4909</v>
      </c>
      <c r="D3812" s="1">
        <v>33333</v>
      </c>
      <c r="E3812" s="275">
        <v>0</v>
      </c>
      <c r="G3812" s="8" t="s">
        <v>1381</v>
      </c>
      <c r="H3812" t="s">
        <v>1050</v>
      </c>
      <c r="N3812">
        <f t="shared" si="72"/>
        <v>33333</v>
      </c>
    </row>
    <row r="3813" spans="1:14" hidden="1">
      <c r="A3813" s="232">
        <v>45007</v>
      </c>
      <c r="C3813" s="229" t="s">
        <v>4910</v>
      </c>
      <c r="D3813" s="1">
        <v>13114</v>
      </c>
      <c r="E3813" s="275">
        <v>0</v>
      </c>
      <c r="H3813" t="s">
        <v>1050</v>
      </c>
      <c r="N3813">
        <f t="shared" si="72"/>
        <v>13114</v>
      </c>
    </row>
    <row r="3814" spans="1:14" hidden="1">
      <c r="A3814" s="232">
        <v>45010</v>
      </c>
      <c r="C3814" s="229" t="s">
        <v>4911</v>
      </c>
      <c r="D3814" s="1">
        <v>113</v>
      </c>
      <c r="E3814" s="275">
        <v>0</v>
      </c>
      <c r="H3814" t="s">
        <v>1050</v>
      </c>
      <c r="N3814">
        <f t="shared" si="72"/>
        <v>113</v>
      </c>
    </row>
    <row r="3815" spans="1:14" hidden="1">
      <c r="A3815" s="232">
        <v>45012</v>
      </c>
      <c r="C3815" s="229" t="s">
        <v>4912</v>
      </c>
      <c r="D3815" s="1">
        <v>10250</v>
      </c>
      <c r="E3815" s="275">
        <v>0</v>
      </c>
      <c r="G3815" s="8" t="s">
        <v>1372</v>
      </c>
      <c r="H3815" t="s">
        <v>1050</v>
      </c>
      <c r="N3815">
        <f t="shared" si="72"/>
        <v>10250</v>
      </c>
    </row>
    <row r="3816" spans="1:14" hidden="1">
      <c r="A3816" s="232">
        <v>45012</v>
      </c>
      <c r="C3816" s="229" t="s">
        <v>4913</v>
      </c>
      <c r="D3816" s="1">
        <v>0</v>
      </c>
      <c r="E3816" s="275">
        <v>1488688</v>
      </c>
      <c r="G3816" s="8" t="s">
        <v>1380</v>
      </c>
      <c r="H3816" t="s">
        <v>1050</v>
      </c>
      <c r="N3816">
        <f t="shared" si="72"/>
        <v>0</v>
      </c>
    </row>
    <row r="3817" spans="1:14" hidden="1">
      <c r="A3817" s="232">
        <v>45013</v>
      </c>
      <c r="C3817" s="229" t="s">
        <v>4914</v>
      </c>
      <c r="D3817" s="1">
        <v>2000</v>
      </c>
      <c r="E3817" s="275">
        <v>0</v>
      </c>
      <c r="G3817" s="8" t="s">
        <v>1372</v>
      </c>
      <c r="H3817" t="s">
        <v>1050</v>
      </c>
      <c r="N3817">
        <f t="shared" si="72"/>
        <v>2000</v>
      </c>
    </row>
    <row r="3818" spans="1:14" hidden="1">
      <c r="A3818" s="232">
        <v>45013</v>
      </c>
      <c r="C3818" s="229" t="s">
        <v>4915</v>
      </c>
      <c r="D3818" s="1">
        <v>70</v>
      </c>
      <c r="E3818" s="275">
        <v>0</v>
      </c>
      <c r="H3818" t="s">
        <v>1050</v>
      </c>
      <c r="N3818">
        <f t="shared" si="72"/>
        <v>70</v>
      </c>
    </row>
    <row r="3819" spans="1:14" hidden="1">
      <c r="A3819" s="232">
        <v>45013</v>
      </c>
      <c r="C3819" s="229" t="s">
        <v>4916</v>
      </c>
      <c r="D3819" s="1">
        <v>25000</v>
      </c>
      <c r="E3819" s="275">
        <v>0</v>
      </c>
      <c r="G3819" s="8" t="s">
        <v>1381</v>
      </c>
      <c r="H3819" t="s">
        <v>1050</v>
      </c>
      <c r="N3819">
        <f t="shared" si="72"/>
        <v>25000</v>
      </c>
    </row>
    <row r="3820" spans="1:14" hidden="1">
      <c r="A3820" s="232">
        <v>45014</v>
      </c>
      <c r="C3820" s="229" t="s">
        <v>4917</v>
      </c>
      <c r="D3820" s="1">
        <v>0</v>
      </c>
      <c r="E3820" s="275">
        <v>6530</v>
      </c>
      <c r="G3820" s="8" t="s">
        <v>1368</v>
      </c>
      <c r="H3820" t="s">
        <v>1050</v>
      </c>
      <c r="N3820">
        <f t="shared" si="72"/>
        <v>0</v>
      </c>
    </row>
    <row r="3821" spans="1:14" hidden="1">
      <c r="A3821" s="232">
        <v>45015</v>
      </c>
      <c r="C3821" s="229" t="s">
        <v>4918</v>
      </c>
      <c r="D3821" s="1">
        <v>100</v>
      </c>
      <c r="E3821" s="275">
        <v>0</v>
      </c>
      <c r="G3821" s="8" t="s">
        <v>1370</v>
      </c>
      <c r="H3821" t="s">
        <v>1050</v>
      </c>
      <c r="N3821">
        <f t="shared" si="72"/>
        <v>100</v>
      </c>
    </row>
    <row r="3822" spans="1:14" hidden="1">
      <c r="A3822" s="232">
        <v>45015</v>
      </c>
      <c r="C3822" s="229" t="s">
        <v>4919</v>
      </c>
      <c r="D3822" s="1">
        <v>38273</v>
      </c>
      <c r="E3822" s="275">
        <v>0</v>
      </c>
      <c r="H3822" t="s">
        <v>1050</v>
      </c>
      <c r="N3822">
        <f t="shared" si="72"/>
        <v>38273</v>
      </c>
    </row>
    <row r="3823" spans="1:14" hidden="1">
      <c r="A3823" s="232">
        <v>45016</v>
      </c>
      <c r="C3823" s="229" t="s">
        <v>4920</v>
      </c>
      <c r="D3823" s="1">
        <v>250</v>
      </c>
      <c r="E3823" s="275">
        <v>0</v>
      </c>
      <c r="H3823" t="s">
        <v>1050</v>
      </c>
      <c r="N3823">
        <f t="shared" si="72"/>
        <v>250</v>
      </c>
    </row>
    <row r="3824" spans="1:14" hidden="1">
      <c r="A3824" s="232">
        <v>45016</v>
      </c>
      <c r="C3824" s="229" t="s">
        <v>4921</v>
      </c>
      <c r="D3824" s="1">
        <v>969900</v>
      </c>
      <c r="E3824" s="275">
        <v>0</v>
      </c>
      <c r="G3824" s="8" t="s">
        <v>1370</v>
      </c>
      <c r="H3824" t="s">
        <v>1050</v>
      </c>
      <c r="N3824">
        <f t="shared" si="72"/>
        <v>969900</v>
      </c>
    </row>
    <row r="3825" spans="1:14" hidden="1">
      <c r="A3825" s="232">
        <v>45016</v>
      </c>
      <c r="C3825" s="229" t="s">
        <v>4922</v>
      </c>
      <c r="D3825" s="1">
        <v>1000</v>
      </c>
      <c r="E3825" s="275">
        <v>0</v>
      </c>
      <c r="H3825" t="s">
        <v>1050</v>
      </c>
      <c r="N3825">
        <f t="shared" si="72"/>
        <v>1000</v>
      </c>
    </row>
    <row r="3826" spans="1:14" hidden="1">
      <c r="A3826" s="232">
        <v>45016</v>
      </c>
      <c r="C3826" s="229" t="s">
        <v>4923</v>
      </c>
      <c r="D3826" s="1">
        <v>26000</v>
      </c>
      <c r="E3826" s="275">
        <v>0</v>
      </c>
      <c r="H3826" t="s">
        <v>1050</v>
      </c>
      <c r="N3826">
        <f t="shared" si="72"/>
        <v>26000</v>
      </c>
    </row>
    <row r="3827" spans="1:14" hidden="1">
      <c r="A3827" s="232">
        <v>44987</v>
      </c>
      <c r="C3827" s="3" t="s">
        <v>4924</v>
      </c>
      <c r="D3827" s="278">
        <v>25000</v>
      </c>
      <c r="E3827" s="1">
        <v>0</v>
      </c>
      <c r="G3827" s="8" t="s">
        <v>1379</v>
      </c>
      <c r="H3827" t="s">
        <v>1336</v>
      </c>
      <c r="N3827">
        <f t="shared" si="72"/>
        <v>25000</v>
      </c>
    </row>
    <row r="3828" spans="1:14" hidden="1">
      <c r="A3828" s="232">
        <v>44991</v>
      </c>
      <c r="C3828" s="3" t="s">
        <v>4925</v>
      </c>
      <c r="D3828" s="278"/>
      <c r="E3828" s="278">
        <v>75000</v>
      </c>
      <c r="G3828" s="8" t="s">
        <v>1363</v>
      </c>
      <c r="H3828" t="s">
        <v>1336</v>
      </c>
      <c r="N3828">
        <f t="shared" si="72"/>
        <v>0</v>
      </c>
    </row>
    <row r="3829" spans="1:14" hidden="1">
      <c r="A3829" s="232">
        <v>44992</v>
      </c>
      <c r="C3829" s="3" t="s">
        <v>4319</v>
      </c>
      <c r="D3829" s="278">
        <v>14417</v>
      </c>
      <c r="E3829" s="1">
        <v>0</v>
      </c>
      <c r="G3829" s="8" t="s">
        <v>1362</v>
      </c>
      <c r="H3829" t="s">
        <v>1336</v>
      </c>
      <c r="N3829">
        <f t="shared" si="72"/>
        <v>14417</v>
      </c>
    </row>
    <row r="3830" spans="1:14" hidden="1">
      <c r="A3830" s="232">
        <v>45017</v>
      </c>
      <c r="C3830" s="3" t="s">
        <v>4256</v>
      </c>
      <c r="D3830" s="278"/>
      <c r="E3830" s="278">
        <v>6990</v>
      </c>
      <c r="G3830" s="8" t="s">
        <v>1368</v>
      </c>
      <c r="H3830" t="s">
        <v>1336</v>
      </c>
      <c r="N3830">
        <f t="shared" si="72"/>
        <v>0</v>
      </c>
    </row>
    <row r="3831" spans="1:14" hidden="1">
      <c r="A3831" s="232">
        <v>45017</v>
      </c>
      <c r="C3831" t="s">
        <v>4926</v>
      </c>
      <c r="D3831" s="1">
        <v>500</v>
      </c>
      <c r="E3831" s="1">
        <v>0</v>
      </c>
      <c r="G3831" s="8" t="s">
        <v>1363</v>
      </c>
      <c r="H3831" t="s">
        <v>1050</v>
      </c>
    </row>
    <row r="3832" spans="1:14" hidden="1">
      <c r="A3832" s="232">
        <v>45017</v>
      </c>
      <c r="C3832" t="s">
        <v>4927</v>
      </c>
      <c r="D3832" s="1">
        <v>2000</v>
      </c>
      <c r="E3832" s="1">
        <v>0</v>
      </c>
      <c r="H3832" t="s">
        <v>1050</v>
      </c>
    </row>
    <row r="3833" spans="1:14" hidden="1">
      <c r="A3833" s="232">
        <v>45019</v>
      </c>
      <c r="C3833" t="s">
        <v>4928</v>
      </c>
      <c r="D3833" s="1">
        <v>6906</v>
      </c>
      <c r="E3833" s="1">
        <v>0</v>
      </c>
      <c r="H3833" t="s">
        <v>1050</v>
      </c>
    </row>
    <row r="3834" spans="1:14" hidden="1">
      <c r="A3834" s="232">
        <v>45019</v>
      </c>
      <c r="C3834" t="s">
        <v>4929</v>
      </c>
      <c r="D3834" s="1">
        <v>10250</v>
      </c>
      <c r="E3834" s="1">
        <v>0</v>
      </c>
      <c r="G3834" s="8" t="s">
        <v>1372</v>
      </c>
      <c r="H3834" t="s">
        <v>1050</v>
      </c>
    </row>
    <row r="3835" spans="1:14" hidden="1">
      <c r="A3835" s="232">
        <v>45019</v>
      </c>
      <c r="C3835" t="s">
        <v>4930</v>
      </c>
      <c r="D3835" s="1">
        <v>149</v>
      </c>
      <c r="E3835" s="1">
        <v>0</v>
      </c>
      <c r="H3835" t="s">
        <v>1050</v>
      </c>
    </row>
    <row r="3836" spans="1:14" hidden="1">
      <c r="A3836" s="232">
        <v>45019</v>
      </c>
      <c r="C3836" t="s">
        <v>4931</v>
      </c>
      <c r="D3836" s="1">
        <v>9565</v>
      </c>
      <c r="E3836" s="1">
        <v>0</v>
      </c>
      <c r="H3836" t="s">
        <v>1050</v>
      </c>
    </row>
    <row r="3837" spans="1:14" hidden="1">
      <c r="A3837" s="232">
        <v>45019</v>
      </c>
      <c r="C3837" t="s">
        <v>2876</v>
      </c>
      <c r="D3837" s="1">
        <v>150000</v>
      </c>
      <c r="E3837" s="1">
        <v>0</v>
      </c>
      <c r="G3837" s="8" t="s">
        <v>1378</v>
      </c>
      <c r="H3837" t="s">
        <v>1050</v>
      </c>
    </row>
    <row r="3838" spans="1:14" hidden="1">
      <c r="A3838" s="232">
        <v>45020</v>
      </c>
      <c r="C3838" t="s">
        <v>4932</v>
      </c>
      <c r="D3838" s="1">
        <v>88</v>
      </c>
      <c r="E3838" s="1">
        <v>0</v>
      </c>
      <c r="H3838" t="s">
        <v>1050</v>
      </c>
    </row>
    <row r="3839" spans="1:14" hidden="1">
      <c r="A3839" s="232">
        <v>45020</v>
      </c>
      <c r="C3839" t="s">
        <v>4933</v>
      </c>
      <c r="D3839" s="1">
        <v>1799</v>
      </c>
      <c r="E3839" s="1">
        <v>0</v>
      </c>
      <c r="H3839" t="s">
        <v>1050</v>
      </c>
    </row>
    <row r="3840" spans="1:14" hidden="1">
      <c r="A3840" s="232">
        <v>45022</v>
      </c>
      <c r="C3840" t="s">
        <v>4934</v>
      </c>
      <c r="D3840" s="1">
        <v>75000</v>
      </c>
      <c r="E3840" s="1">
        <v>0</v>
      </c>
      <c r="G3840" s="8" t="s">
        <v>1363</v>
      </c>
      <c r="H3840" t="s">
        <v>1050</v>
      </c>
    </row>
    <row r="3841" spans="1:8" hidden="1">
      <c r="A3841" s="232">
        <v>45024</v>
      </c>
      <c r="C3841" t="s">
        <v>4935</v>
      </c>
      <c r="D3841" s="1">
        <v>387</v>
      </c>
      <c r="E3841" s="1">
        <v>0</v>
      </c>
      <c r="H3841" t="s">
        <v>1050</v>
      </c>
    </row>
    <row r="3842" spans="1:8" hidden="1">
      <c r="A3842" s="232">
        <v>45026</v>
      </c>
      <c r="C3842" t="s">
        <v>4936</v>
      </c>
      <c r="D3842" s="1">
        <v>600</v>
      </c>
      <c r="E3842" s="1">
        <v>0</v>
      </c>
      <c r="H3842" t="s">
        <v>1050</v>
      </c>
    </row>
    <row r="3843" spans="1:8" hidden="1">
      <c r="A3843" s="232">
        <v>45026</v>
      </c>
      <c r="C3843" t="s">
        <v>2738</v>
      </c>
      <c r="D3843" s="1">
        <v>7508.71</v>
      </c>
      <c r="E3843" s="1">
        <v>0</v>
      </c>
      <c r="G3843" s="8" t="s">
        <v>1362</v>
      </c>
      <c r="H3843" t="s">
        <v>1050</v>
      </c>
    </row>
    <row r="3844" spans="1:8" hidden="1">
      <c r="A3844" s="232">
        <v>45026</v>
      </c>
      <c r="C3844" t="s">
        <v>4937</v>
      </c>
      <c r="D3844" s="1">
        <v>10250</v>
      </c>
      <c r="E3844" s="1">
        <v>0</v>
      </c>
      <c r="G3844" s="8" t="s">
        <v>1372</v>
      </c>
      <c r="H3844" t="s">
        <v>1050</v>
      </c>
    </row>
    <row r="3845" spans="1:8" hidden="1">
      <c r="A3845" s="232">
        <v>45027</v>
      </c>
      <c r="C3845" t="s">
        <v>4938</v>
      </c>
      <c r="D3845" s="1">
        <v>800</v>
      </c>
      <c r="E3845" s="1">
        <v>0</v>
      </c>
      <c r="H3845" t="s">
        <v>1050</v>
      </c>
    </row>
    <row r="3846" spans="1:8" hidden="1">
      <c r="A3846" s="232">
        <v>45027</v>
      </c>
      <c r="C3846" t="s">
        <v>4939</v>
      </c>
      <c r="D3846" s="1">
        <v>5000</v>
      </c>
      <c r="E3846" s="1">
        <v>0</v>
      </c>
      <c r="H3846" t="s">
        <v>1050</v>
      </c>
    </row>
    <row r="3847" spans="1:8" hidden="1">
      <c r="A3847" s="232">
        <v>45027</v>
      </c>
      <c r="C3847" t="s">
        <v>4940</v>
      </c>
      <c r="D3847" s="1">
        <v>10</v>
      </c>
      <c r="E3847" s="1">
        <v>0</v>
      </c>
      <c r="H3847" t="s">
        <v>1050</v>
      </c>
    </row>
    <row r="3848" spans="1:8" hidden="1">
      <c r="A3848" s="232">
        <v>45029</v>
      </c>
      <c r="C3848" t="s">
        <v>4941</v>
      </c>
      <c r="D3848" s="1">
        <v>292</v>
      </c>
      <c r="E3848" s="1">
        <v>0</v>
      </c>
      <c r="H3848" t="s">
        <v>1050</v>
      </c>
    </row>
    <row r="3849" spans="1:8" hidden="1">
      <c r="A3849" s="232">
        <v>45030</v>
      </c>
      <c r="C3849" t="s">
        <v>4942</v>
      </c>
      <c r="D3849" s="1">
        <v>412</v>
      </c>
      <c r="E3849" s="1">
        <v>0</v>
      </c>
      <c r="H3849" t="s">
        <v>1050</v>
      </c>
    </row>
    <row r="3850" spans="1:8" hidden="1">
      <c r="A3850" s="232">
        <v>45031</v>
      </c>
      <c r="C3850" t="s">
        <v>4943</v>
      </c>
      <c r="D3850" s="1">
        <v>52</v>
      </c>
      <c r="E3850" s="1">
        <v>0</v>
      </c>
      <c r="H3850" t="s">
        <v>1050</v>
      </c>
    </row>
    <row r="3851" spans="1:8" hidden="1">
      <c r="A3851" s="232">
        <v>45033</v>
      </c>
      <c r="C3851" t="s">
        <v>4944</v>
      </c>
      <c r="D3851" s="1">
        <v>500</v>
      </c>
      <c r="E3851" s="1">
        <v>0</v>
      </c>
      <c r="H3851" t="s">
        <v>1050</v>
      </c>
    </row>
    <row r="3852" spans="1:8" hidden="1">
      <c r="A3852" s="232">
        <v>45033</v>
      </c>
      <c r="C3852" t="s">
        <v>4945</v>
      </c>
      <c r="D3852" s="1">
        <v>240</v>
      </c>
      <c r="E3852" s="1">
        <v>0</v>
      </c>
      <c r="H3852" t="s">
        <v>1050</v>
      </c>
    </row>
    <row r="3853" spans="1:8" hidden="1">
      <c r="A3853" s="232">
        <v>45033</v>
      </c>
      <c r="C3853" t="s">
        <v>4946</v>
      </c>
      <c r="D3853" s="1">
        <v>0</v>
      </c>
      <c r="E3853" s="1">
        <v>3</v>
      </c>
      <c r="H3853" t="s">
        <v>1050</v>
      </c>
    </row>
    <row r="3854" spans="1:8" hidden="1">
      <c r="A3854" s="232">
        <v>45033</v>
      </c>
      <c r="C3854" t="s">
        <v>4947</v>
      </c>
      <c r="D3854" s="1">
        <v>10250</v>
      </c>
      <c r="E3854" s="1">
        <v>0</v>
      </c>
      <c r="G3854" s="8" t="s">
        <v>1372</v>
      </c>
      <c r="H3854" t="s">
        <v>1050</v>
      </c>
    </row>
    <row r="3855" spans="1:8" hidden="1">
      <c r="A3855" s="232">
        <v>45033</v>
      </c>
      <c r="C3855" t="s">
        <v>4948</v>
      </c>
      <c r="D3855" s="1">
        <v>9990</v>
      </c>
      <c r="E3855" s="1">
        <v>0</v>
      </c>
      <c r="G3855" s="8" t="s">
        <v>1383</v>
      </c>
      <c r="H3855" t="s">
        <v>1050</v>
      </c>
    </row>
    <row r="3856" spans="1:8" hidden="1">
      <c r="A3856" s="232">
        <v>45035</v>
      </c>
      <c r="C3856" t="s">
        <v>4949</v>
      </c>
      <c r="D3856" s="1">
        <v>3050</v>
      </c>
      <c r="E3856" s="1">
        <v>0</v>
      </c>
      <c r="H3856" t="s">
        <v>1050</v>
      </c>
    </row>
    <row r="3857" spans="1:8" hidden="1">
      <c r="A3857" s="232">
        <v>45037</v>
      </c>
      <c r="C3857" t="s">
        <v>4950</v>
      </c>
      <c r="D3857" s="1">
        <v>33333</v>
      </c>
      <c r="E3857" s="1">
        <v>0</v>
      </c>
      <c r="G3857" s="8" t="s">
        <v>1381</v>
      </c>
      <c r="H3857" t="s">
        <v>1050</v>
      </c>
    </row>
    <row r="3858" spans="1:8" hidden="1">
      <c r="A3858" s="232">
        <v>45038</v>
      </c>
      <c r="C3858" t="s">
        <v>4951</v>
      </c>
      <c r="D3858" s="1">
        <v>179</v>
      </c>
      <c r="E3858" s="1">
        <v>0</v>
      </c>
      <c r="H3858" t="s">
        <v>1050</v>
      </c>
    </row>
    <row r="3859" spans="1:8" hidden="1">
      <c r="A3859" s="232">
        <v>45038</v>
      </c>
      <c r="C3859" t="s">
        <v>4952</v>
      </c>
      <c r="D3859" s="1">
        <v>240</v>
      </c>
      <c r="E3859" s="1">
        <v>0</v>
      </c>
      <c r="H3859" t="s">
        <v>1050</v>
      </c>
    </row>
    <row r="3860" spans="1:8" hidden="1">
      <c r="A3860" s="232">
        <v>45038</v>
      </c>
      <c r="C3860" t="s">
        <v>4953</v>
      </c>
      <c r="D3860" s="1">
        <v>200</v>
      </c>
      <c r="E3860" s="1">
        <v>0</v>
      </c>
      <c r="H3860" t="s">
        <v>1050</v>
      </c>
    </row>
    <row r="3861" spans="1:8" hidden="1">
      <c r="A3861" s="232">
        <v>45040</v>
      </c>
      <c r="C3861" t="s">
        <v>4954</v>
      </c>
      <c r="D3861" s="1">
        <v>10250</v>
      </c>
      <c r="E3861" s="1">
        <v>0</v>
      </c>
      <c r="G3861" s="8" t="s">
        <v>1372</v>
      </c>
      <c r="H3861" t="s">
        <v>1050</v>
      </c>
    </row>
    <row r="3862" spans="1:8" hidden="1">
      <c r="A3862" s="232">
        <v>45041</v>
      </c>
      <c r="C3862" t="s">
        <v>4955</v>
      </c>
      <c r="D3862" s="1">
        <v>200</v>
      </c>
      <c r="E3862" s="1">
        <v>0</v>
      </c>
      <c r="H3862" t="s">
        <v>1050</v>
      </c>
    </row>
    <row r="3863" spans="1:8" hidden="1">
      <c r="A3863" s="232">
        <v>45042</v>
      </c>
      <c r="C3863" t="s">
        <v>4956</v>
      </c>
      <c r="D3863" s="1">
        <v>7900</v>
      </c>
      <c r="E3863" s="1">
        <v>0</v>
      </c>
      <c r="H3863" t="s">
        <v>1050</v>
      </c>
    </row>
    <row r="3864" spans="1:8" hidden="1">
      <c r="A3864" s="232">
        <v>45043</v>
      </c>
      <c r="C3864" t="s">
        <v>4957</v>
      </c>
      <c r="D3864" s="1">
        <v>0</v>
      </c>
      <c r="E3864" s="1">
        <v>319298</v>
      </c>
      <c r="G3864" s="8" t="s">
        <v>1380</v>
      </c>
      <c r="H3864" t="s">
        <v>1050</v>
      </c>
    </row>
    <row r="3865" spans="1:8" hidden="1">
      <c r="A3865" s="232">
        <v>45043</v>
      </c>
      <c r="C3865" t="s">
        <v>4958</v>
      </c>
      <c r="D3865" s="1">
        <v>700</v>
      </c>
      <c r="E3865" s="1">
        <v>0</v>
      </c>
      <c r="H3865" t="s">
        <v>1050</v>
      </c>
    </row>
    <row r="3866" spans="1:8" hidden="1">
      <c r="A3866" s="232">
        <v>45044</v>
      </c>
      <c r="C3866" t="s">
        <v>4959</v>
      </c>
      <c r="D3866" s="1">
        <v>2000</v>
      </c>
      <c r="E3866" s="1">
        <v>0</v>
      </c>
      <c r="G3866" s="8" t="s">
        <v>1372</v>
      </c>
      <c r="H3866" t="s">
        <v>1050</v>
      </c>
    </row>
    <row r="3867" spans="1:8" hidden="1">
      <c r="A3867" s="232">
        <v>45044</v>
      </c>
      <c r="C3867" t="s">
        <v>4960</v>
      </c>
      <c r="D3867" s="1">
        <v>25000</v>
      </c>
      <c r="E3867" s="1">
        <v>0</v>
      </c>
      <c r="G3867" s="8" t="s">
        <v>1381</v>
      </c>
      <c r="H3867" t="s">
        <v>1050</v>
      </c>
    </row>
    <row r="3868" spans="1:8" hidden="1">
      <c r="A3868" s="232">
        <v>45045</v>
      </c>
      <c r="C3868" t="s">
        <v>4961</v>
      </c>
      <c r="D3868" s="1">
        <v>189</v>
      </c>
      <c r="E3868" s="1">
        <v>0</v>
      </c>
      <c r="H3868" t="s">
        <v>1050</v>
      </c>
    </row>
    <row r="3869" spans="1:8" hidden="1">
      <c r="A3869" s="232">
        <v>45045</v>
      </c>
      <c r="C3869" t="s">
        <v>4962</v>
      </c>
      <c r="D3869" s="1">
        <v>695907.38</v>
      </c>
      <c r="E3869" s="1">
        <v>0</v>
      </c>
      <c r="G3869" s="8" t="s">
        <v>1370</v>
      </c>
      <c r="H3869" t="s">
        <v>1050</v>
      </c>
    </row>
    <row r="3870" spans="1:8" hidden="1">
      <c r="A3870" s="232">
        <v>45045</v>
      </c>
      <c r="C3870" t="s">
        <v>4963</v>
      </c>
      <c r="D3870" s="1">
        <v>537702.1</v>
      </c>
      <c r="E3870" s="1">
        <v>0</v>
      </c>
      <c r="G3870" s="8" t="s">
        <v>1370</v>
      </c>
      <c r="H3870" t="s">
        <v>1050</v>
      </c>
    </row>
    <row r="3871" spans="1:8" hidden="1">
      <c r="A3871" s="232">
        <v>45045</v>
      </c>
      <c r="C3871" t="s">
        <v>4964</v>
      </c>
      <c r="D3871" s="1">
        <v>200</v>
      </c>
      <c r="E3871" s="1">
        <v>0</v>
      </c>
      <c r="H3871" t="s">
        <v>1050</v>
      </c>
    </row>
    <row r="3872" spans="1:8" hidden="1">
      <c r="A3872" s="232">
        <v>45045</v>
      </c>
      <c r="C3872" t="s">
        <v>4965</v>
      </c>
      <c r="D3872" s="1">
        <v>0</v>
      </c>
      <c r="E3872" s="1">
        <v>215000</v>
      </c>
      <c r="H3872" t="s">
        <v>1050</v>
      </c>
    </row>
    <row r="3873" spans="1:8" hidden="1">
      <c r="A3873" s="232">
        <v>45045</v>
      </c>
      <c r="C3873" t="s">
        <v>4966</v>
      </c>
      <c r="D3873" s="1">
        <v>0</v>
      </c>
      <c r="E3873" s="1">
        <v>868</v>
      </c>
      <c r="H3873" t="s">
        <v>1050</v>
      </c>
    </row>
    <row r="3874" spans="1:8" hidden="1">
      <c r="A3874" s="232">
        <v>45018</v>
      </c>
      <c r="C3874" s="3" t="s">
        <v>4967</v>
      </c>
      <c r="D3874" s="278">
        <v>25000</v>
      </c>
      <c r="G3874" s="8" t="s">
        <v>1379</v>
      </c>
      <c r="H3874" t="s">
        <v>1336</v>
      </c>
    </row>
    <row r="3875" spans="1:8" hidden="1">
      <c r="A3875" s="232">
        <v>45020</v>
      </c>
      <c r="C3875" s="3" t="s">
        <v>4319</v>
      </c>
      <c r="D3875" s="278">
        <v>170315</v>
      </c>
      <c r="G3875" s="8" t="s">
        <v>1362</v>
      </c>
      <c r="H3875" t="s">
        <v>1336</v>
      </c>
    </row>
    <row r="3876" spans="1:8" hidden="1">
      <c r="A3876" s="232">
        <v>45022</v>
      </c>
      <c r="C3876" s="3" t="s">
        <v>4968</v>
      </c>
      <c r="D3876" s="278">
        <v>0</v>
      </c>
      <c r="E3876" s="278">
        <v>75000</v>
      </c>
      <c r="G3876" s="8" t="s">
        <v>1363</v>
      </c>
      <c r="H3876" t="s">
        <v>1336</v>
      </c>
    </row>
    <row r="3877" spans="1:8" hidden="1">
      <c r="A3877" s="52">
        <v>45047</v>
      </c>
      <c r="C3877" t="s">
        <v>4969</v>
      </c>
      <c r="D3877" s="69">
        <v>10250</v>
      </c>
      <c r="E3877" s="69">
        <v>0</v>
      </c>
      <c r="G3877" s="8" t="s">
        <v>1372</v>
      </c>
      <c r="H3877" t="s">
        <v>1050</v>
      </c>
    </row>
    <row r="3878" spans="1:8" hidden="1">
      <c r="A3878" s="52">
        <v>45047</v>
      </c>
      <c r="C3878" t="s">
        <v>4970</v>
      </c>
      <c r="D3878" s="69">
        <v>500</v>
      </c>
      <c r="E3878" s="69">
        <v>0</v>
      </c>
      <c r="G3878" s="8" t="s">
        <v>1363</v>
      </c>
      <c r="H3878" t="s">
        <v>1050</v>
      </c>
    </row>
    <row r="3879" spans="1:8" hidden="1">
      <c r="A3879" s="52">
        <v>45047</v>
      </c>
      <c r="C3879" t="s">
        <v>4434</v>
      </c>
      <c r="D3879" s="69">
        <v>0</v>
      </c>
      <c r="E3879" s="69">
        <v>10000</v>
      </c>
      <c r="H3879" t="s">
        <v>1050</v>
      </c>
    </row>
    <row r="3880" spans="1:8" hidden="1">
      <c r="A3880" s="52">
        <v>45049</v>
      </c>
      <c r="C3880" t="s">
        <v>4971</v>
      </c>
      <c r="D3880" s="69">
        <v>2000</v>
      </c>
      <c r="E3880" s="69">
        <v>0</v>
      </c>
      <c r="H3880" t="s">
        <v>1050</v>
      </c>
    </row>
    <row r="3881" spans="1:8" hidden="1">
      <c r="A3881" s="52">
        <v>45049</v>
      </c>
      <c r="C3881" t="s">
        <v>4434</v>
      </c>
      <c r="D3881" s="69">
        <v>0</v>
      </c>
      <c r="E3881" s="69">
        <v>5000</v>
      </c>
      <c r="H3881" t="s">
        <v>1050</v>
      </c>
    </row>
    <row r="3882" spans="1:8" hidden="1">
      <c r="A3882" s="52">
        <v>45050</v>
      </c>
      <c r="C3882" t="s">
        <v>4972</v>
      </c>
      <c r="D3882" s="69">
        <v>349</v>
      </c>
      <c r="E3882" s="69">
        <v>0</v>
      </c>
      <c r="H3882" t="s">
        <v>1050</v>
      </c>
    </row>
    <row r="3883" spans="1:8" hidden="1">
      <c r="A3883" s="52">
        <v>45051</v>
      </c>
      <c r="C3883" t="s">
        <v>4973</v>
      </c>
      <c r="D3883" s="69">
        <v>9999</v>
      </c>
      <c r="E3883" s="69">
        <v>0</v>
      </c>
      <c r="H3883" t="s">
        <v>1050</v>
      </c>
    </row>
    <row r="3884" spans="1:8" hidden="1">
      <c r="A3884" s="52">
        <v>45051</v>
      </c>
      <c r="C3884" t="s">
        <v>4434</v>
      </c>
      <c r="D3884" s="69">
        <v>0</v>
      </c>
      <c r="E3884" s="69">
        <v>10000</v>
      </c>
      <c r="H3884" t="s">
        <v>1050</v>
      </c>
    </row>
    <row r="3885" spans="1:8" hidden="1">
      <c r="A3885" s="52">
        <v>45052</v>
      </c>
      <c r="C3885" t="s">
        <v>4974</v>
      </c>
      <c r="D3885" s="69">
        <v>296</v>
      </c>
      <c r="E3885" s="69">
        <v>0</v>
      </c>
      <c r="H3885" t="s">
        <v>1050</v>
      </c>
    </row>
    <row r="3886" spans="1:8" hidden="1">
      <c r="A3886" s="52">
        <v>45052</v>
      </c>
      <c r="C3886" t="s">
        <v>4975</v>
      </c>
      <c r="D3886" s="69">
        <v>0</v>
      </c>
      <c r="E3886" s="69">
        <v>3</v>
      </c>
      <c r="H3886" t="s">
        <v>1050</v>
      </c>
    </row>
    <row r="3887" spans="1:8" hidden="1">
      <c r="A3887" s="52">
        <v>45052</v>
      </c>
      <c r="C3887" t="s">
        <v>4976</v>
      </c>
      <c r="D3887" s="69">
        <v>75000</v>
      </c>
      <c r="E3887" s="69">
        <v>0</v>
      </c>
      <c r="G3887" s="8" t="s">
        <v>1363</v>
      </c>
      <c r="H3887" t="s">
        <v>1050</v>
      </c>
    </row>
    <row r="3888" spans="1:8" hidden="1">
      <c r="A3888" s="52">
        <v>45052</v>
      </c>
      <c r="C3888" t="s">
        <v>4977</v>
      </c>
      <c r="D3888" s="69">
        <v>5000</v>
      </c>
      <c r="E3888" s="69">
        <v>0</v>
      </c>
      <c r="G3888" s="8" t="s">
        <v>1361</v>
      </c>
      <c r="H3888" t="s">
        <v>1050</v>
      </c>
    </row>
    <row r="3889" spans="1:8" hidden="1">
      <c r="A3889" s="52">
        <v>45052</v>
      </c>
      <c r="C3889" t="s">
        <v>4434</v>
      </c>
      <c r="D3889" s="69">
        <v>0</v>
      </c>
      <c r="E3889" s="69">
        <v>80000</v>
      </c>
      <c r="H3889" t="s">
        <v>1050</v>
      </c>
    </row>
    <row r="3890" spans="1:8" hidden="1">
      <c r="A3890" s="52">
        <v>45054</v>
      </c>
      <c r="C3890" t="s">
        <v>4978</v>
      </c>
      <c r="D3890" s="69">
        <v>10250</v>
      </c>
      <c r="E3890" s="69">
        <v>0</v>
      </c>
      <c r="G3890" s="8" t="s">
        <v>1372</v>
      </c>
      <c r="H3890" t="s">
        <v>1050</v>
      </c>
    </row>
    <row r="3891" spans="1:8" hidden="1">
      <c r="A3891" s="52">
        <v>45054</v>
      </c>
      <c r="C3891" t="s">
        <v>4434</v>
      </c>
      <c r="D3891" s="69">
        <v>0</v>
      </c>
      <c r="E3891" s="69">
        <v>10000</v>
      </c>
      <c r="H3891" t="s">
        <v>1050</v>
      </c>
    </row>
    <row r="3892" spans="1:8" hidden="1">
      <c r="A3892" s="52">
        <v>45054</v>
      </c>
      <c r="C3892" t="s">
        <v>4435</v>
      </c>
      <c r="D3892" s="69">
        <v>0</v>
      </c>
      <c r="E3892" s="69">
        <v>4</v>
      </c>
      <c r="H3892" t="s">
        <v>1050</v>
      </c>
    </row>
    <row r="3893" spans="1:8" hidden="1">
      <c r="A3893" s="52">
        <v>45057</v>
      </c>
      <c r="C3893" t="s">
        <v>2738</v>
      </c>
      <c r="D3893" s="69">
        <v>94328.19</v>
      </c>
      <c r="E3893" s="69">
        <v>0</v>
      </c>
      <c r="G3893" s="8" t="s">
        <v>1362</v>
      </c>
      <c r="H3893" t="s">
        <v>1050</v>
      </c>
    </row>
    <row r="3894" spans="1:8" hidden="1">
      <c r="A3894" s="52">
        <v>45057</v>
      </c>
      <c r="C3894" t="s">
        <v>4979</v>
      </c>
      <c r="D3894" s="69">
        <v>14</v>
      </c>
      <c r="E3894" s="69">
        <v>0</v>
      </c>
      <c r="H3894" t="s">
        <v>1050</v>
      </c>
    </row>
    <row r="3895" spans="1:8" hidden="1">
      <c r="A3895" s="52">
        <v>45057</v>
      </c>
      <c r="C3895" t="s">
        <v>4434</v>
      </c>
      <c r="D3895" s="69">
        <v>0</v>
      </c>
      <c r="E3895" s="69">
        <v>95000</v>
      </c>
      <c r="H3895" t="s">
        <v>1050</v>
      </c>
    </row>
    <row r="3896" spans="1:8" hidden="1">
      <c r="A3896" s="52">
        <v>45057</v>
      </c>
      <c r="C3896" t="s">
        <v>4435</v>
      </c>
      <c r="D3896" s="69">
        <v>0</v>
      </c>
      <c r="E3896" s="69">
        <v>52</v>
      </c>
      <c r="H3896" t="s">
        <v>1050</v>
      </c>
    </row>
    <row r="3897" spans="1:8" hidden="1">
      <c r="A3897" s="52">
        <v>45059</v>
      </c>
      <c r="C3897" t="s">
        <v>4980</v>
      </c>
      <c r="D3897" s="69">
        <v>2500</v>
      </c>
      <c r="E3897" s="69">
        <v>0</v>
      </c>
      <c r="G3897" s="8" t="s">
        <v>1361</v>
      </c>
      <c r="H3897" t="s">
        <v>1050</v>
      </c>
    </row>
    <row r="3898" spans="1:8" hidden="1">
      <c r="A3898" s="52">
        <v>45059</v>
      </c>
      <c r="C3898" t="s">
        <v>4980</v>
      </c>
      <c r="D3898" s="69">
        <v>2500</v>
      </c>
      <c r="E3898" s="69">
        <v>0</v>
      </c>
      <c r="G3898" s="8" t="s">
        <v>1361</v>
      </c>
      <c r="H3898" t="s">
        <v>1050</v>
      </c>
    </row>
    <row r="3899" spans="1:8" hidden="1">
      <c r="A3899" s="52">
        <v>45059</v>
      </c>
      <c r="C3899" t="s">
        <v>4980</v>
      </c>
      <c r="D3899" s="69">
        <v>2500</v>
      </c>
      <c r="E3899" s="69">
        <v>0</v>
      </c>
      <c r="G3899" s="8" t="s">
        <v>1361</v>
      </c>
      <c r="H3899" t="s">
        <v>1050</v>
      </c>
    </row>
    <row r="3900" spans="1:8" hidden="1">
      <c r="A3900" s="52">
        <v>45059</v>
      </c>
      <c r="C3900" t="s">
        <v>4980</v>
      </c>
      <c r="D3900" s="69">
        <v>2500</v>
      </c>
      <c r="E3900" s="69">
        <v>0</v>
      </c>
      <c r="G3900" s="8" t="s">
        <v>1361</v>
      </c>
      <c r="H3900" t="s">
        <v>1050</v>
      </c>
    </row>
    <row r="3901" spans="1:8" hidden="1">
      <c r="A3901" s="52">
        <v>45059</v>
      </c>
      <c r="C3901" t="s">
        <v>4434</v>
      </c>
      <c r="D3901" s="69">
        <v>0</v>
      </c>
      <c r="E3901" s="69">
        <v>10000</v>
      </c>
      <c r="H3901" t="s">
        <v>1050</v>
      </c>
    </row>
    <row r="3902" spans="1:8" hidden="1">
      <c r="A3902" s="52">
        <v>45061</v>
      </c>
      <c r="C3902" t="s">
        <v>4981</v>
      </c>
      <c r="D3902" s="69">
        <v>250</v>
      </c>
      <c r="E3902" s="69">
        <v>0</v>
      </c>
      <c r="H3902" t="s">
        <v>1050</v>
      </c>
    </row>
    <row r="3903" spans="1:8" hidden="1">
      <c r="A3903" s="52">
        <v>45061</v>
      </c>
      <c r="C3903" t="s">
        <v>4982</v>
      </c>
      <c r="D3903" s="69">
        <v>50</v>
      </c>
      <c r="E3903" s="69">
        <v>0</v>
      </c>
      <c r="H3903" t="s">
        <v>1050</v>
      </c>
    </row>
    <row r="3904" spans="1:8" hidden="1">
      <c r="A3904" s="52">
        <v>45061</v>
      </c>
      <c r="C3904" t="s">
        <v>4983</v>
      </c>
      <c r="D3904" s="69">
        <v>1000</v>
      </c>
      <c r="E3904" s="69">
        <v>0</v>
      </c>
      <c r="H3904" t="s">
        <v>1050</v>
      </c>
    </row>
    <row r="3905" spans="1:8" hidden="1">
      <c r="A3905" s="52">
        <v>45061</v>
      </c>
      <c r="C3905" t="s">
        <v>4435</v>
      </c>
      <c r="D3905" s="69">
        <v>0</v>
      </c>
      <c r="E3905" s="69">
        <v>7</v>
      </c>
      <c r="H3905" t="s">
        <v>1050</v>
      </c>
    </row>
    <row r="3906" spans="1:8" hidden="1">
      <c r="A3906" s="52">
        <v>45061</v>
      </c>
      <c r="C3906" t="s">
        <v>4984</v>
      </c>
      <c r="D3906" s="69">
        <v>10250</v>
      </c>
      <c r="E3906" s="69">
        <v>0</v>
      </c>
      <c r="G3906" s="8" t="s">
        <v>1372</v>
      </c>
      <c r="H3906" t="s">
        <v>1050</v>
      </c>
    </row>
    <row r="3907" spans="1:8" hidden="1">
      <c r="A3907" s="52">
        <v>45061</v>
      </c>
      <c r="C3907" t="s">
        <v>4985</v>
      </c>
      <c r="D3907" s="69">
        <v>0</v>
      </c>
      <c r="E3907" s="69">
        <v>491.71</v>
      </c>
      <c r="G3907" s="8" t="s">
        <v>1380</v>
      </c>
      <c r="H3907" t="s">
        <v>1050</v>
      </c>
    </row>
    <row r="3908" spans="1:8" hidden="1">
      <c r="A3908" s="52">
        <v>45061</v>
      </c>
      <c r="C3908" t="s">
        <v>4986</v>
      </c>
      <c r="D3908" s="69">
        <v>759.92</v>
      </c>
      <c r="E3908" s="69">
        <v>0</v>
      </c>
      <c r="H3908" t="s">
        <v>1050</v>
      </c>
    </row>
    <row r="3909" spans="1:8" hidden="1">
      <c r="A3909" s="52">
        <v>45061</v>
      </c>
      <c r="C3909" t="s">
        <v>4434</v>
      </c>
      <c r="D3909" s="69">
        <v>0</v>
      </c>
      <c r="E3909" s="69">
        <v>10000</v>
      </c>
      <c r="H3909" t="s">
        <v>1050</v>
      </c>
    </row>
    <row r="3910" spans="1:8" hidden="1">
      <c r="A3910" s="52">
        <v>45061</v>
      </c>
      <c r="C3910" t="s">
        <v>4435</v>
      </c>
      <c r="D3910" s="69">
        <v>0</v>
      </c>
      <c r="E3910" s="69">
        <v>8</v>
      </c>
      <c r="H3910" t="s">
        <v>1050</v>
      </c>
    </row>
    <row r="3911" spans="1:8" hidden="1">
      <c r="A3911" s="52">
        <v>45062</v>
      </c>
      <c r="C3911" t="s">
        <v>4987</v>
      </c>
      <c r="D3911" s="69">
        <v>9990</v>
      </c>
      <c r="E3911" s="69">
        <v>0</v>
      </c>
      <c r="G3911" s="8" t="s">
        <v>1383</v>
      </c>
      <c r="H3911" t="s">
        <v>1050</v>
      </c>
    </row>
    <row r="3912" spans="1:8" hidden="1">
      <c r="A3912" s="52">
        <v>45062</v>
      </c>
      <c r="C3912" t="s">
        <v>4988</v>
      </c>
      <c r="D3912" s="69">
        <v>812</v>
      </c>
      <c r="E3912" s="69">
        <v>0</v>
      </c>
      <c r="H3912" t="s">
        <v>1050</v>
      </c>
    </row>
    <row r="3913" spans="1:8" hidden="1">
      <c r="A3913" s="52">
        <v>45062</v>
      </c>
      <c r="C3913" t="s">
        <v>4434</v>
      </c>
      <c r="D3913" s="69">
        <v>0</v>
      </c>
      <c r="E3913" s="69">
        <v>10000</v>
      </c>
      <c r="H3913" t="s">
        <v>1050</v>
      </c>
    </row>
    <row r="3914" spans="1:8" hidden="1">
      <c r="A3914" s="52">
        <v>45062</v>
      </c>
      <c r="C3914" t="s">
        <v>4435</v>
      </c>
      <c r="D3914" s="69">
        <v>0</v>
      </c>
      <c r="E3914" s="69">
        <v>8</v>
      </c>
      <c r="H3914" t="s">
        <v>1050</v>
      </c>
    </row>
    <row r="3915" spans="1:8" hidden="1">
      <c r="A3915" s="52">
        <v>45063</v>
      </c>
      <c r="C3915" t="s">
        <v>4989</v>
      </c>
      <c r="D3915" s="69">
        <v>457.5</v>
      </c>
      <c r="E3915" s="69">
        <v>0</v>
      </c>
      <c r="H3915" t="s">
        <v>1050</v>
      </c>
    </row>
    <row r="3916" spans="1:8" hidden="1">
      <c r="A3916" s="52">
        <v>45064</v>
      </c>
      <c r="C3916" t="s">
        <v>4990</v>
      </c>
      <c r="D3916" s="69">
        <v>2000</v>
      </c>
      <c r="E3916" s="69">
        <v>0</v>
      </c>
      <c r="H3916" t="s">
        <v>1050</v>
      </c>
    </row>
    <row r="3917" spans="1:8" hidden="1">
      <c r="A3917" s="52">
        <v>45064</v>
      </c>
      <c r="C3917" t="s">
        <v>4991</v>
      </c>
      <c r="D3917" s="69">
        <v>33430</v>
      </c>
      <c r="E3917" s="69">
        <v>0</v>
      </c>
      <c r="H3917" t="s">
        <v>1050</v>
      </c>
    </row>
    <row r="3918" spans="1:8" hidden="1">
      <c r="A3918" s="52">
        <v>45064</v>
      </c>
      <c r="C3918" t="s">
        <v>4434</v>
      </c>
      <c r="D3918" s="69">
        <v>0</v>
      </c>
      <c r="E3918" s="69">
        <v>40000</v>
      </c>
      <c r="H3918" t="s">
        <v>1050</v>
      </c>
    </row>
    <row r="3919" spans="1:8" hidden="1">
      <c r="A3919" s="52">
        <v>45064</v>
      </c>
      <c r="C3919" t="s">
        <v>4435</v>
      </c>
      <c r="D3919" s="69">
        <v>0</v>
      </c>
      <c r="E3919" s="69">
        <v>37</v>
      </c>
      <c r="H3919" t="s">
        <v>1050</v>
      </c>
    </row>
    <row r="3920" spans="1:8" hidden="1">
      <c r="A3920" s="52">
        <v>45065</v>
      </c>
      <c r="C3920" t="s">
        <v>4992</v>
      </c>
      <c r="D3920" s="69">
        <v>42</v>
      </c>
      <c r="E3920" s="69">
        <v>0</v>
      </c>
      <c r="H3920" t="s">
        <v>1050</v>
      </c>
    </row>
    <row r="3921" spans="1:8" hidden="1">
      <c r="A3921" s="52">
        <v>45068</v>
      </c>
      <c r="C3921" t="s">
        <v>4993</v>
      </c>
      <c r="D3921" s="69">
        <v>10250</v>
      </c>
      <c r="E3921" s="69">
        <v>0</v>
      </c>
      <c r="G3921" s="8" t="s">
        <v>1372</v>
      </c>
      <c r="H3921" t="s">
        <v>1050</v>
      </c>
    </row>
    <row r="3922" spans="1:8" hidden="1">
      <c r="A3922" s="52">
        <v>45068</v>
      </c>
      <c r="C3922" t="s">
        <v>4994</v>
      </c>
      <c r="D3922" s="69">
        <v>33333</v>
      </c>
      <c r="E3922" s="69">
        <v>0</v>
      </c>
      <c r="G3922" s="8" t="s">
        <v>1381</v>
      </c>
      <c r="H3922" t="s">
        <v>1050</v>
      </c>
    </row>
    <row r="3923" spans="1:8" hidden="1">
      <c r="A3923" s="52">
        <v>45068</v>
      </c>
      <c r="C3923" t="s">
        <v>4434</v>
      </c>
      <c r="D3923" s="69">
        <v>0</v>
      </c>
      <c r="E3923" s="69">
        <v>40000</v>
      </c>
      <c r="H3923" t="s">
        <v>1050</v>
      </c>
    </row>
    <row r="3924" spans="1:8" hidden="1">
      <c r="A3924" s="52">
        <v>45068</v>
      </c>
      <c r="C3924" t="s">
        <v>4435</v>
      </c>
      <c r="D3924" s="69">
        <v>0</v>
      </c>
      <c r="E3924" s="69">
        <v>46</v>
      </c>
      <c r="H3924" t="s">
        <v>1050</v>
      </c>
    </row>
    <row r="3925" spans="1:8" hidden="1">
      <c r="A3925" s="52">
        <v>45069</v>
      </c>
      <c r="C3925" t="s">
        <v>4995</v>
      </c>
      <c r="D3925" s="69">
        <v>270570</v>
      </c>
      <c r="E3925" s="69">
        <v>0</v>
      </c>
      <c r="G3925" s="8" t="s">
        <v>1370</v>
      </c>
      <c r="H3925" t="s">
        <v>1050</v>
      </c>
    </row>
    <row r="3926" spans="1:8" hidden="1">
      <c r="A3926" s="52">
        <v>45069</v>
      </c>
      <c r="C3926" t="s">
        <v>4434</v>
      </c>
      <c r="D3926" s="69">
        <v>0</v>
      </c>
      <c r="E3926" s="69">
        <v>270000</v>
      </c>
      <c r="H3926" t="s">
        <v>1050</v>
      </c>
    </row>
    <row r="3927" spans="1:8" hidden="1">
      <c r="A3927" s="52">
        <v>45069</v>
      </c>
      <c r="C3927" t="s">
        <v>4435</v>
      </c>
      <c r="D3927" s="69">
        <v>0</v>
      </c>
      <c r="E3927" s="69">
        <v>325</v>
      </c>
      <c r="H3927" t="s">
        <v>1050</v>
      </c>
    </row>
    <row r="3928" spans="1:8" hidden="1">
      <c r="A3928" s="52">
        <v>45070</v>
      </c>
      <c r="C3928" t="s">
        <v>4996</v>
      </c>
      <c r="D3928" s="69">
        <v>40</v>
      </c>
      <c r="E3928" s="69">
        <v>0</v>
      </c>
      <c r="H3928" t="s">
        <v>1050</v>
      </c>
    </row>
    <row r="3929" spans="1:8" hidden="1">
      <c r="A3929" s="52">
        <v>45070</v>
      </c>
      <c r="C3929" t="s">
        <v>4997</v>
      </c>
      <c r="D3929" s="69">
        <v>33</v>
      </c>
      <c r="E3929" s="69">
        <v>0</v>
      </c>
      <c r="H3929" t="s">
        <v>1050</v>
      </c>
    </row>
    <row r="3930" spans="1:8" hidden="1">
      <c r="A3930" s="52">
        <v>45072</v>
      </c>
      <c r="C3930" t="s">
        <v>4998</v>
      </c>
      <c r="D3930" s="69">
        <v>0</v>
      </c>
      <c r="E3930" s="69">
        <v>319298</v>
      </c>
      <c r="G3930" s="8" t="s">
        <v>1380</v>
      </c>
      <c r="H3930" t="s">
        <v>1050</v>
      </c>
    </row>
    <row r="3931" spans="1:8" hidden="1">
      <c r="A3931" s="52">
        <v>45072</v>
      </c>
      <c r="C3931" t="s">
        <v>4999</v>
      </c>
      <c r="D3931" s="69">
        <v>1934</v>
      </c>
      <c r="E3931" s="69">
        <v>0</v>
      </c>
      <c r="H3931" t="s">
        <v>1050</v>
      </c>
    </row>
    <row r="3932" spans="1:8" hidden="1">
      <c r="A3932" s="52">
        <v>45073</v>
      </c>
      <c r="C3932" t="s">
        <v>5000</v>
      </c>
      <c r="D3932" s="69">
        <v>680</v>
      </c>
      <c r="E3932" s="69">
        <v>0</v>
      </c>
      <c r="H3932" t="s">
        <v>1050</v>
      </c>
    </row>
    <row r="3933" spans="1:8" hidden="1">
      <c r="A3933" s="52">
        <v>45075</v>
      </c>
      <c r="C3933" t="s">
        <v>5001</v>
      </c>
      <c r="D3933" s="69">
        <v>2000</v>
      </c>
      <c r="E3933" s="69">
        <v>0</v>
      </c>
      <c r="G3933" s="8" t="s">
        <v>1372</v>
      </c>
      <c r="H3933" t="s">
        <v>1050</v>
      </c>
    </row>
    <row r="3934" spans="1:8" hidden="1">
      <c r="A3934" s="52">
        <v>45075</v>
      </c>
      <c r="C3934" t="s">
        <v>5002</v>
      </c>
      <c r="D3934" s="69">
        <v>10250</v>
      </c>
      <c r="E3934" s="69">
        <v>0</v>
      </c>
      <c r="G3934" s="8" t="s">
        <v>1372</v>
      </c>
      <c r="H3934" t="s">
        <v>1050</v>
      </c>
    </row>
    <row r="3935" spans="1:8" hidden="1">
      <c r="A3935" s="52">
        <v>45075</v>
      </c>
      <c r="C3935" t="s">
        <v>5003</v>
      </c>
      <c r="D3935" s="69">
        <v>25000</v>
      </c>
      <c r="E3935" s="69">
        <v>0</v>
      </c>
      <c r="G3935" s="8" t="s">
        <v>1381</v>
      </c>
      <c r="H3935" t="s">
        <v>1050</v>
      </c>
    </row>
    <row r="3936" spans="1:8" hidden="1">
      <c r="A3936" s="52">
        <v>45075</v>
      </c>
      <c r="C3936" t="s">
        <v>5004</v>
      </c>
      <c r="D3936" s="69">
        <v>150</v>
      </c>
      <c r="E3936" s="69">
        <v>0</v>
      </c>
      <c r="H3936" t="s">
        <v>1050</v>
      </c>
    </row>
    <row r="3937" spans="1:8" hidden="1">
      <c r="A3937" s="52">
        <v>45047</v>
      </c>
      <c r="C3937" s="3" t="s">
        <v>5005</v>
      </c>
      <c r="D3937" s="280">
        <v>25000</v>
      </c>
      <c r="E3937" s="280">
        <v>0</v>
      </c>
      <c r="G3937" s="8" t="s">
        <v>1379</v>
      </c>
      <c r="H3937" t="s">
        <v>1336</v>
      </c>
    </row>
    <row r="3938" spans="1:8" hidden="1">
      <c r="A3938" s="52">
        <v>45051</v>
      </c>
      <c r="C3938" s="3" t="s">
        <v>4319</v>
      </c>
      <c r="D3938" s="280">
        <v>347120</v>
      </c>
      <c r="E3938" s="280">
        <v>0</v>
      </c>
      <c r="G3938" s="8" t="s">
        <v>1362</v>
      </c>
      <c r="H3938" t="s">
        <v>1336</v>
      </c>
    </row>
    <row r="3939" spans="1:8" hidden="1">
      <c r="A3939" s="52">
        <v>45052</v>
      </c>
      <c r="C3939" s="3" t="s">
        <v>5006</v>
      </c>
      <c r="D3939" s="280">
        <v>0</v>
      </c>
      <c r="E3939" s="280">
        <v>75000</v>
      </c>
      <c r="G3939" s="8" t="s">
        <v>1363</v>
      </c>
      <c r="H3939" t="s">
        <v>1336</v>
      </c>
    </row>
    <row r="3940" spans="1:8" hidden="1">
      <c r="A3940" s="52">
        <v>45079</v>
      </c>
      <c r="C3940" s="284" t="s">
        <v>5007</v>
      </c>
      <c r="D3940" s="283">
        <v>25000</v>
      </c>
      <c r="E3940" s="283"/>
      <c r="G3940" s="8" t="s">
        <v>1379</v>
      </c>
      <c r="H3940" t="s">
        <v>1336</v>
      </c>
    </row>
    <row r="3941" spans="1:8" hidden="1">
      <c r="A3941" s="52">
        <v>45081</v>
      </c>
      <c r="C3941" s="284" t="s">
        <v>4319</v>
      </c>
      <c r="D3941" s="283">
        <v>26985</v>
      </c>
      <c r="E3941" s="283"/>
      <c r="G3941" s="8" t="s">
        <v>1362</v>
      </c>
      <c r="H3941" t="s">
        <v>1336</v>
      </c>
    </row>
    <row r="3942" spans="1:8" hidden="1">
      <c r="A3942" s="52">
        <v>45083</v>
      </c>
      <c r="C3942" s="284" t="s">
        <v>5008</v>
      </c>
      <c r="D3942" s="283"/>
      <c r="E3942" s="283">
        <v>75000</v>
      </c>
      <c r="G3942" s="8" t="s">
        <v>1363</v>
      </c>
      <c r="H3942" t="s">
        <v>1336</v>
      </c>
    </row>
    <row r="3943" spans="1:8" hidden="1">
      <c r="A3943" s="52">
        <v>45108</v>
      </c>
      <c r="C3943" s="284" t="s">
        <v>4256</v>
      </c>
      <c r="D3943" s="283"/>
      <c r="E3943" s="283">
        <v>5170</v>
      </c>
      <c r="G3943" s="8" t="s">
        <v>1368</v>
      </c>
      <c r="H3943" t="s">
        <v>1336</v>
      </c>
    </row>
    <row r="3944" spans="1:8" hidden="1">
      <c r="A3944" s="232">
        <v>45078</v>
      </c>
      <c r="C3944" t="s">
        <v>5009</v>
      </c>
      <c r="D3944" s="69">
        <v>500</v>
      </c>
      <c r="E3944" s="69">
        <v>0</v>
      </c>
      <c r="G3944" s="8" t="s">
        <v>1363</v>
      </c>
      <c r="H3944" t="s">
        <v>1050</v>
      </c>
    </row>
    <row r="3945" spans="1:8" hidden="1">
      <c r="A3945" s="232">
        <v>45079</v>
      </c>
      <c r="C3945" t="s">
        <v>5010</v>
      </c>
      <c r="D3945" s="69">
        <v>2000</v>
      </c>
      <c r="E3945" s="69">
        <v>0</v>
      </c>
      <c r="H3945" t="s">
        <v>1050</v>
      </c>
    </row>
    <row r="3946" spans="1:8" hidden="1">
      <c r="A3946" s="232">
        <v>45080</v>
      </c>
      <c r="C3946" t="s">
        <v>5011</v>
      </c>
      <c r="D3946" s="69">
        <v>20</v>
      </c>
      <c r="E3946" s="69">
        <v>0</v>
      </c>
      <c r="H3946" t="s">
        <v>1050</v>
      </c>
    </row>
    <row r="3947" spans="1:8" hidden="1">
      <c r="A3947" s="232">
        <v>45082</v>
      </c>
      <c r="C3947" t="s">
        <v>5012</v>
      </c>
      <c r="D3947" s="69">
        <v>4200</v>
      </c>
      <c r="E3947" s="69">
        <v>0</v>
      </c>
      <c r="H3947" t="s">
        <v>1050</v>
      </c>
    </row>
    <row r="3948" spans="1:8" hidden="1">
      <c r="A3948" s="232">
        <v>45082</v>
      </c>
      <c r="C3948" t="s">
        <v>5013</v>
      </c>
      <c r="D3948" s="69">
        <v>10250</v>
      </c>
      <c r="E3948" s="69">
        <v>0</v>
      </c>
      <c r="G3948" s="8" t="s">
        <v>1372</v>
      </c>
      <c r="H3948" t="s">
        <v>1050</v>
      </c>
    </row>
    <row r="3949" spans="1:8" hidden="1">
      <c r="A3949" s="232">
        <v>45082</v>
      </c>
      <c r="C3949" t="s">
        <v>5014</v>
      </c>
      <c r="D3949" s="69">
        <v>10864</v>
      </c>
      <c r="E3949" s="69">
        <v>0</v>
      </c>
      <c r="H3949" t="s">
        <v>1050</v>
      </c>
    </row>
    <row r="3950" spans="1:8" hidden="1">
      <c r="A3950" s="232">
        <v>45082</v>
      </c>
      <c r="C3950" t="s">
        <v>5015</v>
      </c>
      <c r="D3950" s="69">
        <v>107</v>
      </c>
      <c r="E3950" s="69">
        <v>0</v>
      </c>
      <c r="H3950" t="s">
        <v>1050</v>
      </c>
    </row>
    <row r="3951" spans="1:8" hidden="1">
      <c r="A3951" s="232">
        <v>45083</v>
      </c>
      <c r="C3951" t="s">
        <v>5016</v>
      </c>
      <c r="D3951" s="69">
        <v>75000</v>
      </c>
      <c r="E3951" s="69">
        <v>0</v>
      </c>
      <c r="G3951" s="8" t="s">
        <v>1363</v>
      </c>
      <c r="H3951" t="s">
        <v>1050</v>
      </c>
    </row>
    <row r="3952" spans="1:8" hidden="1">
      <c r="A3952" s="232">
        <v>45089</v>
      </c>
      <c r="C3952" t="s">
        <v>5017</v>
      </c>
      <c r="D3952" s="69">
        <v>500</v>
      </c>
      <c r="E3952" s="69">
        <v>0</v>
      </c>
      <c r="H3952" t="s">
        <v>1050</v>
      </c>
    </row>
    <row r="3953" spans="1:9" hidden="1">
      <c r="A3953" s="232">
        <v>45089</v>
      </c>
      <c r="C3953" t="s">
        <v>5018</v>
      </c>
      <c r="D3953" s="69">
        <v>90</v>
      </c>
      <c r="E3953" s="69">
        <v>0</v>
      </c>
      <c r="H3953" t="s">
        <v>1050</v>
      </c>
    </row>
    <row r="3954" spans="1:9" hidden="1">
      <c r="A3954" s="232">
        <v>45089</v>
      </c>
      <c r="C3954" t="s">
        <v>5019</v>
      </c>
      <c r="D3954" s="69">
        <v>40</v>
      </c>
      <c r="E3954" s="69">
        <v>0</v>
      </c>
      <c r="H3954" t="s">
        <v>1050</v>
      </c>
    </row>
    <row r="3955" spans="1:9" hidden="1">
      <c r="A3955" s="232">
        <v>45089</v>
      </c>
      <c r="C3955" t="s">
        <v>5020</v>
      </c>
      <c r="D3955" s="69">
        <v>10250</v>
      </c>
      <c r="E3955" s="69">
        <v>0</v>
      </c>
      <c r="G3955" s="8" t="s">
        <v>1372</v>
      </c>
      <c r="H3955" t="s">
        <v>1050</v>
      </c>
    </row>
    <row r="3956" spans="1:9" hidden="1">
      <c r="A3956" s="232">
        <v>45089</v>
      </c>
      <c r="C3956" t="s">
        <v>2738</v>
      </c>
      <c r="D3956" s="69">
        <v>17306.39</v>
      </c>
      <c r="E3956" s="69">
        <v>0</v>
      </c>
      <c r="G3956" s="8" t="s">
        <v>1362</v>
      </c>
      <c r="H3956" t="s">
        <v>1050</v>
      </c>
    </row>
    <row r="3957" spans="1:9" hidden="1">
      <c r="A3957" s="232">
        <v>45091</v>
      </c>
      <c r="C3957" t="s">
        <v>5021</v>
      </c>
      <c r="D3957" s="69">
        <v>1000</v>
      </c>
      <c r="E3957" s="69">
        <v>0</v>
      </c>
      <c r="H3957" t="s">
        <v>1050</v>
      </c>
    </row>
    <row r="3958" spans="1:9" hidden="1">
      <c r="A3958" s="232">
        <v>45091</v>
      </c>
      <c r="C3958" t="s">
        <v>5022</v>
      </c>
      <c r="D3958" s="69">
        <v>150</v>
      </c>
      <c r="E3958" s="69">
        <v>0</v>
      </c>
      <c r="H3958" t="s">
        <v>1050</v>
      </c>
    </row>
    <row r="3959" spans="1:9" hidden="1">
      <c r="A3959" s="232">
        <v>45092</v>
      </c>
      <c r="C3959" t="s">
        <v>5023</v>
      </c>
      <c r="D3959" s="69">
        <v>712.72</v>
      </c>
      <c r="E3959" s="69">
        <v>0</v>
      </c>
      <c r="H3959" t="s">
        <v>1050</v>
      </c>
    </row>
    <row r="3960" spans="1:9" hidden="1">
      <c r="A3960" s="232">
        <v>45093</v>
      </c>
      <c r="C3960" t="s">
        <v>5024</v>
      </c>
      <c r="D3960" s="69">
        <v>369</v>
      </c>
      <c r="E3960" s="69">
        <v>0</v>
      </c>
      <c r="H3960" t="s">
        <v>1050</v>
      </c>
    </row>
    <row r="3961" spans="1:9" hidden="1">
      <c r="A3961" s="232">
        <v>45093</v>
      </c>
      <c r="C3961" t="s">
        <v>5025</v>
      </c>
      <c r="D3961" s="69">
        <v>9990</v>
      </c>
      <c r="E3961" s="69">
        <v>0</v>
      </c>
      <c r="G3961" s="8" t="s">
        <v>1383</v>
      </c>
      <c r="H3961" t="s">
        <v>1050</v>
      </c>
    </row>
    <row r="3962" spans="1:9" hidden="1">
      <c r="A3962" s="232">
        <v>45093</v>
      </c>
      <c r="C3962" t="s">
        <v>5026</v>
      </c>
      <c r="D3962" s="69">
        <v>30000</v>
      </c>
      <c r="E3962" s="69">
        <v>0</v>
      </c>
      <c r="H3962" t="s">
        <v>1050</v>
      </c>
      <c r="I3962" t="s">
        <v>5027</v>
      </c>
    </row>
    <row r="3963" spans="1:9" hidden="1">
      <c r="A3963" s="232">
        <v>45096</v>
      </c>
      <c r="C3963" t="s">
        <v>5028</v>
      </c>
      <c r="D3963" s="69">
        <v>100</v>
      </c>
      <c r="E3963" s="69">
        <v>0</v>
      </c>
      <c r="H3963" t="s">
        <v>1050</v>
      </c>
    </row>
    <row r="3964" spans="1:9" hidden="1">
      <c r="A3964" s="232">
        <v>45096</v>
      </c>
      <c r="C3964" t="s">
        <v>5029</v>
      </c>
      <c r="D3964" s="69">
        <v>479</v>
      </c>
      <c r="E3964" s="69">
        <v>0</v>
      </c>
      <c r="H3964" t="s">
        <v>1050</v>
      </c>
    </row>
    <row r="3965" spans="1:9" hidden="1">
      <c r="A3965" s="232">
        <v>45096</v>
      </c>
      <c r="C3965" t="s">
        <v>5030</v>
      </c>
      <c r="D3965" s="69">
        <v>10250</v>
      </c>
      <c r="E3965" s="69">
        <v>0</v>
      </c>
      <c r="G3965" s="8" t="s">
        <v>1372</v>
      </c>
      <c r="H3965" t="s">
        <v>1050</v>
      </c>
    </row>
    <row r="3966" spans="1:9" hidden="1">
      <c r="A3966" s="232">
        <v>45098</v>
      </c>
      <c r="C3966" t="s">
        <v>5031</v>
      </c>
      <c r="D3966" s="69">
        <v>33333</v>
      </c>
      <c r="E3966" s="69">
        <v>0</v>
      </c>
      <c r="G3966" s="8" t="s">
        <v>1381</v>
      </c>
      <c r="H3966" t="s">
        <v>1050</v>
      </c>
    </row>
    <row r="3967" spans="1:9" hidden="1">
      <c r="A3967" s="232">
        <v>45098</v>
      </c>
      <c r="C3967" t="s">
        <v>5032</v>
      </c>
      <c r="D3967" s="69">
        <v>20</v>
      </c>
      <c r="E3967" s="69">
        <v>0</v>
      </c>
      <c r="H3967" t="s">
        <v>1050</v>
      </c>
    </row>
    <row r="3968" spans="1:9" hidden="1">
      <c r="A3968" s="232">
        <v>45100</v>
      </c>
      <c r="C3968" t="s">
        <v>5033</v>
      </c>
      <c r="D3968" s="69">
        <v>312162</v>
      </c>
      <c r="E3968" s="69">
        <v>0</v>
      </c>
      <c r="G3968" s="8" t="s">
        <v>1370</v>
      </c>
      <c r="H3968" t="s">
        <v>1050</v>
      </c>
    </row>
    <row r="3969" spans="1:8" hidden="1">
      <c r="A3969" s="232">
        <v>45100</v>
      </c>
      <c r="C3969" t="s">
        <v>4434</v>
      </c>
      <c r="D3969" s="69">
        <v>0</v>
      </c>
      <c r="E3969" s="69">
        <v>250000</v>
      </c>
      <c r="H3969" t="s">
        <v>1050</v>
      </c>
    </row>
    <row r="3970" spans="1:8" hidden="1">
      <c r="A3970" s="232">
        <v>45100</v>
      </c>
      <c r="C3970" t="s">
        <v>4435</v>
      </c>
      <c r="D3970" s="69">
        <v>0</v>
      </c>
      <c r="E3970" s="69">
        <v>1180</v>
      </c>
      <c r="H3970" t="s">
        <v>1050</v>
      </c>
    </row>
    <row r="3971" spans="1:8" hidden="1">
      <c r="A3971" s="232">
        <v>45103</v>
      </c>
      <c r="C3971" t="s">
        <v>5034</v>
      </c>
      <c r="D3971" s="69">
        <v>300</v>
      </c>
      <c r="E3971" s="69">
        <v>0</v>
      </c>
      <c r="H3971" t="s">
        <v>1050</v>
      </c>
    </row>
    <row r="3972" spans="1:8" hidden="1">
      <c r="A3972" s="232">
        <v>45103</v>
      </c>
      <c r="C3972" t="s">
        <v>5035</v>
      </c>
      <c r="D3972" s="69">
        <v>2000</v>
      </c>
      <c r="E3972" s="69">
        <v>0</v>
      </c>
      <c r="H3972" t="s">
        <v>1050</v>
      </c>
    </row>
    <row r="3973" spans="1:8" hidden="1">
      <c r="A3973" s="232">
        <v>45103</v>
      </c>
      <c r="C3973" t="s">
        <v>4434</v>
      </c>
      <c r="D3973" s="69">
        <v>0</v>
      </c>
      <c r="E3973" s="69">
        <v>5000</v>
      </c>
      <c r="H3973" t="s">
        <v>1050</v>
      </c>
    </row>
    <row r="3974" spans="1:8" hidden="1">
      <c r="A3974" s="232">
        <v>45103</v>
      </c>
      <c r="C3974" t="s">
        <v>4435</v>
      </c>
      <c r="D3974" s="69">
        <v>0</v>
      </c>
      <c r="E3974" s="69">
        <v>24</v>
      </c>
      <c r="H3974" t="s">
        <v>1050</v>
      </c>
    </row>
    <row r="3975" spans="1:8" hidden="1">
      <c r="A3975" s="232">
        <v>45103</v>
      </c>
      <c r="C3975" t="s">
        <v>5036</v>
      </c>
      <c r="D3975" s="69">
        <v>10250</v>
      </c>
      <c r="E3975" s="69">
        <v>0</v>
      </c>
      <c r="G3975" s="8" t="s">
        <v>1372</v>
      </c>
      <c r="H3975" t="s">
        <v>1050</v>
      </c>
    </row>
    <row r="3976" spans="1:8" hidden="1">
      <c r="A3976" s="232">
        <v>45103</v>
      </c>
      <c r="C3976" t="s">
        <v>5037</v>
      </c>
      <c r="D3976" s="69">
        <v>0</v>
      </c>
      <c r="E3976" s="69">
        <v>319298</v>
      </c>
      <c r="G3976" s="8" t="s">
        <v>1380</v>
      </c>
      <c r="H3976" t="s">
        <v>1050</v>
      </c>
    </row>
    <row r="3977" spans="1:8" hidden="1">
      <c r="A3977" s="232">
        <v>45105</v>
      </c>
      <c r="C3977" t="s">
        <v>5038</v>
      </c>
      <c r="D3977" s="69">
        <v>2000</v>
      </c>
      <c r="E3977" s="69">
        <v>0</v>
      </c>
      <c r="G3977" s="8" t="s">
        <v>1372</v>
      </c>
      <c r="H3977" t="s">
        <v>1050</v>
      </c>
    </row>
    <row r="3978" spans="1:8" hidden="1">
      <c r="A3978" s="232">
        <v>45105</v>
      </c>
      <c r="C3978" t="s">
        <v>5039</v>
      </c>
      <c r="D3978" s="69">
        <v>25000</v>
      </c>
      <c r="E3978" s="69">
        <v>0</v>
      </c>
      <c r="G3978" s="8" t="s">
        <v>1381</v>
      </c>
      <c r="H3978" t="s">
        <v>1050</v>
      </c>
    </row>
    <row r="3979" spans="1:8" hidden="1">
      <c r="A3979" s="232">
        <v>45105</v>
      </c>
      <c r="C3979" t="s">
        <v>5040</v>
      </c>
      <c r="D3979" s="69">
        <v>300</v>
      </c>
      <c r="E3979" s="69">
        <v>0</v>
      </c>
      <c r="H3979" t="s">
        <v>1050</v>
      </c>
    </row>
    <row r="3980" spans="1:8" hidden="1">
      <c r="A3980" s="232">
        <v>45106</v>
      </c>
      <c r="C3980" t="s">
        <v>5041</v>
      </c>
      <c r="D3980" s="69">
        <v>22500</v>
      </c>
      <c r="E3980" s="69">
        <v>0</v>
      </c>
      <c r="H3980" t="s">
        <v>1050</v>
      </c>
    </row>
    <row r="3981" spans="1:8" hidden="1">
      <c r="A3981" s="232">
        <v>45107</v>
      </c>
      <c r="C3981" t="s">
        <v>5042</v>
      </c>
      <c r="D3981" s="69">
        <v>0</v>
      </c>
      <c r="E3981" s="69">
        <v>2815</v>
      </c>
      <c r="G3981" s="8" t="s">
        <v>1368</v>
      </c>
      <c r="H3981" t="s">
        <v>1050</v>
      </c>
    </row>
    <row r="3982" spans="1:8" hidden="1">
      <c r="A3982" s="232">
        <v>45108</v>
      </c>
      <c r="H3982" t="s">
        <v>1050</v>
      </c>
    </row>
    <row r="3983" spans="1:8" hidden="1">
      <c r="A3983" s="232">
        <v>45109</v>
      </c>
      <c r="C3983" s="315" t="s">
        <v>12360</v>
      </c>
      <c r="D3983" s="1">
        <v>500</v>
      </c>
      <c r="E3983" s="1">
        <v>0</v>
      </c>
      <c r="G3983" s="8" t="s">
        <v>1363</v>
      </c>
      <c r="H3983" t="s">
        <v>1050</v>
      </c>
    </row>
    <row r="3984" spans="1:8" hidden="1">
      <c r="A3984" s="232">
        <v>45109</v>
      </c>
      <c r="C3984" s="315" t="s">
        <v>12361</v>
      </c>
      <c r="D3984" s="1">
        <v>2000</v>
      </c>
      <c r="E3984" s="1">
        <v>0</v>
      </c>
      <c r="H3984" t="s">
        <v>1050</v>
      </c>
    </row>
    <row r="3985" spans="1:8" hidden="1">
      <c r="A3985" s="232">
        <v>45110</v>
      </c>
      <c r="C3985" s="315" t="s">
        <v>12362</v>
      </c>
      <c r="D3985" s="1">
        <v>3500</v>
      </c>
      <c r="E3985" s="1">
        <v>0</v>
      </c>
      <c r="H3985" t="s">
        <v>1050</v>
      </c>
    </row>
    <row r="3986" spans="1:8" hidden="1">
      <c r="A3986" s="232">
        <v>45111</v>
      </c>
      <c r="C3986" s="315" t="s">
        <v>12363</v>
      </c>
      <c r="D3986" s="1">
        <v>10250</v>
      </c>
      <c r="E3986" s="1">
        <v>0</v>
      </c>
      <c r="G3986" s="8" t="s">
        <v>1372</v>
      </c>
      <c r="H3986" t="s">
        <v>1050</v>
      </c>
    </row>
    <row r="3987" spans="1:8" hidden="1">
      <c r="A3987" s="232">
        <v>45113</v>
      </c>
      <c r="C3987" s="315" t="s">
        <v>12364</v>
      </c>
      <c r="D3987" s="1">
        <v>11705</v>
      </c>
      <c r="E3987" s="1">
        <v>0</v>
      </c>
      <c r="H3987" t="s">
        <v>1050</v>
      </c>
    </row>
    <row r="3988" spans="1:8" hidden="1">
      <c r="A3988" s="232">
        <v>45114</v>
      </c>
      <c r="C3988" s="315" t="s">
        <v>12365</v>
      </c>
      <c r="D3988" s="1">
        <v>75000</v>
      </c>
      <c r="E3988" s="1">
        <v>0</v>
      </c>
      <c r="G3988" s="8" t="s">
        <v>1363</v>
      </c>
      <c r="H3988" t="s">
        <v>1050</v>
      </c>
    </row>
    <row r="3989" spans="1:8" hidden="1">
      <c r="A3989" s="232">
        <v>45114</v>
      </c>
      <c r="C3989" s="315" t="s">
        <v>12366</v>
      </c>
      <c r="D3989" s="1">
        <v>101813</v>
      </c>
      <c r="E3989" s="1">
        <v>0</v>
      </c>
      <c r="G3989" s="8" t="s">
        <v>1370</v>
      </c>
      <c r="H3989" t="s">
        <v>1050</v>
      </c>
    </row>
    <row r="3990" spans="1:8" hidden="1">
      <c r="A3990" s="232">
        <v>45114</v>
      </c>
      <c r="C3990" s="315" t="s">
        <v>12367</v>
      </c>
      <c r="D3990" s="1">
        <v>1860</v>
      </c>
      <c r="E3990" s="1">
        <v>0</v>
      </c>
      <c r="H3990" t="s">
        <v>1050</v>
      </c>
    </row>
    <row r="3991" spans="1:8" hidden="1">
      <c r="A3991" s="232">
        <v>45115</v>
      </c>
      <c r="C3991" s="315" t="s">
        <v>12368</v>
      </c>
      <c r="D3991" s="1">
        <v>50</v>
      </c>
      <c r="E3991" s="1">
        <v>0</v>
      </c>
      <c r="H3991" t="s">
        <v>1050</v>
      </c>
    </row>
    <row r="3992" spans="1:8" hidden="1">
      <c r="A3992" s="232">
        <v>45117</v>
      </c>
      <c r="C3992" s="315" t="s">
        <v>12369</v>
      </c>
      <c r="D3992" s="1">
        <v>1000</v>
      </c>
      <c r="E3992" s="1">
        <v>0</v>
      </c>
      <c r="H3992" t="s">
        <v>1050</v>
      </c>
    </row>
    <row r="3993" spans="1:8" hidden="1">
      <c r="A3993" s="232">
        <v>45118</v>
      </c>
      <c r="C3993" s="315" t="s">
        <v>12370</v>
      </c>
      <c r="D3993" s="1">
        <v>10250</v>
      </c>
      <c r="E3993" s="1">
        <v>0</v>
      </c>
      <c r="G3993" s="8" t="s">
        <v>1372</v>
      </c>
      <c r="H3993" t="s">
        <v>1050</v>
      </c>
    </row>
    <row r="3994" spans="1:8" hidden="1">
      <c r="A3994" s="232">
        <v>45120</v>
      </c>
      <c r="C3994" s="315" t="s">
        <v>4132</v>
      </c>
      <c r="D3994" s="1">
        <v>42188.99</v>
      </c>
      <c r="E3994" s="1">
        <v>0</v>
      </c>
      <c r="G3994" s="8" t="s">
        <v>1362</v>
      </c>
      <c r="H3994" t="s">
        <v>1050</v>
      </c>
    </row>
    <row r="3995" spans="1:8" hidden="1">
      <c r="A3995" s="232">
        <v>45121</v>
      </c>
      <c r="C3995" s="315" t="s">
        <v>12371</v>
      </c>
      <c r="D3995" s="1">
        <v>889</v>
      </c>
      <c r="E3995" s="1">
        <v>0</v>
      </c>
      <c r="H3995" t="s">
        <v>1050</v>
      </c>
    </row>
    <row r="3996" spans="1:8" hidden="1">
      <c r="A3996" s="232">
        <v>45121</v>
      </c>
      <c r="C3996" s="315" t="s">
        <v>12372</v>
      </c>
      <c r="D3996" s="1">
        <v>2360</v>
      </c>
      <c r="E3996" s="1">
        <v>0</v>
      </c>
      <c r="H3996" t="s">
        <v>1050</v>
      </c>
    </row>
    <row r="3997" spans="1:8" hidden="1">
      <c r="A3997" s="232">
        <v>45122</v>
      </c>
      <c r="C3997" s="315" t="s">
        <v>12373</v>
      </c>
      <c r="D3997" s="1">
        <v>90</v>
      </c>
      <c r="E3997" s="1">
        <v>0</v>
      </c>
      <c r="H3997" t="s">
        <v>1050</v>
      </c>
    </row>
    <row r="3998" spans="1:8" hidden="1">
      <c r="A3998" s="232">
        <v>45122</v>
      </c>
      <c r="C3998" s="315" t="s">
        <v>12374</v>
      </c>
      <c r="D3998" s="1">
        <v>50</v>
      </c>
      <c r="E3998" s="1">
        <v>0</v>
      </c>
      <c r="H3998" t="s">
        <v>1050</v>
      </c>
    </row>
    <row r="3999" spans="1:8" hidden="1">
      <c r="A3999" s="232">
        <v>45122</v>
      </c>
      <c r="C3999" s="315" t="s">
        <v>12375</v>
      </c>
      <c r="D3999" s="1">
        <v>250</v>
      </c>
      <c r="E3999" s="1">
        <v>0</v>
      </c>
      <c r="H3999" t="s">
        <v>1050</v>
      </c>
    </row>
    <row r="4000" spans="1:8" hidden="1">
      <c r="A4000" s="232">
        <v>45123</v>
      </c>
      <c r="C4000" s="315" t="s">
        <v>12376</v>
      </c>
      <c r="D4000" s="1">
        <v>112</v>
      </c>
      <c r="E4000" s="1">
        <v>0</v>
      </c>
      <c r="H4000" t="s">
        <v>1050</v>
      </c>
    </row>
    <row r="4001" spans="1:8" hidden="1">
      <c r="A4001" s="232">
        <v>45123</v>
      </c>
      <c r="C4001" s="315" t="s">
        <v>12377</v>
      </c>
      <c r="D4001" s="1">
        <v>300</v>
      </c>
      <c r="E4001" s="1">
        <v>0</v>
      </c>
      <c r="H4001" t="s">
        <v>1050</v>
      </c>
    </row>
    <row r="4002" spans="1:8" hidden="1">
      <c r="A4002" s="232">
        <v>45124</v>
      </c>
      <c r="C4002" s="315" t="s">
        <v>12378</v>
      </c>
      <c r="D4002" s="1">
        <v>133</v>
      </c>
      <c r="E4002" s="1">
        <v>0</v>
      </c>
      <c r="H4002" t="s">
        <v>1050</v>
      </c>
    </row>
    <row r="4003" spans="1:8" hidden="1">
      <c r="A4003" s="232">
        <v>45124</v>
      </c>
      <c r="C4003" s="315" t="s">
        <v>12379</v>
      </c>
      <c r="D4003" s="1">
        <v>11250</v>
      </c>
      <c r="E4003" s="1">
        <v>0</v>
      </c>
      <c r="G4003" s="8" t="s">
        <v>1372</v>
      </c>
      <c r="H4003" t="s">
        <v>1050</v>
      </c>
    </row>
    <row r="4004" spans="1:8" hidden="1">
      <c r="A4004" s="232">
        <v>45124</v>
      </c>
      <c r="C4004" s="315" t="s">
        <v>12380</v>
      </c>
      <c r="D4004" s="1">
        <v>9990</v>
      </c>
      <c r="E4004" s="1">
        <v>0</v>
      </c>
      <c r="G4004" s="8" t="s">
        <v>1383</v>
      </c>
      <c r="H4004" t="s">
        <v>1050</v>
      </c>
    </row>
    <row r="4005" spans="1:8" hidden="1">
      <c r="A4005" s="232">
        <v>45124</v>
      </c>
      <c r="C4005" s="315" t="s">
        <v>4157</v>
      </c>
      <c r="D4005" s="1">
        <v>0</v>
      </c>
      <c r="E4005" s="1">
        <v>20000</v>
      </c>
      <c r="H4005" t="s">
        <v>1050</v>
      </c>
    </row>
    <row r="4006" spans="1:8" hidden="1">
      <c r="A4006" s="232">
        <v>45127</v>
      </c>
      <c r="C4006" s="315" t="s">
        <v>4158</v>
      </c>
      <c r="D4006" s="1">
        <v>0</v>
      </c>
      <c r="E4006" s="1">
        <v>148</v>
      </c>
      <c r="H4006" t="s">
        <v>1050</v>
      </c>
    </row>
    <row r="4007" spans="1:8" hidden="1">
      <c r="A4007" s="232">
        <v>45127</v>
      </c>
      <c r="C4007" s="315" t="s">
        <v>12381</v>
      </c>
      <c r="D4007" s="1">
        <v>127900</v>
      </c>
      <c r="E4007" s="1">
        <v>0</v>
      </c>
      <c r="H4007" t="s">
        <v>1050</v>
      </c>
    </row>
    <row r="4008" spans="1:8" hidden="1">
      <c r="A4008" s="232">
        <v>45127</v>
      </c>
      <c r="C4008" s="315" t="s">
        <v>4157</v>
      </c>
      <c r="D4008" s="1">
        <v>0</v>
      </c>
      <c r="E4008" s="1">
        <v>130000</v>
      </c>
      <c r="H4008" t="s">
        <v>1050</v>
      </c>
    </row>
    <row r="4009" spans="1:8" hidden="1">
      <c r="A4009" s="232">
        <v>45128</v>
      </c>
      <c r="C4009" s="315" t="s">
        <v>4158</v>
      </c>
      <c r="D4009" s="1">
        <v>0</v>
      </c>
      <c r="E4009" s="1">
        <v>997</v>
      </c>
      <c r="H4009" t="s">
        <v>1050</v>
      </c>
    </row>
    <row r="4010" spans="1:8" hidden="1">
      <c r="A4010" s="232">
        <v>45128</v>
      </c>
      <c r="C4010" s="315" t="s">
        <v>12382</v>
      </c>
      <c r="D4010" s="1">
        <v>33333</v>
      </c>
      <c r="E4010" s="1">
        <v>0</v>
      </c>
      <c r="G4010" s="8" t="s">
        <v>1381</v>
      </c>
      <c r="H4010" t="s">
        <v>1050</v>
      </c>
    </row>
    <row r="4011" spans="1:8" hidden="1">
      <c r="A4011" s="232">
        <v>45128</v>
      </c>
      <c r="C4011" s="315" t="s">
        <v>4157</v>
      </c>
      <c r="D4011" s="1">
        <v>0</v>
      </c>
      <c r="E4011" s="1">
        <v>30000</v>
      </c>
      <c r="H4011" t="s">
        <v>1050</v>
      </c>
    </row>
    <row r="4012" spans="1:8" hidden="1">
      <c r="A4012" s="232">
        <v>45130</v>
      </c>
      <c r="C4012" s="315" t="s">
        <v>4158</v>
      </c>
      <c r="D4012" s="1">
        <v>0</v>
      </c>
      <c r="E4012" s="1">
        <v>233</v>
      </c>
      <c r="H4012" t="s">
        <v>1050</v>
      </c>
    </row>
    <row r="4013" spans="1:8" hidden="1">
      <c r="A4013" s="232">
        <v>45130</v>
      </c>
      <c r="C4013" s="315" t="s">
        <v>12383</v>
      </c>
      <c r="D4013" s="1">
        <v>60</v>
      </c>
      <c r="E4013" s="1">
        <v>0</v>
      </c>
      <c r="H4013" t="s">
        <v>1050</v>
      </c>
    </row>
    <row r="4014" spans="1:8" hidden="1">
      <c r="A4014" s="232">
        <v>45130</v>
      </c>
      <c r="C4014" s="315" t="s">
        <v>12384</v>
      </c>
      <c r="D4014" s="1">
        <v>100</v>
      </c>
      <c r="E4014" s="1">
        <v>0</v>
      </c>
      <c r="H4014" t="s">
        <v>1050</v>
      </c>
    </row>
    <row r="4015" spans="1:8" hidden="1">
      <c r="A4015" s="232">
        <v>45130</v>
      </c>
      <c r="C4015" s="315" t="s">
        <v>12385</v>
      </c>
      <c r="D4015" s="1">
        <v>40</v>
      </c>
      <c r="E4015" s="1">
        <v>0</v>
      </c>
      <c r="H4015" t="s">
        <v>1050</v>
      </c>
    </row>
    <row r="4016" spans="1:8" hidden="1">
      <c r="A4016" s="232">
        <v>45130</v>
      </c>
      <c r="C4016" s="315" t="s">
        <v>12386</v>
      </c>
      <c r="D4016" s="1">
        <v>100</v>
      </c>
      <c r="E4016" s="1">
        <v>0</v>
      </c>
      <c r="H4016" t="s">
        <v>1050</v>
      </c>
    </row>
    <row r="4017" spans="1:8" hidden="1">
      <c r="A4017" s="232">
        <v>45130</v>
      </c>
      <c r="C4017" s="315" t="s">
        <v>12387</v>
      </c>
      <c r="D4017" s="1">
        <v>2000</v>
      </c>
      <c r="E4017" s="1">
        <v>0</v>
      </c>
      <c r="H4017" t="s">
        <v>1050</v>
      </c>
    </row>
    <row r="4018" spans="1:8" hidden="1">
      <c r="A4018" s="232">
        <v>45130</v>
      </c>
      <c r="C4018" s="315" t="s">
        <v>4157</v>
      </c>
      <c r="D4018" s="1">
        <v>0</v>
      </c>
      <c r="E4018" s="1">
        <v>5000</v>
      </c>
      <c r="H4018" t="s">
        <v>1050</v>
      </c>
    </row>
    <row r="4019" spans="1:8" hidden="1">
      <c r="A4019" s="232">
        <v>45131</v>
      </c>
      <c r="C4019" s="315" t="s">
        <v>4158</v>
      </c>
      <c r="D4019" s="1">
        <v>0</v>
      </c>
      <c r="E4019" s="1">
        <v>40</v>
      </c>
      <c r="H4019" t="s">
        <v>1050</v>
      </c>
    </row>
    <row r="4020" spans="1:8" hidden="1">
      <c r="A4020" s="232">
        <v>45131</v>
      </c>
      <c r="C4020" s="315" t="s">
        <v>12388</v>
      </c>
      <c r="D4020" s="1">
        <v>11250</v>
      </c>
      <c r="E4020" s="1">
        <v>0</v>
      </c>
      <c r="G4020" s="8" t="s">
        <v>1372</v>
      </c>
      <c r="H4020" t="s">
        <v>1050</v>
      </c>
    </row>
    <row r="4021" spans="1:8" hidden="1">
      <c r="A4021" s="232">
        <v>45131</v>
      </c>
      <c r="C4021" s="315" t="s">
        <v>12389</v>
      </c>
      <c r="D4021" s="1">
        <v>0</v>
      </c>
      <c r="E4021" s="1">
        <v>1</v>
      </c>
      <c r="H4021" t="s">
        <v>1050</v>
      </c>
    </row>
    <row r="4022" spans="1:8" hidden="1">
      <c r="A4022" s="232">
        <v>45131</v>
      </c>
      <c r="C4022" s="315" t="s">
        <v>4157</v>
      </c>
      <c r="D4022" s="1">
        <v>0</v>
      </c>
      <c r="E4022" s="1">
        <v>10000</v>
      </c>
      <c r="H4022" t="s">
        <v>1050</v>
      </c>
    </row>
    <row r="4023" spans="1:8" hidden="1">
      <c r="A4023" s="232">
        <v>45133</v>
      </c>
      <c r="C4023" s="315" t="s">
        <v>4158</v>
      </c>
      <c r="D4023" s="1">
        <v>0</v>
      </c>
      <c r="E4023" s="1">
        <v>81</v>
      </c>
      <c r="H4023" t="s">
        <v>1050</v>
      </c>
    </row>
    <row r="4024" spans="1:8" hidden="1">
      <c r="A4024" s="232">
        <v>45133</v>
      </c>
      <c r="C4024" s="315" t="s">
        <v>12390</v>
      </c>
      <c r="D4024" s="1">
        <v>142</v>
      </c>
      <c r="E4024" s="1">
        <v>0</v>
      </c>
      <c r="H4024" t="s">
        <v>1050</v>
      </c>
    </row>
    <row r="4025" spans="1:8" hidden="1">
      <c r="A4025" s="232">
        <v>45135</v>
      </c>
      <c r="C4025" s="315" t="s">
        <v>12391</v>
      </c>
      <c r="D4025" s="1">
        <v>0</v>
      </c>
      <c r="E4025" s="1">
        <v>319299</v>
      </c>
      <c r="G4025" s="8" t="s">
        <v>1380</v>
      </c>
      <c r="H4025" t="s">
        <v>1050</v>
      </c>
    </row>
    <row r="4026" spans="1:8" hidden="1">
      <c r="A4026" s="232">
        <v>45135</v>
      </c>
      <c r="C4026" s="315" t="s">
        <v>12392</v>
      </c>
      <c r="D4026" s="1">
        <v>2000</v>
      </c>
      <c r="E4026" s="1">
        <v>0</v>
      </c>
      <c r="G4026" s="8" t="s">
        <v>1372</v>
      </c>
      <c r="H4026" t="s">
        <v>1050</v>
      </c>
    </row>
    <row r="4027" spans="1:8" hidden="1">
      <c r="A4027" s="232">
        <v>45135</v>
      </c>
      <c r="C4027" s="315" t="s">
        <v>12393</v>
      </c>
      <c r="D4027" s="1">
        <v>597</v>
      </c>
      <c r="E4027" s="1">
        <v>0</v>
      </c>
      <c r="H4027" t="s">
        <v>1050</v>
      </c>
    </row>
    <row r="4028" spans="1:8" hidden="1">
      <c r="A4028" s="232">
        <v>45136</v>
      </c>
      <c r="C4028" s="315" t="s">
        <v>12394</v>
      </c>
      <c r="D4028" s="1">
        <v>25000</v>
      </c>
      <c r="E4028" s="1">
        <v>0</v>
      </c>
      <c r="G4028" s="8" t="s">
        <v>1381</v>
      </c>
      <c r="H4028" t="s">
        <v>1050</v>
      </c>
    </row>
    <row r="4029" spans="1:8" hidden="1">
      <c r="A4029" s="232">
        <v>45137</v>
      </c>
      <c r="C4029" s="315" t="s">
        <v>12395</v>
      </c>
      <c r="D4029" s="1">
        <v>361</v>
      </c>
      <c r="E4029" s="1">
        <v>0</v>
      </c>
      <c r="H4029" t="s">
        <v>1050</v>
      </c>
    </row>
    <row r="4030" spans="1:8" hidden="1">
      <c r="A4030" s="232">
        <v>45137</v>
      </c>
      <c r="C4030" s="315" t="s">
        <v>12396</v>
      </c>
      <c r="D4030" s="1">
        <v>60</v>
      </c>
      <c r="E4030" s="1">
        <v>0</v>
      </c>
      <c r="H4030" t="s">
        <v>1050</v>
      </c>
    </row>
    <row r="4031" spans="1:8" hidden="1">
      <c r="A4031" s="232">
        <v>45137</v>
      </c>
      <c r="C4031" s="315" t="s">
        <v>12397</v>
      </c>
      <c r="D4031" s="1">
        <v>140</v>
      </c>
      <c r="E4031" s="1">
        <v>0</v>
      </c>
      <c r="H4031" t="s">
        <v>1050</v>
      </c>
    </row>
    <row r="4032" spans="1:8" hidden="1">
      <c r="A4032" s="232">
        <v>45138</v>
      </c>
      <c r="C4032" s="315" t="s">
        <v>12398</v>
      </c>
      <c r="D4032" s="1">
        <v>6000</v>
      </c>
      <c r="E4032" s="1">
        <v>0</v>
      </c>
      <c r="G4032" s="8" t="s">
        <v>1361</v>
      </c>
      <c r="H4032" t="s">
        <v>1050</v>
      </c>
    </row>
    <row r="4033" spans="1:8" hidden="1">
      <c r="A4033" s="232">
        <v>45138</v>
      </c>
      <c r="C4033" s="315" t="s">
        <v>12399</v>
      </c>
      <c r="D4033" s="1">
        <v>11250</v>
      </c>
      <c r="E4033" s="1">
        <v>0</v>
      </c>
      <c r="G4033" s="8" t="s">
        <v>1372</v>
      </c>
      <c r="H4033" t="s">
        <v>1050</v>
      </c>
    </row>
    <row r="4034" spans="1:8" hidden="1">
      <c r="A4034" s="232">
        <v>45109</v>
      </c>
      <c r="C4034" s="316" t="s">
        <v>12406</v>
      </c>
      <c r="D4034" s="1">
        <v>25000</v>
      </c>
      <c r="G4034" s="8" t="s">
        <v>1379</v>
      </c>
      <c r="H4034" t="s">
        <v>1336</v>
      </c>
    </row>
    <row r="4035" spans="1:8" hidden="1">
      <c r="A4035" s="232">
        <v>45112</v>
      </c>
      <c r="C4035" s="316" t="s">
        <v>4319</v>
      </c>
      <c r="D4035" s="1">
        <v>235293</v>
      </c>
      <c r="G4035" s="8" t="s">
        <v>1362</v>
      </c>
      <c r="H4035" t="s">
        <v>1336</v>
      </c>
    </row>
    <row r="4036" spans="1:8" hidden="1">
      <c r="A4036" s="232">
        <v>45113</v>
      </c>
      <c r="C4036" s="316" t="s">
        <v>12407</v>
      </c>
      <c r="E4036" s="1">
        <v>75000</v>
      </c>
      <c r="G4036" s="8" t="s">
        <v>1363</v>
      </c>
      <c r="H4036" t="s">
        <v>1336</v>
      </c>
    </row>
    <row r="4037" spans="1:8" hidden="1">
      <c r="A4037" s="232">
        <v>45139</v>
      </c>
      <c r="C4037" t="s">
        <v>12633</v>
      </c>
      <c r="D4037" s="69">
        <v>250</v>
      </c>
      <c r="E4037" s="69">
        <v>0</v>
      </c>
      <c r="G4037" s="8" t="s">
        <v>1363</v>
      </c>
      <c r="H4037" t="s">
        <v>1050</v>
      </c>
    </row>
    <row r="4038" spans="1:8" hidden="1">
      <c r="A4038" s="232">
        <v>45139</v>
      </c>
      <c r="C4038" t="s">
        <v>12634</v>
      </c>
      <c r="D4038" s="69">
        <v>250</v>
      </c>
      <c r="E4038" s="69">
        <v>0</v>
      </c>
      <c r="G4038" s="8" t="s">
        <v>1363</v>
      </c>
      <c r="H4038" t="s">
        <v>1050</v>
      </c>
    </row>
    <row r="4039" spans="1:8" hidden="1">
      <c r="A4039" s="232">
        <v>45139</v>
      </c>
      <c r="C4039" t="s">
        <v>12635</v>
      </c>
      <c r="D4039" s="69">
        <v>2000</v>
      </c>
      <c r="E4039" s="69">
        <v>0</v>
      </c>
      <c r="H4039" t="s">
        <v>1050</v>
      </c>
    </row>
    <row r="4040" spans="1:8" hidden="1">
      <c r="A4040" s="232">
        <v>45141</v>
      </c>
      <c r="C4040" t="s">
        <v>12636</v>
      </c>
      <c r="D4040" s="69">
        <v>11498</v>
      </c>
      <c r="E4040" s="69">
        <v>0</v>
      </c>
      <c r="H4040" t="s">
        <v>1050</v>
      </c>
    </row>
    <row r="4041" spans="1:8" hidden="1">
      <c r="A4041" s="232">
        <v>45141</v>
      </c>
      <c r="C4041" t="s">
        <v>12637</v>
      </c>
      <c r="D4041" s="69">
        <v>615</v>
      </c>
      <c r="E4041" s="69">
        <v>0</v>
      </c>
      <c r="H4041" t="s">
        <v>1050</v>
      </c>
    </row>
    <row r="4042" spans="1:8" hidden="1">
      <c r="A4042" s="232">
        <v>45141</v>
      </c>
      <c r="C4042" t="s">
        <v>12638</v>
      </c>
      <c r="D4042" s="69">
        <v>3500</v>
      </c>
      <c r="E4042" s="69">
        <v>0</v>
      </c>
      <c r="H4042" t="s">
        <v>1050</v>
      </c>
    </row>
    <row r="4043" spans="1:8" hidden="1">
      <c r="A4043" s="232">
        <v>45141</v>
      </c>
      <c r="C4043" t="s">
        <v>12639</v>
      </c>
      <c r="D4043" s="69">
        <v>0</v>
      </c>
      <c r="E4043" s="69">
        <v>3</v>
      </c>
      <c r="H4043" t="s">
        <v>1050</v>
      </c>
    </row>
    <row r="4044" spans="1:8" hidden="1">
      <c r="A4044" s="232">
        <v>45142</v>
      </c>
      <c r="C4044" t="s">
        <v>12640</v>
      </c>
      <c r="D4044" s="69">
        <v>718.2</v>
      </c>
      <c r="E4044" s="69">
        <v>0</v>
      </c>
      <c r="H4044" t="s">
        <v>1050</v>
      </c>
    </row>
    <row r="4045" spans="1:8" hidden="1">
      <c r="A4045" s="232">
        <v>45145</v>
      </c>
      <c r="C4045" t="s">
        <v>12641</v>
      </c>
      <c r="D4045" s="69">
        <v>75000</v>
      </c>
      <c r="E4045" s="69">
        <v>0</v>
      </c>
      <c r="G4045" s="8" t="s">
        <v>1363</v>
      </c>
      <c r="H4045" t="s">
        <v>1050</v>
      </c>
    </row>
    <row r="4046" spans="1:8" hidden="1">
      <c r="A4046" s="232">
        <v>45145</v>
      </c>
      <c r="C4046" t="s">
        <v>12642</v>
      </c>
      <c r="D4046" s="69">
        <v>250</v>
      </c>
      <c r="E4046" s="69">
        <v>0</v>
      </c>
      <c r="H4046" t="s">
        <v>1050</v>
      </c>
    </row>
    <row r="4047" spans="1:8" hidden="1">
      <c r="A4047" s="232">
        <v>45145</v>
      </c>
      <c r="C4047" t="s">
        <v>12643</v>
      </c>
      <c r="D4047" s="69">
        <v>11250</v>
      </c>
      <c r="E4047" s="69">
        <v>0</v>
      </c>
      <c r="G4047" s="8" t="s">
        <v>1372</v>
      </c>
      <c r="H4047" t="s">
        <v>1050</v>
      </c>
    </row>
    <row r="4048" spans="1:8" hidden="1">
      <c r="A4048" s="232">
        <v>45145</v>
      </c>
      <c r="C4048" t="s">
        <v>12644</v>
      </c>
      <c r="D4048" s="69">
        <v>101813</v>
      </c>
      <c r="E4048" s="69">
        <v>0</v>
      </c>
      <c r="G4048" s="8" t="s">
        <v>1370</v>
      </c>
      <c r="H4048" t="s">
        <v>1050</v>
      </c>
    </row>
    <row r="4049" spans="1:9" hidden="1">
      <c r="A4049" s="232">
        <v>45145</v>
      </c>
      <c r="C4049" t="s">
        <v>12645</v>
      </c>
      <c r="D4049" s="69">
        <v>0</v>
      </c>
      <c r="E4049" s="69">
        <v>3751</v>
      </c>
      <c r="G4049" s="8" t="s">
        <v>1369</v>
      </c>
      <c r="H4049" t="s">
        <v>1050</v>
      </c>
      <c r="I4049" s="69"/>
    </row>
    <row r="4050" spans="1:9" hidden="1">
      <c r="A4050" s="232">
        <v>45148</v>
      </c>
      <c r="C4050" t="s">
        <v>2738</v>
      </c>
      <c r="D4050" s="69">
        <v>17106.669999999998</v>
      </c>
      <c r="E4050" s="69">
        <v>0</v>
      </c>
      <c r="G4050" s="8" t="s">
        <v>1362</v>
      </c>
      <c r="H4050" t="s">
        <v>1050</v>
      </c>
    </row>
    <row r="4051" spans="1:9" hidden="1">
      <c r="A4051" s="232">
        <v>45150</v>
      </c>
      <c r="C4051" t="s">
        <v>12646</v>
      </c>
      <c r="D4051" s="69">
        <v>310</v>
      </c>
      <c r="E4051" s="69">
        <v>0</v>
      </c>
      <c r="H4051" t="s">
        <v>1050</v>
      </c>
    </row>
    <row r="4052" spans="1:9" hidden="1">
      <c r="A4052" s="232">
        <v>45152</v>
      </c>
      <c r="C4052" t="s">
        <v>12647</v>
      </c>
      <c r="D4052" s="69">
        <v>660</v>
      </c>
      <c r="E4052" s="69">
        <v>0</v>
      </c>
      <c r="H4052" t="s">
        <v>1050</v>
      </c>
    </row>
    <row r="4053" spans="1:9" hidden="1">
      <c r="A4053" s="232">
        <v>45152</v>
      </c>
      <c r="C4053" t="s">
        <v>12648</v>
      </c>
      <c r="D4053" s="69">
        <v>10000</v>
      </c>
      <c r="E4053" s="69">
        <v>0</v>
      </c>
      <c r="G4053" s="8" t="s">
        <v>1361</v>
      </c>
      <c r="H4053" t="s">
        <v>1050</v>
      </c>
    </row>
    <row r="4054" spans="1:9" hidden="1">
      <c r="A4054" s="232">
        <v>45152</v>
      </c>
      <c r="C4054" t="s">
        <v>12649</v>
      </c>
      <c r="D4054" s="69">
        <v>600</v>
      </c>
      <c r="E4054" s="69">
        <v>0</v>
      </c>
      <c r="H4054" t="s">
        <v>1050</v>
      </c>
    </row>
    <row r="4055" spans="1:9" hidden="1">
      <c r="A4055" s="232">
        <v>45152</v>
      </c>
      <c r="C4055" t="s">
        <v>12650</v>
      </c>
      <c r="D4055" s="69">
        <v>11250</v>
      </c>
      <c r="E4055" s="69">
        <v>0</v>
      </c>
      <c r="G4055" s="8" t="s">
        <v>1372</v>
      </c>
      <c r="H4055" t="s">
        <v>1050</v>
      </c>
    </row>
    <row r="4056" spans="1:9" hidden="1">
      <c r="A4056" s="232">
        <v>45152</v>
      </c>
      <c r="C4056" t="s">
        <v>12651</v>
      </c>
      <c r="D4056" s="69">
        <v>1014</v>
      </c>
      <c r="E4056" s="69">
        <v>0</v>
      </c>
      <c r="H4056" t="s">
        <v>1050</v>
      </c>
    </row>
    <row r="4057" spans="1:9" hidden="1">
      <c r="A4057" s="232">
        <v>45152</v>
      </c>
      <c r="C4057" t="s">
        <v>12652</v>
      </c>
      <c r="D4057" s="69">
        <v>706.82</v>
      </c>
      <c r="E4057" s="69">
        <v>0</v>
      </c>
      <c r="H4057" t="s">
        <v>1050</v>
      </c>
    </row>
    <row r="4058" spans="1:9" hidden="1">
      <c r="A4058" s="232">
        <v>45152</v>
      </c>
      <c r="C4058" t="s">
        <v>12653</v>
      </c>
      <c r="D4058" s="69">
        <v>120</v>
      </c>
      <c r="E4058" s="69">
        <v>0</v>
      </c>
      <c r="H4058" t="s">
        <v>1050</v>
      </c>
    </row>
    <row r="4059" spans="1:9" hidden="1">
      <c r="A4059" s="232">
        <v>45152</v>
      </c>
      <c r="C4059" t="s">
        <v>12654</v>
      </c>
      <c r="D4059" s="69">
        <v>80</v>
      </c>
      <c r="E4059" s="69">
        <v>0</v>
      </c>
      <c r="H4059" t="s">
        <v>1050</v>
      </c>
    </row>
    <row r="4060" spans="1:9" hidden="1">
      <c r="A4060" s="232">
        <v>45154</v>
      </c>
      <c r="C4060" t="s">
        <v>12655</v>
      </c>
      <c r="D4060" s="69">
        <v>1934</v>
      </c>
      <c r="E4060" s="69">
        <v>0</v>
      </c>
      <c r="H4060" t="s">
        <v>1050</v>
      </c>
    </row>
    <row r="4061" spans="1:9" hidden="1">
      <c r="A4061" s="232">
        <v>45154</v>
      </c>
      <c r="C4061" t="s">
        <v>12656</v>
      </c>
      <c r="D4061" s="69">
        <v>90</v>
      </c>
      <c r="E4061" s="69">
        <v>0</v>
      </c>
      <c r="H4061" t="s">
        <v>1050</v>
      </c>
    </row>
    <row r="4062" spans="1:9" hidden="1">
      <c r="A4062" s="232">
        <v>45154</v>
      </c>
      <c r="C4062" t="s">
        <v>12657</v>
      </c>
      <c r="D4062" s="69">
        <v>380</v>
      </c>
      <c r="E4062" s="69">
        <v>0</v>
      </c>
      <c r="H4062" t="s">
        <v>1050</v>
      </c>
    </row>
    <row r="4063" spans="1:9" hidden="1">
      <c r="A4063" s="232">
        <v>45154</v>
      </c>
      <c r="C4063" t="s">
        <v>12658</v>
      </c>
      <c r="D4063" s="69">
        <v>9990</v>
      </c>
      <c r="E4063" s="69">
        <v>0</v>
      </c>
      <c r="G4063" s="8" t="s">
        <v>1383</v>
      </c>
      <c r="H4063" t="s">
        <v>1050</v>
      </c>
    </row>
    <row r="4064" spans="1:9" hidden="1">
      <c r="A4064" s="232">
        <v>45154</v>
      </c>
      <c r="C4064" t="s">
        <v>12659</v>
      </c>
      <c r="D4064" s="69">
        <v>581.45000000000005</v>
      </c>
      <c r="E4064" s="69">
        <v>0</v>
      </c>
      <c r="H4064" t="s">
        <v>1050</v>
      </c>
    </row>
    <row r="4065" spans="1:8" hidden="1">
      <c r="A4065" s="232">
        <v>45155</v>
      </c>
      <c r="C4065" t="s">
        <v>12660</v>
      </c>
      <c r="D4065" s="69">
        <v>291</v>
      </c>
      <c r="E4065" s="69">
        <v>0</v>
      </c>
      <c r="H4065" t="s">
        <v>1050</v>
      </c>
    </row>
    <row r="4066" spans="1:8" hidden="1">
      <c r="A4066" s="232">
        <v>45155</v>
      </c>
      <c r="C4066" t="s">
        <v>12661</v>
      </c>
      <c r="D4066" s="69">
        <v>899</v>
      </c>
      <c r="E4066" s="69">
        <v>0</v>
      </c>
      <c r="H4066" t="s">
        <v>1050</v>
      </c>
    </row>
    <row r="4067" spans="1:8" hidden="1">
      <c r="A4067" s="232">
        <v>45155</v>
      </c>
      <c r="C4067" t="s">
        <v>12662</v>
      </c>
      <c r="D4067" s="69">
        <v>203</v>
      </c>
      <c r="E4067" s="69">
        <v>0</v>
      </c>
      <c r="H4067" t="s">
        <v>1050</v>
      </c>
    </row>
    <row r="4068" spans="1:8" hidden="1">
      <c r="A4068" s="232">
        <v>45156</v>
      </c>
      <c r="C4068" t="s">
        <v>12663</v>
      </c>
      <c r="D4068" s="69">
        <v>945.5</v>
      </c>
      <c r="E4068" s="69">
        <v>0</v>
      </c>
      <c r="H4068" t="s">
        <v>1050</v>
      </c>
    </row>
    <row r="4069" spans="1:8" hidden="1">
      <c r="A4069" s="232">
        <v>45159</v>
      </c>
      <c r="C4069" t="s">
        <v>12664</v>
      </c>
      <c r="D4069" s="69">
        <v>1070</v>
      </c>
      <c r="E4069" s="69">
        <v>0</v>
      </c>
      <c r="H4069" t="s">
        <v>1050</v>
      </c>
    </row>
    <row r="4070" spans="1:8" hidden="1">
      <c r="A4070" s="232">
        <v>45159</v>
      </c>
      <c r="C4070" t="s">
        <v>12665</v>
      </c>
      <c r="D4070" s="69">
        <v>11250</v>
      </c>
      <c r="E4070" s="69">
        <v>0</v>
      </c>
      <c r="G4070" s="8" t="s">
        <v>1372</v>
      </c>
      <c r="H4070" t="s">
        <v>1050</v>
      </c>
    </row>
    <row r="4071" spans="1:8" hidden="1">
      <c r="A4071" s="232">
        <v>45159</v>
      </c>
      <c r="C4071" t="s">
        <v>12666</v>
      </c>
      <c r="D4071" s="69">
        <v>33333</v>
      </c>
      <c r="E4071" s="69">
        <v>0</v>
      </c>
      <c r="G4071" s="8" t="s">
        <v>1381</v>
      </c>
      <c r="H4071" t="s">
        <v>1050</v>
      </c>
    </row>
    <row r="4072" spans="1:8" hidden="1">
      <c r="A4072" s="232">
        <v>45159</v>
      </c>
      <c r="C4072" t="s">
        <v>4434</v>
      </c>
      <c r="D4072" s="69">
        <v>0</v>
      </c>
      <c r="E4072" s="69">
        <v>30000</v>
      </c>
      <c r="H4072" t="s">
        <v>1050</v>
      </c>
    </row>
    <row r="4073" spans="1:8" hidden="1">
      <c r="A4073" s="232">
        <v>45159</v>
      </c>
      <c r="C4073" t="s">
        <v>4435</v>
      </c>
      <c r="D4073" s="69">
        <v>0</v>
      </c>
      <c r="E4073" s="69">
        <v>344</v>
      </c>
      <c r="H4073" t="s">
        <v>1050</v>
      </c>
    </row>
    <row r="4074" spans="1:8" hidden="1">
      <c r="A4074" s="232">
        <v>45163</v>
      </c>
      <c r="C4074" t="s">
        <v>12667</v>
      </c>
      <c r="D4074" s="69">
        <v>236</v>
      </c>
      <c r="E4074" s="69">
        <v>0</v>
      </c>
      <c r="H4074" t="s">
        <v>1050</v>
      </c>
    </row>
    <row r="4075" spans="1:8" hidden="1">
      <c r="A4075" s="232">
        <v>45163</v>
      </c>
      <c r="C4075" t="s">
        <v>12668</v>
      </c>
      <c r="D4075" s="69">
        <v>0</v>
      </c>
      <c r="E4075" s="69">
        <v>319298</v>
      </c>
      <c r="G4075" s="8" t="s">
        <v>1380</v>
      </c>
      <c r="H4075" t="s">
        <v>1050</v>
      </c>
    </row>
    <row r="4076" spans="1:8" hidden="1">
      <c r="A4076" s="232">
        <v>45163</v>
      </c>
      <c r="C4076" t="s">
        <v>12669</v>
      </c>
      <c r="D4076" s="69">
        <v>600</v>
      </c>
      <c r="E4076" s="69">
        <v>0</v>
      </c>
      <c r="H4076" t="s">
        <v>1050</v>
      </c>
    </row>
    <row r="4077" spans="1:8" hidden="1">
      <c r="A4077" s="232">
        <v>45166</v>
      </c>
      <c r="C4077" t="s">
        <v>12670</v>
      </c>
      <c r="D4077" s="69">
        <v>930</v>
      </c>
      <c r="E4077" s="69">
        <v>0</v>
      </c>
      <c r="H4077" t="s">
        <v>1050</v>
      </c>
    </row>
    <row r="4078" spans="1:8" hidden="1">
      <c r="A4078" s="232">
        <v>45166</v>
      </c>
      <c r="C4078" t="s">
        <v>12671</v>
      </c>
      <c r="D4078" s="69">
        <v>2000</v>
      </c>
      <c r="E4078" s="69">
        <v>0</v>
      </c>
      <c r="G4078" s="8" t="s">
        <v>1372</v>
      </c>
      <c r="H4078" t="s">
        <v>1050</v>
      </c>
    </row>
    <row r="4079" spans="1:8" hidden="1">
      <c r="A4079" s="232">
        <v>45166</v>
      </c>
      <c r="C4079" t="s">
        <v>12672</v>
      </c>
      <c r="D4079" s="69">
        <v>11250</v>
      </c>
      <c r="E4079" s="69">
        <v>0</v>
      </c>
      <c r="G4079" s="8" t="s">
        <v>1372</v>
      </c>
      <c r="H4079" t="s">
        <v>1050</v>
      </c>
    </row>
    <row r="4080" spans="1:8" hidden="1">
      <c r="A4080" s="232">
        <v>45166</v>
      </c>
      <c r="C4080" t="s">
        <v>12673</v>
      </c>
      <c r="D4080" s="69">
        <v>25000</v>
      </c>
      <c r="E4080" s="69">
        <v>0</v>
      </c>
      <c r="G4080" s="8" t="s">
        <v>1381</v>
      </c>
      <c r="H4080" t="s">
        <v>1050</v>
      </c>
    </row>
    <row r="4081" spans="1:8" hidden="1">
      <c r="A4081" s="232">
        <v>45166</v>
      </c>
      <c r="C4081" t="s">
        <v>12674</v>
      </c>
      <c r="D4081" s="69">
        <v>1833</v>
      </c>
      <c r="E4081" s="69">
        <v>0</v>
      </c>
      <c r="H4081" t="s">
        <v>1050</v>
      </c>
    </row>
    <row r="4082" spans="1:8" hidden="1">
      <c r="A4082" s="232">
        <v>45140</v>
      </c>
      <c r="C4082" s="316" t="s">
        <v>12675</v>
      </c>
      <c r="D4082" s="69">
        <v>25000</v>
      </c>
      <c r="E4082" s="69"/>
      <c r="G4082" s="8" t="s">
        <v>1379</v>
      </c>
      <c r="H4082" t="s">
        <v>1336</v>
      </c>
    </row>
    <row r="4083" spans="1:8" hidden="1">
      <c r="A4083" s="232">
        <v>45142</v>
      </c>
      <c r="C4083" s="316" t="s">
        <v>4319</v>
      </c>
      <c r="D4083" s="69">
        <v>12527</v>
      </c>
      <c r="E4083" s="69"/>
      <c r="G4083" s="8" t="s">
        <v>1362</v>
      </c>
      <c r="H4083" t="s">
        <v>1336</v>
      </c>
    </row>
    <row r="4084" spans="1:8" hidden="1">
      <c r="A4084" s="232">
        <v>45144</v>
      </c>
      <c r="C4084" s="316" t="s">
        <v>12676</v>
      </c>
      <c r="D4084" s="69"/>
      <c r="E4084" s="69">
        <v>75000</v>
      </c>
      <c r="G4084" s="8" t="s">
        <v>1363</v>
      </c>
      <c r="H4084" t="s">
        <v>1336</v>
      </c>
    </row>
    <row r="4085" spans="1:8" hidden="1">
      <c r="A4085" s="232">
        <v>45157</v>
      </c>
      <c r="C4085" s="316" t="s">
        <v>12677</v>
      </c>
      <c r="D4085" s="69"/>
      <c r="E4085" s="69">
        <v>18000</v>
      </c>
      <c r="H4085" t="s">
        <v>1336</v>
      </c>
    </row>
    <row r="4086" spans="1:8" hidden="1">
      <c r="A4086" s="232">
        <v>45170</v>
      </c>
      <c r="C4086" s="315" t="s">
        <v>12680</v>
      </c>
      <c r="D4086" s="69">
        <v>250</v>
      </c>
      <c r="E4086" s="69">
        <v>0</v>
      </c>
      <c r="G4086" s="8" t="s">
        <v>1363</v>
      </c>
      <c r="H4086" t="s">
        <v>1050</v>
      </c>
    </row>
    <row r="4087" spans="1:8" hidden="1">
      <c r="A4087" s="232">
        <v>45170</v>
      </c>
      <c r="C4087" s="315" t="s">
        <v>12681</v>
      </c>
      <c r="D4087" s="69">
        <v>250</v>
      </c>
      <c r="E4087" s="69">
        <v>0</v>
      </c>
      <c r="G4087" s="8" t="s">
        <v>1363</v>
      </c>
      <c r="H4087" t="s">
        <v>1050</v>
      </c>
    </row>
    <row r="4088" spans="1:8" hidden="1">
      <c r="A4088" s="232">
        <v>45170</v>
      </c>
      <c r="C4088" s="315" t="s">
        <v>12682</v>
      </c>
      <c r="D4088" s="69">
        <v>594</v>
      </c>
      <c r="E4088" s="69">
        <v>0</v>
      </c>
      <c r="H4088" t="s">
        <v>1050</v>
      </c>
    </row>
    <row r="4089" spans="1:8" hidden="1">
      <c r="A4089" s="232">
        <v>45170</v>
      </c>
      <c r="C4089" s="315" t="s">
        <v>12683</v>
      </c>
      <c r="D4089" s="69">
        <v>410</v>
      </c>
      <c r="E4089" s="69">
        <v>0</v>
      </c>
      <c r="H4089" t="s">
        <v>1050</v>
      </c>
    </row>
    <row r="4090" spans="1:8" hidden="1">
      <c r="A4090" s="232">
        <v>45170</v>
      </c>
      <c r="C4090" s="315" t="s">
        <v>12684</v>
      </c>
      <c r="D4090" s="69">
        <v>20</v>
      </c>
      <c r="E4090" s="69">
        <v>0</v>
      </c>
      <c r="H4090" t="s">
        <v>1050</v>
      </c>
    </row>
    <row r="4091" spans="1:8" hidden="1">
      <c r="A4091" s="232">
        <v>45170</v>
      </c>
      <c r="C4091" s="315" t="s">
        <v>12685</v>
      </c>
      <c r="D4091" s="69">
        <v>2000</v>
      </c>
      <c r="E4091" s="69">
        <v>0</v>
      </c>
      <c r="H4091" t="s">
        <v>1050</v>
      </c>
    </row>
    <row r="4092" spans="1:8" hidden="1">
      <c r="A4092" s="232">
        <v>45170</v>
      </c>
      <c r="C4092" s="315" t="s">
        <v>12686</v>
      </c>
      <c r="D4092" s="69">
        <v>10028</v>
      </c>
      <c r="E4092" s="69">
        <v>0</v>
      </c>
      <c r="H4092" t="s">
        <v>1050</v>
      </c>
    </row>
    <row r="4093" spans="1:8" hidden="1">
      <c r="A4093" s="232">
        <v>45171</v>
      </c>
      <c r="C4093" s="315" t="s">
        <v>12687</v>
      </c>
      <c r="D4093" s="69">
        <v>11174</v>
      </c>
      <c r="E4093" s="69">
        <v>0</v>
      </c>
      <c r="H4093" t="s">
        <v>1050</v>
      </c>
    </row>
    <row r="4094" spans="1:8" hidden="1">
      <c r="A4094" s="232">
        <v>45172</v>
      </c>
      <c r="C4094" s="315" t="s">
        <v>12688</v>
      </c>
      <c r="D4094" s="69">
        <v>10000</v>
      </c>
      <c r="E4094" s="69">
        <v>0</v>
      </c>
      <c r="G4094" s="8" t="s">
        <v>1361</v>
      </c>
      <c r="H4094" t="s">
        <v>1050</v>
      </c>
    </row>
    <row r="4095" spans="1:8" hidden="1">
      <c r="A4095" s="232">
        <v>45173</v>
      </c>
      <c r="C4095" s="315" t="s">
        <v>12689</v>
      </c>
      <c r="D4095" s="69">
        <v>11250</v>
      </c>
      <c r="E4095" s="69">
        <v>0</v>
      </c>
      <c r="G4095" s="8" t="s">
        <v>1372</v>
      </c>
      <c r="H4095" t="s">
        <v>1050</v>
      </c>
    </row>
    <row r="4096" spans="1:8" hidden="1">
      <c r="A4096" s="232">
        <v>45173</v>
      </c>
      <c r="C4096" s="315" t="s">
        <v>12690</v>
      </c>
      <c r="D4096" s="69">
        <v>735</v>
      </c>
      <c r="E4096" s="69">
        <v>0</v>
      </c>
      <c r="H4096" t="s">
        <v>1050</v>
      </c>
    </row>
    <row r="4097" spans="1:8" hidden="1">
      <c r="A4097" s="232">
        <v>45174</v>
      </c>
      <c r="C4097" s="315" t="s">
        <v>12691</v>
      </c>
      <c r="D4097" s="69">
        <v>60</v>
      </c>
      <c r="E4097" s="69">
        <v>0</v>
      </c>
      <c r="H4097" t="s">
        <v>1050</v>
      </c>
    </row>
    <row r="4098" spans="1:8" hidden="1">
      <c r="A4098" s="232">
        <v>45174</v>
      </c>
      <c r="C4098" s="315" t="s">
        <v>12692</v>
      </c>
      <c r="D4098" s="69">
        <v>500</v>
      </c>
      <c r="E4098" s="69">
        <v>0</v>
      </c>
      <c r="H4098" t="s">
        <v>1050</v>
      </c>
    </row>
    <row r="4099" spans="1:8" hidden="1">
      <c r="A4099" s="232">
        <v>45174</v>
      </c>
      <c r="C4099" s="315" t="s">
        <v>12693</v>
      </c>
      <c r="D4099" s="69">
        <v>506</v>
      </c>
      <c r="E4099" s="69">
        <v>0</v>
      </c>
      <c r="H4099" t="s">
        <v>1050</v>
      </c>
    </row>
    <row r="4100" spans="1:8" hidden="1">
      <c r="A4100" s="232">
        <v>45174</v>
      </c>
      <c r="C4100" s="315" t="s">
        <v>12694</v>
      </c>
      <c r="D4100" s="69">
        <v>1700</v>
      </c>
      <c r="E4100" s="69">
        <v>0</v>
      </c>
      <c r="H4100" t="s">
        <v>1050</v>
      </c>
    </row>
    <row r="4101" spans="1:8" hidden="1">
      <c r="A4101" s="232">
        <v>45175</v>
      </c>
      <c r="C4101" s="315" t="s">
        <v>12695</v>
      </c>
      <c r="D4101" s="69">
        <v>75000</v>
      </c>
      <c r="E4101" s="69">
        <v>0</v>
      </c>
      <c r="G4101" s="8" t="s">
        <v>1363</v>
      </c>
      <c r="H4101" t="s">
        <v>1050</v>
      </c>
    </row>
    <row r="4102" spans="1:8" hidden="1">
      <c r="A4102" s="232">
        <v>45175</v>
      </c>
      <c r="C4102" s="315" t="s">
        <v>12696</v>
      </c>
      <c r="D4102" s="69">
        <v>65</v>
      </c>
      <c r="E4102" s="69">
        <v>0</v>
      </c>
      <c r="H4102" t="s">
        <v>1050</v>
      </c>
    </row>
    <row r="4103" spans="1:8" hidden="1">
      <c r="A4103" s="232">
        <v>45176</v>
      </c>
      <c r="C4103" s="315" t="s">
        <v>12697</v>
      </c>
      <c r="D4103" s="69">
        <v>101813</v>
      </c>
      <c r="E4103" s="69">
        <v>0</v>
      </c>
      <c r="G4103" s="8" t="s">
        <v>1370</v>
      </c>
      <c r="H4103" t="s">
        <v>1050</v>
      </c>
    </row>
    <row r="4104" spans="1:8" hidden="1">
      <c r="A4104" s="232">
        <v>45176</v>
      </c>
      <c r="C4104" s="315" t="s">
        <v>12698</v>
      </c>
      <c r="D4104" s="69">
        <v>790</v>
      </c>
      <c r="E4104" s="69">
        <v>0</v>
      </c>
      <c r="H4104" t="s">
        <v>1050</v>
      </c>
    </row>
    <row r="4105" spans="1:8" hidden="1">
      <c r="A4105" s="232">
        <v>45177</v>
      </c>
      <c r="C4105" s="315" t="s">
        <v>12699</v>
      </c>
      <c r="D4105" s="69">
        <v>45</v>
      </c>
      <c r="E4105" s="69">
        <v>0</v>
      </c>
      <c r="H4105" t="s">
        <v>1050</v>
      </c>
    </row>
    <row r="4106" spans="1:8" hidden="1">
      <c r="A4106" s="232">
        <v>45178</v>
      </c>
      <c r="C4106" s="315" t="s">
        <v>12700</v>
      </c>
      <c r="D4106" s="69">
        <v>20</v>
      </c>
      <c r="E4106" s="69">
        <v>0</v>
      </c>
      <c r="H4106" t="s">
        <v>1050</v>
      </c>
    </row>
    <row r="4107" spans="1:8" hidden="1">
      <c r="A4107" s="232">
        <v>45179</v>
      </c>
      <c r="C4107" s="315" t="s">
        <v>12701</v>
      </c>
      <c r="D4107" s="69">
        <v>390</v>
      </c>
      <c r="E4107" s="69">
        <v>0</v>
      </c>
      <c r="H4107" t="s">
        <v>1050</v>
      </c>
    </row>
    <row r="4108" spans="1:8" hidden="1">
      <c r="A4108" s="232">
        <v>45179</v>
      </c>
      <c r="C4108" s="315" t="s">
        <v>12702</v>
      </c>
      <c r="D4108" s="69">
        <v>2000</v>
      </c>
      <c r="E4108" s="69">
        <v>0</v>
      </c>
      <c r="H4108" t="s">
        <v>1050</v>
      </c>
    </row>
    <row r="4109" spans="1:8" hidden="1">
      <c r="A4109" s="232">
        <v>45180</v>
      </c>
      <c r="C4109" s="315" t="s">
        <v>12703</v>
      </c>
      <c r="D4109" s="69">
        <v>11250</v>
      </c>
      <c r="E4109" s="69">
        <v>0</v>
      </c>
      <c r="G4109" s="8" t="s">
        <v>1372</v>
      </c>
      <c r="H4109" t="s">
        <v>1050</v>
      </c>
    </row>
    <row r="4110" spans="1:8" hidden="1">
      <c r="A4110" s="232">
        <v>45180</v>
      </c>
      <c r="C4110" s="315" t="s">
        <v>4132</v>
      </c>
      <c r="D4110" s="69">
        <v>39138.120000000003</v>
      </c>
      <c r="E4110" s="69">
        <v>0</v>
      </c>
      <c r="G4110" s="8" t="s">
        <v>1362</v>
      </c>
      <c r="H4110" t="s">
        <v>1050</v>
      </c>
    </row>
    <row r="4111" spans="1:8" hidden="1">
      <c r="A4111" s="232">
        <v>45180</v>
      </c>
      <c r="C4111" s="315" t="s">
        <v>4157</v>
      </c>
      <c r="D4111" s="69">
        <v>0</v>
      </c>
      <c r="E4111" s="69">
        <v>5000</v>
      </c>
      <c r="H4111" t="s">
        <v>1050</v>
      </c>
    </row>
    <row r="4112" spans="1:8" hidden="1">
      <c r="A4112" s="232">
        <v>45180</v>
      </c>
      <c r="C4112" s="315" t="s">
        <v>4158</v>
      </c>
      <c r="D4112" s="69">
        <v>0</v>
      </c>
      <c r="E4112" s="69">
        <v>68</v>
      </c>
      <c r="H4112" t="s">
        <v>1050</v>
      </c>
    </row>
    <row r="4113" spans="1:8" hidden="1">
      <c r="A4113" s="232">
        <v>45184</v>
      </c>
      <c r="C4113" s="315" t="s">
        <v>12704</v>
      </c>
      <c r="D4113" s="69">
        <v>706.82</v>
      </c>
      <c r="E4113" s="69">
        <v>0</v>
      </c>
      <c r="H4113" t="s">
        <v>1050</v>
      </c>
    </row>
    <row r="4114" spans="1:8" hidden="1">
      <c r="A4114" s="232">
        <v>45184</v>
      </c>
      <c r="C4114" s="315" t="s">
        <v>12705</v>
      </c>
      <c r="D4114" s="69">
        <v>120</v>
      </c>
      <c r="E4114" s="69">
        <v>0</v>
      </c>
      <c r="H4114" t="s">
        <v>1050</v>
      </c>
    </row>
    <row r="4115" spans="1:8" hidden="1">
      <c r="A4115" s="232">
        <v>45184</v>
      </c>
      <c r="C4115" s="315" t="s">
        <v>12706</v>
      </c>
      <c r="D4115" s="69">
        <v>550</v>
      </c>
      <c r="E4115" s="69">
        <v>0</v>
      </c>
      <c r="H4115" t="s">
        <v>1050</v>
      </c>
    </row>
    <row r="4116" spans="1:8" hidden="1">
      <c r="A4116" s="232">
        <v>45185</v>
      </c>
      <c r="C4116" s="315" t="s">
        <v>12707</v>
      </c>
      <c r="D4116" s="69">
        <v>9990</v>
      </c>
      <c r="E4116" s="69">
        <v>0</v>
      </c>
      <c r="G4116" s="8" t="s">
        <v>1383</v>
      </c>
      <c r="H4116" t="s">
        <v>1050</v>
      </c>
    </row>
    <row r="4117" spans="1:8" hidden="1">
      <c r="A4117" s="232">
        <v>45185</v>
      </c>
      <c r="C4117" s="315" t="s">
        <v>4157</v>
      </c>
      <c r="D4117" s="69">
        <v>0</v>
      </c>
      <c r="E4117" s="69">
        <v>10000</v>
      </c>
      <c r="H4117" t="s">
        <v>1050</v>
      </c>
    </row>
    <row r="4118" spans="1:8" hidden="1">
      <c r="A4118" s="232">
        <v>45185</v>
      </c>
      <c r="C4118" s="315" t="s">
        <v>4158</v>
      </c>
      <c r="D4118" s="69">
        <v>0</v>
      </c>
      <c r="E4118" s="69">
        <v>141</v>
      </c>
      <c r="H4118" t="s">
        <v>1050</v>
      </c>
    </row>
    <row r="4119" spans="1:8" hidden="1">
      <c r="A4119" s="232">
        <v>45186</v>
      </c>
      <c r="C4119" s="315" t="s">
        <v>12708</v>
      </c>
      <c r="D4119" s="69">
        <v>250</v>
      </c>
      <c r="E4119" s="69">
        <v>0</v>
      </c>
      <c r="H4119" t="s">
        <v>1050</v>
      </c>
    </row>
    <row r="4120" spans="1:8" hidden="1">
      <c r="A4120" s="232">
        <v>45186</v>
      </c>
      <c r="C4120" s="315" t="s">
        <v>12709</v>
      </c>
      <c r="D4120" s="69">
        <v>50</v>
      </c>
      <c r="E4120" s="69">
        <v>0</v>
      </c>
      <c r="H4120" t="s">
        <v>1050</v>
      </c>
    </row>
    <row r="4121" spans="1:8" hidden="1">
      <c r="A4121" s="232">
        <v>45187</v>
      </c>
      <c r="C4121" s="315" t="s">
        <v>12710</v>
      </c>
      <c r="D4121" s="69">
        <v>11250</v>
      </c>
      <c r="E4121" s="69">
        <v>0</v>
      </c>
      <c r="G4121" s="8" t="s">
        <v>1372</v>
      </c>
      <c r="H4121" t="s">
        <v>1050</v>
      </c>
    </row>
    <row r="4122" spans="1:8" hidden="1">
      <c r="A4122" s="232">
        <v>45187</v>
      </c>
      <c r="C4122" s="315" t="s">
        <v>12711</v>
      </c>
      <c r="D4122" s="69">
        <v>988</v>
      </c>
      <c r="E4122" s="69">
        <v>0</v>
      </c>
      <c r="H4122" t="s">
        <v>1050</v>
      </c>
    </row>
    <row r="4123" spans="1:8" hidden="1">
      <c r="A4123" s="232">
        <v>45187</v>
      </c>
      <c r="C4123" s="315" t="s">
        <v>4157</v>
      </c>
      <c r="D4123" s="69">
        <v>0</v>
      </c>
      <c r="E4123" s="69">
        <v>15000</v>
      </c>
      <c r="H4123" t="s">
        <v>1050</v>
      </c>
    </row>
    <row r="4124" spans="1:8" hidden="1">
      <c r="A4124" s="232">
        <v>45187</v>
      </c>
      <c r="C4124" s="315" t="s">
        <v>4158</v>
      </c>
      <c r="D4124" s="69">
        <v>0</v>
      </c>
      <c r="E4124" s="69">
        <v>215</v>
      </c>
      <c r="H4124" t="s">
        <v>1050</v>
      </c>
    </row>
    <row r="4125" spans="1:8" hidden="1">
      <c r="A4125" s="232">
        <v>45190</v>
      </c>
      <c r="C4125" s="315" t="s">
        <v>12712</v>
      </c>
      <c r="D4125" s="69">
        <v>33333</v>
      </c>
      <c r="E4125" s="69">
        <v>0</v>
      </c>
      <c r="G4125" s="8" t="s">
        <v>1381</v>
      </c>
      <c r="H4125" t="s">
        <v>1050</v>
      </c>
    </row>
    <row r="4126" spans="1:8" hidden="1">
      <c r="A4126" s="232">
        <v>45190</v>
      </c>
      <c r="C4126" s="315" t="s">
        <v>4157</v>
      </c>
      <c r="D4126" s="69">
        <v>0</v>
      </c>
      <c r="E4126" s="69">
        <v>30000</v>
      </c>
      <c r="H4126" t="s">
        <v>1050</v>
      </c>
    </row>
    <row r="4127" spans="1:8" hidden="1">
      <c r="A4127" s="232">
        <v>45190</v>
      </c>
      <c r="C4127" s="315" t="s">
        <v>4158</v>
      </c>
      <c r="D4127" s="69">
        <v>0</v>
      </c>
      <c r="E4127" s="69">
        <v>440</v>
      </c>
      <c r="H4127" t="s">
        <v>1050</v>
      </c>
    </row>
    <row r="4128" spans="1:8" hidden="1">
      <c r="A4128" s="232">
        <v>45194</v>
      </c>
      <c r="C4128" s="315" t="s">
        <v>12713</v>
      </c>
      <c r="D4128" s="69">
        <v>11250</v>
      </c>
      <c r="E4128" s="69">
        <v>0</v>
      </c>
      <c r="G4128" s="8" t="s">
        <v>1372</v>
      </c>
      <c r="H4128" t="s">
        <v>1050</v>
      </c>
    </row>
    <row r="4129" spans="1:8" hidden="1">
      <c r="A4129" s="232">
        <v>45194</v>
      </c>
      <c r="C4129" s="315" t="s">
        <v>4157</v>
      </c>
      <c r="D4129" s="69">
        <v>0</v>
      </c>
      <c r="E4129" s="69">
        <v>10000</v>
      </c>
      <c r="H4129" t="s">
        <v>1050</v>
      </c>
    </row>
    <row r="4130" spans="1:8" hidden="1">
      <c r="A4130" s="232">
        <v>45194</v>
      </c>
      <c r="C4130" s="315" t="s">
        <v>4158</v>
      </c>
      <c r="D4130" s="69">
        <v>0</v>
      </c>
      <c r="E4130" s="69">
        <v>151</v>
      </c>
      <c r="H4130" t="s">
        <v>1050</v>
      </c>
    </row>
    <row r="4131" spans="1:8" hidden="1">
      <c r="A4131" s="232">
        <v>45195</v>
      </c>
      <c r="C4131" s="315" t="s">
        <v>12714</v>
      </c>
      <c r="D4131" s="69">
        <v>0</v>
      </c>
      <c r="E4131" s="69">
        <v>319299</v>
      </c>
      <c r="G4131" s="8" t="s">
        <v>1380</v>
      </c>
      <c r="H4131" t="s">
        <v>1050</v>
      </c>
    </row>
    <row r="4132" spans="1:8" hidden="1">
      <c r="A4132" s="232">
        <v>45197</v>
      </c>
      <c r="C4132" s="315" t="s">
        <v>12715</v>
      </c>
      <c r="D4132" s="69">
        <v>2000</v>
      </c>
      <c r="E4132" s="69">
        <v>0</v>
      </c>
      <c r="G4132" s="8" t="s">
        <v>1372</v>
      </c>
      <c r="H4132" t="s">
        <v>1050</v>
      </c>
    </row>
    <row r="4133" spans="1:8" hidden="1">
      <c r="A4133" s="232">
        <v>45197</v>
      </c>
      <c r="C4133" s="315" t="s">
        <v>12716</v>
      </c>
      <c r="D4133" s="69">
        <v>25000</v>
      </c>
      <c r="E4133" s="69">
        <v>0</v>
      </c>
      <c r="G4133" s="8" t="s">
        <v>1381</v>
      </c>
      <c r="H4133" t="s">
        <v>1050</v>
      </c>
    </row>
    <row r="4134" spans="1:8" hidden="1">
      <c r="A4134" s="232">
        <v>45197</v>
      </c>
      <c r="C4134" s="315" t="s">
        <v>12717</v>
      </c>
      <c r="D4134" s="69">
        <v>762.5</v>
      </c>
      <c r="E4134" s="69">
        <v>0</v>
      </c>
      <c r="H4134" t="s">
        <v>1050</v>
      </c>
    </row>
    <row r="4135" spans="1:8" hidden="1">
      <c r="A4135" s="232">
        <v>45198</v>
      </c>
      <c r="C4135" s="315" t="s">
        <v>12718</v>
      </c>
      <c r="D4135" s="69">
        <v>0</v>
      </c>
      <c r="E4135" s="69">
        <v>959</v>
      </c>
      <c r="H4135" t="s">
        <v>1050</v>
      </c>
    </row>
    <row r="4136" spans="1:8" hidden="1">
      <c r="A4136" s="232">
        <v>45199</v>
      </c>
      <c r="C4136" s="315" t="s">
        <v>12719</v>
      </c>
      <c r="D4136" s="69">
        <v>120</v>
      </c>
      <c r="E4136" s="69">
        <v>0</v>
      </c>
      <c r="H4136" t="s">
        <v>1050</v>
      </c>
    </row>
    <row r="4137" spans="1:8" hidden="1">
      <c r="A4137" s="232">
        <v>45199</v>
      </c>
      <c r="C4137" s="315" t="s">
        <v>12720</v>
      </c>
      <c r="D4137" s="69">
        <v>380</v>
      </c>
      <c r="E4137" s="69">
        <v>0</v>
      </c>
      <c r="H4137" t="s">
        <v>1050</v>
      </c>
    </row>
    <row r="4138" spans="1:8" hidden="1">
      <c r="A4138" s="232">
        <v>45171</v>
      </c>
      <c r="C4138" s="3" t="s">
        <v>12721</v>
      </c>
      <c r="D4138" s="3">
        <v>25000</v>
      </c>
      <c r="E4138" s="3"/>
      <c r="G4138" s="8" t="s">
        <v>1379</v>
      </c>
      <c r="H4138" t="s">
        <v>1336</v>
      </c>
    </row>
    <row r="4139" spans="1:8" hidden="1">
      <c r="A4139" s="232">
        <v>45173</v>
      </c>
      <c r="C4139" s="3" t="s">
        <v>4319</v>
      </c>
      <c r="D4139" s="3">
        <v>430</v>
      </c>
      <c r="E4139" s="3"/>
      <c r="G4139" s="8" t="s">
        <v>1362</v>
      </c>
      <c r="H4139" t="s">
        <v>1336</v>
      </c>
    </row>
    <row r="4140" spans="1:8" hidden="1">
      <c r="A4140" s="232">
        <v>45175</v>
      </c>
      <c r="C4140" s="3" t="s">
        <v>12722</v>
      </c>
      <c r="D4140" s="3"/>
      <c r="E4140" s="3">
        <v>75000</v>
      </c>
      <c r="G4140" s="8" t="s">
        <v>1363</v>
      </c>
      <c r="H4140" t="s">
        <v>1336</v>
      </c>
    </row>
    <row r="4141" spans="1:8" hidden="1">
      <c r="A4141" s="232">
        <v>45200</v>
      </c>
      <c r="C4141" s="3" t="s">
        <v>4256</v>
      </c>
      <c r="D4141" s="3"/>
      <c r="E4141" s="3">
        <v>3532</v>
      </c>
      <c r="G4141" s="8" t="s">
        <v>1368</v>
      </c>
      <c r="H4141" t="s">
        <v>1336</v>
      </c>
    </row>
    <row r="4142" spans="1:8" hidden="1">
      <c r="A4142" s="232">
        <v>45201</v>
      </c>
      <c r="C4142" t="s">
        <v>12828</v>
      </c>
      <c r="D4142" s="69">
        <v>250</v>
      </c>
      <c r="E4142" s="69">
        <v>0</v>
      </c>
      <c r="G4142" s="8" t="s">
        <v>1363</v>
      </c>
      <c r="H4142" t="s">
        <v>1050</v>
      </c>
    </row>
    <row r="4143" spans="1:8" hidden="1">
      <c r="A4143" s="232">
        <v>45201</v>
      </c>
      <c r="C4143" t="s">
        <v>12829</v>
      </c>
      <c r="D4143" s="69">
        <v>250</v>
      </c>
      <c r="E4143" s="69">
        <v>0</v>
      </c>
      <c r="G4143" s="8" t="s">
        <v>1363</v>
      </c>
      <c r="H4143" t="s">
        <v>1050</v>
      </c>
    </row>
    <row r="4144" spans="1:8" hidden="1">
      <c r="A4144" s="232">
        <v>45201</v>
      </c>
      <c r="C4144" t="s">
        <v>12830</v>
      </c>
      <c r="D4144" s="69">
        <v>52</v>
      </c>
      <c r="E4144" s="69">
        <v>0</v>
      </c>
      <c r="H4144" t="s">
        <v>1050</v>
      </c>
    </row>
    <row r="4145" spans="1:8" hidden="1">
      <c r="A4145" s="232">
        <v>45201</v>
      </c>
      <c r="C4145" t="s">
        <v>12831</v>
      </c>
      <c r="D4145" s="69">
        <v>2000</v>
      </c>
      <c r="E4145" s="69">
        <v>0</v>
      </c>
      <c r="H4145" t="s">
        <v>1050</v>
      </c>
    </row>
    <row r="4146" spans="1:8" hidden="1">
      <c r="A4146" s="232">
        <v>45201</v>
      </c>
      <c r="C4146" t="s">
        <v>12832</v>
      </c>
      <c r="D4146" s="69">
        <v>11250</v>
      </c>
      <c r="E4146" s="69">
        <v>0</v>
      </c>
      <c r="G4146" s="8" t="s">
        <v>1372</v>
      </c>
      <c r="H4146" t="s">
        <v>1050</v>
      </c>
    </row>
    <row r="4147" spans="1:8" hidden="1">
      <c r="A4147" s="232">
        <v>45201</v>
      </c>
      <c r="C4147" t="s">
        <v>12833</v>
      </c>
      <c r="D4147" s="69">
        <v>2821.42</v>
      </c>
      <c r="E4147" s="69">
        <v>0</v>
      </c>
      <c r="H4147" t="s">
        <v>1050</v>
      </c>
    </row>
    <row r="4148" spans="1:8" hidden="1">
      <c r="A4148" s="232">
        <v>45201</v>
      </c>
      <c r="C4148" t="s">
        <v>12834</v>
      </c>
      <c r="D4148" s="69">
        <v>50</v>
      </c>
      <c r="E4148" s="69">
        <v>0</v>
      </c>
      <c r="H4148" t="s">
        <v>1050</v>
      </c>
    </row>
    <row r="4149" spans="1:8" hidden="1">
      <c r="A4149" s="232">
        <v>45203</v>
      </c>
      <c r="C4149" t="s">
        <v>12835</v>
      </c>
      <c r="D4149" s="69">
        <v>103</v>
      </c>
      <c r="E4149" s="69">
        <v>0</v>
      </c>
      <c r="H4149" t="s">
        <v>1050</v>
      </c>
    </row>
    <row r="4150" spans="1:8" hidden="1">
      <c r="A4150" s="232">
        <v>45203</v>
      </c>
      <c r="C4150" t="s">
        <v>12836</v>
      </c>
      <c r="D4150" s="69">
        <v>10785</v>
      </c>
      <c r="E4150" s="69">
        <v>0</v>
      </c>
      <c r="H4150" t="s">
        <v>1050</v>
      </c>
    </row>
    <row r="4151" spans="1:8" hidden="1">
      <c r="A4151" s="232">
        <v>45205</v>
      </c>
      <c r="C4151" t="s">
        <v>12837</v>
      </c>
      <c r="D4151" s="1">
        <v>75000</v>
      </c>
      <c r="E4151" s="1">
        <v>0</v>
      </c>
      <c r="G4151" s="8" t="s">
        <v>1363</v>
      </c>
      <c r="H4151" t="s">
        <v>1050</v>
      </c>
    </row>
    <row r="4152" spans="1:8" hidden="1">
      <c r="A4152" s="232">
        <v>45205</v>
      </c>
      <c r="C4152" t="s">
        <v>12838</v>
      </c>
      <c r="D4152" s="1">
        <v>5000</v>
      </c>
      <c r="E4152" s="1">
        <v>0</v>
      </c>
      <c r="G4152" s="8" t="s">
        <v>1361</v>
      </c>
      <c r="H4152" t="s">
        <v>1050</v>
      </c>
    </row>
    <row r="4153" spans="1:8" hidden="1">
      <c r="A4153" s="232">
        <v>45205</v>
      </c>
      <c r="C4153" t="s">
        <v>12839</v>
      </c>
      <c r="D4153" s="1">
        <v>2518.58</v>
      </c>
      <c r="E4153" s="1">
        <v>0</v>
      </c>
      <c r="H4153" t="s">
        <v>1050</v>
      </c>
    </row>
    <row r="4154" spans="1:8" hidden="1">
      <c r="A4154" s="232">
        <v>45206</v>
      </c>
      <c r="C4154" t="s">
        <v>12840</v>
      </c>
      <c r="D4154" s="1">
        <v>101813</v>
      </c>
      <c r="E4154" s="1">
        <v>0</v>
      </c>
      <c r="G4154" s="8" t="s">
        <v>1370</v>
      </c>
      <c r="H4154" t="s">
        <v>1050</v>
      </c>
    </row>
    <row r="4155" spans="1:8" hidden="1">
      <c r="A4155" s="232">
        <v>45206</v>
      </c>
      <c r="C4155" t="s">
        <v>12841</v>
      </c>
      <c r="D4155" s="1">
        <v>50</v>
      </c>
      <c r="E4155" s="1">
        <v>0</v>
      </c>
      <c r="H4155" t="s">
        <v>1050</v>
      </c>
    </row>
    <row r="4156" spans="1:8" hidden="1">
      <c r="A4156" s="232">
        <v>45208</v>
      </c>
      <c r="C4156" t="s">
        <v>12842</v>
      </c>
      <c r="D4156" s="1">
        <v>11250</v>
      </c>
      <c r="E4156" s="1">
        <v>0</v>
      </c>
      <c r="G4156" s="8" t="s">
        <v>1372</v>
      </c>
      <c r="H4156" t="s">
        <v>1050</v>
      </c>
    </row>
    <row r="4157" spans="1:8" hidden="1">
      <c r="A4157" s="232">
        <v>45208</v>
      </c>
      <c r="C4157" t="s">
        <v>12843</v>
      </c>
      <c r="D4157" s="1">
        <v>172</v>
      </c>
      <c r="E4157" s="1">
        <v>0</v>
      </c>
      <c r="H4157" t="s">
        <v>1050</v>
      </c>
    </row>
    <row r="4158" spans="1:8" hidden="1">
      <c r="A4158" s="232">
        <v>45209</v>
      </c>
      <c r="C4158" t="s">
        <v>2738</v>
      </c>
      <c r="D4158" s="1">
        <v>2381.7800000000002</v>
      </c>
      <c r="E4158" s="1">
        <v>0</v>
      </c>
      <c r="G4158" s="8" t="s">
        <v>1362</v>
      </c>
      <c r="H4158" t="s">
        <v>1050</v>
      </c>
    </row>
    <row r="4159" spans="1:8" hidden="1">
      <c r="A4159" s="232">
        <v>45211</v>
      </c>
      <c r="C4159" t="s">
        <v>12844</v>
      </c>
      <c r="D4159" s="1">
        <v>93</v>
      </c>
      <c r="E4159" s="1">
        <v>0</v>
      </c>
      <c r="H4159" t="s">
        <v>1050</v>
      </c>
    </row>
    <row r="4160" spans="1:8" hidden="1">
      <c r="A4160" s="232">
        <v>45212</v>
      </c>
      <c r="C4160" t="s">
        <v>12845</v>
      </c>
      <c r="D4160" s="1">
        <v>17876</v>
      </c>
      <c r="E4160" s="1">
        <v>0</v>
      </c>
      <c r="H4160" t="s">
        <v>1050</v>
      </c>
    </row>
    <row r="4161" spans="1:8" hidden="1">
      <c r="A4161" s="232">
        <v>45213</v>
      </c>
      <c r="C4161" t="s">
        <v>12846</v>
      </c>
      <c r="D4161" s="1">
        <v>706.82</v>
      </c>
      <c r="E4161" s="1">
        <v>0</v>
      </c>
      <c r="H4161" t="s">
        <v>1050</v>
      </c>
    </row>
    <row r="4162" spans="1:8" hidden="1">
      <c r="A4162" s="232">
        <v>45213</v>
      </c>
      <c r="C4162" t="s">
        <v>12847</v>
      </c>
      <c r="D4162" s="1">
        <v>844</v>
      </c>
      <c r="E4162" s="1">
        <v>0</v>
      </c>
      <c r="H4162" t="s">
        <v>1050</v>
      </c>
    </row>
    <row r="4163" spans="1:8" hidden="1">
      <c r="A4163" s="232">
        <v>45213</v>
      </c>
      <c r="C4163" t="s">
        <v>12848</v>
      </c>
      <c r="D4163" s="1">
        <v>493</v>
      </c>
      <c r="E4163" s="1">
        <v>0</v>
      </c>
      <c r="H4163" t="s">
        <v>1050</v>
      </c>
    </row>
    <row r="4164" spans="1:8" hidden="1">
      <c r="A4164" s="232">
        <v>45215</v>
      </c>
      <c r="C4164" t="s">
        <v>12849</v>
      </c>
      <c r="D4164" s="1">
        <v>11250</v>
      </c>
      <c r="E4164" s="1">
        <v>0</v>
      </c>
      <c r="G4164" s="8" t="s">
        <v>1372</v>
      </c>
      <c r="H4164" t="s">
        <v>1050</v>
      </c>
    </row>
    <row r="4165" spans="1:8" hidden="1">
      <c r="A4165" s="232">
        <v>45215</v>
      </c>
      <c r="C4165" t="s">
        <v>12850</v>
      </c>
      <c r="D4165" s="1">
        <v>9990</v>
      </c>
      <c r="E4165" s="1">
        <v>0</v>
      </c>
      <c r="G4165" s="8" t="s">
        <v>1383</v>
      </c>
      <c r="H4165" t="s">
        <v>1050</v>
      </c>
    </row>
    <row r="4166" spans="1:8" hidden="1">
      <c r="A4166" s="232">
        <v>45216</v>
      </c>
      <c r="C4166" t="s">
        <v>12851</v>
      </c>
      <c r="D4166" s="1">
        <v>20</v>
      </c>
      <c r="E4166" s="1">
        <v>0</v>
      </c>
      <c r="H4166" t="s">
        <v>1050</v>
      </c>
    </row>
    <row r="4167" spans="1:8" hidden="1">
      <c r="A4167" s="232">
        <v>45217</v>
      </c>
      <c r="C4167" t="s">
        <v>12852</v>
      </c>
      <c r="D4167" s="1">
        <v>50</v>
      </c>
      <c r="E4167" s="1">
        <v>0</v>
      </c>
      <c r="H4167" t="s">
        <v>1050</v>
      </c>
    </row>
    <row r="4168" spans="1:8" hidden="1">
      <c r="A4168" s="232">
        <v>45217</v>
      </c>
      <c r="C4168" t="s">
        <v>12853</v>
      </c>
      <c r="D4168" s="1">
        <v>90</v>
      </c>
      <c r="E4168" s="1">
        <v>0</v>
      </c>
      <c r="H4168" t="s">
        <v>1050</v>
      </c>
    </row>
    <row r="4169" spans="1:8" hidden="1">
      <c r="A4169" s="232">
        <v>45217</v>
      </c>
      <c r="C4169" t="s">
        <v>12854</v>
      </c>
      <c r="D4169" s="1">
        <v>40</v>
      </c>
      <c r="E4169" s="1">
        <v>0</v>
      </c>
      <c r="H4169" t="s">
        <v>1050</v>
      </c>
    </row>
    <row r="4170" spans="1:8" hidden="1">
      <c r="A4170" s="232">
        <v>45218</v>
      </c>
      <c r="C4170" t="s">
        <v>12855</v>
      </c>
      <c r="D4170" s="1">
        <v>8428</v>
      </c>
      <c r="E4170" s="1">
        <v>0</v>
      </c>
      <c r="H4170" t="s">
        <v>1050</v>
      </c>
    </row>
    <row r="4171" spans="1:8" hidden="1">
      <c r="A4171" s="232">
        <v>45218</v>
      </c>
      <c r="C4171" t="s">
        <v>12856</v>
      </c>
      <c r="D4171" s="1">
        <v>730</v>
      </c>
      <c r="E4171" s="1">
        <v>0</v>
      </c>
      <c r="H4171" t="s">
        <v>1050</v>
      </c>
    </row>
    <row r="4172" spans="1:8" hidden="1">
      <c r="A4172" s="232">
        <v>45219</v>
      </c>
      <c r="C4172" t="s">
        <v>12857</v>
      </c>
      <c r="D4172" s="1">
        <v>20</v>
      </c>
      <c r="E4172" s="1">
        <v>0</v>
      </c>
      <c r="H4172" t="s">
        <v>1050</v>
      </c>
    </row>
    <row r="4173" spans="1:8" hidden="1">
      <c r="A4173" s="232">
        <v>45220</v>
      </c>
      <c r="C4173" t="s">
        <v>12858</v>
      </c>
      <c r="D4173" s="1">
        <v>33333</v>
      </c>
      <c r="E4173" s="1">
        <v>0</v>
      </c>
      <c r="G4173" s="8" t="s">
        <v>1381</v>
      </c>
      <c r="H4173" t="s">
        <v>1050</v>
      </c>
    </row>
    <row r="4174" spans="1:8" hidden="1">
      <c r="A4174" s="232">
        <v>45220</v>
      </c>
      <c r="C4174" t="s">
        <v>12859</v>
      </c>
      <c r="D4174" s="1">
        <v>391</v>
      </c>
      <c r="E4174" s="1">
        <v>0</v>
      </c>
      <c r="H4174" t="s">
        <v>1050</v>
      </c>
    </row>
    <row r="4175" spans="1:8" hidden="1">
      <c r="A4175" s="232">
        <v>45220</v>
      </c>
      <c r="C4175" t="s">
        <v>4434</v>
      </c>
      <c r="D4175" s="1">
        <v>0</v>
      </c>
      <c r="E4175" s="1">
        <v>20000</v>
      </c>
      <c r="H4175" t="s">
        <v>1050</v>
      </c>
    </row>
    <row r="4176" spans="1:8" hidden="1">
      <c r="A4176" s="232">
        <v>45220</v>
      </c>
      <c r="C4176" t="s">
        <v>4435</v>
      </c>
      <c r="D4176" s="1">
        <v>0</v>
      </c>
      <c r="E4176" s="1">
        <v>355</v>
      </c>
      <c r="H4176" t="s">
        <v>1050</v>
      </c>
    </row>
    <row r="4177" spans="1:8" hidden="1">
      <c r="A4177" s="232">
        <v>45222</v>
      </c>
      <c r="C4177" t="s">
        <v>12860</v>
      </c>
      <c r="D4177" s="1">
        <v>915</v>
      </c>
      <c r="E4177" s="1">
        <v>0</v>
      </c>
      <c r="H4177" t="s">
        <v>1050</v>
      </c>
    </row>
    <row r="4178" spans="1:8" hidden="1">
      <c r="A4178" s="232">
        <v>45222</v>
      </c>
      <c r="C4178" t="s">
        <v>12861</v>
      </c>
      <c r="D4178" s="1">
        <v>11250</v>
      </c>
      <c r="E4178" s="1">
        <v>0</v>
      </c>
      <c r="G4178" s="8" t="s">
        <v>1372</v>
      </c>
      <c r="H4178" t="s">
        <v>1050</v>
      </c>
    </row>
    <row r="4179" spans="1:8" hidden="1">
      <c r="A4179" s="232">
        <v>45222</v>
      </c>
      <c r="C4179" t="s">
        <v>4434</v>
      </c>
      <c r="D4179" s="1">
        <v>0</v>
      </c>
      <c r="E4179" s="1">
        <v>10000</v>
      </c>
      <c r="H4179" t="s">
        <v>1050</v>
      </c>
    </row>
    <row r="4180" spans="1:8" hidden="1">
      <c r="A4180" s="232">
        <v>45222</v>
      </c>
      <c r="C4180" t="s">
        <v>4435</v>
      </c>
      <c r="D4180" s="1">
        <v>0</v>
      </c>
      <c r="E4180" s="1">
        <v>180</v>
      </c>
      <c r="H4180" t="s">
        <v>1050</v>
      </c>
    </row>
    <row r="4181" spans="1:8" hidden="1">
      <c r="A4181" s="232">
        <v>45224</v>
      </c>
      <c r="C4181" t="s">
        <v>12862</v>
      </c>
      <c r="D4181" s="1">
        <v>80</v>
      </c>
      <c r="E4181" s="1">
        <v>0</v>
      </c>
      <c r="H4181" t="s">
        <v>1050</v>
      </c>
    </row>
    <row r="4182" spans="1:8" hidden="1">
      <c r="A4182" s="232">
        <v>45224</v>
      </c>
      <c r="C4182" t="s">
        <v>12863</v>
      </c>
      <c r="D4182" s="1">
        <v>45</v>
      </c>
      <c r="E4182" s="1">
        <v>0</v>
      </c>
      <c r="H4182" t="s">
        <v>1050</v>
      </c>
    </row>
    <row r="4183" spans="1:8" hidden="1">
      <c r="A4183" s="232">
        <v>45225</v>
      </c>
      <c r="C4183" t="s">
        <v>12864</v>
      </c>
      <c r="D4183" s="1">
        <v>0</v>
      </c>
      <c r="E4183" s="1">
        <v>319298</v>
      </c>
      <c r="G4183" s="8" t="s">
        <v>1380</v>
      </c>
      <c r="H4183" t="s">
        <v>1050</v>
      </c>
    </row>
    <row r="4184" spans="1:8" hidden="1">
      <c r="A4184" s="232">
        <v>45227</v>
      </c>
      <c r="C4184" t="s">
        <v>12865</v>
      </c>
      <c r="D4184" s="1">
        <v>2408</v>
      </c>
      <c r="E4184" s="1">
        <v>0</v>
      </c>
      <c r="H4184" t="s">
        <v>1050</v>
      </c>
    </row>
    <row r="4185" spans="1:8" hidden="1">
      <c r="A4185" s="232">
        <v>45229</v>
      </c>
      <c r="C4185" t="s">
        <v>12866</v>
      </c>
      <c r="D4185" s="1">
        <v>25000</v>
      </c>
      <c r="E4185" s="1">
        <v>0</v>
      </c>
      <c r="G4185" s="8" t="s">
        <v>1381</v>
      </c>
      <c r="H4185" t="s">
        <v>1050</v>
      </c>
    </row>
    <row r="4186" spans="1:8" hidden="1">
      <c r="A4186" s="232">
        <v>45229</v>
      </c>
      <c r="C4186" t="s">
        <v>12867</v>
      </c>
      <c r="D4186" s="1">
        <v>2000</v>
      </c>
      <c r="E4186" s="1">
        <v>0</v>
      </c>
      <c r="G4186" s="8" t="s">
        <v>1372</v>
      </c>
      <c r="H4186" t="s">
        <v>1050</v>
      </c>
    </row>
    <row r="4187" spans="1:8" hidden="1">
      <c r="A4187" s="232">
        <v>45229</v>
      </c>
      <c r="C4187" t="s">
        <v>12868</v>
      </c>
      <c r="D4187" s="1">
        <v>11250</v>
      </c>
      <c r="E4187" s="1">
        <v>0</v>
      </c>
      <c r="G4187" s="8" t="s">
        <v>1372</v>
      </c>
      <c r="H4187" t="s">
        <v>1050</v>
      </c>
    </row>
    <row r="4188" spans="1:8" hidden="1">
      <c r="A4188" s="232">
        <v>45200</v>
      </c>
      <c r="C4188" s="316" t="s">
        <v>12869</v>
      </c>
      <c r="D4188" s="1">
        <v>25000</v>
      </c>
      <c r="G4188" s="8" t="s">
        <v>1379</v>
      </c>
      <c r="H4188" t="s">
        <v>1336</v>
      </c>
    </row>
    <row r="4189" spans="1:8" hidden="1">
      <c r="A4189" s="232">
        <v>45204</v>
      </c>
      <c r="C4189" s="316" t="s">
        <v>4319</v>
      </c>
      <c r="D4189" s="1">
        <v>40412</v>
      </c>
      <c r="G4189" s="8" t="s">
        <v>1362</v>
      </c>
      <c r="H4189" t="s">
        <v>1336</v>
      </c>
    </row>
    <row r="4190" spans="1:8" hidden="1">
      <c r="A4190" s="232">
        <v>45205</v>
      </c>
      <c r="C4190" s="316" t="s">
        <v>12870</v>
      </c>
      <c r="E4190" s="1">
        <v>75000</v>
      </c>
      <c r="G4190" s="8" t="s">
        <v>1363</v>
      </c>
      <c r="H4190" t="s">
        <v>1336</v>
      </c>
    </row>
    <row r="4191" spans="1:8" hidden="1">
      <c r="A4191" s="232">
        <v>45231</v>
      </c>
      <c r="C4191" t="s">
        <v>12987</v>
      </c>
      <c r="D4191" s="1">
        <v>250</v>
      </c>
      <c r="E4191" s="1">
        <v>0</v>
      </c>
      <c r="G4191" s="8" t="s">
        <v>1363</v>
      </c>
      <c r="H4191" t="s">
        <v>1050</v>
      </c>
    </row>
    <row r="4192" spans="1:8" hidden="1">
      <c r="A4192" s="232">
        <v>45231</v>
      </c>
      <c r="C4192" t="s">
        <v>12988</v>
      </c>
      <c r="D4192" s="1">
        <v>250</v>
      </c>
      <c r="E4192" s="1">
        <v>0</v>
      </c>
      <c r="G4192" s="8" t="s">
        <v>1363</v>
      </c>
      <c r="H4192" t="s">
        <v>1050</v>
      </c>
    </row>
    <row r="4193" spans="1:8" hidden="1">
      <c r="A4193" s="232">
        <v>45231</v>
      </c>
      <c r="C4193" t="s">
        <v>12989</v>
      </c>
      <c r="D4193" s="1">
        <v>2000</v>
      </c>
      <c r="E4193" s="1">
        <v>0</v>
      </c>
      <c r="H4193" t="s">
        <v>1050</v>
      </c>
    </row>
    <row r="4194" spans="1:8" hidden="1">
      <c r="A4194" s="232">
        <v>45233</v>
      </c>
      <c r="B4194" t="s">
        <v>1997</v>
      </c>
      <c r="C4194" t="s">
        <v>12990</v>
      </c>
      <c r="D4194" s="1">
        <v>9618</v>
      </c>
      <c r="E4194" s="1">
        <v>0</v>
      </c>
      <c r="H4194" t="s">
        <v>1050</v>
      </c>
    </row>
    <row r="4195" spans="1:8" hidden="1">
      <c r="A4195" s="232">
        <v>45234</v>
      </c>
      <c r="C4195" t="s">
        <v>12991</v>
      </c>
      <c r="D4195" s="1">
        <v>6793</v>
      </c>
      <c r="E4195" s="1">
        <v>0</v>
      </c>
      <c r="H4195" t="s">
        <v>1050</v>
      </c>
    </row>
    <row r="4196" spans="1:8" hidden="1">
      <c r="A4196" s="232">
        <v>45234</v>
      </c>
      <c r="C4196" t="s">
        <v>12992</v>
      </c>
      <c r="D4196" s="1">
        <v>120</v>
      </c>
      <c r="E4196" s="1">
        <v>0</v>
      </c>
      <c r="H4196" t="s">
        <v>1050</v>
      </c>
    </row>
    <row r="4197" spans="1:8" hidden="1">
      <c r="A4197" s="232">
        <v>45236</v>
      </c>
      <c r="C4197" t="s">
        <v>12993</v>
      </c>
      <c r="D4197" s="1">
        <v>11250</v>
      </c>
      <c r="E4197" s="1">
        <v>0</v>
      </c>
      <c r="G4197" s="8" t="s">
        <v>1372</v>
      </c>
      <c r="H4197" t="s">
        <v>1050</v>
      </c>
    </row>
    <row r="4198" spans="1:8" hidden="1">
      <c r="A4198" s="232">
        <v>45236</v>
      </c>
      <c r="C4198" t="s">
        <v>12994</v>
      </c>
      <c r="D4198" s="1">
        <v>75000</v>
      </c>
      <c r="E4198" s="1">
        <v>0</v>
      </c>
      <c r="G4198" s="8" t="s">
        <v>1363</v>
      </c>
      <c r="H4198" t="s">
        <v>1050</v>
      </c>
    </row>
    <row r="4199" spans="1:8" hidden="1">
      <c r="A4199" s="232">
        <v>45236</v>
      </c>
      <c r="C4199" t="s">
        <v>12995</v>
      </c>
      <c r="D4199" s="1">
        <v>60</v>
      </c>
      <c r="E4199" s="1">
        <v>0</v>
      </c>
      <c r="H4199" t="s">
        <v>1050</v>
      </c>
    </row>
    <row r="4200" spans="1:8" hidden="1">
      <c r="A4200" s="232">
        <v>45237</v>
      </c>
      <c r="C4200" t="s">
        <v>12996</v>
      </c>
      <c r="D4200" s="1">
        <v>101813</v>
      </c>
      <c r="E4200" s="1">
        <v>0</v>
      </c>
      <c r="G4200" s="8" t="s">
        <v>1370</v>
      </c>
      <c r="H4200" t="s">
        <v>1050</v>
      </c>
    </row>
    <row r="4201" spans="1:8" hidden="1">
      <c r="A4201" s="232">
        <v>45238</v>
      </c>
      <c r="C4201" t="s">
        <v>12997</v>
      </c>
      <c r="D4201" s="1">
        <v>750</v>
      </c>
      <c r="E4201" s="1">
        <v>0</v>
      </c>
      <c r="H4201" t="s">
        <v>1050</v>
      </c>
    </row>
    <row r="4202" spans="1:8" hidden="1">
      <c r="A4202" s="232">
        <v>45240</v>
      </c>
      <c r="B4202" t="s">
        <v>2737</v>
      </c>
      <c r="C4202" t="s">
        <v>2738</v>
      </c>
      <c r="D4202" s="1">
        <v>137123.20000000001</v>
      </c>
      <c r="E4202" s="1">
        <v>0</v>
      </c>
      <c r="G4202" s="8" t="s">
        <v>1362</v>
      </c>
      <c r="H4202" t="s">
        <v>1050</v>
      </c>
    </row>
    <row r="4203" spans="1:8" hidden="1">
      <c r="A4203" s="232">
        <v>45240</v>
      </c>
      <c r="C4203" t="s">
        <v>12998</v>
      </c>
      <c r="D4203" s="1">
        <v>1200</v>
      </c>
      <c r="E4203" s="1">
        <v>0</v>
      </c>
      <c r="H4203" t="s">
        <v>1050</v>
      </c>
    </row>
    <row r="4204" spans="1:8" hidden="1">
      <c r="A4204" s="232">
        <v>45240</v>
      </c>
      <c r="C4204" t="s">
        <v>4434</v>
      </c>
      <c r="D4204" s="1">
        <v>0</v>
      </c>
      <c r="E4204" s="1">
        <v>70000</v>
      </c>
      <c r="H4204" t="s">
        <v>1050</v>
      </c>
    </row>
    <row r="4205" spans="1:8" hidden="1">
      <c r="A4205" s="232">
        <v>45240</v>
      </c>
      <c r="C4205" t="s">
        <v>4435</v>
      </c>
      <c r="D4205" s="1">
        <v>0</v>
      </c>
      <c r="E4205" s="1">
        <v>1756</v>
      </c>
      <c r="H4205" t="s">
        <v>1050</v>
      </c>
    </row>
    <row r="4206" spans="1:8" hidden="1">
      <c r="A4206" s="232">
        <v>45243</v>
      </c>
      <c r="C4206" t="s">
        <v>12999</v>
      </c>
      <c r="D4206" s="1">
        <v>1000</v>
      </c>
      <c r="E4206" s="1">
        <v>0</v>
      </c>
      <c r="H4206" t="s">
        <v>1050</v>
      </c>
    </row>
    <row r="4207" spans="1:8" hidden="1">
      <c r="A4207" s="232">
        <v>45243</v>
      </c>
      <c r="C4207" t="s">
        <v>13000</v>
      </c>
      <c r="D4207" s="1">
        <v>11250</v>
      </c>
      <c r="E4207" s="1">
        <v>0</v>
      </c>
      <c r="G4207" s="8" t="s">
        <v>1372</v>
      </c>
      <c r="H4207" t="s">
        <v>1050</v>
      </c>
    </row>
    <row r="4208" spans="1:8" hidden="1">
      <c r="A4208" s="232">
        <v>45243</v>
      </c>
      <c r="C4208" t="s">
        <v>13001</v>
      </c>
      <c r="D4208" s="1">
        <v>237</v>
      </c>
      <c r="E4208" s="1">
        <v>0</v>
      </c>
      <c r="H4208" t="s">
        <v>1050</v>
      </c>
    </row>
    <row r="4209" spans="1:8" hidden="1">
      <c r="A4209" s="232">
        <v>45243</v>
      </c>
      <c r="C4209" t="s">
        <v>4434</v>
      </c>
      <c r="D4209" s="1">
        <v>0</v>
      </c>
      <c r="E4209" s="1">
        <v>10000</v>
      </c>
      <c r="H4209" t="s">
        <v>1050</v>
      </c>
    </row>
    <row r="4210" spans="1:8" hidden="1">
      <c r="A4210" s="232">
        <v>45243</v>
      </c>
      <c r="C4210" t="s">
        <v>4435</v>
      </c>
      <c r="D4210" s="1">
        <v>0</v>
      </c>
      <c r="E4210" s="1">
        <v>255</v>
      </c>
      <c r="H4210" t="s">
        <v>1050</v>
      </c>
    </row>
    <row r="4211" spans="1:8" hidden="1">
      <c r="A4211" s="232">
        <v>45246</v>
      </c>
      <c r="C4211" t="s">
        <v>13002</v>
      </c>
      <c r="D4211" s="1">
        <v>834.26</v>
      </c>
      <c r="E4211" s="1">
        <v>0</v>
      </c>
      <c r="H4211" t="s">
        <v>1050</v>
      </c>
    </row>
    <row r="4212" spans="1:8" hidden="1">
      <c r="A4212" s="232">
        <v>45246</v>
      </c>
      <c r="B4212" t="s">
        <v>1938</v>
      </c>
      <c r="C4212" t="s">
        <v>13003</v>
      </c>
      <c r="D4212" s="1">
        <v>9990</v>
      </c>
      <c r="E4212" s="1">
        <v>0</v>
      </c>
      <c r="G4212" s="8" t="s">
        <v>1383</v>
      </c>
      <c r="H4212" t="s">
        <v>1050</v>
      </c>
    </row>
    <row r="4213" spans="1:8" hidden="1">
      <c r="A4213" s="232">
        <v>45246</v>
      </c>
      <c r="C4213" t="s">
        <v>4434</v>
      </c>
      <c r="D4213" s="1">
        <v>0</v>
      </c>
      <c r="E4213" s="1">
        <v>10000</v>
      </c>
      <c r="H4213" t="s">
        <v>1050</v>
      </c>
    </row>
    <row r="4214" spans="1:8" hidden="1">
      <c r="A4214" s="232">
        <v>45246</v>
      </c>
      <c r="C4214" t="s">
        <v>4435</v>
      </c>
      <c r="D4214" s="1">
        <v>0</v>
      </c>
      <c r="E4214" s="1">
        <v>286</v>
      </c>
      <c r="H4214" t="s">
        <v>1050</v>
      </c>
    </row>
    <row r="4215" spans="1:8" hidden="1">
      <c r="A4215" s="232">
        <v>45250</v>
      </c>
      <c r="C4215" t="s">
        <v>13004</v>
      </c>
      <c r="D4215" s="1">
        <v>11250</v>
      </c>
      <c r="E4215" s="1">
        <v>0</v>
      </c>
      <c r="G4215" s="8" t="s">
        <v>1372</v>
      </c>
      <c r="H4215" t="s">
        <v>1050</v>
      </c>
    </row>
    <row r="4216" spans="1:8" hidden="1">
      <c r="A4216" s="232">
        <v>45250</v>
      </c>
      <c r="C4216" t="s">
        <v>4434</v>
      </c>
      <c r="D4216" s="1">
        <v>0</v>
      </c>
      <c r="E4216" s="1">
        <v>10000</v>
      </c>
      <c r="H4216" t="s">
        <v>1050</v>
      </c>
    </row>
    <row r="4217" spans="1:8" hidden="1">
      <c r="A4217" s="232">
        <v>45250</v>
      </c>
      <c r="C4217" t="s">
        <v>4435</v>
      </c>
      <c r="D4217" s="1">
        <v>0</v>
      </c>
      <c r="E4217" s="1">
        <v>292</v>
      </c>
      <c r="H4217" t="s">
        <v>1050</v>
      </c>
    </row>
    <row r="4218" spans="1:8" hidden="1">
      <c r="A4218" s="232">
        <v>45251</v>
      </c>
      <c r="B4218" t="s">
        <v>1938</v>
      </c>
      <c r="C4218" t="s">
        <v>13005</v>
      </c>
      <c r="D4218" s="1">
        <v>33333</v>
      </c>
      <c r="E4218" s="1">
        <v>0</v>
      </c>
      <c r="G4218" s="8" t="s">
        <v>1381</v>
      </c>
      <c r="H4218" t="s">
        <v>1050</v>
      </c>
    </row>
    <row r="4219" spans="1:8" hidden="1">
      <c r="A4219" s="232">
        <v>45251</v>
      </c>
      <c r="C4219" t="s">
        <v>13006</v>
      </c>
      <c r="D4219" s="1">
        <v>10092</v>
      </c>
      <c r="E4219" s="1">
        <v>0</v>
      </c>
      <c r="H4219" t="s">
        <v>1050</v>
      </c>
    </row>
    <row r="4220" spans="1:8" hidden="1">
      <c r="A4220" s="232">
        <v>45251</v>
      </c>
      <c r="C4220" t="s">
        <v>4434</v>
      </c>
      <c r="D4220" s="1">
        <v>0</v>
      </c>
      <c r="E4220" s="1">
        <v>45000</v>
      </c>
      <c r="H4220" t="s">
        <v>1050</v>
      </c>
    </row>
    <row r="4221" spans="1:8" hidden="1">
      <c r="A4221" s="232">
        <v>45251</v>
      </c>
      <c r="C4221" t="s">
        <v>4435</v>
      </c>
      <c r="D4221" s="1">
        <v>0</v>
      </c>
      <c r="E4221" s="1">
        <v>1322</v>
      </c>
      <c r="H4221" t="s">
        <v>1050</v>
      </c>
    </row>
    <row r="4222" spans="1:8" hidden="1">
      <c r="A4222" s="232">
        <v>45252</v>
      </c>
      <c r="C4222" t="s">
        <v>13007</v>
      </c>
      <c r="D4222" s="1">
        <v>33</v>
      </c>
      <c r="E4222" s="1">
        <v>0</v>
      </c>
      <c r="H4222" t="s">
        <v>1050</v>
      </c>
    </row>
    <row r="4223" spans="1:8" hidden="1">
      <c r="A4223" s="232">
        <v>45253</v>
      </c>
      <c r="C4223" t="s">
        <v>13008</v>
      </c>
      <c r="D4223" s="1">
        <v>590</v>
      </c>
      <c r="E4223" s="1">
        <v>0</v>
      </c>
      <c r="H4223" t="s">
        <v>1050</v>
      </c>
    </row>
    <row r="4224" spans="1:8" hidden="1">
      <c r="A4224" s="232">
        <v>45254</v>
      </c>
      <c r="C4224" t="s">
        <v>13009</v>
      </c>
      <c r="D4224" s="1">
        <v>0</v>
      </c>
      <c r="E4224" s="1">
        <v>319298</v>
      </c>
      <c r="G4224" s="8" t="s">
        <v>1380</v>
      </c>
      <c r="H4224" t="s">
        <v>1050</v>
      </c>
    </row>
    <row r="4225" spans="1:8" hidden="1">
      <c r="A4225" s="232">
        <v>45255</v>
      </c>
      <c r="C4225" t="s">
        <v>13010</v>
      </c>
      <c r="D4225" s="1">
        <v>436</v>
      </c>
      <c r="E4225" s="1">
        <v>0</v>
      </c>
      <c r="H4225" t="s">
        <v>1050</v>
      </c>
    </row>
    <row r="4226" spans="1:8" hidden="1">
      <c r="A4226" s="232">
        <v>45257</v>
      </c>
      <c r="C4226" t="s">
        <v>13011</v>
      </c>
      <c r="D4226" s="1">
        <v>11250</v>
      </c>
      <c r="E4226" s="1">
        <v>0</v>
      </c>
      <c r="G4226" s="8" t="s">
        <v>1372</v>
      </c>
      <c r="H4226" t="s">
        <v>1050</v>
      </c>
    </row>
    <row r="4227" spans="1:8" hidden="1">
      <c r="A4227" s="232">
        <v>45258</v>
      </c>
      <c r="B4227" t="s">
        <v>1938</v>
      </c>
      <c r="C4227" t="s">
        <v>13012</v>
      </c>
      <c r="D4227" s="1">
        <v>2000</v>
      </c>
      <c r="E4227" s="1">
        <v>0</v>
      </c>
      <c r="G4227" s="8" t="s">
        <v>1372</v>
      </c>
      <c r="H4227" t="s">
        <v>1050</v>
      </c>
    </row>
    <row r="4228" spans="1:8" hidden="1">
      <c r="A4228" s="232">
        <v>45258</v>
      </c>
      <c r="B4228" t="s">
        <v>1938</v>
      </c>
      <c r="C4228" t="s">
        <v>13013</v>
      </c>
      <c r="D4228" s="1">
        <v>25000</v>
      </c>
      <c r="E4228" s="1">
        <v>0</v>
      </c>
      <c r="G4228" s="8" t="s">
        <v>1381</v>
      </c>
      <c r="H4228" t="s">
        <v>1050</v>
      </c>
    </row>
    <row r="4229" spans="1:8" hidden="1">
      <c r="A4229" s="232">
        <v>45260</v>
      </c>
      <c r="C4229" t="s">
        <v>13014</v>
      </c>
      <c r="D4229" s="1">
        <v>3500</v>
      </c>
      <c r="E4229" s="1">
        <v>0</v>
      </c>
      <c r="H4229" t="s">
        <v>1050</v>
      </c>
    </row>
    <row r="4230" spans="1:8" hidden="1">
      <c r="A4230" s="232">
        <v>45260</v>
      </c>
      <c r="C4230" t="s">
        <v>13015</v>
      </c>
      <c r="D4230" s="1">
        <v>1000</v>
      </c>
      <c r="E4230" s="1">
        <v>0</v>
      </c>
      <c r="H4230" t="s">
        <v>1050</v>
      </c>
    </row>
    <row r="4231" spans="1:8" hidden="1">
      <c r="A4231" s="232">
        <v>45232</v>
      </c>
      <c r="C4231" s="316" t="s">
        <v>13016</v>
      </c>
      <c r="D4231" s="1">
        <v>25000</v>
      </c>
      <c r="G4231" s="8" t="s">
        <v>1379</v>
      </c>
      <c r="H4231" t="s">
        <v>1336</v>
      </c>
    </row>
    <row r="4232" spans="1:8" hidden="1">
      <c r="A4232" s="232">
        <v>45234</v>
      </c>
      <c r="C4232" s="316" t="s">
        <v>4319</v>
      </c>
      <c r="D4232" s="1">
        <v>4841</v>
      </c>
      <c r="G4232" s="8" t="s">
        <v>1362</v>
      </c>
      <c r="H4232" t="s">
        <v>1336</v>
      </c>
    </row>
    <row r="4233" spans="1:8" hidden="1">
      <c r="A4233" s="232">
        <v>45236</v>
      </c>
      <c r="C4233" s="316" t="s">
        <v>13017</v>
      </c>
      <c r="E4233" s="1">
        <v>75000</v>
      </c>
      <c r="G4233" s="8" t="s">
        <v>1363</v>
      </c>
      <c r="H4233" t="s">
        <v>1336</v>
      </c>
    </row>
    <row r="4234" spans="1:8" hidden="1">
      <c r="A4234" s="232">
        <v>45261</v>
      </c>
      <c r="C4234" t="s">
        <v>13134</v>
      </c>
      <c r="D4234" s="1">
        <v>250</v>
      </c>
      <c r="E4234" s="1">
        <v>0</v>
      </c>
      <c r="G4234" s="8" t="s">
        <v>1363</v>
      </c>
      <c r="H4234" t="s">
        <v>1050</v>
      </c>
    </row>
    <row r="4235" spans="1:8" hidden="1">
      <c r="A4235" s="232">
        <v>45261</v>
      </c>
      <c r="C4235" t="s">
        <v>13135</v>
      </c>
      <c r="D4235" s="1">
        <v>250</v>
      </c>
      <c r="E4235" s="1">
        <v>0</v>
      </c>
      <c r="G4235" s="8" t="s">
        <v>1363</v>
      </c>
      <c r="H4235" t="s">
        <v>1050</v>
      </c>
    </row>
    <row r="4236" spans="1:8" hidden="1">
      <c r="A4236" s="232">
        <v>45261</v>
      </c>
      <c r="C4236" t="s">
        <v>13136</v>
      </c>
      <c r="D4236" s="1">
        <v>2000</v>
      </c>
      <c r="E4236" s="1">
        <v>0</v>
      </c>
      <c r="H4236" t="s">
        <v>1050</v>
      </c>
    </row>
    <row r="4237" spans="1:8" hidden="1">
      <c r="A4237" s="232">
        <v>45262</v>
      </c>
      <c r="C4237" t="s">
        <v>13137</v>
      </c>
      <c r="D4237" s="1">
        <v>250</v>
      </c>
      <c r="E4237" s="1">
        <v>0</v>
      </c>
      <c r="H4237" t="s">
        <v>1050</v>
      </c>
    </row>
    <row r="4238" spans="1:8" hidden="1">
      <c r="A4238" s="232">
        <v>45262</v>
      </c>
      <c r="C4238" t="s">
        <v>13138</v>
      </c>
      <c r="D4238" s="1">
        <v>50</v>
      </c>
      <c r="E4238" s="1">
        <v>0</v>
      </c>
      <c r="H4238" t="s">
        <v>1050</v>
      </c>
    </row>
    <row r="4239" spans="1:8" hidden="1">
      <c r="A4239" s="232">
        <v>45264</v>
      </c>
      <c r="C4239" t="s">
        <v>13139</v>
      </c>
      <c r="D4239" s="1">
        <v>11250</v>
      </c>
      <c r="E4239" s="1">
        <v>0</v>
      </c>
      <c r="G4239" s="8" t="s">
        <v>1372</v>
      </c>
      <c r="H4239" t="s">
        <v>1050</v>
      </c>
    </row>
    <row r="4240" spans="1:8" hidden="1">
      <c r="A4240" s="232">
        <v>45264</v>
      </c>
      <c r="C4240" t="s">
        <v>13140</v>
      </c>
      <c r="D4240" s="1">
        <v>10282</v>
      </c>
      <c r="E4240" s="1">
        <v>0</v>
      </c>
      <c r="H4240" t="s">
        <v>1050</v>
      </c>
    </row>
    <row r="4241" spans="1:8" hidden="1">
      <c r="A4241" s="232">
        <v>45265</v>
      </c>
      <c r="C4241" t="s">
        <v>13141</v>
      </c>
      <c r="D4241" s="1">
        <v>500</v>
      </c>
      <c r="E4241" s="1">
        <v>0</v>
      </c>
      <c r="H4241" t="s">
        <v>1050</v>
      </c>
    </row>
    <row r="4242" spans="1:8" hidden="1">
      <c r="A4242" s="232">
        <v>45266</v>
      </c>
      <c r="C4242" t="s">
        <v>13142</v>
      </c>
      <c r="D4242" s="1">
        <v>75000</v>
      </c>
      <c r="E4242" s="1">
        <v>0</v>
      </c>
      <c r="G4242" s="8" t="s">
        <v>1363</v>
      </c>
      <c r="H4242" t="s">
        <v>1050</v>
      </c>
    </row>
    <row r="4243" spans="1:8" hidden="1">
      <c r="A4243" s="232">
        <v>45267</v>
      </c>
      <c r="C4243" t="s">
        <v>13143</v>
      </c>
      <c r="D4243" s="1">
        <v>101813</v>
      </c>
      <c r="E4243" s="1">
        <v>0</v>
      </c>
      <c r="G4243" s="8" t="s">
        <v>1370</v>
      </c>
      <c r="H4243" t="s">
        <v>1050</v>
      </c>
    </row>
    <row r="4244" spans="1:8" hidden="1">
      <c r="A4244" s="232">
        <v>45271</v>
      </c>
      <c r="C4244" t="s">
        <v>13144</v>
      </c>
      <c r="D4244" s="1">
        <v>11250</v>
      </c>
      <c r="E4244" s="1">
        <v>0</v>
      </c>
      <c r="G4244" s="8" t="s">
        <v>1372</v>
      </c>
      <c r="H4244" t="s">
        <v>1050</v>
      </c>
    </row>
    <row r="4245" spans="1:8" hidden="1">
      <c r="A4245" s="232">
        <v>45271</v>
      </c>
      <c r="C4245" t="s">
        <v>4132</v>
      </c>
      <c r="D4245" s="1">
        <v>32363.09</v>
      </c>
      <c r="E4245" s="1">
        <v>0</v>
      </c>
      <c r="G4245" s="8" t="s">
        <v>1362</v>
      </c>
      <c r="H4245" t="s">
        <v>1050</v>
      </c>
    </row>
    <row r="4246" spans="1:8" hidden="1">
      <c r="A4246" s="232">
        <v>45272</v>
      </c>
      <c r="C4246" t="s">
        <v>13145</v>
      </c>
      <c r="D4246" s="1">
        <v>306</v>
      </c>
      <c r="E4246" s="1">
        <v>0</v>
      </c>
      <c r="H4246" t="s">
        <v>1050</v>
      </c>
    </row>
    <row r="4247" spans="1:8" hidden="1">
      <c r="A4247" s="232">
        <v>45275</v>
      </c>
      <c r="C4247" t="s">
        <v>13146</v>
      </c>
      <c r="D4247" s="1">
        <v>706.82</v>
      </c>
      <c r="E4247" s="1">
        <v>0</v>
      </c>
      <c r="H4247" t="s">
        <v>1050</v>
      </c>
    </row>
    <row r="4248" spans="1:8" hidden="1">
      <c r="A4248" s="232">
        <v>45276</v>
      </c>
      <c r="C4248" t="s">
        <v>13147</v>
      </c>
      <c r="D4248" s="1">
        <v>9990</v>
      </c>
      <c r="E4248" s="1">
        <v>0</v>
      </c>
      <c r="G4248" s="8" t="s">
        <v>1383</v>
      </c>
      <c r="H4248" t="s">
        <v>1050</v>
      </c>
    </row>
    <row r="4249" spans="1:8" hidden="1">
      <c r="A4249" s="232">
        <v>45277</v>
      </c>
      <c r="C4249" t="s">
        <v>13148</v>
      </c>
      <c r="D4249" s="1">
        <v>786</v>
      </c>
      <c r="E4249" s="1">
        <v>0</v>
      </c>
      <c r="H4249" t="s">
        <v>1050</v>
      </c>
    </row>
    <row r="4250" spans="1:8" hidden="1">
      <c r="A4250" s="232">
        <v>45278</v>
      </c>
      <c r="C4250" t="s">
        <v>13149</v>
      </c>
      <c r="D4250" s="1">
        <v>11250</v>
      </c>
      <c r="E4250" s="1">
        <v>0</v>
      </c>
      <c r="G4250" s="8" t="s">
        <v>1372</v>
      </c>
      <c r="H4250" t="s">
        <v>1050</v>
      </c>
    </row>
    <row r="4251" spans="1:8" hidden="1">
      <c r="A4251" s="232">
        <v>45278</v>
      </c>
      <c r="C4251" t="s">
        <v>13150</v>
      </c>
      <c r="D4251" s="1">
        <v>668</v>
      </c>
      <c r="E4251" s="1">
        <v>0</v>
      </c>
      <c r="H4251" t="s">
        <v>1050</v>
      </c>
    </row>
    <row r="4252" spans="1:8" hidden="1">
      <c r="A4252" s="232">
        <v>45278</v>
      </c>
      <c r="C4252" t="s">
        <v>13151</v>
      </c>
      <c r="D4252" s="1">
        <v>2500</v>
      </c>
      <c r="E4252" s="1">
        <v>0</v>
      </c>
      <c r="H4252" t="s">
        <v>1050</v>
      </c>
    </row>
    <row r="4253" spans="1:8" hidden="1">
      <c r="A4253" s="232">
        <v>45279</v>
      </c>
      <c r="C4253" t="s">
        <v>13152</v>
      </c>
      <c r="D4253" s="1">
        <v>569</v>
      </c>
      <c r="E4253" s="1">
        <v>0</v>
      </c>
      <c r="H4253" t="s">
        <v>1050</v>
      </c>
    </row>
    <row r="4254" spans="1:8" hidden="1">
      <c r="A4254" s="232">
        <v>45280</v>
      </c>
      <c r="C4254" t="s">
        <v>13153</v>
      </c>
      <c r="D4254" s="1">
        <v>6500</v>
      </c>
      <c r="E4254" s="1">
        <v>0</v>
      </c>
      <c r="H4254" t="s">
        <v>1050</v>
      </c>
    </row>
    <row r="4255" spans="1:8" hidden="1">
      <c r="A4255" s="232">
        <v>45281</v>
      </c>
      <c r="C4255" t="s">
        <v>13154</v>
      </c>
      <c r="D4255" s="1">
        <v>33333</v>
      </c>
      <c r="E4255" s="1">
        <v>0</v>
      </c>
      <c r="G4255" s="8" t="s">
        <v>1381</v>
      </c>
      <c r="H4255" t="s">
        <v>1050</v>
      </c>
    </row>
    <row r="4256" spans="1:8" hidden="1">
      <c r="A4256" s="232">
        <v>45281</v>
      </c>
      <c r="C4256" t="s">
        <v>13155</v>
      </c>
      <c r="D4256" s="1">
        <v>325</v>
      </c>
      <c r="E4256" s="1">
        <v>0</v>
      </c>
      <c r="H4256" t="s">
        <v>1050</v>
      </c>
    </row>
    <row r="4257" spans="1:9" hidden="1">
      <c r="A4257" s="232">
        <v>45281</v>
      </c>
      <c r="C4257" t="s">
        <v>4157</v>
      </c>
      <c r="D4257" s="1">
        <v>0</v>
      </c>
      <c r="E4257" s="1">
        <v>35000</v>
      </c>
      <c r="H4257" t="s">
        <v>1050</v>
      </c>
    </row>
    <row r="4258" spans="1:9" hidden="1">
      <c r="A4258" s="232">
        <v>45281</v>
      </c>
      <c r="C4258" t="s">
        <v>4158</v>
      </c>
      <c r="D4258" s="1">
        <v>0</v>
      </c>
      <c r="E4258" s="1">
        <v>1183</v>
      </c>
      <c r="H4258" t="s">
        <v>1050</v>
      </c>
    </row>
    <row r="4259" spans="1:9" hidden="1">
      <c r="A4259" s="232">
        <v>45282</v>
      </c>
      <c r="C4259" t="s">
        <v>13156</v>
      </c>
      <c r="D4259" s="1">
        <v>60</v>
      </c>
      <c r="E4259" s="1">
        <v>0</v>
      </c>
      <c r="H4259" t="s">
        <v>1050</v>
      </c>
    </row>
    <row r="4260" spans="1:9" hidden="1">
      <c r="A4260" s="232">
        <v>45284</v>
      </c>
      <c r="C4260" t="s">
        <v>13157</v>
      </c>
      <c r="D4260" s="1">
        <v>106</v>
      </c>
      <c r="E4260" s="1">
        <v>0</v>
      </c>
      <c r="H4260" t="s">
        <v>1050</v>
      </c>
    </row>
    <row r="4261" spans="1:9" hidden="1">
      <c r="A4261" s="232">
        <v>45285</v>
      </c>
      <c r="C4261" t="s">
        <v>13158</v>
      </c>
      <c r="D4261" s="1">
        <v>11250</v>
      </c>
      <c r="E4261" s="1">
        <v>0</v>
      </c>
      <c r="G4261" s="8" t="s">
        <v>1372</v>
      </c>
      <c r="H4261" t="s">
        <v>1050</v>
      </c>
    </row>
    <row r="4262" spans="1:9" hidden="1">
      <c r="A4262" s="232">
        <v>45285</v>
      </c>
      <c r="C4262" t="s">
        <v>13159</v>
      </c>
      <c r="D4262" s="1">
        <v>120</v>
      </c>
      <c r="E4262" s="1">
        <v>0</v>
      </c>
      <c r="H4262" t="s">
        <v>1050</v>
      </c>
    </row>
    <row r="4263" spans="1:9" hidden="1">
      <c r="A4263" s="232">
        <v>45285</v>
      </c>
      <c r="C4263" t="s">
        <v>13160</v>
      </c>
      <c r="D4263" s="1">
        <v>160</v>
      </c>
      <c r="E4263" s="1">
        <v>0</v>
      </c>
      <c r="H4263" t="s">
        <v>1050</v>
      </c>
    </row>
    <row r="4264" spans="1:9" hidden="1">
      <c r="A4264" s="232">
        <v>45285</v>
      </c>
      <c r="C4264" t="s">
        <v>4157</v>
      </c>
      <c r="D4264" s="1">
        <v>0</v>
      </c>
      <c r="E4264" s="1">
        <v>10000</v>
      </c>
      <c r="H4264" t="s">
        <v>1050</v>
      </c>
    </row>
    <row r="4265" spans="1:9" hidden="1">
      <c r="A4265" s="232">
        <v>45285</v>
      </c>
      <c r="C4265" t="s">
        <v>4158</v>
      </c>
      <c r="D4265" s="1">
        <v>0</v>
      </c>
      <c r="E4265" s="1">
        <v>344</v>
      </c>
      <c r="H4265" t="s">
        <v>1050</v>
      </c>
    </row>
    <row r="4266" spans="1:9" hidden="1">
      <c r="A4266" s="232">
        <v>45286</v>
      </c>
      <c r="C4266" t="s">
        <v>13161</v>
      </c>
      <c r="D4266" s="1">
        <v>0</v>
      </c>
      <c r="E4266" s="1">
        <v>319299</v>
      </c>
      <c r="G4266" s="8" t="s">
        <v>1380</v>
      </c>
      <c r="H4266" t="s">
        <v>1050</v>
      </c>
    </row>
    <row r="4267" spans="1:9" hidden="1">
      <c r="A4267" s="232">
        <v>45287</v>
      </c>
      <c r="C4267" t="s">
        <v>13162</v>
      </c>
      <c r="D4267" s="1">
        <v>1</v>
      </c>
      <c r="E4267" s="1">
        <v>0</v>
      </c>
      <c r="H4267" t="s">
        <v>1050</v>
      </c>
      <c r="I4267" t="s">
        <v>13173</v>
      </c>
    </row>
    <row r="4268" spans="1:9" hidden="1">
      <c r="A4268" s="232">
        <v>45287</v>
      </c>
      <c r="C4268" t="s">
        <v>13163</v>
      </c>
      <c r="D4268" s="1">
        <v>999999</v>
      </c>
      <c r="E4268" s="1">
        <v>0</v>
      </c>
      <c r="H4268" t="s">
        <v>1050</v>
      </c>
      <c r="I4268" t="s">
        <v>13173</v>
      </c>
    </row>
    <row r="4269" spans="1:9" hidden="1">
      <c r="A4269" s="232">
        <v>45287</v>
      </c>
      <c r="C4269" t="s">
        <v>13164</v>
      </c>
      <c r="D4269" s="1">
        <v>90</v>
      </c>
      <c r="E4269" s="1">
        <v>0</v>
      </c>
      <c r="H4269" t="s">
        <v>1050</v>
      </c>
    </row>
    <row r="4270" spans="1:9" hidden="1">
      <c r="A4270" s="232">
        <v>45287</v>
      </c>
      <c r="C4270" t="s">
        <v>4157</v>
      </c>
      <c r="D4270" s="1">
        <v>0</v>
      </c>
      <c r="E4270" s="1">
        <v>84885</v>
      </c>
      <c r="H4270" t="s">
        <v>1050</v>
      </c>
    </row>
    <row r="4271" spans="1:9" hidden="1">
      <c r="A4271" s="232">
        <v>45287</v>
      </c>
      <c r="C4271" t="s">
        <v>4135</v>
      </c>
      <c r="D4271" s="1">
        <v>0</v>
      </c>
      <c r="E4271" s="1">
        <v>595000</v>
      </c>
      <c r="H4271" t="s">
        <v>1050</v>
      </c>
    </row>
    <row r="4272" spans="1:9" hidden="1">
      <c r="A4272" s="232">
        <v>45287</v>
      </c>
      <c r="C4272" t="s">
        <v>4158</v>
      </c>
      <c r="D4272" s="1">
        <v>0</v>
      </c>
      <c r="E4272" s="1">
        <v>2945</v>
      </c>
      <c r="H4272" t="s">
        <v>1050</v>
      </c>
    </row>
    <row r="4273" spans="1:9" hidden="1">
      <c r="A4273" s="232">
        <v>45287</v>
      </c>
      <c r="C4273" t="s">
        <v>4136</v>
      </c>
      <c r="D4273" s="1">
        <v>0</v>
      </c>
      <c r="E4273" s="1">
        <v>21867</v>
      </c>
      <c r="H4273" t="s">
        <v>1050</v>
      </c>
    </row>
    <row r="4274" spans="1:9" hidden="1">
      <c r="A4274" s="232">
        <v>45288</v>
      </c>
      <c r="C4274" t="s">
        <v>13165</v>
      </c>
      <c r="D4274" s="1">
        <v>2000</v>
      </c>
      <c r="E4274" s="1">
        <v>0</v>
      </c>
      <c r="G4274" s="8" t="s">
        <v>1372</v>
      </c>
      <c r="H4274" t="s">
        <v>1050</v>
      </c>
    </row>
    <row r="4275" spans="1:9" hidden="1">
      <c r="A4275" s="232">
        <v>45288</v>
      </c>
      <c r="C4275" t="s">
        <v>13166</v>
      </c>
      <c r="D4275" s="1">
        <v>25000</v>
      </c>
      <c r="E4275" s="1">
        <v>0</v>
      </c>
      <c r="G4275" s="8" t="s">
        <v>1381</v>
      </c>
      <c r="H4275" t="s">
        <v>1050</v>
      </c>
    </row>
    <row r="4276" spans="1:9" hidden="1">
      <c r="A4276" s="232">
        <v>45288</v>
      </c>
      <c r="C4276" t="s">
        <v>13167</v>
      </c>
      <c r="D4276" s="1">
        <v>0</v>
      </c>
      <c r="E4276" s="1">
        <v>1000000</v>
      </c>
      <c r="H4276" t="s">
        <v>1050</v>
      </c>
      <c r="I4276" t="s">
        <v>13173</v>
      </c>
    </row>
    <row r="4277" spans="1:9" hidden="1">
      <c r="A4277" s="232">
        <v>45288</v>
      </c>
      <c r="C4277" t="s">
        <v>13168</v>
      </c>
      <c r="D4277" s="1">
        <v>44</v>
      </c>
      <c r="E4277" s="1">
        <v>0</v>
      </c>
      <c r="H4277" t="s">
        <v>1050</v>
      </c>
    </row>
    <row r="4278" spans="1:9" hidden="1">
      <c r="A4278" s="232">
        <v>45289</v>
      </c>
      <c r="C4278" t="s">
        <v>13169</v>
      </c>
      <c r="D4278" s="1">
        <v>0</v>
      </c>
      <c r="E4278" s="1">
        <v>1119</v>
      </c>
      <c r="G4278" s="8" t="s">
        <v>1368</v>
      </c>
      <c r="H4278" t="s">
        <v>1050</v>
      </c>
    </row>
    <row r="4279" spans="1:9" hidden="1">
      <c r="A4279" s="232">
        <v>45261</v>
      </c>
      <c r="C4279" t="s">
        <v>13171</v>
      </c>
      <c r="D4279" s="1">
        <v>25000</v>
      </c>
      <c r="G4279" s="8" t="s">
        <v>1379</v>
      </c>
      <c r="H4279" t="s">
        <v>1336</v>
      </c>
    </row>
    <row r="4280" spans="1:9" hidden="1">
      <c r="A4280" s="232">
        <v>45265</v>
      </c>
      <c r="C4280" t="s">
        <v>4319</v>
      </c>
      <c r="D4280" s="1">
        <v>380</v>
      </c>
      <c r="G4280" s="8" t="s">
        <v>1362</v>
      </c>
      <c r="H4280" t="s">
        <v>1336</v>
      </c>
    </row>
    <row r="4281" spans="1:9" hidden="1">
      <c r="A4281" s="232">
        <v>45266</v>
      </c>
      <c r="C4281" t="s">
        <v>13172</v>
      </c>
      <c r="E4281" s="1">
        <v>75000</v>
      </c>
      <c r="G4281" s="8" t="s">
        <v>1363</v>
      </c>
      <c r="H4281" t="s">
        <v>1336</v>
      </c>
    </row>
    <row r="4282" spans="1:9" hidden="1">
      <c r="A4282" s="232">
        <v>45292</v>
      </c>
      <c r="C4282" t="s">
        <v>4256</v>
      </c>
      <c r="E4282" s="1">
        <v>4338</v>
      </c>
      <c r="G4282" s="8" t="s">
        <v>1368</v>
      </c>
      <c r="H4282" t="s">
        <v>1336</v>
      </c>
    </row>
    <row r="4283" spans="1:9" hidden="1">
      <c r="A4283" s="232">
        <v>45292</v>
      </c>
      <c r="C4283" t="s">
        <v>13483</v>
      </c>
      <c r="D4283" s="1">
        <v>11250</v>
      </c>
      <c r="E4283" s="1">
        <v>0</v>
      </c>
      <c r="G4283" s="8" t="s">
        <v>1372</v>
      </c>
      <c r="H4283" t="s">
        <v>1050</v>
      </c>
    </row>
    <row r="4284" spans="1:9" hidden="1">
      <c r="A4284" s="232">
        <v>45292</v>
      </c>
      <c r="C4284" t="s">
        <v>13484</v>
      </c>
      <c r="D4284" s="1">
        <v>250</v>
      </c>
      <c r="E4284" s="1">
        <v>0</v>
      </c>
      <c r="G4284" s="8" t="s">
        <v>1363</v>
      </c>
      <c r="H4284" t="s">
        <v>1050</v>
      </c>
    </row>
    <row r="4285" spans="1:9" hidden="1">
      <c r="A4285" s="232">
        <v>45292</v>
      </c>
      <c r="C4285" t="s">
        <v>13485</v>
      </c>
      <c r="D4285" s="1">
        <v>250</v>
      </c>
      <c r="E4285" s="1">
        <v>0</v>
      </c>
      <c r="G4285" s="8" t="s">
        <v>1363</v>
      </c>
      <c r="H4285" t="s">
        <v>1050</v>
      </c>
    </row>
    <row r="4286" spans="1:9" hidden="1">
      <c r="A4286" s="232">
        <v>45292</v>
      </c>
      <c r="C4286" t="s">
        <v>13486</v>
      </c>
      <c r="D4286" s="1">
        <v>2000</v>
      </c>
      <c r="E4286" s="1">
        <v>0</v>
      </c>
      <c r="H4286" t="s">
        <v>1050</v>
      </c>
    </row>
    <row r="4287" spans="1:9" hidden="1">
      <c r="A4287" s="232">
        <v>45293</v>
      </c>
      <c r="C4287" t="s">
        <v>13487</v>
      </c>
      <c r="D4287" s="1">
        <v>9978</v>
      </c>
      <c r="E4287" s="1">
        <v>0</v>
      </c>
      <c r="H4287" t="s">
        <v>1050</v>
      </c>
    </row>
    <row r="4288" spans="1:9" hidden="1">
      <c r="A4288" s="232">
        <v>45294</v>
      </c>
      <c r="C4288" t="s">
        <v>13488</v>
      </c>
      <c r="D4288" s="1">
        <v>500000</v>
      </c>
      <c r="E4288" s="1">
        <v>0</v>
      </c>
      <c r="H4288" t="s">
        <v>1050</v>
      </c>
      <c r="I4288" t="s">
        <v>13173</v>
      </c>
    </row>
    <row r="4289" spans="1:8" hidden="1">
      <c r="A4289" s="232">
        <v>45294</v>
      </c>
      <c r="C4289" t="s">
        <v>13489</v>
      </c>
      <c r="D4289" s="1">
        <v>320</v>
      </c>
      <c r="E4289" s="1">
        <v>0</v>
      </c>
      <c r="H4289" t="s">
        <v>1050</v>
      </c>
    </row>
    <row r="4290" spans="1:8" hidden="1">
      <c r="A4290" s="232">
        <v>45296</v>
      </c>
      <c r="C4290" t="s">
        <v>13490</v>
      </c>
      <c r="D4290" s="1">
        <v>108</v>
      </c>
      <c r="E4290" s="1">
        <v>0</v>
      </c>
      <c r="H4290" t="s">
        <v>1050</v>
      </c>
    </row>
    <row r="4291" spans="1:8" hidden="1">
      <c r="A4291" s="232">
        <v>45296</v>
      </c>
      <c r="C4291" t="s">
        <v>13491</v>
      </c>
      <c r="D4291" s="1">
        <v>270</v>
      </c>
      <c r="E4291" s="1">
        <v>0</v>
      </c>
      <c r="H4291" t="s">
        <v>1050</v>
      </c>
    </row>
    <row r="4292" spans="1:8" hidden="1">
      <c r="A4292" s="232">
        <v>45297</v>
      </c>
      <c r="C4292" t="s">
        <v>13492</v>
      </c>
      <c r="D4292" s="1">
        <v>75000</v>
      </c>
      <c r="E4292" s="1">
        <v>0</v>
      </c>
      <c r="G4292" s="8" t="s">
        <v>1363</v>
      </c>
      <c r="H4292" t="s">
        <v>1050</v>
      </c>
    </row>
    <row r="4293" spans="1:8" hidden="1">
      <c r="A4293" s="232">
        <v>45299</v>
      </c>
      <c r="C4293" t="s">
        <v>13493</v>
      </c>
      <c r="D4293" s="1">
        <v>101813</v>
      </c>
      <c r="E4293" s="1">
        <v>0</v>
      </c>
      <c r="G4293" s="8" t="s">
        <v>1370</v>
      </c>
      <c r="H4293" t="s">
        <v>1050</v>
      </c>
    </row>
    <row r="4294" spans="1:8" hidden="1">
      <c r="A4294" s="232">
        <v>45299</v>
      </c>
      <c r="C4294" t="s">
        <v>13494</v>
      </c>
      <c r="D4294" s="1">
        <v>24589</v>
      </c>
      <c r="E4294" s="1">
        <v>0</v>
      </c>
      <c r="G4294" s="8" t="s">
        <v>1370</v>
      </c>
      <c r="H4294" t="s">
        <v>1050</v>
      </c>
    </row>
    <row r="4295" spans="1:8" hidden="1">
      <c r="A4295" s="232">
        <v>45299</v>
      </c>
      <c r="C4295" t="s">
        <v>13495</v>
      </c>
      <c r="D4295" s="1">
        <v>786</v>
      </c>
      <c r="E4295" s="1">
        <v>0</v>
      </c>
      <c r="H4295" t="s">
        <v>1050</v>
      </c>
    </row>
    <row r="4296" spans="1:8" hidden="1">
      <c r="A4296" s="232">
        <v>45299</v>
      </c>
      <c r="C4296" t="s">
        <v>13496</v>
      </c>
      <c r="D4296" s="1">
        <v>250</v>
      </c>
      <c r="E4296" s="1">
        <v>0</v>
      </c>
      <c r="H4296" t="s">
        <v>1050</v>
      </c>
    </row>
    <row r="4297" spans="1:8" hidden="1">
      <c r="A4297" s="232">
        <v>45299</v>
      </c>
      <c r="C4297" t="s">
        <v>13497</v>
      </c>
      <c r="D4297" s="1">
        <v>0</v>
      </c>
      <c r="E4297" s="1">
        <v>3000</v>
      </c>
      <c r="H4297" t="s">
        <v>1050</v>
      </c>
    </row>
    <row r="4298" spans="1:8" hidden="1">
      <c r="A4298" s="232">
        <v>45299</v>
      </c>
      <c r="C4298" t="s">
        <v>13498</v>
      </c>
      <c r="D4298" s="1">
        <v>2800</v>
      </c>
      <c r="E4298" s="1">
        <v>0</v>
      </c>
      <c r="H4298" t="s">
        <v>1050</v>
      </c>
    </row>
    <row r="4299" spans="1:8" hidden="1">
      <c r="A4299" s="232">
        <v>45299</v>
      </c>
      <c r="C4299" t="s">
        <v>13499</v>
      </c>
      <c r="D4299" s="1">
        <v>11250</v>
      </c>
      <c r="E4299" s="1">
        <v>0</v>
      </c>
      <c r="G4299" s="8" t="s">
        <v>1372</v>
      </c>
      <c r="H4299" t="s">
        <v>1050</v>
      </c>
    </row>
    <row r="4300" spans="1:8" hidden="1">
      <c r="A4300" s="232">
        <v>45299</v>
      </c>
      <c r="C4300" t="s">
        <v>13500</v>
      </c>
      <c r="D4300" s="1">
        <v>250</v>
      </c>
      <c r="E4300" s="1">
        <v>0</v>
      </c>
      <c r="H4300" t="s">
        <v>1050</v>
      </c>
    </row>
    <row r="4301" spans="1:8" hidden="1">
      <c r="A4301" s="232">
        <v>45300</v>
      </c>
      <c r="C4301" t="s">
        <v>4132</v>
      </c>
      <c r="D4301" s="1">
        <v>13604.84</v>
      </c>
      <c r="E4301" s="1">
        <v>0</v>
      </c>
      <c r="G4301" s="8" t="s">
        <v>1362</v>
      </c>
      <c r="H4301" t="s">
        <v>1050</v>
      </c>
    </row>
    <row r="4302" spans="1:8" hidden="1">
      <c r="A4302" s="232">
        <v>45300</v>
      </c>
      <c r="C4302" t="s">
        <v>13501</v>
      </c>
      <c r="D4302" s="1">
        <v>45</v>
      </c>
      <c r="E4302" s="1">
        <v>0</v>
      </c>
      <c r="H4302" t="s">
        <v>1050</v>
      </c>
    </row>
    <row r="4303" spans="1:8" hidden="1">
      <c r="A4303" s="232">
        <v>45300</v>
      </c>
      <c r="C4303" t="s">
        <v>13502</v>
      </c>
      <c r="D4303" s="1">
        <v>200000</v>
      </c>
      <c r="E4303" s="1">
        <v>0</v>
      </c>
      <c r="G4303" s="8" t="s">
        <v>1379</v>
      </c>
      <c r="H4303" t="s">
        <v>1050</v>
      </c>
    </row>
    <row r="4304" spans="1:8" hidden="1">
      <c r="A4304" s="232">
        <v>45306</v>
      </c>
      <c r="C4304" t="s">
        <v>13503</v>
      </c>
      <c r="D4304" s="1">
        <v>706.82</v>
      </c>
      <c r="E4304" s="1">
        <v>0</v>
      </c>
      <c r="H4304" t="s">
        <v>1050</v>
      </c>
    </row>
    <row r="4305" spans="1:8" hidden="1">
      <c r="A4305" s="232">
        <v>45306</v>
      </c>
      <c r="C4305" t="s">
        <v>13504</v>
      </c>
      <c r="D4305" s="1">
        <v>11250</v>
      </c>
      <c r="E4305" s="1">
        <v>0</v>
      </c>
      <c r="G4305" s="8" t="s">
        <v>1372</v>
      </c>
      <c r="H4305" t="s">
        <v>1050</v>
      </c>
    </row>
    <row r="4306" spans="1:8" hidden="1">
      <c r="A4306" s="232">
        <v>45306</v>
      </c>
      <c r="C4306" t="s">
        <v>13505</v>
      </c>
      <c r="D4306" s="1">
        <v>3597</v>
      </c>
      <c r="E4306" s="1">
        <v>0</v>
      </c>
      <c r="H4306" t="s">
        <v>1050</v>
      </c>
    </row>
    <row r="4307" spans="1:8" hidden="1">
      <c r="A4307" s="232">
        <v>45306</v>
      </c>
      <c r="C4307" t="s">
        <v>13506</v>
      </c>
      <c r="D4307" s="1">
        <v>1199</v>
      </c>
      <c r="E4307" s="1">
        <v>0</v>
      </c>
      <c r="H4307" t="s">
        <v>1050</v>
      </c>
    </row>
    <row r="4308" spans="1:8" hidden="1">
      <c r="A4308" s="232">
        <v>45307</v>
      </c>
      <c r="C4308" t="s">
        <v>13507</v>
      </c>
      <c r="D4308" s="1">
        <v>37</v>
      </c>
      <c r="E4308" s="1">
        <v>0</v>
      </c>
      <c r="H4308" t="s">
        <v>1050</v>
      </c>
    </row>
    <row r="4309" spans="1:8" hidden="1">
      <c r="A4309" s="232">
        <v>45308</v>
      </c>
      <c r="C4309" t="s">
        <v>13508</v>
      </c>
      <c r="D4309" s="1">
        <v>120</v>
      </c>
      <c r="E4309" s="1">
        <v>0</v>
      </c>
      <c r="H4309" t="s">
        <v>1050</v>
      </c>
    </row>
    <row r="4310" spans="1:8" hidden="1">
      <c r="A4310" s="232">
        <v>45313</v>
      </c>
      <c r="C4310" t="s">
        <v>13509</v>
      </c>
      <c r="D4310" s="1">
        <v>11250</v>
      </c>
      <c r="E4310" s="1">
        <v>0</v>
      </c>
      <c r="G4310" s="8" t="s">
        <v>1372</v>
      </c>
      <c r="H4310" t="s">
        <v>1050</v>
      </c>
    </row>
    <row r="4311" spans="1:8" hidden="1">
      <c r="A4311" s="232">
        <v>45313</v>
      </c>
      <c r="C4311" t="s">
        <v>13510</v>
      </c>
      <c r="D4311" s="1">
        <v>33333</v>
      </c>
      <c r="E4311" s="1">
        <v>0</v>
      </c>
      <c r="G4311" s="8" t="s">
        <v>1381</v>
      </c>
      <c r="H4311" t="s">
        <v>1050</v>
      </c>
    </row>
    <row r="4312" spans="1:8" hidden="1">
      <c r="A4312" s="232">
        <v>45313</v>
      </c>
      <c r="C4312" t="s">
        <v>13511</v>
      </c>
      <c r="D4312" s="1">
        <v>0</v>
      </c>
      <c r="E4312" s="1">
        <v>13046.3</v>
      </c>
      <c r="H4312" t="s">
        <v>1050</v>
      </c>
    </row>
    <row r="4313" spans="1:8" hidden="1">
      <c r="A4313" s="232">
        <v>45313</v>
      </c>
      <c r="C4313" t="s">
        <v>13512</v>
      </c>
      <c r="D4313" s="1">
        <v>0</v>
      </c>
      <c r="E4313" s="1">
        <v>11</v>
      </c>
      <c r="H4313" t="s">
        <v>1050</v>
      </c>
    </row>
    <row r="4314" spans="1:8" hidden="1">
      <c r="A4314" s="232">
        <v>45315</v>
      </c>
      <c r="C4314" t="s">
        <v>13513</v>
      </c>
      <c r="D4314" s="1">
        <v>2286</v>
      </c>
      <c r="E4314" s="1">
        <v>0</v>
      </c>
      <c r="H4314" t="s">
        <v>1050</v>
      </c>
    </row>
    <row r="4315" spans="1:8" hidden="1">
      <c r="A4315" s="232">
        <v>45315</v>
      </c>
      <c r="C4315" t="s">
        <v>13511</v>
      </c>
      <c r="D4315" s="1">
        <v>0</v>
      </c>
      <c r="E4315" s="1">
        <v>2275</v>
      </c>
      <c r="H4315" t="s">
        <v>1050</v>
      </c>
    </row>
    <row r="4316" spans="1:8" hidden="1">
      <c r="A4316" s="232">
        <v>45315</v>
      </c>
      <c r="C4316" t="s">
        <v>13512</v>
      </c>
      <c r="D4316" s="1">
        <v>0</v>
      </c>
      <c r="E4316" s="1">
        <v>2</v>
      </c>
      <c r="H4316" t="s">
        <v>1050</v>
      </c>
    </row>
    <row r="4317" spans="1:8" hidden="1">
      <c r="A4317" s="232">
        <v>45316</v>
      </c>
      <c r="C4317" t="s">
        <v>13514</v>
      </c>
      <c r="D4317" s="1">
        <v>0</v>
      </c>
      <c r="E4317" s="1">
        <v>319298</v>
      </c>
      <c r="G4317" s="8" t="s">
        <v>1380</v>
      </c>
      <c r="H4317" t="s">
        <v>1050</v>
      </c>
    </row>
    <row r="4318" spans="1:8" hidden="1">
      <c r="A4318" s="232">
        <v>45316</v>
      </c>
      <c r="C4318" t="s">
        <v>13515</v>
      </c>
      <c r="D4318" s="1">
        <v>0</v>
      </c>
      <c r="E4318" s="1">
        <v>13621.55</v>
      </c>
      <c r="G4318" s="8" t="s">
        <v>1380</v>
      </c>
      <c r="H4318" t="s">
        <v>1050</v>
      </c>
    </row>
    <row r="4319" spans="1:8" hidden="1">
      <c r="A4319" s="232">
        <v>45320</v>
      </c>
      <c r="C4319" t="s">
        <v>13516</v>
      </c>
      <c r="D4319" s="1">
        <v>3731</v>
      </c>
      <c r="E4319" s="1">
        <v>0</v>
      </c>
      <c r="G4319" s="8" t="s">
        <v>1370</v>
      </c>
      <c r="H4319" t="s">
        <v>1050</v>
      </c>
    </row>
    <row r="4320" spans="1:8" hidden="1">
      <c r="A4320" s="232">
        <v>45320</v>
      </c>
      <c r="C4320" t="s">
        <v>13517</v>
      </c>
      <c r="D4320" s="1">
        <v>240</v>
      </c>
      <c r="E4320" s="1">
        <v>0</v>
      </c>
      <c r="H4320" t="s">
        <v>1050</v>
      </c>
    </row>
    <row r="4321" spans="1:8" hidden="1">
      <c r="A4321" s="232">
        <v>45320</v>
      </c>
      <c r="C4321" t="s">
        <v>13518</v>
      </c>
      <c r="D4321" s="1">
        <v>3600</v>
      </c>
      <c r="E4321" s="1">
        <v>0</v>
      </c>
      <c r="H4321" t="s">
        <v>1050</v>
      </c>
    </row>
    <row r="4322" spans="1:8" hidden="1">
      <c r="A4322" s="232">
        <v>45320</v>
      </c>
      <c r="C4322" t="s">
        <v>13519</v>
      </c>
      <c r="D4322" s="1">
        <v>2000</v>
      </c>
      <c r="E4322" s="1">
        <v>0</v>
      </c>
      <c r="G4322" s="8" t="s">
        <v>1372</v>
      </c>
      <c r="H4322" t="s">
        <v>1050</v>
      </c>
    </row>
    <row r="4323" spans="1:8" hidden="1">
      <c r="A4323" s="232">
        <v>45320</v>
      </c>
      <c r="C4323" t="s">
        <v>13520</v>
      </c>
      <c r="D4323" s="1">
        <v>11250</v>
      </c>
      <c r="E4323" s="1">
        <v>0</v>
      </c>
      <c r="G4323" s="8" t="s">
        <v>1372</v>
      </c>
      <c r="H4323" t="s">
        <v>1050</v>
      </c>
    </row>
    <row r="4324" spans="1:8" hidden="1">
      <c r="A4324" s="232">
        <v>45320</v>
      </c>
      <c r="C4324" t="s">
        <v>13521</v>
      </c>
      <c r="D4324" s="1">
        <v>10</v>
      </c>
      <c r="E4324" s="1">
        <v>0</v>
      </c>
      <c r="H4324" t="s">
        <v>1050</v>
      </c>
    </row>
    <row r="4325" spans="1:8" hidden="1">
      <c r="A4325" s="232">
        <v>45320</v>
      </c>
      <c r="C4325" t="s">
        <v>13522</v>
      </c>
      <c r="D4325" s="1">
        <v>25000</v>
      </c>
      <c r="E4325" s="1">
        <v>0</v>
      </c>
      <c r="G4325" s="8" t="s">
        <v>1381</v>
      </c>
      <c r="H4325" t="s">
        <v>1050</v>
      </c>
    </row>
    <row r="4326" spans="1:8" hidden="1">
      <c r="A4326" s="232">
        <v>45321</v>
      </c>
      <c r="C4326" t="s">
        <v>13523</v>
      </c>
      <c r="D4326" s="1">
        <v>41</v>
      </c>
      <c r="E4326" s="1">
        <v>0</v>
      </c>
      <c r="H4326" t="s">
        <v>1050</v>
      </c>
    </row>
    <row r="4327" spans="1:8" hidden="1">
      <c r="A4327" s="232">
        <v>45292</v>
      </c>
      <c r="C4327" t="s">
        <v>13524</v>
      </c>
      <c r="D4327" s="1">
        <v>25000</v>
      </c>
      <c r="G4327" s="8" t="s">
        <v>1379</v>
      </c>
      <c r="H4327" t="s">
        <v>1336</v>
      </c>
    </row>
    <row r="4328" spans="1:8" hidden="1">
      <c r="A4328" s="232">
        <v>45295</v>
      </c>
      <c r="C4328" t="s">
        <v>4319</v>
      </c>
      <c r="D4328" s="1">
        <v>26937</v>
      </c>
      <c r="G4328" s="8" t="s">
        <v>1362</v>
      </c>
      <c r="H4328" t="s">
        <v>1336</v>
      </c>
    </row>
    <row r="4329" spans="1:8" hidden="1">
      <c r="A4329" s="232">
        <v>45297</v>
      </c>
      <c r="C4329" t="s">
        <v>13525</v>
      </c>
      <c r="E4329" s="1">
        <v>75000</v>
      </c>
      <c r="G4329" s="8" t="s">
        <v>1363</v>
      </c>
      <c r="H4329" t="s">
        <v>1336</v>
      </c>
    </row>
    <row r="4330" spans="1:8" hidden="1">
      <c r="A4330" s="232">
        <v>45323</v>
      </c>
      <c r="C4330" t="s">
        <v>13636</v>
      </c>
      <c r="D4330" s="1">
        <v>250</v>
      </c>
      <c r="E4330" s="1">
        <v>0</v>
      </c>
      <c r="G4330" s="8" t="s">
        <v>1363</v>
      </c>
      <c r="H4330" t="s">
        <v>1050</v>
      </c>
    </row>
    <row r="4331" spans="1:8" hidden="1">
      <c r="A4331" s="232">
        <v>45323</v>
      </c>
      <c r="C4331" t="s">
        <v>13637</v>
      </c>
      <c r="D4331" s="1">
        <v>250</v>
      </c>
      <c r="E4331" s="1">
        <v>0</v>
      </c>
      <c r="G4331" s="8" t="s">
        <v>1363</v>
      </c>
      <c r="H4331" t="s">
        <v>1050</v>
      </c>
    </row>
    <row r="4332" spans="1:8" hidden="1">
      <c r="A4332" s="232">
        <v>45324</v>
      </c>
      <c r="C4332" t="s">
        <v>13638</v>
      </c>
      <c r="D4332" s="1">
        <v>2000</v>
      </c>
      <c r="E4332" s="1">
        <v>0</v>
      </c>
      <c r="H4332" t="s">
        <v>1050</v>
      </c>
    </row>
    <row r="4333" spans="1:8" hidden="1">
      <c r="A4333" s="232">
        <v>45324</v>
      </c>
      <c r="C4333" t="s">
        <v>13639</v>
      </c>
      <c r="D4333" s="1">
        <v>10561</v>
      </c>
      <c r="E4333" s="1">
        <v>0</v>
      </c>
      <c r="H4333" t="s">
        <v>1050</v>
      </c>
    </row>
    <row r="4334" spans="1:8" hidden="1">
      <c r="A4334" s="232">
        <v>45327</v>
      </c>
      <c r="C4334" t="s">
        <v>13640</v>
      </c>
      <c r="D4334" s="1">
        <v>25000</v>
      </c>
      <c r="E4334" s="1">
        <v>0</v>
      </c>
      <c r="H4334" t="s">
        <v>1050</v>
      </c>
    </row>
    <row r="4335" spans="1:8" hidden="1">
      <c r="A4335" s="232">
        <v>45327</v>
      </c>
      <c r="C4335" t="s">
        <v>13641</v>
      </c>
      <c r="D4335" s="1">
        <v>11250</v>
      </c>
      <c r="E4335" s="1">
        <v>0</v>
      </c>
      <c r="G4335" s="8" t="s">
        <v>1372</v>
      </c>
      <c r="H4335" t="s">
        <v>1050</v>
      </c>
    </row>
    <row r="4336" spans="1:8" hidden="1">
      <c r="A4336" s="232">
        <v>45328</v>
      </c>
      <c r="C4336" t="s">
        <v>13642</v>
      </c>
      <c r="D4336" s="1">
        <v>75000</v>
      </c>
      <c r="E4336" s="1">
        <v>0</v>
      </c>
      <c r="G4336" s="8" t="s">
        <v>1363</v>
      </c>
      <c r="H4336" t="s">
        <v>1050</v>
      </c>
    </row>
    <row r="4337" spans="1:8" hidden="1">
      <c r="A4337" s="232">
        <v>45328</v>
      </c>
      <c r="C4337" t="s">
        <v>13643</v>
      </c>
      <c r="D4337" s="1">
        <v>854</v>
      </c>
      <c r="E4337" s="1">
        <v>0</v>
      </c>
      <c r="H4337" t="s">
        <v>1050</v>
      </c>
    </row>
    <row r="4338" spans="1:8" hidden="1">
      <c r="A4338" s="232">
        <v>45329</v>
      </c>
      <c r="C4338" t="s">
        <v>13644</v>
      </c>
      <c r="D4338" s="1">
        <v>101813</v>
      </c>
      <c r="E4338" s="1">
        <v>0</v>
      </c>
      <c r="G4338" s="8" t="s">
        <v>1370</v>
      </c>
      <c r="H4338" t="s">
        <v>1050</v>
      </c>
    </row>
    <row r="4339" spans="1:8" hidden="1">
      <c r="A4339" s="232">
        <v>45329</v>
      </c>
      <c r="C4339" t="s">
        <v>13645</v>
      </c>
      <c r="D4339" s="1">
        <v>576</v>
      </c>
      <c r="E4339" s="1">
        <v>0</v>
      </c>
      <c r="H4339" t="s">
        <v>1050</v>
      </c>
    </row>
    <row r="4340" spans="1:8" hidden="1">
      <c r="A4340" s="232">
        <v>45331</v>
      </c>
      <c r="C4340" t="s">
        <v>13646</v>
      </c>
      <c r="D4340" s="1">
        <v>1050</v>
      </c>
      <c r="E4340" s="1">
        <v>0</v>
      </c>
      <c r="H4340" t="s">
        <v>1050</v>
      </c>
    </row>
    <row r="4341" spans="1:8" hidden="1">
      <c r="A4341" s="232">
        <v>45334</v>
      </c>
      <c r="C4341" t="s">
        <v>13647</v>
      </c>
      <c r="D4341" s="1">
        <v>11250</v>
      </c>
      <c r="E4341" s="1">
        <v>0</v>
      </c>
      <c r="G4341" s="8" t="s">
        <v>1372</v>
      </c>
      <c r="H4341" t="s">
        <v>1050</v>
      </c>
    </row>
    <row r="4342" spans="1:8" hidden="1">
      <c r="A4342" s="232">
        <v>45334</v>
      </c>
      <c r="C4342" t="s">
        <v>2738</v>
      </c>
      <c r="D4342" s="1">
        <v>50032.72</v>
      </c>
      <c r="E4342" s="1">
        <v>0</v>
      </c>
      <c r="G4342" s="8" t="s">
        <v>1362</v>
      </c>
      <c r="H4342" t="s">
        <v>1050</v>
      </c>
    </row>
    <row r="4343" spans="1:8" hidden="1">
      <c r="A4343" s="232">
        <v>45334</v>
      </c>
      <c r="C4343" t="s">
        <v>13648</v>
      </c>
      <c r="D4343" s="1">
        <v>0</v>
      </c>
      <c r="E4343" s="1">
        <v>300000</v>
      </c>
      <c r="H4343" t="s">
        <v>1050</v>
      </c>
    </row>
    <row r="4344" spans="1:8" hidden="1">
      <c r="A4344" s="232">
        <v>45336</v>
      </c>
      <c r="C4344" t="s">
        <v>13649</v>
      </c>
      <c r="D4344" s="1">
        <v>706.82</v>
      </c>
      <c r="E4344" s="1">
        <v>0</v>
      </c>
      <c r="H4344" t="s">
        <v>1050</v>
      </c>
    </row>
    <row r="4345" spans="1:8" hidden="1">
      <c r="A4345" s="232">
        <v>45339</v>
      </c>
      <c r="C4345" t="s">
        <v>13650</v>
      </c>
      <c r="D4345" s="1">
        <v>60</v>
      </c>
      <c r="E4345" s="1">
        <v>0</v>
      </c>
      <c r="H4345" t="s">
        <v>1050</v>
      </c>
    </row>
    <row r="4346" spans="1:8" hidden="1">
      <c r="A4346" s="232">
        <v>45339</v>
      </c>
      <c r="C4346" t="s">
        <v>13651</v>
      </c>
      <c r="D4346" s="1">
        <v>1350</v>
      </c>
      <c r="E4346" s="1">
        <v>0</v>
      </c>
      <c r="H4346" t="s">
        <v>1050</v>
      </c>
    </row>
    <row r="4347" spans="1:8" hidden="1">
      <c r="A4347" s="232">
        <v>45339</v>
      </c>
      <c r="C4347" t="s">
        <v>13652</v>
      </c>
      <c r="D4347" s="1">
        <v>50</v>
      </c>
      <c r="E4347" s="1">
        <v>0</v>
      </c>
      <c r="H4347" t="s">
        <v>1050</v>
      </c>
    </row>
    <row r="4348" spans="1:8" hidden="1">
      <c r="A4348" s="232">
        <v>45341</v>
      </c>
      <c r="C4348" t="s">
        <v>13653</v>
      </c>
      <c r="D4348" s="1">
        <v>11250</v>
      </c>
      <c r="E4348" s="1">
        <v>0</v>
      </c>
      <c r="G4348" s="8" t="s">
        <v>1372</v>
      </c>
      <c r="H4348" t="s">
        <v>1050</v>
      </c>
    </row>
    <row r="4349" spans="1:8" hidden="1">
      <c r="A4349" s="232">
        <v>45343</v>
      </c>
      <c r="C4349" t="s">
        <v>13654</v>
      </c>
      <c r="D4349" s="1">
        <v>33333</v>
      </c>
      <c r="E4349" s="1">
        <v>0</v>
      </c>
      <c r="G4349" s="8" t="s">
        <v>1381</v>
      </c>
      <c r="H4349" t="s">
        <v>1050</v>
      </c>
    </row>
    <row r="4350" spans="1:8" hidden="1">
      <c r="A4350" s="232">
        <v>45343</v>
      </c>
      <c r="C4350" t="s">
        <v>13655</v>
      </c>
      <c r="D4350" s="1">
        <v>710</v>
      </c>
      <c r="E4350" s="1">
        <v>0</v>
      </c>
      <c r="H4350" t="s">
        <v>1050</v>
      </c>
    </row>
    <row r="4351" spans="1:8" hidden="1">
      <c r="A4351" s="232">
        <v>45344</v>
      </c>
      <c r="C4351" t="s">
        <v>13656</v>
      </c>
      <c r="D4351" s="1">
        <v>50</v>
      </c>
      <c r="E4351" s="1">
        <v>0</v>
      </c>
      <c r="H4351" t="s">
        <v>1050</v>
      </c>
    </row>
    <row r="4352" spans="1:8" hidden="1">
      <c r="A4352" s="232">
        <v>45346</v>
      </c>
      <c r="C4352" t="s">
        <v>13657</v>
      </c>
      <c r="D4352" s="1">
        <v>1900</v>
      </c>
      <c r="E4352" s="1">
        <v>0</v>
      </c>
      <c r="H4352" t="s">
        <v>1050</v>
      </c>
    </row>
    <row r="4353" spans="1:8" hidden="1">
      <c r="A4353" s="232">
        <v>45348</v>
      </c>
      <c r="C4353" t="s">
        <v>13658</v>
      </c>
      <c r="D4353" s="1">
        <v>11250</v>
      </c>
      <c r="E4353" s="1">
        <v>0</v>
      </c>
      <c r="G4353" s="8" t="s">
        <v>1372</v>
      </c>
      <c r="H4353" t="s">
        <v>1050</v>
      </c>
    </row>
    <row r="4354" spans="1:8" hidden="1">
      <c r="A4354" s="232">
        <v>45348</v>
      </c>
      <c r="C4354" t="s">
        <v>13659</v>
      </c>
      <c r="D4354" s="1">
        <v>88</v>
      </c>
      <c r="E4354" s="1">
        <v>0</v>
      </c>
      <c r="H4354" t="s">
        <v>1050</v>
      </c>
    </row>
    <row r="4355" spans="1:8" hidden="1">
      <c r="A4355" s="232">
        <v>45349</v>
      </c>
      <c r="C4355" t="s">
        <v>13660</v>
      </c>
      <c r="D4355" s="1">
        <v>0</v>
      </c>
      <c r="E4355" s="1">
        <v>319299</v>
      </c>
      <c r="G4355" s="8" t="s">
        <v>1380</v>
      </c>
      <c r="H4355" t="s">
        <v>1050</v>
      </c>
    </row>
    <row r="4356" spans="1:8" hidden="1">
      <c r="A4356" s="232">
        <v>45350</v>
      </c>
      <c r="C4356" t="s">
        <v>13661</v>
      </c>
      <c r="D4356" s="1">
        <v>2000</v>
      </c>
      <c r="E4356" s="1">
        <v>0</v>
      </c>
      <c r="G4356" s="8" t="s">
        <v>1381</v>
      </c>
      <c r="H4356" t="s">
        <v>1050</v>
      </c>
    </row>
    <row r="4357" spans="1:8" hidden="1">
      <c r="A4357" s="232">
        <v>45350</v>
      </c>
      <c r="C4357" t="s">
        <v>13662</v>
      </c>
      <c r="D4357" s="1">
        <v>25000</v>
      </c>
      <c r="E4357" s="1">
        <v>0</v>
      </c>
      <c r="G4357" s="8" t="s">
        <v>1381</v>
      </c>
      <c r="H4357" t="s">
        <v>1050</v>
      </c>
    </row>
    <row r="4358" spans="1:8" hidden="1">
      <c r="A4358" s="232">
        <v>45351</v>
      </c>
      <c r="C4358" t="s">
        <v>13663</v>
      </c>
      <c r="D4358" s="1">
        <v>88</v>
      </c>
      <c r="E4358" s="1">
        <v>0</v>
      </c>
      <c r="H4358" t="s">
        <v>1050</v>
      </c>
    </row>
    <row r="4359" spans="1:8" hidden="1">
      <c r="A4359" s="232">
        <v>45323</v>
      </c>
      <c r="C4359" s="316" t="s">
        <v>13665</v>
      </c>
      <c r="D4359" s="1">
        <v>25000</v>
      </c>
      <c r="G4359" s="8" t="s">
        <v>1379</v>
      </c>
      <c r="H4359" t="s">
        <v>1336</v>
      </c>
    </row>
    <row r="4360" spans="1:8" hidden="1">
      <c r="A4360" s="232">
        <v>45326</v>
      </c>
      <c r="C4360" s="316" t="s">
        <v>4319</v>
      </c>
      <c r="D4360" s="1">
        <v>106525</v>
      </c>
      <c r="G4360" s="8" t="s">
        <v>1362</v>
      </c>
      <c r="H4360" t="s">
        <v>1336</v>
      </c>
    </row>
    <row r="4361" spans="1:8" hidden="1">
      <c r="A4361" s="232">
        <v>45328</v>
      </c>
      <c r="C4361" s="316" t="s">
        <v>13666</v>
      </c>
      <c r="E4361" s="1">
        <v>75000</v>
      </c>
      <c r="G4361" s="8" t="s">
        <v>1363</v>
      </c>
      <c r="H4361" t="s">
        <v>1336</v>
      </c>
    </row>
    <row r="4362" spans="1:8" hidden="1">
      <c r="A4362" s="232">
        <v>45352</v>
      </c>
      <c r="C4362" t="s">
        <v>13747</v>
      </c>
      <c r="D4362" s="1">
        <v>250</v>
      </c>
      <c r="E4362" s="1">
        <v>0</v>
      </c>
      <c r="G4362" s="8" t="s">
        <v>1363</v>
      </c>
      <c r="H4362" t="s">
        <v>1050</v>
      </c>
    </row>
    <row r="4363" spans="1:8" hidden="1">
      <c r="A4363" s="232">
        <v>45352</v>
      </c>
      <c r="C4363" t="s">
        <v>13748</v>
      </c>
      <c r="D4363" s="1">
        <v>250</v>
      </c>
      <c r="E4363" s="1">
        <v>0</v>
      </c>
      <c r="G4363" s="8" t="s">
        <v>1363</v>
      </c>
      <c r="H4363" t="s">
        <v>1050</v>
      </c>
    </row>
    <row r="4364" spans="1:8" hidden="1">
      <c r="A4364" s="232">
        <v>45352</v>
      </c>
      <c r="C4364" t="s">
        <v>13749</v>
      </c>
      <c r="D4364" s="1">
        <v>0</v>
      </c>
      <c r="E4364" s="1">
        <v>1515</v>
      </c>
      <c r="H4364" t="s">
        <v>1050</v>
      </c>
    </row>
    <row r="4365" spans="1:8" hidden="1">
      <c r="A4365" s="232">
        <v>45352</v>
      </c>
      <c r="C4365" t="s">
        <v>13750</v>
      </c>
      <c r="D4365" s="1">
        <v>45</v>
      </c>
      <c r="E4365" s="1">
        <v>0</v>
      </c>
      <c r="H4365" t="s">
        <v>1050</v>
      </c>
    </row>
    <row r="4366" spans="1:8" hidden="1">
      <c r="A4366" s="232">
        <v>45352</v>
      </c>
      <c r="C4366" t="s">
        <v>13751</v>
      </c>
      <c r="D4366" s="1">
        <v>94</v>
      </c>
      <c r="E4366" s="1">
        <v>0</v>
      </c>
      <c r="H4366" t="s">
        <v>1050</v>
      </c>
    </row>
    <row r="4367" spans="1:8" hidden="1">
      <c r="A4367" s="232">
        <v>45353</v>
      </c>
      <c r="C4367" t="s">
        <v>13752</v>
      </c>
      <c r="D4367" s="1">
        <v>2000</v>
      </c>
      <c r="E4367" s="1">
        <v>0</v>
      </c>
      <c r="H4367" t="s">
        <v>1050</v>
      </c>
    </row>
    <row r="4368" spans="1:8" hidden="1">
      <c r="A4368" s="232">
        <v>45353</v>
      </c>
      <c r="C4368" t="s">
        <v>13753</v>
      </c>
      <c r="D4368" s="1">
        <v>1940</v>
      </c>
      <c r="E4368" s="1">
        <v>0</v>
      </c>
      <c r="H4368" t="s">
        <v>1050</v>
      </c>
    </row>
    <row r="4369" spans="1:8" hidden="1">
      <c r="A4369" s="232">
        <v>45353</v>
      </c>
      <c r="C4369" t="s">
        <v>13754</v>
      </c>
      <c r="D4369" s="1">
        <v>536</v>
      </c>
      <c r="E4369" s="1">
        <v>0</v>
      </c>
      <c r="H4369" t="s">
        <v>1050</v>
      </c>
    </row>
    <row r="4370" spans="1:8" hidden="1">
      <c r="A4370" s="232">
        <v>45353</v>
      </c>
      <c r="C4370" t="s">
        <v>13755</v>
      </c>
      <c r="D4370" s="1">
        <v>600</v>
      </c>
      <c r="E4370" s="1">
        <v>0</v>
      </c>
      <c r="H4370" t="s">
        <v>1050</v>
      </c>
    </row>
    <row r="4371" spans="1:8" hidden="1">
      <c r="A4371" s="232">
        <v>45353</v>
      </c>
      <c r="C4371" t="s">
        <v>13756</v>
      </c>
      <c r="D4371" s="1">
        <v>11272</v>
      </c>
      <c r="E4371" s="1">
        <v>0</v>
      </c>
      <c r="H4371" t="s">
        <v>1050</v>
      </c>
    </row>
    <row r="4372" spans="1:8" hidden="1">
      <c r="A4372" s="232">
        <v>45353</v>
      </c>
      <c r="C4372" t="s">
        <v>13757</v>
      </c>
      <c r="D4372" s="1">
        <v>433</v>
      </c>
      <c r="E4372" s="1">
        <v>0</v>
      </c>
      <c r="H4372" t="s">
        <v>1050</v>
      </c>
    </row>
    <row r="4373" spans="1:8" hidden="1">
      <c r="A4373" s="232">
        <v>45353</v>
      </c>
      <c r="C4373" t="s">
        <v>13758</v>
      </c>
      <c r="D4373" s="1">
        <v>92</v>
      </c>
      <c r="E4373" s="1">
        <v>0</v>
      </c>
      <c r="H4373" t="s">
        <v>1050</v>
      </c>
    </row>
    <row r="4374" spans="1:8" hidden="1">
      <c r="A4374" s="232">
        <v>45355</v>
      </c>
      <c r="C4374" t="s">
        <v>13759</v>
      </c>
      <c r="D4374" s="1">
        <v>11250</v>
      </c>
      <c r="E4374" s="1">
        <v>0</v>
      </c>
      <c r="G4374" s="8" t="s">
        <v>1372</v>
      </c>
      <c r="H4374" t="s">
        <v>1050</v>
      </c>
    </row>
    <row r="4375" spans="1:8" hidden="1">
      <c r="A4375" s="232">
        <v>45355</v>
      </c>
      <c r="C4375" t="s">
        <v>13760</v>
      </c>
      <c r="D4375" s="1">
        <v>10</v>
      </c>
      <c r="E4375" s="1">
        <v>0</v>
      </c>
      <c r="H4375" t="s">
        <v>1050</v>
      </c>
    </row>
    <row r="4376" spans="1:8" hidden="1">
      <c r="A4376" s="232">
        <v>45356</v>
      </c>
      <c r="C4376" t="s">
        <v>13761</v>
      </c>
      <c r="D4376" s="1">
        <v>780</v>
      </c>
      <c r="E4376" s="1">
        <v>0</v>
      </c>
      <c r="H4376" t="s">
        <v>1050</v>
      </c>
    </row>
    <row r="4377" spans="1:8" hidden="1">
      <c r="A4377" s="232">
        <v>45356</v>
      </c>
      <c r="C4377" t="s">
        <v>13762</v>
      </c>
      <c r="D4377" s="1">
        <v>678</v>
      </c>
      <c r="E4377" s="1">
        <v>0</v>
      </c>
      <c r="H4377" t="s">
        <v>1050</v>
      </c>
    </row>
    <row r="4378" spans="1:8" hidden="1">
      <c r="A4378" s="232">
        <v>45356</v>
      </c>
      <c r="C4378" t="s">
        <v>13763</v>
      </c>
      <c r="D4378" s="1">
        <v>4100</v>
      </c>
      <c r="E4378" s="1">
        <v>0</v>
      </c>
      <c r="H4378" t="s">
        <v>1050</v>
      </c>
    </row>
    <row r="4379" spans="1:8" hidden="1">
      <c r="A4379" s="232">
        <v>45356</v>
      </c>
      <c r="C4379" t="s">
        <v>13764</v>
      </c>
      <c r="D4379" s="1">
        <v>95</v>
      </c>
      <c r="E4379" s="1">
        <v>0</v>
      </c>
      <c r="H4379" t="s">
        <v>1050</v>
      </c>
    </row>
    <row r="4380" spans="1:8" hidden="1">
      <c r="A4380" s="232">
        <v>45357</v>
      </c>
      <c r="C4380" t="s">
        <v>13765</v>
      </c>
      <c r="D4380" s="1">
        <v>75000</v>
      </c>
      <c r="E4380" s="1">
        <v>0</v>
      </c>
      <c r="G4380" s="8" t="s">
        <v>1363</v>
      </c>
      <c r="H4380" t="s">
        <v>1050</v>
      </c>
    </row>
    <row r="4381" spans="1:8" hidden="1">
      <c r="A4381" s="232">
        <v>45358</v>
      </c>
      <c r="C4381" t="s">
        <v>13766</v>
      </c>
      <c r="D4381" s="1">
        <v>101813</v>
      </c>
      <c r="E4381" s="1">
        <v>0</v>
      </c>
      <c r="G4381" s="8" t="s">
        <v>1370</v>
      </c>
      <c r="H4381" t="s">
        <v>1050</v>
      </c>
    </row>
    <row r="4382" spans="1:8" hidden="1">
      <c r="A4382" s="232">
        <v>45362</v>
      </c>
      <c r="C4382" t="s">
        <v>13767</v>
      </c>
      <c r="D4382" s="1">
        <v>11250</v>
      </c>
      <c r="E4382" s="1">
        <v>0</v>
      </c>
      <c r="G4382" s="8" t="s">
        <v>1372</v>
      </c>
      <c r="H4382" t="s">
        <v>1050</v>
      </c>
    </row>
    <row r="4383" spans="1:8" hidden="1">
      <c r="A4383" s="232">
        <v>45363</v>
      </c>
      <c r="C4383" t="s">
        <v>4132</v>
      </c>
      <c r="D4383" s="1">
        <v>20795</v>
      </c>
      <c r="E4383" s="1">
        <v>0</v>
      </c>
      <c r="G4383" s="8" t="s">
        <v>1362</v>
      </c>
      <c r="H4383" t="s">
        <v>1050</v>
      </c>
    </row>
    <row r="4384" spans="1:8" hidden="1">
      <c r="A4384" s="232">
        <v>45363</v>
      </c>
      <c r="C4384" t="s">
        <v>13768</v>
      </c>
      <c r="D4384" s="1">
        <v>706.82</v>
      </c>
      <c r="E4384" s="1">
        <v>0</v>
      </c>
      <c r="H4384" t="s">
        <v>1050</v>
      </c>
    </row>
    <row r="4385" spans="1:8" hidden="1">
      <c r="A4385" s="232">
        <v>45363</v>
      </c>
      <c r="C4385" t="s">
        <v>13769</v>
      </c>
      <c r="D4385" s="1">
        <v>0</v>
      </c>
      <c r="E4385" s="1">
        <v>110705.72</v>
      </c>
      <c r="G4385" s="8" t="s">
        <v>1380</v>
      </c>
      <c r="H4385" t="s">
        <v>1050</v>
      </c>
    </row>
    <row r="4386" spans="1:8" hidden="1">
      <c r="A4386" s="232">
        <v>45369</v>
      </c>
      <c r="C4386" t="s">
        <v>13770</v>
      </c>
      <c r="D4386" s="1">
        <v>11250</v>
      </c>
      <c r="E4386" s="1">
        <v>0</v>
      </c>
      <c r="G4386" s="8" t="s">
        <v>1372</v>
      </c>
      <c r="H4386" t="s">
        <v>1050</v>
      </c>
    </row>
    <row r="4387" spans="1:8" hidden="1">
      <c r="A4387" s="232">
        <v>45370</v>
      </c>
      <c r="C4387" t="s">
        <v>13771</v>
      </c>
      <c r="D4387" s="1">
        <v>482</v>
      </c>
      <c r="E4387" s="1">
        <v>0</v>
      </c>
      <c r="H4387" t="s">
        <v>1050</v>
      </c>
    </row>
    <row r="4388" spans="1:8" hidden="1">
      <c r="A4388" s="232">
        <v>45371</v>
      </c>
      <c r="C4388" t="s">
        <v>13772</v>
      </c>
      <c r="D4388" s="1">
        <v>88</v>
      </c>
      <c r="E4388" s="1">
        <v>0</v>
      </c>
      <c r="H4388" t="s">
        <v>1050</v>
      </c>
    </row>
    <row r="4389" spans="1:8" hidden="1">
      <c r="A4389" s="232">
        <v>45372</v>
      </c>
      <c r="C4389" t="s">
        <v>13773</v>
      </c>
      <c r="D4389" s="1">
        <v>33333</v>
      </c>
      <c r="E4389" s="1">
        <v>0</v>
      </c>
      <c r="G4389" s="8" t="s">
        <v>1381</v>
      </c>
      <c r="H4389" t="s">
        <v>1050</v>
      </c>
    </row>
    <row r="4390" spans="1:8" hidden="1">
      <c r="A4390" s="232">
        <v>45373</v>
      </c>
      <c r="C4390" t="s">
        <v>13774</v>
      </c>
      <c r="D4390" s="1">
        <v>884.5</v>
      </c>
      <c r="E4390" s="1">
        <v>0</v>
      </c>
      <c r="H4390" t="s">
        <v>1050</v>
      </c>
    </row>
    <row r="4391" spans="1:8" hidden="1">
      <c r="A4391" s="232">
        <v>45373</v>
      </c>
      <c r="C4391" t="s">
        <v>13775</v>
      </c>
      <c r="D4391" s="1">
        <v>103</v>
      </c>
      <c r="E4391" s="1">
        <v>0</v>
      </c>
      <c r="H4391" t="s">
        <v>1050</v>
      </c>
    </row>
    <row r="4392" spans="1:8" hidden="1">
      <c r="A4392" s="232">
        <v>45374</v>
      </c>
      <c r="C4392" t="s">
        <v>13776</v>
      </c>
      <c r="D4392" s="1">
        <v>3440</v>
      </c>
      <c r="E4392" s="1">
        <v>0</v>
      </c>
      <c r="H4392" t="s">
        <v>1050</v>
      </c>
    </row>
    <row r="4393" spans="1:8" hidden="1">
      <c r="A4393" s="232">
        <v>45374</v>
      </c>
      <c r="C4393" t="s">
        <v>13777</v>
      </c>
      <c r="D4393" s="1">
        <v>2400</v>
      </c>
      <c r="E4393" s="1">
        <v>0</v>
      </c>
      <c r="H4393" t="s">
        <v>1050</v>
      </c>
    </row>
    <row r="4394" spans="1:8" hidden="1">
      <c r="A4394" s="232">
        <v>45374</v>
      </c>
      <c r="C4394" t="s">
        <v>13778</v>
      </c>
      <c r="D4394" s="1">
        <v>20</v>
      </c>
      <c r="E4394" s="1">
        <v>0</v>
      </c>
      <c r="H4394" t="s">
        <v>1050</v>
      </c>
    </row>
    <row r="4395" spans="1:8" hidden="1">
      <c r="A4395" s="232">
        <v>45376</v>
      </c>
      <c r="C4395" t="s">
        <v>13779</v>
      </c>
      <c r="D4395" s="1">
        <v>11250</v>
      </c>
      <c r="E4395" s="1">
        <v>0</v>
      </c>
      <c r="G4395" s="8" t="s">
        <v>1372</v>
      </c>
      <c r="H4395" t="s">
        <v>1050</v>
      </c>
    </row>
    <row r="4396" spans="1:8" hidden="1">
      <c r="A4396" s="232">
        <v>45376</v>
      </c>
      <c r="C4396" t="s">
        <v>13780</v>
      </c>
      <c r="D4396" s="1">
        <v>3144</v>
      </c>
      <c r="E4396" s="1">
        <v>0</v>
      </c>
      <c r="H4396" t="s">
        <v>1050</v>
      </c>
    </row>
    <row r="4397" spans="1:8" hidden="1">
      <c r="A4397" s="232">
        <v>45376</v>
      </c>
      <c r="C4397" t="s">
        <v>13781</v>
      </c>
      <c r="D4397" s="1">
        <v>80</v>
      </c>
      <c r="E4397" s="1">
        <v>0</v>
      </c>
      <c r="H4397" t="s">
        <v>1050</v>
      </c>
    </row>
    <row r="4398" spans="1:8" hidden="1">
      <c r="A4398" s="232">
        <v>45377</v>
      </c>
      <c r="C4398" t="s">
        <v>13782</v>
      </c>
      <c r="D4398" s="1">
        <v>16</v>
      </c>
      <c r="E4398" s="1">
        <v>0</v>
      </c>
      <c r="H4398" t="s">
        <v>1050</v>
      </c>
    </row>
    <row r="4399" spans="1:8" hidden="1">
      <c r="A4399" s="232">
        <v>45377</v>
      </c>
      <c r="C4399" t="s">
        <v>13783</v>
      </c>
      <c r="D4399" s="1">
        <v>0</v>
      </c>
      <c r="E4399" s="1">
        <v>4160.3</v>
      </c>
      <c r="H4399" t="s">
        <v>1050</v>
      </c>
    </row>
    <row r="4400" spans="1:8" hidden="1">
      <c r="A4400" s="232">
        <v>45377</v>
      </c>
      <c r="C4400" t="s">
        <v>13784</v>
      </c>
      <c r="D4400" s="1">
        <v>620</v>
      </c>
      <c r="E4400" s="1">
        <v>0</v>
      </c>
      <c r="H4400" t="s">
        <v>1050</v>
      </c>
    </row>
    <row r="4401" spans="1:8" hidden="1">
      <c r="A4401" s="232">
        <v>45377</v>
      </c>
      <c r="C4401" t="s">
        <v>13785</v>
      </c>
      <c r="D4401" s="1">
        <v>200</v>
      </c>
      <c r="E4401" s="1">
        <v>0</v>
      </c>
      <c r="H4401" t="s">
        <v>1050</v>
      </c>
    </row>
    <row r="4402" spans="1:8" hidden="1">
      <c r="A4402" s="232">
        <v>45378</v>
      </c>
      <c r="C4402" t="s">
        <v>13786</v>
      </c>
      <c r="D4402" s="1">
        <v>0</v>
      </c>
      <c r="E4402" s="1">
        <v>1675282</v>
      </c>
      <c r="G4402" s="8" t="s">
        <v>1380</v>
      </c>
      <c r="H4402" t="s">
        <v>1050</v>
      </c>
    </row>
    <row r="4403" spans="1:8" hidden="1">
      <c r="A4403" s="232">
        <v>45379</v>
      </c>
      <c r="C4403" t="s">
        <v>13787</v>
      </c>
      <c r="D4403" s="1">
        <v>25000</v>
      </c>
      <c r="E4403" s="1">
        <v>0</v>
      </c>
      <c r="G4403" s="8" t="s">
        <v>1381</v>
      </c>
      <c r="H4403" t="s">
        <v>1050</v>
      </c>
    </row>
    <row r="4404" spans="1:8" hidden="1">
      <c r="A4404" s="232">
        <v>45379</v>
      </c>
      <c r="C4404" t="s">
        <v>13788</v>
      </c>
      <c r="D4404" s="1">
        <v>100</v>
      </c>
      <c r="E4404" s="1">
        <v>0</v>
      </c>
      <c r="H4404" t="s">
        <v>1050</v>
      </c>
    </row>
    <row r="4405" spans="1:8" hidden="1">
      <c r="A4405" s="232">
        <v>45379</v>
      </c>
      <c r="C4405" t="s">
        <v>13789</v>
      </c>
      <c r="D4405" s="1">
        <v>103</v>
      </c>
      <c r="E4405" s="1">
        <v>0</v>
      </c>
      <c r="H4405" t="s">
        <v>1050</v>
      </c>
    </row>
    <row r="4406" spans="1:8" hidden="1">
      <c r="A4406" s="232">
        <v>45380</v>
      </c>
      <c r="C4406" t="s">
        <v>13790</v>
      </c>
      <c r="D4406" s="1">
        <v>2152235</v>
      </c>
      <c r="E4406" s="1">
        <v>0</v>
      </c>
      <c r="H4406" t="s">
        <v>1050</v>
      </c>
    </row>
    <row r="4407" spans="1:8" hidden="1">
      <c r="A4407" s="232">
        <v>45380</v>
      </c>
      <c r="C4407" t="s">
        <v>13511</v>
      </c>
      <c r="D4407" s="1">
        <v>0</v>
      </c>
      <c r="E4407" s="1">
        <v>168449.29</v>
      </c>
      <c r="H4407" t="s">
        <v>1050</v>
      </c>
    </row>
    <row r="4408" spans="1:8" hidden="1">
      <c r="A4408" s="232">
        <v>45380</v>
      </c>
      <c r="C4408" t="s">
        <v>13512</v>
      </c>
      <c r="D4408" s="1">
        <v>0</v>
      </c>
      <c r="E4408" s="1">
        <v>1329</v>
      </c>
      <c r="H4408" t="s">
        <v>1050</v>
      </c>
    </row>
    <row r="4409" spans="1:8" hidden="1">
      <c r="A4409" s="232">
        <v>45380</v>
      </c>
      <c r="C4409" t="s">
        <v>13791</v>
      </c>
      <c r="D4409" s="1">
        <v>0</v>
      </c>
      <c r="E4409" s="1">
        <v>2596</v>
      </c>
      <c r="G4409" s="8" t="s">
        <v>1368</v>
      </c>
      <c r="H4409" t="s">
        <v>1050</v>
      </c>
    </row>
    <row r="4410" spans="1:8" hidden="1">
      <c r="A4410" s="232">
        <v>45381</v>
      </c>
      <c r="C4410" t="s">
        <v>13792</v>
      </c>
      <c r="D4410" s="1">
        <v>20000</v>
      </c>
      <c r="E4410" s="1">
        <v>0</v>
      </c>
      <c r="H4410" t="s">
        <v>1050</v>
      </c>
    </row>
    <row r="4411" spans="1:8" hidden="1">
      <c r="A4411" s="232">
        <v>45381</v>
      </c>
      <c r="C4411" t="s">
        <v>13511</v>
      </c>
      <c r="D4411" s="1">
        <v>0</v>
      </c>
      <c r="E4411" s="1">
        <v>16075</v>
      </c>
      <c r="H4411" t="s">
        <v>1050</v>
      </c>
    </row>
    <row r="4412" spans="1:8" hidden="1">
      <c r="A4412" s="232">
        <v>45381</v>
      </c>
      <c r="C4412" t="s">
        <v>13512</v>
      </c>
      <c r="D4412" s="1">
        <v>0</v>
      </c>
      <c r="E4412" s="1">
        <v>284.41000000000003</v>
      </c>
      <c r="H4412" t="s">
        <v>1050</v>
      </c>
    </row>
    <row r="4413" spans="1:8" hidden="1">
      <c r="A4413" s="232">
        <v>45382</v>
      </c>
      <c r="C4413" t="s">
        <v>13793</v>
      </c>
      <c r="D4413" s="1">
        <v>50</v>
      </c>
      <c r="E4413" s="1">
        <v>0</v>
      </c>
      <c r="H4413" t="s">
        <v>1050</v>
      </c>
    </row>
    <row r="4414" spans="1:8" hidden="1">
      <c r="A4414" s="232">
        <v>45352</v>
      </c>
      <c r="C4414" t="s">
        <v>13794</v>
      </c>
      <c r="D4414" s="1">
        <v>25000</v>
      </c>
      <c r="G4414" s="8" t="s">
        <v>1379</v>
      </c>
      <c r="H4414" t="s">
        <v>1336</v>
      </c>
    </row>
    <row r="4415" spans="1:8" hidden="1">
      <c r="A4415" s="232">
        <v>45357</v>
      </c>
      <c r="C4415" t="s">
        <v>13795</v>
      </c>
      <c r="E4415" s="1">
        <v>75000</v>
      </c>
      <c r="G4415" s="8" t="s">
        <v>1363</v>
      </c>
      <c r="H4415" t="s">
        <v>1336</v>
      </c>
    </row>
    <row r="4416" spans="1:8" hidden="1">
      <c r="A4416" s="232">
        <v>45357</v>
      </c>
      <c r="C4416" t="s">
        <v>4319</v>
      </c>
      <c r="D4416" s="1">
        <v>23243</v>
      </c>
      <c r="G4416" s="8" t="s">
        <v>1362</v>
      </c>
      <c r="H4416" t="s">
        <v>1336</v>
      </c>
    </row>
    <row r="4417" spans="1:8" hidden="1">
      <c r="A4417" s="232">
        <v>45383</v>
      </c>
      <c r="C4417" t="s">
        <v>4256</v>
      </c>
      <c r="E4417" s="1">
        <v>4660</v>
      </c>
      <c r="G4417" s="8" t="s">
        <v>1368</v>
      </c>
      <c r="H4417" t="s">
        <v>1336</v>
      </c>
    </row>
    <row r="4418" spans="1:8" hidden="1">
      <c r="A4418" s="232">
        <v>45383</v>
      </c>
      <c r="C4418" t="s">
        <v>13893</v>
      </c>
      <c r="D4418">
        <v>2000</v>
      </c>
      <c r="E4418">
        <v>0</v>
      </c>
      <c r="H4418" t="s">
        <v>1050</v>
      </c>
    </row>
    <row r="4419" spans="1:8" hidden="1">
      <c r="A4419" s="232">
        <v>45383</v>
      </c>
      <c r="C4419" t="s">
        <v>13894</v>
      </c>
      <c r="D4419" s="69">
        <v>48</v>
      </c>
      <c r="E4419">
        <v>0</v>
      </c>
      <c r="H4419" t="s">
        <v>1050</v>
      </c>
    </row>
    <row r="4420" spans="1:8" hidden="1">
      <c r="A4420" s="232">
        <v>45383</v>
      </c>
      <c r="C4420" t="s">
        <v>13895</v>
      </c>
      <c r="D4420" s="69">
        <v>250</v>
      </c>
      <c r="E4420">
        <v>0</v>
      </c>
      <c r="G4420" s="8" t="s">
        <v>1363</v>
      </c>
      <c r="H4420" t="s">
        <v>1050</v>
      </c>
    </row>
    <row r="4421" spans="1:8" hidden="1">
      <c r="A4421" s="232">
        <v>45383</v>
      </c>
      <c r="C4421" t="s">
        <v>13896</v>
      </c>
      <c r="D4421" s="69">
        <v>250</v>
      </c>
      <c r="E4421">
        <v>0</v>
      </c>
      <c r="G4421" s="8" t="s">
        <v>1363</v>
      </c>
      <c r="H4421" t="s">
        <v>1050</v>
      </c>
    </row>
    <row r="4422" spans="1:8" hidden="1">
      <c r="A4422" s="232">
        <v>45383</v>
      </c>
      <c r="C4422" t="s">
        <v>13897</v>
      </c>
      <c r="D4422" s="69">
        <v>11250</v>
      </c>
      <c r="E4422">
        <v>0</v>
      </c>
      <c r="G4422" s="8" t="s">
        <v>1372</v>
      </c>
      <c r="H4422" t="s">
        <v>1050</v>
      </c>
    </row>
    <row r="4423" spans="1:8" hidden="1">
      <c r="A4423" s="232">
        <v>45383</v>
      </c>
      <c r="C4423" t="s">
        <v>4135</v>
      </c>
      <c r="D4423" s="69">
        <v>0</v>
      </c>
      <c r="E4423">
        <v>15000</v>
      </c>
      <c r="H4423" t="s">
        <v>1050</v>
      </c>
    </row>
    <row r="4424" spans="1:8" hidden="1">
      <c r="A4424" s="232">
        <v>45383</v>
      </c>
      <c r="C4424" t="s">
        <v>4136</v>
      </c>
      <c r="D4424" s="69">
        <v>0</v>
      </c>
      <c r="E4424">
        <v>814</v>
      </c>
      <c r="H4424" t="s">
        <v>1050</v>
      </c>
    </row>
    <row r="4425" spans="1:8" hidden="1">
      <c r="A4425" s="232">
        <v>45384</v>
      </c>
      <c r="C4425" t="s">
        <v>13898</v>
      </c>
      <c r="D4425" s="69">
        <v>92</v>
      </c>
      <c r="E4425">
        <v>0</v>
      </c>
      <c r="H4425" t="s">
        <v>1050</v>
      </c>
    </row>
    <row r="4426" spans="1:8" hidden="1">
      <c r="A4426" s="232">
        <v>45384</v>
      </c>
      <c r="C4426" t="s">
        <v>4127</v>
      </c>
      <c r="D4426" s="69">
        <v>150000</v>
      </c>
      <c r="E4426">
        <v>0</v>
      </c>
      <c r="G4426" s="8" t="s">
        <v>1378</v>
      </c>
      <c r="H4426" t="s">
        <v>1050</v>
      </c>
    </row>
    <row r="4427" spans="1:8" hidden="1">
      <c r="A4427" s="232">
        <v>45385</v>
      </c>
      <c r="C4427" t="s">
        <v>13899</v>
      </c>
      <c r="D4427" s="69">
        <v>10740</v>
      </c>
      <c r="E4427">
        <v>0</v>
      </c>
      <c r="H4427" t="s">
        <v>1050</v>
      </c>
    </row>
    <row r="4428" spans="1:8" hidden="1">
      <c r="A4428" s="232">
        <v>45384</v>
      </c>
      <c r="C4428" t="s">
        <v>4135</v>
      </c>
      <c r="D4428" s="69">
        <v>0</v>
      </c>
      <c r="E4428" s="69">
        <v>160000</v>
      </c>
      <c r="H4428" t="s">
        <v>1050</v>
      </c>
    </row>
    <row r="4429" spans="1:8" hidden="1">
      <c r="A4429" s="232">
        <v>45384</v>
      </c>
      <c r="C4429" t="s">
        <v>4136</v>
      </c>
      <c r="D4429" s="69">
        <v>0</v>
      </c>
      <c r="E4429" s="69">
        <v>8701</v>
      </c>
      <c r="H4429" t="s">
        <v>1050</v>
      </c>
    </row>
    <row r="4430" spans="1:8" hidden="1">
      <c r="A4430" s="232">
        <v>45385</v>
      </c>
      <c r="C4430" t="s">
        <v>13900</v>
      </c>
      <c r="D4430" s="69">
        <v>126</v>
      </c>
      <c r="E4430" s="69">
        <v>0</v>
      </c>
      <c r="H4430" t="s">
        <v>1050</v>
      </c>
    </row>
    <row r="4431" spans="1:8" hidden="1">
      <c r="A4431" s="232">
        <v>45386</v>
      </c>
      <c r="C4431" t="s">
        <v>13901</v>
      </c>
      <c r="D4431" s="69">
        <v>138</v>
      </c>
      <c r="E4431" s="69">
        <v>0</v>
      </c>
      <c r="H4431" t="s">
        <v>1050</v>
      </c>
    </row>
    <row r="4432" spans="1:8" hidden="1">
      <c r="A4432" s="232">
        <v>45387</v>
      </c>
      <c r="C4432" t="s">
        <v>13902</v>
      </c>
      <c r="D4432" s="69">
        <v>0</v>
      </c>
      <c r="E4432" s="69">
        <v>600000</v>
      </c>
      <c r="H4432" t="s">
        <v>1050</v>
      </c>
    </row>
    <row r="4433" spans="1:8" hidden="1">
      <c r="A4433" s="232">
        <v>45387</v>
      </c>
      <c r="C4433" t="s">
        <v>13903</v>
      </c>
      <c r="D4433" s="69">
        <v>310</v>
      </c>
      <c r="E4433" s="69">
        <v>0</v>
      </c>
      <c r="H4433" t="s">
        <v>1050</v>
      </c>
    </row>
    <row r="4434" spans="1:8" hidden="1">
      <c r="A4434" s="232">
        <v>45388</v>
      </c>
      <c r="C4434" t="s">
        <v>13904</v>
      </c>
      <c r="D4434" s="69">
        <v>75000</v>
      </c>
      <c r="E4434" s="69">
        <v>0</v>
      </c>
      <c r="G4434" s="8" t="s">
        <v>1363</v>
      </c>
      <c r="H4434" t="s">
        <v>1050</v>
      </c>
    </row>
    <row r="4435" spans="1:8" hidden="1">
      <c r="A4435" s="232">
        <v>45388</v>
      </c>
      <c r="C4435" t="s">
        <v>13905</v>
      </c>
      <c r="D4435" s="69">
        <v>274</v>
      </c>
      <c r="E4435" s="69">
        <v>0</v>
      </c>
      <c r="H4435" t="s">
        <v>1050</v>
      </c>
    </row>
    <row r="4436" spans="1:8" hidden="1">
      <c r="A4436" s="232">
        <v>45388</v>
      </c>
      <c r="C4436" t="s">
        <v>13906</v>
      </c>
      <c r="D4436" s="69">
        <v>50</v>
      </c>
      <c r="E4436" s="69">
        <v>0</v>
      </c>
      <c r="H4436" t="s">
        <v>1050</v>
      </c>
    </row>
    <row r="4437" spans="1:8" hidden="1">
      <c r="A4437" s="232">
        <v>45388</v>
      </c>
      <c r="C4437" t="s">
        <v>13907</v>
      </c>
      <c r="D4437" s="69">
        <v>45</v>
      </c>
      <c r="E4437" s="69">
        <v>0</v>
      </c>
      <c r="H4437" t="s">
        <v>1050</v>
      </c>
    </row>
    <row r="4438" spans="1:8" hidden="1">
      <c r="A4438" s="232">
        <v>45389</v>
      </c>
      <c r="C4438" t="s">
        <v>13908</v>
      </c>
      <c r="D4438" s="69">
        <v>101813</v>
      </c>
      <c r="E4438" s="69">
        <v>0</v>
      </c>
      <c r="G4438" s="8" t="s">
        <v>1370</v>
      </c>
      <c r="H4438" t="s">
        <v>1050</v>
      </c>
    </row>
    <row r="4439" spans="1:8" hidden="1">
      <c r="A4439" s="232">
        <v>45389</v>
      </c>
      <c r="C4439" t="s">
        <v>13909</v>
      </c>
      <c r="D4439" s="69">
        <v>234</v>
      </c>
      <c r="E4439" s="69">
        <v>0</v>
      </c>
      <c r="H4439" t="s">
        <v>1050</v>
      </c>
    </row>
    <row r="4440" spans="1:8" hidden="1">
      <c r="A4440" s="232">
        <v>45390</v>
      </c>
      <c r="C4440" t="s">
        <v>13910</v>
      </c>
      <c r="D4440" s="69">
        <v>11250</v>
      </c>
      <c r="E4440" s="69">
        <v>0</v>
      </c>
      <c r="G4440" s="8" t="s">
        <v>1372</v>
      </c>
      <c r="H4440" t="s">
        <v>1050</v>
      </c>
    </row>
    <row r="4441" spans="1:8" hidden="1">
      <c r="A4441" s="232">
        <v>45390</v>
      </c>
      <c r="C4441" t="s">
        <v>13911</v>
      </c>
      <c r="D4441" s="69">
        <v>3761.94</v>
      </c>
      <c r="E4441" s="69">
        <v>0</v>
      </c>
      <c r="H4441" t="s">
        <v>1050</v>
      </c>
    </row>
    <row r="4442" spans="1:8" hidden="1">
      <c r="A4442" s="232">
        <v>45390</v>
      </c>
      <c r="C4442" t="s">
        <v>13912</v>
      </c>
      <c r="D4442" s="69">
        <v>631</v>
      </c>
      <c r="E4442" s="69">
        <v>0</v>
      </c>
      <c r="H4442" t="s">
        <v>1050</v>
      </c>
    </row>
    <row r="4443" spans="1:8" hidden="1">
      <c r="A4443" s="232">
        <v>45390</v>
      </c>
      <c r="C4443" t="s">
        <v>13913</v>
      </c>
      <c r="D4443" s="69">
        <v>0</v>
      </c>
      <c r="E4443" s="69">
        <v>9885</v>
      </c>
      <c r="G4443" s="8" t="s">
        <v>1380</v>
      </c>
      <c r="H4443" t="s">
        <v>1050</v>
      </c>
    </row>
    <row r="4444" spans="1:8" hidden="1">
      <c r="A4444" s="232">
        <v>45391</v>
      </c>
      <c r="C4444" t="s">
        <v>13914</v>
      </c>
      <c r="D4444" s="69">
        <v>1681</v>
      </c>
      <c r="E4444" s="69">
        <v>0</v>
      </c>
      <c r="H4444" t="s">
        <v>1050</v>
      </c>
    </row>
    <row r="4445" spans="1:8" hidden="1">
      <c r="A4445" s="232">
        <v>45392</v>
      </c>
      <c r="C4445" t="s">
        <v>4132</v>
      </c>
      <c r="D4445" s="69">
        <v>13714.24</v>
      </c>
      <c r="E4445" s="69">
        <v>0</v>
      </c>
      <c r="G4445" s="8" t="s">
        <v>1362</v>
      </c>
      <c r="H4445" t="s">
        <v>1050</v>
      </c>
    </row>
    <row r="4446" spans="1:8" hidden="1">
      <c r="A4446" s="232">
        <v>45393</v>
      </c>
      <c r="C4446" t="s">
        <v>13915</v>
      </c>
      <c r="D4446" s="69">
        <v>300</v>
      </c>
      <c r="E4446" s="69">
        <v>0</v>
      </c>
      <c r="H4446" t="s">
        <v>1050</v>
      </c>
    </row>
    <row r="4447" spans="1:8" hidden="1">
      <c r="A4447" s="232">
        <v>45394</v>
      </c>
      <c r="C4447" t="s">
        <v>13916</v>
      </c>
      <c r="D4447" s="69">
        <v>4245.6400000000003</v>
      </c>
      <c r="E4447" s="69">
        <v>0</v>
      </c>
      <c r="H4447" t="s">
        <v>1050</v>
      </c>
    </row>
    <row r="4448" spans="1:8" hidden="1">
      <c r="A4448" s="232">
        <v>45394</v>
      </c>
      <c r="C4448" t="s">
        <v>13917</v>
      </c>
      <c r="D4448" s="69">
        <v>50</v>
      </c>
      <c r="E4448" s="69">
        <v>0</v>
      </c>
      <c r="H4448" t="s">
        <v>1050</v>
      </c>
    </row>
    <row r="4449" spans="1:8" hidden="1">
      <c r="A4449" s="232">
        <v>45395</v>
      </c>
      <c r="C4449" t="s">
        <v>13918</v>
      </c>
      <c r="D4449" s="69">
        <v>200</v>
      </c>
      <c r="E4449" s="69">
        <v>0</v>
      </c>
      <c r="H4449" t="s">
        <v>1050</v>
      </c>
    </row>
    <row r="4450" spans="1:8" hidden="1">
      <c r="A4450" s="232">
        <v>45397</v>
      </c>
      <c r="C4450" t="s">
        <v>13919</v>
      </c>
      <c r="D4450" s="69">
        <v>11250</v>
      </c>
      <c r="E4450" s="69">
        <v>0</v>
      </c>
      <c r="G4450" s="8" t="s">
        <v>1372</v>
      </c>
      <c r="H4450" t="s">
        <v>1050</v>
      </c>
    </row>
    <row r="4451" spans="1:8" hidden="1">
      <c r="A4451" s="232">
        <v>45397</v>
      </c>
      <c r="C4451" t="s">
        <v>13920</v>
      </c>
      <c r="D4451" s="69">
        <v>4500</v>
      </c>
      <c r="E4451" s="69">
        <v>0</v>
      </c>
      <c r="H4451" t="s">
        <v>1050</v>
      </c>
    </row>
    <row r="4452" spans="1:8" hidden="1">
      <c r="A4452" s="232">
        <v>45397</v>
      </c>
      <c r="C4452" t="s">
        <v>13921</v>
      </c>
      <c r="D4452" s="69">
        <v>10</v>
      </c>
      <c r="E4452" s="69">
        <v>0</v>
      </c>
      <c r="H4452" t="s">
        <v>1050</v>
      </c>
    </row>
    <row r="4453" spans="1:8" hidden="1">
      <c r="A4453" s="232">
        <v>45401</v>
      </c>
      <c r="C4453" t="s">
        <v>13922</v>
      </c>
      <c r="D4453" s="69">
        <v>291</v>
      </c>
      <c r="E4453" s="69">
        <v>0</v>
      </c>
      <c r="H4453" t="s">
        <v>1050</v>
      </c>
    </row>
    <row r="4454" spans="1:8" hidden="1">
      <c r="A4454" s="232">
        <v>45402</v>
      </c>
      <c r="C4454" t="s">
        <v>13923</v>
      </c>
      <c r="D4454" s="69">
        <v>16</v>
      </c>
      <c r="E4454" s="69">
        <v>0</v>
      </c>
      <c r="H4454" t="s">
        <v>1050</v>
      </c>
    </row>
    <row r="4455" spans="1:8" hidden="1">
      <c r="A4455" s="232">
        <v>45402</v>
      </c>
      <c r="C4455" t="s">
        <v>13924</v>
      </c>
      <c r="D4455" s="69">
        <v>24611.1</v>
      </c>
      <c r="E4455" s="69">
        <v>0</v>
      </c>
      <c r="H4455" t="s">
        <v>1050</v>
      </c>
    </row>
    <row r="4456" spans="1:8" hidden="1">
      <c r="A4456" s="232">
        <v>45402</v>
      </c>
      <c r="C4456" t="s">
        <v>13925</v>
      </c>
      <c r="D4456" s="69">
        <v>2400</v>
      </c>
      <c r="E4456" s="69">
        <v>0</v>
      </c>
      <c r="H4456" t="s">
        <v>1050</v>
      </c>
    </row>
    <row r="4457" spans="1:8" hidden="1">
      <c r="A4457" s="232">
        <v>45402</v>
      </c>
      <c r="C4457" t="s">
        <v>13926</v>
      </c>
      <c r="D4457" s="69">
        <v>170</v>
      </c>
      <c r="E4457" s="69">
        <v>0</v>
      </c>
      <c r="H4457" t="s">
        <v>1050</v>
      </c>
    </row>
    <row r="4458" spans="1:8" hidden="1">
      <c r="A4458" s="232">
        <v>45403</v>
      </c>
      <c r="C4458" t="s">
        <v>13927</v>
      </c>
      <c r="D4458" s="69">
        <v>255</v>
      </c>
      <c r="E4458" s="69">
        <v>0</v>
      </c>
      <c r="H4458" t="s">
        <v>1050</v>
      </c>
    </row>
    <row r="4459" spans="1:8" hidden="1">
      <c r="A4459" s="232">
        <v>45403</v>
      </c>
      <c r="C4459" t="s">
        <v>13928</v>
      </c>
      <c r="D4459" s="69">
        <v>50</v>
      </c>
      <c r="E4459" s="69">
        <v>0</v>
      </c>
      <c r="H4459" t="s">
        <v>1050</v>
      </c>
    </row>
    <row r="4460" spans="1:8" hidden="1">
      <c r="A4460" s="232">
        <v>45404</v>
      </c>
      <c r="C4460" t="s">
        <v>13929</v>
      </c>
      <c r="D4460" s="69">
        <v>11250</v>
      </c>
      <c r="E4460" s="69">
        <v>0</v>
      </c>
      <c r="G4460" s="8" t="s">
        <v>1372</v>
      </c>
      <c r="H4460" t="s">
        <v>1050</v>
      </c>
    </row>
    <row r="4461" spans="1:8" hidden="1">
      <c r="A4461" s="232">
        <v>45404</v>
      </c>
      <c r="C4461" t="s">
        <v>13930</v>
      </c>
      <c r="D4461" s="69">
        <v>4500</v>
      </c>
      <c r="E4461" s="69">
        <v>0</v>
      </c>
      <c r="H4461" t="s">
        <v>1050</v>
      </c>
    </row>
    <row r="4462" spans="1:8" hidden="1">
      <c r="A4462" s="232">
        <v>45404</v>
      </c>
      <c r="C4462" t="s">
        <v>13931</v>
      </c>
      <c r="D4462" s="69">
        <v>6906</v>
      </c>
      <c r="E4462" s="69">
        <v>0</v>
      </c>
      <c r="H4462" t="s">
        <v>1050</v>
      </c>
    </row>
    <row r="4463" spans="1:8" hidden="1">
      <c r="A4463" s="232">
        <v>45404</v>
      </c>
      <c r="C4463" t="s">
        <v>13932</v>
      </c>
      <c r="D4463" s="69">
        <v>33333</v>
      </c>
      <c r="E4463" s="69">
        <v>0</v>
      </c>
      <c r="G4463" s="8" t="s">
        <v>1381</v>
      </c>
      <c r="H4463" t="s">
        <v>1050</v>
      </c>
    </row>
    <row r="4464" spans="1:8" hidden="1">
      <c r="A4464" s="232">
        <v>45405</v>
      </c>
      <c r="C4464" t="s">
        <v>13933</v>
      </c>
      <c r="D4464" s="69">
        <v>0</v>
      </c>
      <c r="E4464" s="69">
        <v>3538.82</v>
      </c>
      <c r="G4464" s="8" t="s">
        <v>1380</v>
      </c>
      <c r="H4464" t="s">
        <v>1050</v>
      </c>
    </row>
    <row r="4465" spans="1:8" hidden="1">
      <c r="A4465" s="232">
        <v>45405</v>
      </c>
      <c r="C4465" t="s">
        <v>13934</v>
      </c>
      <c r="D4465" s="69">
        <v>3894</v>
      </c>
      <c r="E4465" s="69">
        <v>0</v>
      </c>
      <c r="H4465" t="s">
        <v>1050</v>
      </c>
    </row>
    <row r="4466" spans="1:8" hidden="1">
      <c r="A4466" s="232">
        <v>45407</v>
      </c>
      <c r="C4466" t="s">
        <v>13935</v>
      </c>
      <c r="D4466" s="69">
        <v>10</v>
      </c>
      <c r="E4466" s="69">
        <v>0</v>
      </c>
      <c r="H4466" t="s">
        <v>1050</v>
      </c>
    </row>
    <row r="4467" spans="1:8" hidden="1">
      <c r="A4467" s="232">
        <v>45408</v>
      </c>
      <c r="C4467" t="s">
        <v>13936</v>
      </c>
      <c r="D4467" s="69">
        <v>0</v>
      </c>
      <c r="E4467" s="69">
        <v>342455</v>
      </c>
      <c r="G4467" s="8" t="s">
        <v>1380</v>
      </c>
      <c r="H4467" t="s">
        <v>1050</v>
      </c>
    </row>
    <row r="4468" spans="1:8" hidden="1">
      <c r="A4468" s="232">
        <v>45409</v>
      </c>
      <c r="C4468" t="s">
        <v>13937</v>
      </c>
      <c r="D4468" s="69">
        <v>205</v>
      </c>
      <c r="E4468" s="69">
        <v>0</v>
      </c>
      <c r="H4468" t="s">
        <v>1050</v>
      </c>
    </row>
    <row r="4469" spans="1:8" hidden="1">
      <c r="A4469" s="232">
        <v>45409</v>
      </c>
      <c r="C4469" t="s">
        <v>13938</v>
      </c>
      <c r="D4469" s="69">
        <v>884.5</v>
      </c>
      <c r="E4469" s="69">
        <v>0</v>
      </c>
      <c r="H4469" t="s">
        <v>1050</v>
      </c>
    </row>
    <row r="4470" spans="1:8" hidden="1">
      <c r="A4470" s="232">
        <v>45410</v>
      </c>
      <c r="C4470" t="s">
        <v>13939</v>
      </c>
      <c r="D4470" s="69">
        <v>36840</v>
      </c>
      <c r="E4470" s="69">
        <v>0</v>
      </c>
      <c r="G4470" s="8" t="s">
        <v>1370</v>
      </c>
      <c r="H4470" t="s">
        <v>1050</v>
      </c>
    </row>
    <row r="4471" spans="1:8" hidden="1">
      <c r="A4471" s="232">
        <v>45410</v>
      </c>
      <c r="C4471" t="s">
        <v>13940</v>
      </c>
      <c r="D4471" s="69">
        <v>38498</v>
      </c>
      <c r="E4471" s="69">
        <v>0</v>
      </c>
      <c r="G4471" s="8" t="s">
        <v>1370</v>
      </c>
      <c r="H4471" t="s">
        <v>1050</v>
      </c>
    </row>
    <row r="4472" spans="1:8" hidden="1">
      <c r="A4472" s="232">
        <v>45410</v>
      </c>
      <c r="C4472" t="s">
        <v>13941</v>
      </c>
      <c r="D4472" s="69">
        <v>35762</v>
      </c>
      <c r="E4472" s="69">
        <v>0</v>
      </c>
      <c r="G4472" s="8" t="s">
        <v>1370</v>
      </c>
      <c r="H4472" t="s">
        <v>1050</v>
      </c>
    </row>
    <row r="4473" spans="1:8" hidden="1">
      <c r="A4473" s="232">
        <v>45410</v>
      </c>
      <c r="C4473" t="s">
        <v>13942</v>
      </c>
      <c r="D4473" s="69">
        <v>53373</v>
      </c>
      <c r="E4473" s="69">
        <v>0</v>
      </c>
      <c r="G4473" s="8" t="s">
        <v>1370</v>
      </c>
      <c r="H4473" t="s">
        <v>1050</v>
      </c>
    </row>
    <row r="4474" spans="1:8" hidden="1">
      <c r="A4474" s="232">
        <v>45410</v>
      </c>
      <c r="C4474" t="s">
        <v>13943</v>
      </c>
      <c r="D4474" s="69">
        <v>53373</v>
      </c>
      <c r="E4474" s="69">
        <v>0</v>
      </c>
      <c r="G4474" s="8" t="s">
        <v>1370</v>
      </c>
      <c r="H4474" t="s">
        <v>1050</v>
      </c>
    </row>
    <row r="4475" spans="1:8" hidden="1">
      <c r="A4475" s="232">
        <v>45410</v>
      </c>
      <c r="C4475" t="s">
        <v>13944</v>
      </c>
      <c r="D4475" s="69">
        <v>159354</v>
      </c>
      <c r="E4475" s="69">
        <v>0</v>
      </c>
      <c r="G4475" s="8" t="s">
        <v>1370</v>
      </c>
      <c r="H4475" t="s">
        <v>1050</v>
      </c>
    </row>
    <row r="4476" spans="1:8" hidden="1">
      <c r="A4476" s="232">
        <v>45410</v>
      </c>
      <c r="C4476" t="s">
        <v>13945</v>
      </c>
      <c r="D4476" s="69">
        <v>159354</v>
      </c>
      <c r="E4476" s="69">
        <v>0</v>
      </c>
      <c r="G4476" s="8" t="s">
        <v>1370</v>
      </c>
      <c r="H4476" t="s">
        <v>1050</v>
      </c>
    </row>
    <row r="4477" spans="1:8" hidden="1">
      <c r="A4477" s="232">
        <v>45410</v>
      </c>
      <c r="C4477" t="s">
        <v>13946</v>
      </c>
      <c r="D4477" s="69">
        <v>159354</v>
      </c>
      <c r="E4477" s="69">
        <v>0</v>
      </c>
      <c r="G4477" s="8" t="s">
        <v>1370</v>
      </c>
      <c r="H4477" t="s">
        <v>1050</v>
      </c>
    </row>
    <row r="4478" spans="1:8" hidden="1">
      <c r="A4478" s="232">
        <v>45410</v>
      </c>
      <c r="C4478" t="s">
        <v>13947</v>
      </c>
      <c r="D4478" s="69">
        <v>740</v>
      </c>
      <c r="E4478" s="69">
        <v>0</v>
      </c>
      <c r="H4478" t="s">
        <v>1050</v>
      </c>
    </row>
    <row r="4479" spans="1:8" hidden="1">
      <c r="A4479" s="232">
        <v>45410</v>
      </c>
      <c r="C4479" t="s">
        <v>4135</v>
      </c>
      <c r="D4479" s="69">
        <v>0</v>
      </c>
      <c r="E4479" s="69">
        <v>50000</v>
      </c>
      <c r="H4479" t="s">
        <v>1050</v>
      </c>
    </row>
    <row r="4480" spans="1:8" hidden="1">
      <c r="A4480" s="232">
        <v>45410</v>
      </c>
      <c r="C4480" t="s">
        <v>4136</v>
      </c>
      <c r="D4480" s="69">
        <v>0</v>
      </c>
      <c r="E4480" s="69">
        <v>2932</v>
      </c>
      <c r="H4480" t="s">
        <v>1050</v>
      </c>
    </row>
    <row r="4481" spans="1:8" hidden="1">
      <c r="A4481" s="232">
        <v>45411</v>
      </c>
      <c r="C4481" t="s">
        <v>13948</v>
      </c>
      <c r="D4481" s="69">
        <v>11250</v>
      </c>
      <c r="E4481" s="69">
        <v>0</v>
      </c>
      <c r="G4481" s="8" t="s">
        <v>1372</v>
      </c>
      <c r="H4481" t="s">
        <v>1050</v>
      </c>
    </row>
    <row r="4482" spans="1:8" hidden="1">
      <c r="A4482" s="232">
        <v>45411</v>
      </c>
      <c r="C4482" t="s">
        <v>13949</v>
      </c>
      <c r="D4482" s="69">
        <v>4500</v>
      </c>
      <c r="E4482" s="69">
        <v>0</v>
      </c>
      <c r="H4482" t="s">
        <v>1050</v>
      </c>
    </row>
    <row r="4483" spans="1:8" hidden="1">
      <c r="A4483" s="232">
        <v>45411</v>
      </c>
      <c r="C4483" t="s">
        <v>13950</v>
      </c>
      <c r="D4483" s="69">
        <v>25000</v>
      </c>
      <c r="E4483" s="69">
        <v>0</v>
      </c>
      <c r="G4483" s="8" t="s">
        <v>1381</v>
      </c>
      <c r="H4483" t="s">
        <v>1050</v>
      </c>
    </row>
    <row r="4484" spans="1:8" hidden="1">
      <c r="A4484" s="232">
        <v>45411</v>
      </c>
      <c r="C4484" t="s">
        <v>4135</v>
      </c>
      <c r="D4484" s="69">
        <v>0</v>
      </c>
      <c r="E4484" s="69">
        <v>40000</v>
      </c>
      <c r="H4484" t="s">
        <v>1050</v>
      </c>
    </row>
    <row r="4485" spans="1:8" hidden="1">
      <c r="A4485" s="232">
        <v>45411</v>
      </c>
      <c r="C4485" t="s">
        <v>4136</v>
      </c>
      <c r="D4485" s="69">
        <v>0</v>
      </c>
      <c r="E4485" s="69">
        <v>2352</v>
      </c>
      <c r="H4485" t="s">
        <v>1050</v>
      </c>
    </row>
    <row r="4486" spans="1:8" hidden="1">
      <c r="A4486" s="232">
        <v>45383</v>
      </c>
      <c r="C4486" t="s">
        <v>13951</v>
      </c>
      <c r="E4486" s="1">
        <v>391197</v>
      </c>
      <c r="G4486" s="8" t="s">
        <v>13955</v>
      </c>
      <c r="H4486" t="s">
        <v>1336</v>
      </c>
    </row>
    <row r="4487" spans="1:8" hidden="1">
      <c r="A4487" s="232">
        <v>45385</v>
      </c>
      <c r="C4487" t="s">
        <v>13952</v>
      </c>
      <c r="D4487" s="1">
        <v>25000</v>
      </c>
      <c r="G4487" s="8" t="s">
        <v>13955</v>
      </c>
      <c r="H4487" t="s">
        <v>1336</v>
      </c>
    </row>
    <row r="4488" spans="1:8" hidden="1">
      <c r="A4488" s="232">
        <v>45386</v>
      </c>
      <c r="C4488" t="s">
        <v>4319</v>
      </c>
      <c r="D4488" s="1">
        <v>25346</v>
      </c>
      <c r="G4488" s="8" t="s">
        <v>1362</v>
      </c>
      <c r="H4488" t="s">
        <v>1336</v>
      </c>
    </row>
    <row r="4489" spans="1:8" hidden="1">
      <c r="A4489" s="232">
        <v>45388</v>
      </c>
      <c r="C4489" t="s">
        <v>13953</v>
      </c>
      <c r="E4489" s="1">
        <v>75000</v>
      </c>
      <c r="G4489" s="8" t="s">
        <v>1363</v>
      </c>
      <c r="H4489" t="s">
        <v>1336</v>
      </c>
    </row>
    <row r="4490" spans="1:8" hidden="1">
      <c r="A4490" s="232">
        <v>45390</v>
      </c>
      <c r="C4490" t="s">
        <v>13954</v>
      </c>
      <c r="D4490" s="1">
        <v>500</v>
      </c>
      <c r="H4490" t="s">
        <v>1336</v>
      </c>
    </row>
    <row r="4491" spans="1:8" hidden="1">
      <c r="A4491" s="232">
        <v>45413</v>
      </c>
      <c r="C4491" t="s">
        <v>14055</v>
      </c>
      <c r="D4491" s="1">
        <v>250</v>
      </c>
      <c r="E4491" s="1">
        <v>0</v>
      </c>
      <c r="G4491" s="8" t="s">
        <v>1363</v>
      </c>
      <c r="H4491" t="s">
        <v>1050</v>
      </c>
    </row>
    <row r="4492" spans="1:8" hidden="1">
      <c r="A4492" s="232">
        <v>45413</v>
      </c>
      <c r="C4492" t="s">
        <v>14056</v>
      </c>
      <c r="D4492" s="1">
        <v>250</v>
      </c>
      <c r="E4492" s="1">
        <v>0</v>
      </c>
      <c r="G4492" s="8" t="s">
        <v>1363</v>
      </c>
      <c r="H4492" t="s">
        <v>1050</v>
      </c>
    </row>
    <row r="4493" spans="1:8" hidden="1">
      <c r="A4493" s="232">
        <v>45413</v>
      </c>
      <c r="C4493" t="s">
        <v>14057</v>
      </c>
      <c r="D4493" s="1">
        <v>2000</v>
      </c>
      <c r="E4493" s="1">
        <v>0</v>
      </c>
      <c r="H4493" t="s">
        <v>1050</v>
      </c>
    </row>
    <row r="4494" spans="1:8" hidden="1">
      <c r="A4494" s="232">
        <v>45415</v>
      </c>
      <c r="C4494" t="s">
        <v>14058</v>
      </c>
      <c r="D4494" s="1">
        <v>10738</v>
      </c>
      <c r="E4494" s="1">
        <v>0</v>
      </c>
      <c r="H4494" t="s">
        <v>1050</v>
      </c>
    </row>
    <row r="4495" spans="1:8" hidden="1">
      <c r="A4495" s="232">
        <v>45415</v>
      </c>
      <c r="C4495" t="s">
        <v>14059</v>
      </c>
      <c r="D4495" s="1">
        <v>100</v>
      </c>
      <c r="E4495" s="1">
        <v>0</v>
      </c>
      <c r="H4495" t="s">
        <v>1050</v>
      </c>
    </row>
    <row r="4496" spans="1:8" hidden="1">
      <c r="A4496" s="232">
        <v>45415</v>
      </c>
      <c r="C4496" t="s">
        <v>4965</v>
      </c>
      <c r="D4496" s="1">
        <v>0</v>
      </c>
      <c r="E4496" s="1">
        <v>10000</v>
      </c>
      <c r="H4496" t="s">
        <v>1050</v>
      </c>
    </row>
    <row r="4497" spans="1:8" hidden="1">
      <c r="A4497" s="232">
        <v>45415</v>
      </c>
      <c r="C4497" t="s">
        <v>4966</v>
      </c>
      <c r="D4497" s="1">
        <v>0</v>
      </c>
      <c r="E4497" s="1">
        <v>595</v>
      </c>
      <c r="H4497" t="s">
        <v>1050</v>
      </c>
    </row>
    <row r="4498" spans="1:8" hidden="1">
      <c r="A4498" s="232">
        <v>45416</v>
      </c>
      <c r="C4498" t="s">
        <v>14060</v>
      </c>
      <c r="D4498" s="1">
        <v>25</v>
      </c>
      <c r="E4498" s="1">
        <v>0</v>
      </c>
      <c r="H4498" t="s">
        <v>1050</v>
      </c>
    </row>
    <row r="4499" spans="1:8" hidden="1">
      <c r="A4499" s="232">
        <v>45416</v>
      </c>
      <c r="C4499" t="s">
        <v>14061</v>
      </c>
      <c r="D4499" s="1">
        <v>6</v>
      </c>
      <c r="E4499" s="1">
        <v>0</v>
      </c>
      <c r="H4499" t="s">
        <v>1050</v>
      </c>
    </row>
    <row r="4500" spans="1:8" hidden="1">
      <c r="A4500" s="232">
        <v>45418</v>
      </c>
      <c r="C4500" t="s">
        <v>14062</v>
      </c>
      <c r="D4500" s="1">
        <v>48</v>
      </c>
      <c r="E4500" s="1">
        <v>0</v>
      </c>
      <c r="H4500" t="s">
        <v>1050</v>
      </c>
    </row>
    <row r="4501" spans="1:8" hidden="1">
      <c r="A4501" s="232">
        <v>45418</v>
      </c>
      <c r="C4501" t="s">
        <v>14063</v>
      </c>
      <c r="D4501" s="1">
        <v>11250</v>
      </c>
      <c r="E4501" s="1">
        <v>0</v>
      </c>
      <c r="G4501" s="8" t="s">
        <v>1372</v>
      </c>
      <c r="H4501" t="s">
        <v>1050</v>
      </c>
    </row>
    <row r="4502" spans="1:8" hidden="1">
      <c r="A4502" s="232">
        <v>45418</v>
      </c>
      <c r="C4502" t="s">
        <v>14064</v>
      </c>
      <c r="D4502" s="1">
        <v>75000</v>
      </c>
      <c r="E4502" s="1">
        <v>0</v>
      </c>
      <c r="G4502" s="8" t="s">
        <v>1363</v>
      </c>
      <c r="H4502" t="s">
        <v>1050</v>
      </c>
    </row>
    <row r="4503" spans="1:8" hidden="1">
      <c r="A4503" s="232">
        <v>45418</v>
      </c>
      <c r="C4503" t="s">
        <v>14065</v>
      </c>
      <c r="D4503" s="1">
        <v>4500</v>
      </c>
      <c r="E4503" s="1">
        <v>0</v>
      </c>
      <c r="H4503" t="s">
        <v>1050</v>
      </c>
    </row>
    <row r="4504" spans="1:8" hidden="1">
      <c r="A4504" s="232">
        <v>45418</v>
      </c>
      <c r="C4504" t="s">
        <v>4965</v>
      </c>
      <c r="D4504" s="1">
        <v>0</v>
      </c>
      <c r="E4504" s="1">
        <v>90000</v>
      </c>
      <c r="H4504" t="s">
        <v>1050</v>
      </c>
    </row>
    <row r="4505" spans="1:8" hidden="1">
      <c r="A4505" s="232">
        <v>45418</v>
      </c>
      <c r="C4505" t="s">
        <v>4966</v>
      </c>
      <c r="D4505" s="1">
        <v>0</v>
      </c>
      <c r="E4505" s="1">
        <v>5396</v>
      </c>
      <c r="H4505" t="s">
        <v>1050</v>
      </c>
    </row>
    <row r="4506" spans="1:8" hidden="1">
      <c r="A4506" s="232">
        <v>45419</v>
      </c>
      <c r="C4506" t="s">
        <v>14066</v>
      </c>
      <c r="D4506" s="1">
        <v>101813</v>
      </c>
      <c r="E4506" s="1">
        <v>0</v>
      </c>
      <c r="G4506" s="8" t="s">
        <v>1370</v>
      </c>
      <c r="H4506" t="s">
        <v>1050</v>
      </c>
    </row>
    <row r="4507" spans="1:8" hidden="1">
      <c r="A4507" s="232">
        <v>45419</v>
      </c>
      <c r="C4507" t="s">
        <v>14067</v>
      </c>
      <c r="D4507" s="1">
        <v>70</v>
      </c>
      <c r="E4507" s="1">
        <v>0</v>
      </c>
      <c r="H4507" t="s">
        <v>1050</v>
      </c>
    </row>
    <row r="4508" spans="1:8" hidden="1">
      <c r="A4508" s="232">
        <v>45419</v>
      </c>
      <c r="C4508" t="s">
        <v>4965</v>
      </c>
      <c r="D4508" s="1">
        <v>0</v>
      </c>
      <c r="E4508" s="1">
        <v>95000</v>
      </c>
      <c r="H4508" t="s">
        <v>1050</v>
      </c>
    </row>
    <row r="4509" spans="1:8" hidden="1">
      <c r="A4509" s="232">
        <v>45419</v>
      </c>
      <c r="C4509" t="s">
        <v>4966</v>
      </c>
      <c r="D4509" s="1">
        <v>0</v>
      </c>
      <c r="E4509" s="1">
        <v>5711</v>
      </c>
      <c r="H4509" t="s">
        <v>1050</v>
      </c>
    </row>
    <row r="4510" spans="1:8" hidden="1">
      <c r="A4510" s="232">
        <v>45420</v>
      </c>
      <c r="C4510" t="s">
        <v>14068</v>
      </c>
      <c r="D4510" s="1">
        <v>270</v>
      </c>
      <c r="E4510" s="1">
        <v>0</v>
      </c>
      <c r="H4510" t="s">
        <v>1050</v>
      </c>
    </row>
    <row r="4511" spans="1:8" hidden="1">
      <c r="A4511" s="232">
        <v>45421</v>
      </c>
      <c r="C4511" t="s">
        <v>14069</v>
      </c>
      <c r="D4511" s="1">
        <v>2009.44</v>
      </c>
      <c r="E4511" s="1">
        <v>0</v>
      </c>
      <c r="H4511" t="s">
        <v>1050</v>
      </c>
    </row>
    <row r="4512" spans="1:8" hidden="1">
      <c r="A4512" s="232">
        <v>45421</v>
      </c>
      <c r="C4512" t="s">
        <v>14070</v>
      </c>
      <c r="D4512" s="1">
        <v>714</v>
      </c>
      <c r="E4512" s="1">
        <v>0</v>
      </c>
      <c r="H4512" t="s">
        <v>1050</v>
      </c>
    </row>
    <row r="4513" spans="1:8" hidden="1">
      <c r="A4513" s="232">
        <v>45422</v>
      </c>
      <c r="C4513" t="s">
        <v>14071</v>
      </c>
      <c r="D4513" s="1">
        <v>160</v>
      </c>
      <c r="E4513" s="1">
        <v>0</v>
      </c>
      <c r="H4513" t="s">
        <v>1050</v>
      </c>
    </row>
    <row r="4514" spans="1:8" hidden="1">
      <c r="A4514" s="232">
        <v>45422</v>
      </c>
      <c r="C4514" t="s">
        <v>14072</v>
      </c>
      <c r="D4514" s="1">
        <v>12</v>
      </c>
      <c r="E4514" s="1">
        <v>0</v>
      </c>
      <c r="H4514" t="s">
        <v>1050</v>
      </c>
    </row>
    <row r="4515" spans="1:8" hidden="1">
      <c r="A4515" s="232">
        <v>45423</v>
      </c>
      <c r="C4515" t="s">
        <v>14073</v>
      </c>
      <c r="D4515" s="1">
        <v>676</v>
      </c>
      <c r="E4515" s="1">
        <v>0</v>
      </c>
      <c r="H4515" t="s">
        <v>1050</v>
      </c>
    </row>
    <row r="4516" spans="1:8" hidden="1">
      <c r="A4516" s="232">
        <v>45423</v>
      </c>
      <c r="C4516" t="s">
        <v>14074</v>
      </c>
      <c r="D4516" s="1">
        <v>45</v>
      </c>
      <c r="E4516" s="1">
        <v>0</v>
      </c>
      <c r="H4516" t="s">
        <v>1050</v>
      </c>
    </row>
    <row r="4517" spans="1:8" hidden="1">
      <c r="A4517" s="232">
        <v>45425</v>
      </c>
      <c r="C4517" t="s">
        <v>14075</v>
      </c>
      <c r="D4517" s="1">
        <v>90</v>
      </c>
      <c r="E4517" s="1">
        <v>0</v>
      </c>
      <c r="H4517" t="s">
        <v>1050</v>
      </c>
    </row>
    <row r="4518" spans="1:8" hidden="1">
      <c r="A4518" s="232">
        <v>45425</v>
      </c>
      <c r="C4518" t="s">
        <v>14076</v>
      </c>
      <c r="D4518" s="1">
        <v>11250</v>
      </c>
      <c r="E4518" s="1">
        <v>0</v>
      </c>
      <c r="G4518" s="8" t="s">
        <v>1372</v>
      </c>
      <c r="H4518" t="s">
        <v>1050</v>
      </c>
    </row>
    <row r="4519" spans="1:8" hidden="1">
      <c r="A4519" s="232">
        <v>45425</v>
      </c>
      <c r="C4519" t="s">
        <v>4965</v>
      </c>
      <c r="D4519" s="1">
        <v>0</v>
      </c>
      <c r="E4519" s="1">
        <v>10000</v>
      </c>
      <c r="H4519" t="s">
        <v>1050</v>
      </c>
    </row>
    <row r="4520" spans="1:8" hidden="1">
      <c r="A4520" s="232">
        <v>45425</v>
      </c>
      <c r="C4520" t="s">
        <v>4966</v>
      </c>
      <c r="D4520" s="1">
        <v>0</v>
      </c>
      <c r="E4520" s="1">
        <v>611</v>
      </c>
      <c r="H4520" t="s">
        <v>1050</v>
      </c>
    </row>
    <row r="4521" spans="1:8" hidden="1">
      <c r="A4521" s="232">
        <v>45425</v>
      </c>
      <c r="C4521" t="s">
        <v>2738</v>
      </c>
      <c r="D4521" s="1">
        <v>94285.759999999995</v>
      </c>
      <c r="E4521" s="1">
        <v>0</v>
      </c>
      <c r="G4521" s="8" t="s">
        <v>1362</v>
      </c>
      <c r="H4521" t="s">
        <v>1050</v>
      </c>
    </row>
    <row r="4522" spans="1:8" hidden="1">
      <c r="A4522" s="232">
        <v>45425</v>
      </c>
      <c r="C4522" t="s">
        <v>14077</v>
      </c>
      <c r="D4522" s="1">
        <v>4500</v>
      </c>
      <c r="E4522" s="1">
        <v>0</v>
      </c>
      <c r="H4522" t="s">
        <v>1050</v>
      </c>
    </row>
    <row r="4523" spans="1:8" hidden="1">
      <c r="A4523" s="232">
        <v>45425</v>
      </c>
      <c r="C4523" t="s">
        <v>4965</v>
      </c>
      <c r="D4523" s="1">
        <v>0</v>
      </c>
      <c r="E4523" s="1">
        <v>100000</v>
      </c>
      <c r="H4523" t="s">
        <v>1050</v>
      </c>
    </row>
    <row r="4524" spans="1:8" hidden="1">
      <c r="A4524" s="232">
        <v>45425</v>
      </c>
      <c r="C4524" t="s">
        <v>4966</v>
      </c>
      <c r="D4524" s="1">
        <v>0</v>
      </c>
      <c r="E4524" s="1">
        <v>6110</v>
      </c>
      <c r="H4524" t="s">
        <v>1050</v>
      </c>
    </row>
    <row r="4525" spans="1:8" hidden="1">
      <c r="A4525" s="232">
        <v>45426</v>
      </c>
      <c r="C4525" t="s">
        <v>14078</v>
      </c>
      <c r="D4525" s="1">
        <v>706.82</v>
      </c>
      <c r="E4525" s="1">
        <v>0</v>
      </c>
      <c r="H4525" t="s">
        <v>1050</v>
      </c>
    </row>
    <row r="4526" spans="1:8" hidden="1">
      <c r="A4526" s="232">
        <v>45426</v>
      </c>
      <c r="C4526" t="s">
        <v>14079</v>
      </c>
      <c r="D4526" s="1">
        <v>10</v>
      </c>
      <c r="E4526" s="1">
        <v>0</v>
      </c>
      <c r="H4526" t="s">
        <v>1050</v>
      </c>
    </row>
    <row r="4527" spans="1:8" hidden="1">
      <c r="A4527" s="232">
        <v>45426</v>
      </c>
      <c r="C4527" t="s">
        <v>14080</v>
      </c>
      <c r="D4527" s="1">
        <v>129</v>
      </c>
      <c r="E4527" s="1">
        <v>0</v>
      </c>
      <c r="H4527" t="s">
        <v>1050</v>
      </c>
    </row>
    <row r="4528" spans="1:8" hidden="1">
      <c r="A4528" s="232">
        <v>45427</v>
      </c>
      <c r="C4528" t="s">
        <v>14081</v>
      </c>
      <c r="D4528" s="1">
        <v>10</v>
      </c>
      <c r="E4528" s="1">
        <v>0</v>
      </c>
      <c r="H4528" t="s">
        <v>1050</v>
      </c>
    </row>
    <row r="4529" spans="1:8" hidden="1">
      <c r="A4529" s="232">
        <v>45428</v>
      </c>
      <c r="C4529" t="s">
        <v>14082</v>
      </c>
      <c r="D4529" s="1">
        <v>10</v>
      </c>
      <c r="E4529" s="1">
        <v>0</v>
      </c>
      <c r="H4529" t="s">
        <v>1050</v>
      </c>
    </row>
    <row r="4530" spans="1:8" hidden="1">
      <c r="A4530" s="232">
        <v>45428</v>
      </c>
      <c r="C4530" t="s">
        <v>14083</v>
      </c>
      <c r="D4530" s="1">
        <v>101</v>
      </c>
      <c r="E4530" s="1">
        <v>0</v>
      </c>
      <c r="H4530" t="s">
        <v>1050</v>
      </c>
    </row>
    <row r="4531" spans="1:8" hidden="1">
      <c r="A4531" s="232">
        <v>45429</v>
      </c>
      <c r="C4531" t="s">
        <v>14084</v>
      </c>
      <c r="D4531" s="1">
        <v>0</v>
      </c>
      <c r="E4531" s="1">
        <v>573.39</v>
      </c>
      <c r="H4531" t="s">
        <v>1050</v>
      </c>
    </row>
    <row r="4532" spans="1:8" hidden="1">
      <c r="A4532" s="232">
        <v>45430</v>
      </c>
      <c r="C4532" t="s">
        <v>14085</v>
      </c>
      <c r="D4532" s="1">
        <v>786</v>
      </c>
      <c r="E4532" s="1">
        <v>0</v>
      </c>
      <c r="H4532" t="s">
        <v>1050</v>
      </c>
    </row>
    <row r="4533" spans="1:8" hidden="1">
      <c r="A4533" s="232">
        <v>45432</v>
      </c>
      <c r="C4533" t="s">
        <v>14086</v>
      </c>
      <c r="D4533" s="1">
        <v>4500</v>
      </c>
      <c r="E4533" s="1">
        <v>0</v>
      </c>
      <c r="H4533" t="s">
        <v>1050</v>
      </c>
    </row>
    <row r="4534" spans="1:8" hidden="1">
      <c r="A4534" s="232">
        <v>45432</v>
      </c>
      <c r="C4534" t="s">
        <v>14087</v>
      </c>
      <c r="D4534" s="1">
        <v>11250</v>
      </c>
      <c r="E4534" s="1">
        <v>0</v>
      </c>
      <c r="G4534" s="8" t="s">
        <v>1372</v>
      </c>
      <c r="H4534" t="s">
        <v>1050</v>
      </c>
    </row>
    <row r="4535" spans="1:8" hidden="1">
      <c r="A4535" s="232">
        <v>45432</v>
      </c>
      <c r="C4535" t="s">
        <v>4965</v>
      </c>
      <c r="D4535" s="1">
        <v>0</v>
      </c>
      <c r="E4535" s="1">
        <v>10000</v>
      </c>
      <c r="H4535" t="s">
        <v>1050</v>
      </c>
    </row>
    <row r="4536" spans="1:8" hidden="1">
      <c r="A4536" s="232">
        <v>45432</v>
      </c>
      <c r="C4536" t="s">
        <v>4966</v>
      </c>
      <c r="D4536" s="1">
        <v>0</v>
      </c>
      <c r="E4536" s="1">
        <v>623</v>
      </c>
      <c r="H4536" t="s">
        <v>1050</v>
      </c>
    </row>
    <row r="4537" spans="1:8" hidden="1">
      <c r="A4537" s="232">
        <v>45433</v>
      </c>
      <c r="C4537" t="s">
        <v>14088</v>
      </c>
      <c r="D4537" s="1">
        <v>33333</v>
      </c>
      <c r="E4537" s="1">
        <v>0</v>
      </c>
      <c r="G4537" s="8" t="s">
        <v>1381</v>
      </c>
      <c r="H4537" t="s">
        <v>1050</v>
      </c>
    </row>
    <row r="4538" spans="1:8" hidden="1">
      <c r="A4538" s="232">
        <v>45433</v>
      </c>
      <c r="C4538" t="s">
        <v>4965</v>
      </c>
      <c r="D4538" s="1">
        <v>0</v>
      </c>
      <c r="E4538" s="1">
        <v>35000</v>
      </c>
      <c r="H4538" t="s">
        <v>1050</v>
      </c>
    </row>
    <row r="4539" spans="1:8" hidden="1">
      <c r="A4539" s="232">
        <v>45433</v>
      </c>
      <c r="C4539" t="s">
        <v>4966</v>
      </c>
      <c r="D4539" s="1">
        <v>0</v>
      </c>
      <c r="E4539" s="1">
        <v>2185</v>
      </c>
      <c r="H4539" t="s">
        <v>1050</v>
      </c>
    </row>
    <row r="4540" spans="1:8" hidden="1">
      <c r="A4540" s="232">
        <v>45434</v>
      </c>
      <c r="C4540" t="s">
        <v>14089</v>
      </c>
      <c r="D4540" s="1">
        <v>3744</v>
      </c>
      <c r="E4540" s="1">
        <v>0</v>
      </c>
      <c r="G4540" s="8" t="s">
        <v>1370</v>
      </c>
      <c r="H4540" t="s">
        <v>1050</v>
      </c>
    </row>
    <row r="4541" spans="1:8" hidden="1">
      <c r="A4541" s="232">
        <v>45434</v>
      </c>
      <c r="C4541" t="s">
        <v>14090</v>
      </c>
      <c r="D4541" s="1">
        <v>3381</v>
      </c>
      <c r="E4541" s="1">
        <v>0</v>
      </c>
      <c r="G4541" s="8" t="s">
        <v>1370</v>
      </c>
      <c r="H4541" t="s">
        <v>1050</v>
      </c>
    </row>
    <row r="4542" spans="1:8" hidden="1">
      <c r="A4542" s="232">
        <v>45434</v>
      </c>
      <c r="C4542" t="s">
        <v>14091</v>
      </c>
      <c r="D4542" s="1">
        <v>4411</v>
      </c>
      <c r="E4542" s="1">
        <v>0</v>
      </c>
      <c r="G4542" s="8" t="s">
        <v>1370</v>
      </c>
      <c r="H4542" t="s">
        <v>1050</v>
      </c>
    </row>
    <row r="4543" spans="1:8" hidden="1">
      <c r="A4543" s="232">
        <v>45434</v>
      </c>
      <c r="C4543" t="s">
        <v>14092</v>
      </c>
      <c r="D4543" s="1">
        <v>3203</v>
      </c>
      <c r="E4543" s="1">
        <v>0</v>
      </c>
      <c r="G4543" s="8" t="s">
        <v>1370</v>
      </c>
      <c r="H4543" t="s">
        <v>1050</v>
      </c>
    </row>
    <row r="4544" spans="1:8" hidden="1">
      <c r="A4544" s="232">
        <v>45434</v>
      </c>
      <c r="C4544" t="s">
        <v>14093</v>
      </c>
      <c r="D4544" s="1">
        <v>8270</v>
      </c>
      <c r="E4544" s="1">
        <v>0</v>
      </c>
      <c r="G4544" s="8" t="s">
        <v>1370</v>
      </c>
      <c r="H4544" t="s">
        <v>1050</v>
      </c>
    </row>
    <row r="4545" spans="1:8" hidden="1">
      <c r="A4545" s="232">
        <v>45434</v>
      </c>
      <c r="C4545" t="s">
        <v>14094</v>
      </c>
      <c r="D4545" s="1">
        <v>32574</v>
      </c>
      <c r="E4545" s="1">
        <v>0</v>
      </c>
      <c r="G4545" s="8" t="s">
        <v>1370</v>
      </c>
      <c r="H4545" t="s">
        <v>1050</v>
      </c>
    </row>
    <row r="4546" spans="1:8" hidden="1">
      <c r="A4546" s="232">
        <v>45434</v>
      </c>
      <c r="C4546" t="s">
        <v>14095</v>
      </c>
      <c r="D4546" s="1">
        <v>3276</v>
      </c>
      <c r="E4546" s="1">
        <v>0</v>
      </c>
      <c r="G4546" s="8" t="s">
        <v>1370</v>
      </c>
      <c r="H4546" t="s">
        <v>1050</v>
      </c>
    </row>
    <row r="4547" spans="1:8" hidden="1">
      <c r="A4547" s="232">
        <v>45434</v>
      </c>
      <c r="C4547" t="s">
        <v>14096</v>
      </c>
      <c r="D4547" s="1">
        <v>20569</v>
      </c>
      <c r="E4547" s="1">
        <v>0</v>
      </c>
      <c r="G4547" s="8" t="s">
        <v>1370</v>
      </c>
      <c r="H4547" t="s">
        <v>1050</v>
      </c>
    </row>
    <row r="4548" spans="1:8" hidden="1">
      <c r="A4548" s="232">
        <v>45434</v>
      </c>
      <c r="C4548" t="s">
        <v>14097</v>
      </c>
      <c r="D4548" s="1">
        <v>24575</v>
      </c>
      <c r="E4548" s="1">
        <v>0</v>
      </c>
      <c r="G4548" s="8" t="s">
        <v>1370</v>
      </c>
      <c r="H4548" t="s">
        <v>1050</v>
      </c>
    </row>
    <row r="4549" spans="1:8" hidden="1">
      <c r="A4549" s="232">
        <v>45434</v>
      </c>
      <c r="C4549" t="s">
        <v>14098</v>
      </c>
      <c r="D4549" s="1">
        <v>3127</v>
      </c>
      <c r="E4549" s="1">
        <v>0</v>
      </c>
      <c r="G4549" s="8" t="s">
        <v>1370</v>
      </c>
      <c r="H4549" t="s">
        <v>1050</v>
      </c>
    </row>
    <row r="4550" spans="1:8" hidden="1">
      <c r="A4550" s="232">
        <v>45434</v>
      </c>
      <c r="C4550" t="s">
        <v>14099</v>
      </c>
      <c r="D4550" s="1">
        <v>2934</v>
      </c>
      <c r="E4550" s="1">
        <v>0</v>
      </c>
      <c r="G4550" s="8" t="s">
        <v>1370</v>
      </c>
      <c r="H4550" t="s">
        <v>1050</v>
      </c>
    </row>
    <row r="4551" spans="1:8" hidden="1">
      <c r="A4551" s="232">
        <v>45434</v>
      </c>
      <c r="C4551" t="s">
        <v>14100</v>
      </c>
      <c r="D4551" s="1">
        <v>6785</v>
      </c>
      <c r="E4551" s="1">
        <v>0</v>
      </c>
      <c r="G4551" s="8" t="s">
        <v>1370</v>
      </c>
      <c r="H4551" t="s">
        <v>1050</v>
      </c>
    </row>
    <row r="4552" spans="1:8" hidden="1">
      <c r="A4552" s="232">
        <v>45434</v>
      </c>
      <c r="C4552" t="s">
        <v>14101</v>
      </c>
      <c r="D4552" s="1">
        <v>28746</v>
      </c>
      <c r="E4552" s="1">
        <v>0</v>
      </c>
      <c r="G4552" s="8" t="s">
        <v>1370</v>
      </c>
      <c r="H4552" t="s">
        <v>1050</v>
      </c>
    </row>
    <row r="4553" spans="1:8" hidden="1">
      <c r="A4553" s="232">
        <v>45434</v>
      </c>
      <c r="C4553" t="s">
        <v>14102</v>
      </c>
      <c r="D4553" s="1">
        <v>4851</v>
      </c>
      <c r="E4553" s="1">
        <v>0</v>
      </c>
      <c r="G4553" s="8" t="s">
        <v>1370</v>
      </c>
      <c r="H4553" t="s">
        <v>1050</v>
      </c>
    </row>
    <row r="4554" spans="1:8" hidden="1">
      <c r="A4554" s="232">
        <v>45434</v>
      </c>
      <c r="C4554" t="s">
        <v>14103</v>
      </c>
      <c r="D4554" s="1">
        <v>11521</v>
      </c>
      <c r="E4554" s="1">
        <v>0</v>
      </c>
      <c r="G4554" s="8" t="s">
        <v>1370</v>
      </c>
      <c r="H4554" t="s">
        <v>1050</v>
      </c>
    </row>
    <row r="4555" spans="1:8" hidden="1">
      <c r="A4555" s="232">
        <v>45434</v>
      </c>
      <c r="C4555" t="s">
        <v>14104</v>
      </c>
      <c r="D4555" s="1">
        <v>14134</v>
      </c>
      <c r="E4555" s="1">
        <v>0</v>
      </c>
      <c r="G4555" s="8" t="s">
        <v>1370</v>
      </c>
      <c r="H4555" t="s">
        <v>1050</v>
      </c>
    </row>
    <row r="4556" spans="1:8" hidden="1">
      <c r="A4556" s="232">
        <v>45434</v>
      </c>
      <c r="C4556" t="s">
        <v>14105</v>
      </c>
      <c r="D4556" s="1">
        <v>6208</v>
      </c>
      <c r="E4556" s="1">
        <v>0</v>
      </c>
      <c r="G4556" s="8" t="s">
        <v>1370</v>
      </c>
      <c r="H4556" t="s">
        <v>1050</v>
      </c>
    </row>
    <row r="4557" spans="1:8" hidden="1">
      <c r="A4557" s="232">
        <v>45434</v>
      </c>
      <c r="C4557" t="s">
        <v>14106</v>
      </c>
      <c r="D4557" s="1">
        <v>17962</v>
      </c>
      <c r="E4557" s="1">
        <v>0</v>
      </c>
      <c r="G4557" s="8" t="s">
        <v>1370</v>
      </c>
      <c r="H4557" t="s">
        <v>1050</v>
      </c>
    </row>
    <row r="4558" spans="1:8" hidden="1">
      <c r="A4558" s="232">
        <v>45434</v>
      </c>
      <c r="C4558" t="s">
        <v>14107</v>
      </c>
      <c r="D4558" s="1">
        <v>7418</v>
      </c>
      <c r="E4558" s="1">
        <v>0</v>
      </c>
      <c r="G4558" s="8" t="s">
        <v>1370</v>
      </c>
      <c r="H4558" t="s">
        <v>1050</v>
      </c>
    </row>
    <row r="4559" spans="1:8" hidden="1">
      <c r="A4559" s="232">
        <v>45434</v>
      </c>
      <c r="C4559" t="s">
        <v>14108</v>
      </c>
      <c r="D4559" s="1">
        <v>9202</v>
      </c>
      <c r="E4559" s="1">
        <v>0</v>
      </c>
      <c r="G4559" s="8" t="s">
        <v>1370</v>
      </c>
      <c r="H4559" t="s">
        <v>1050</v>
      </c>
    </row>
    <row r="4560" spans="1:8" hidden="1">
      <c r="A4560" s="232">
        <v>45434</v>
      </c>
      <c r="C4560" t="s">
        <v>14109</v>
      </c>
      <c r="D4560" s="1">
        <v>10206</v>
      </c>
      <c r="E4560" s="1">
        <v>0</v>
      </c>
      <c r="G4560" s="8" t="s">
        <v>1370</v>
      </c>
      <c r="H4560" t="s">
        <v>1050</v>
      </c>
    </row>
    <row r="4561" spans="1:8" hidden="1">
      <c r="A4561" s="232">
        <v>45434</v>
      </c>
      <c r="C4561" t="s">
        <v>14110</v>
      </c>
      <c r="D4561" s="1">
        <v>12641</v>
      </c>
      <c r="E4561" s="1">
        <v>0</v>
      </c>
      <c r="G4561" s="8" t="s">
        <v>1370</v>
      </c>
      <c r="H4561" t="s">
        <v>1050</v>
      </c>
    </row>
    <row r="4562" spans="1:8" hidden="1">
      <c r="A4562" s="232">
        <v>45434</v>
      </c>
      <c r="C4562" t="s">
        <v>14111</v>
      </c>
      <c r="D4562" s="1">
        <v>5320</v>
      </c>
      <c r="E4562" s="1">
        <v>0</v>
      </c>
      <c r="G4562" s="8" t="s">
        <v>1370</v>
      </c>
      <c r="H4562" t="s">
        <v>1050</v>
      </c>
    </row>
    <row r="4563" spans="1:8" hidden="1">
      <c r="A4563" s="232">
        <v>45434</v>
      </c>
      <c r="C4563" t="s">
        <v>14112</v>
      </c>
      <c r="D4563" s="1">
        <v>3997</v>
      </c>
      <c r="E4563" s="1">
        <v>0</v>
      </c>
      <c r="G4563" s="8" t="s">
        <v>1370</v>
      </c>
      <c r="H4563" t="s">
        <v>1050</v>
      </c>
    </row>
    <row r="4564" spans="1:8" hidden="1">
      <c r="A4564" s="232">
        <v>45434</v>
      </c>
      <c r="C4564" t="s">
        <v>14113</v>
      </c>
      <c r="D4564" s="1">
        <v>5674</v>
      </c>
      <c r="E4564" s="1">
        <v>0</v>
      </c>
      <c r="G4564" s="8" t="s">
        <v>1370</v>
      </c>
      <c r="H4564" t="s">
        <v>1050</v>
      </c>
    </row>
    <row r="4565" spans="1:8" hidden="1">
      <c r="A4565" s="232">
        <v>45434</v>
      </c>
      <c r="C4565" t="s">
        <v>14114</v>
      </c>
      <c r="D4565" s="1">
        <v>15841</v>
      </c>
      <c r="E4565" s="1">
        <v>0</v>
      </c>
      <c r="G4565" s="8" t="s">
        <v>1370</v>
      </c>
      <c r="H4565" t="s">
        <v>1050</v>
      </c>
    </row>
    <row r="4566" spans="1:8" hidden="1">
      <c r="A4566" s="232">
        <v>45434</v>
      </c>
      <c r="C4566" t="s">
        <v>4965</v>
      </c>
      <c r="D4566" s="1">
        <v>0</v>
      </c>
      <c r="E4566" s="1">
        <v>265000</v>
      </c>
      <c r="H4566" t="s">
        <v>1050</v>
      </c>
    </row>
    <row r="4567" spans="1:8" hidden="1">
      <c r="A4567" s="232">
        <v>45434</v>
      </c>
      <c r="C4567" t="s">
        <v>4966</v>
      </c>
      <c r="D4567" s="1">
        <v>0</v>
      </c>
      <c r="E4567" s="1">
        <v>16584</v>
      </c>
      <c r="H4567" t="s">
        <v>1050</v>
      </c>
    </row>
    <row r="4568" spans="1:8" hidden="1">
      <c r="A4568" s="232">
        <v>45436</v>
      </c>
      <c r="C4568" t="s">
        <v>14115</v>
      </c>
      <c r="D4568" s="1">
        <v>0</v>
      </c>
      <c r="E4568" s="1">
        <v>342455</v>
      </c>
      <c r="G4568" s="8" t="s">
        <v>1380</v>
      </c>
      <c r="H4568" t="s">
        <v>1050</v>
      </c>
    </row>
    <row r="4569" spans="1:8" hidden="1">
      <c r="A4569" s="232">
        <v>45436</v>
      </c>
      <c r="C4569" t="s">
        <v>14116</v>
      </c>
      <c r="D4569" s="1">
        <v>760</v>
      </c>
      <c r="E4569" s="1">
        <v>0</v>
      </c>
      <c r="H4569" t="s">
        <v>1050</v>
      </c>
    </row>
    <row r="4570" spans="1:8" hidden="1">
      <c r="A4570" s="232">
        <v>45437</v>
      </c>
      <c r="C4570" t="s">
        <v>14117</v>
      </c>
      <c r="D4570" s="1">
        <v>1189</v>
      </c>
      <c r="E4570" s="1">
        <v>0</v>
      </c>
      <c r="H4570" t="s">
        <v>1050</v>
      </c>
    </row>
    <row r="4571" spans="1:8" hidden="1">
      <c r="A4571" s="232">
        <v>45439</v>
      </c>
      <c r="C4571" t="s">
        <v>14118</v>
      </c>
      <c r="D4571" s="1">
        <v>11250</v>
      </c>
      <c r="E4571" s="1">
        <v>0</v>
      </c>
      <c r="G4571" s="8" t="s">
        <v>1372</v>
      </c>
      <c r="H4571" t="s">
        <v>1050</v>
      </c>
    </row>
    <row r="4572" spans="1:8" hidden="1">
      <c r="A4572" s="232">
        <v>45439</v>
      </c>
      <c r="C4572" t="s">
        <v>14119</v>
      </c>
      <c r="D4572" s="1">
        <v>10</v>
      </c>
      <c r="E4572" s="1">
        <v>0</v>
      </c>
      <c r="H4572" t="s">
        <v>1050</v>
      </c>
    </row>
    <row r="4573" spans="1:8" hidden="1">
      <c r="A4573" s="232">
        <v>45440</v>
      </c>
      <c r="C4573" t="s">
        <v>14120</v>
      </c>
      <c r="D4573" s="1">
        <v>3</v>
      </c>
      <c r="E4573" s="1">
        <v>0</v>
      </c>
      <c r="H4573" t="s">
        <v>1050</v>
      </c>
    </row>
    <row r="4574" spans="1:8" hidden="1">
      <c r="A4574" s="232">
        <v>45440</v>
      </c>
      <c r="C4574" t="s">
        <v>14121</v>
      </c>
      <c r="D4574" s="1">
        <v>25000</v>
      </c>
      <c r="E4574" s="1">
        <v>0</v>
      </c>
      <c r="G4574" s="8" t="s">
        <v>1381</v>
      </c>
      <c r="H4574" t="s">
        <v>1050</v>
      </c>
    </row>
    <row r="4575" spans="1:8" hidden="1">
      <c r="A4575" s="232">
        <v>45440</v>
      </c>
      <c r="C4575" t="s">
        <v>14122</v>
      </c>
      <c r="D4575" s="1">
        <v>8481.84</v>
      </c>
      <c r="E4575" s="1">
        <v>0</v>
      </c>
      <c r="H4575" t="s">
        <v>1050</v>
      </c>
    </row>
    <row r="4576" spans="1:8" hidden="1">
      <c r="A4576" s="232">
        <v>45440</v>
      </c>
      <c r="C4576" t="s">
        <v>14123</v>
      </c>
      <c r="D4576" s="1">
        <v>35</v>
      </c>
      <c r="E4576" s="1">
        <v>0</v>
      </c>
      <c r="H4576" t="s">
        <v>1050</v>
      </c>
    </row>
    <row r="4577" spans="1:8" hidden="1">
      <c r="A4577" s="232">
        <v>45441</v>
      </c>
      <c r="C4577" t="s">
        <v>14124</v>
      </c>
      <c r="D4577" s="1">
        <v>10</v>
      </c>
      <c r="E4577" s="1">
        <v>0</v>
      </c>
      <c r="H4577" t="s">
        <v>1050</v>
      </c>
    </row>
    <row r="4578" spans="1:8" hidden="1">
      <c r="A4578" s="232">
        <v>45442</v>
      </c>
      <c r="C4578" t="s">
        <v>14125</v>
      </c>
      <c r="D4578" s="1">
        <v>4500</v>
      </c>
      <c r="E4578" s="1">
        <v>0</v>
      </c>
      <c r="H4578" t="s">
        <v>1050</v>
      </c>
    </row>
    <row r="4579" spans="1:8" hidden="1">
      <c r="A4579" s="232">
        <v>45442</v>
      </c>
      <c r="C4579" t="s">
        <v>14126</v>
      </c>
      <c r="D4579" s="1">
        <v>295</v>
      </c>
      <c r="E4579" s="1">
        <v>0</v>
      </c>
      <c r="H4579" t="s">
        <v>1050</v>
      </c>
    </row>
    <row r="4580" spans="1:8" hidden="1">
      <c r="A4580" s="232">
        <v>45442</v>
      </c>
      <c r="C4580" t="s">
        <v>14127</v>
      </c>
      <c r="D4580" s="1">
        <v>40</v>
      </c>
      <c r="E4580" s="1">
        <v>0</v>
      </c>
      <c r="H4580" t="s">
        <v>1050</v>
      </c>
    </row>
    <row r="4581" spans="1:8" hidden="1">
      <c r="A4581" s="232">
        <v>45443</v>
      </c>
      <c r="C4581" t="s">
        <v>14128</v>
      </c>
      <c r="D4581" s="1">
        <v>4500</v>
      </c>
      <c r="E4581" s="1">
        <v>0</v>
      </c>
      <c r="H4581" t="s">
        <v>1050</v>
      </c>
    </row>
    <row r="4582" spans="1:8" hidden="1">
      <c r="A4582" s="232">
        <v>45443</v>
      </c>
      <c r="C4582" t="s">
        <v>14129</v>
      </c>
      <c r="D4582" s="1">
        <v>207</v>
      </c>
      <c r="E4582" s="1">
        <v>0</v>
      </c>
      <c r="H4582" t="s">
        <v>1050</v>
      </c>
    </row>
    <row r="4583" spans="1:8" hidden="1">
      <c r="A4583" s="232">
        <v>45415</v>
      </c>
      <c r="C4583" t="s">
        <v>14130</v>
      </c>
      <c r="D4583" s="1">
        <v>25000</v>
      </c>
      <c r="G4583" s="8" t="s">
        <v>13955</v>
      </c>
      <c r="H4583" t="s">
        <v>1336</v>
      </c>
    </row>
    <row r="4584" spans="1:8" hidden="1">
      <c r="A4584" s="232">
        <v>45417</v>
      </c>
      <c r="C4584" t="s">
        <v>4319</v>
      </c>
      <c r="D4584" s="1">
        <v>127589</v>
      </c>
      <c r="G4584" s="8" t="s">
        <v>1362</v>
      </c>
      <c r="H4584" t="s">
        <v>1336</v>
      </c>
    </row>
    <row r="4585" spans="1:8" hidden="1">
      <c r="A4585" s="232">
        <v>45418</v>
      </c>
      <c r="C4585" t="s">
        <v>14131</v>
      </c>
      <c r="E4585" s="1">
        <v>75000</v>
      </c>
      <c r="G4585" s="8" t="s">
        <v>1363</v>
      </c>
      <c r="H4585" t="s">
        <v>1336</v>
      </c>
    </row>
    <row r="4586" spans="1:8" hidden="1">
      <c r="A4586" s="232">
        <v>45444</v>
      </c>
      <c r="C4586" t="s">
        <v>14256</v>
      </c>
      <c r="D4586" s="1">
        <v>250</v>
      </c>
      <c r="E4586" s="1">
        <v>0</v>
      </c>
      <c r="G4586" s="8" t="s">
        <v>1363</v>
      </c>
      <c r="H4586" t="s">
        <v>1050</v>
      </c>
    </row>
    <row r="4587" spans="1:8" hidden="1">
      <c r="A4587" s="232">
        <v>45444</v>
      </c>
      <c r="C4587" t="s">
        <v>14257</v>
      </c>
      <c r="D4587" s="1">
        <v>250</v>
      </c>
      <c r="E4587" s="1">
        <v>0</v>
      </c>
      <c r="G4587" s="8" t="s">
        <v>1363</v>
      </c>
      <c r="H4587" t="s">
        <v>1050</v>
      </c>
    </row>
    <row r="4588" spans="1:8">
      <c r="A4588" s="232">
        <v>45444</v>
      </c>
      <c r="C4588" t="s">
        <v>14258</v>
      </c>
      <c r="D4588" s="1">
        <v>1068</v>
      </c>
      <c r="E4588" s="1">
        <v>0</v>
      </c>
      <c r="H4588" t="s">
        <v>1050</v>
      </c>
    </row>
    <row r="4589" spans="1:8">
      <c r="A4589" s="232">
        <v>45444</v>
      </c>
      <c r="C4589" t="s">
        <v>14259</v>
      </c>
      <c r="D4589" s="1">
        <v>120</v>
      </c>
      <c r="E4589" s="1">
        <v>0</v>
      </c>
      <c r="H4589" t="s">
        <v>1050</v>
      </c>
    </row>
    <row r="4590" spans="1:8">
      <c r="A4590" s="232">
        <v>45445</v>
      </c>
      <c r="C4590" t="s">
        <v>14260</v>
      </c>
      <c r="D4590" s="1">
        <v>2000</v>
      </c>
      <c r="E4590" s="1">
        <v>0</v>
      </c>
      <c r="H4590" t="s">
        <v>1050</v>
      </c>
    </row>
    <row r="4591" spans="1:8">
      <c r="A4591" s="232">
        <v>45445</v>
      </c>
      <c r="C4591" t="s">
        <v>14261</v>
      </c>
      <c r="D4591" s="1">
        <v>50</v>
      </c>
      <c r="E4591" s="1">
        <v>0</v>
      </c>
      <c r="H4591" t="s">
        <v>1050</v>
      </c>
    </row>
    <row r="4592" spans="1:8">
      <c r="A4592" s="232">
        <v>45445</v>
      </c>
      <c r="C4592" t="s">
        <v>14262</v>
      </c>
      <c r="D4592" s="1">
        <v>50</v>
      </c>
      <c r="E4592" s="1">
        <v>0</v>
      </c>
      <c r="H4592" t="s">
        <v>1050</v>
      </c>
    </row>
    <row r="4593" spans="1:8" hidden="1">
      <c r="A4593" s="232">
        <v>45446</v>
      </c>
      <c r="C4593" t="s">
        <v>14263</v>
      </c>
      <c r="D4593" s="1">
        <v>11250</v>
      </c>
      <c r="E4593" s="1">
        <v>0</v>
      </c>
      <c r="G4593" s="8" t="s">
        <v>1372</v>
      </c>
      <c r="H4593" t="s">
        <v>1050</v>
      </c>
    </row>
    <row r="4594" spans="1:8">
      <c r="A4594" s="232">
        <v>45446</v>
      </c>
      <c r="C4594" t="s">
        <v>14264</v>
      </c>
      <c r="D4594" s="1">
        <v>10842</v>
      </c>
      <c r="E4594" s="1">
        <v>0</v>
      </c>
      <c r="H4594" t="s">
        <v>1050</v>
      </c>
    </row>
    <row r="4595" spans="1:8">
      <c r="A4595" s="232">
        <v>45446</v>
      </c>
      <c r="C4595" t="s">
        <v>14265</v>
      </c>
      <c r="D4595" s="1">
        <v>10</v>
      </c>
      <c r="E4595" s="1">
        <v>0</v>
      </c>
      <c r="H4595" t="s">
        <v>1050</v>
      </c>
    </row>
    <row r="4596" spans="1:8">
      <c r="A4596" s="232">
        <v>45447</v>
      </c>
      <c r="C4596" t="s">
        <v>14266</v>
      </c>
      <c r="D4596" s="1">
        <v>10</v>
      </c>
      <c r="E4596" s="1">
        <v>0</v>
      </c>
      <c r="H4596" t="s">
        <v>1050</v>
      </c>
    </row>
    <row r="4597" spans="1:8">
      <c r="A4597" s="232">
        <v>45448</v>
      </c>
      <c r="C4597" t="s">
        <v>14267</v>
      </c>
      <c r="D4597" s="1">
        <v>4500</v>
      </c>
      <c r="E4597" s="1">
        <v>0</v>
      </c>
      <c r="H4597" t="s">
        <v>1050</v>
      </c>
    </row>
    <row r="4598" spans="1:8" hidden="1">
      <c r="A4598" s="232">
        <v>45449</v>
      </c>
      <c r="C4598" t="s">
        <v>14268</v>
      </c>
      <c r="D4598" s="1">
        <v>75000</v>
      </c>
      <c r="E4598" s="1">
        <v>0</v>
      </c>
      <c r="G4598" s="8" t="s">
        <v>1363</v>
      </c>
      <c r="H4598" t="s">
        <v>1050</v>
      </c>
    </row>
    <row r="4599" spans="1:8">
      <c r="A4599" s="232">
        <v>45449</v>
      </c>
      <c r="C4599" t="s">
        <v>14269</v>
      </c>
      <c r="D4599" s="1">
        <v>10</v>
      </c>
      <c r="E4599" s="1">
        <v>0</v>
      </c>
      <c r="H4599" t="s">
        <v>1050</v>
      </c>
    </row>
    <row r="4600" spans="1:8">
      <c r="A4600" s="232">
        <v>45449</v>
      </c>
      <c r="C4600" t="s">
        <v>14270</v>
      </c>
      <c r="D4600" s="1">
        <v>72</v>
      </c>
      <c r="E4600" s="1">
        <v>0</v>
      </c>
      <c r="H4600" t="s">
        <v>1050</v>
      </c>
    </row>
    <row r="4601" spans="1:8" hidden="1">
      <c r="A4601" s="232">
        <v>45450</v>
      </c>
      <c r="C4601" t="s">
        <v>14271</v>
      </c>
      <c r="D4601" s="1">
        <v>101813</v>
      </c>
      <c r="E4601" s="1">
        <v>0</v>
      </c>
      <c r="G4601" s="8" t="s">
        <v>1370</v>
      </c>
      <c r="H4601" t="s">
        <v>1050</v>
      </c>
    </row>
    <row r="4602" spans="1:8">
      <c r="A4602" s="232">
        <v>45450</v>
      </c>
      <c r="C4602" t="s">
        <v>14272</v>
      </c>
      <c r="D4602" s="1">
        <v>4500</v>
      </c>
      <c r="E4602" s="1">
        <v>0</v>
      </c>
      <c r="H4602" t="s">
        <v>1050</v>
      </c>
    </row>
    <row r="4603" spans="1:8" hidden="1">
      <c r="A4603" s="232">
        <v>45453</v>
      </c>
      <c r="C4603" t="s">
        <v>14273</v>
      </c>
      <c r="D4603" s="1">
        <v>11250</v>
      </c>
      <c r="E4603" s="1">
        <v>0</v>
      </c>
      <c r="G4603" s="8" t="s">
        <v>1372</v>
      </c>
      <c r="H4603" t="s">
        <v>1050</v>
      </c>
    </row>
    <row r="4604" spans="1:8">
      <c r="A4604" s="232">
        <v>45453</v>
      </c>
      <c r="C4604" t="s">
        <v>4132</v>
      </c>
      <c r="D4604" s="1">
        <v>178849.32</v>
      </c>
      <c r="E4604" s="1">
        <v>0</v>
      </c>
      <c r="G4604" s="8" t="s">
        <v>1362</v>
      </c>
      <c r="H4604" t="s">
        <v>1050</v>
      </c>
    </row>
    <row r="4605" spans="1:8">
      <c r="A4605" s="232">
        <v>45453</v>
      </c>
      <c r="C4605" t="s">
        <v>4135</v>
      </c>
      <c r="D4605" s="1">
        <v>0</v>
      </c>
      <c r="E4605" s="1">
        <v>100000</v>
      </c>
      <c r="H4605" t="s">
        <v>1050</v>
      </c>
    </row>
    <row r="4606" spans="1:8">
      <c r="A4606" s="232">
        <v>45453</v>
      </c>
      <c r="C4606" t="s">
        <v>4136</v>
      </c>
      <c r="D4606" s="1">
        <v>0</v>
      </c>
      <c r="E4606" s="1">
        <v>7086</v>
      </c>
      <c r="H4606" t="s">
        <v>1050</v>
      </c>
    </row>
    <row r="4607" spans="1:8">
      <c r="A4607" s="232">
        <v>45453</v>
      </c>
      <c r="C4607" t="s">
        <v>14274</v>
      </c>
      <c r="D4607" s="1">
        <v>10</v>
      </c>
      <c r="E4607" s="1">
        <v>0</v>
      </c>
      <c r="H4607" t="s">
        <v>1050</v>
      </c>
    </row>
    <row r="4608" spans="1:8">
      <c r="A4608" s="232">
        <v>45454</v>
      </c>
      <c r="C4608" t="s">
        <v>14275</v>
      </c>
      <c r="D4608" s="1">
        <v>0</v>
      </c>
      <c r="E4608" s="1">
        <v>2667.47</v>
      </c>
      <c r="H4608" t="s">
        <v>1050</v>
      </c>
    </row>
    <row r="4609" spans="1:8">
      <c r="A4609" s="232">
        <v>45455</v>
      </c>
      <c r="C4609" t="s">
        <v>14276</v>
      </c>
      <c r="D4609" s="1">
        <v>4500</v>
      </c>
      <c r="E4609" s="1">
        <v>0</v>
      </c>
      <c r="H4609" t="s">
        <v>1050</v>
      </c>
    </row>
    <row r="4610" spans="1:8">
      <c r="A4610" s="232">
        <v>45455</v>
      </c>
      <c r="C4610" t="s">
        <v>14277</v>
      </c>
      <c r="D4610" s="1">
        <v>10</v>
      </c>
      <c r="E4610" s="1">
        <v>0</v>
      </c>
      <c r="H4610" t="s">
        <v>1050</v>
      </c>
    </row>
    <row r="4611" spans="1:8">
      <c r="A4611" s="232">
        <v>45456</v>
      </c>
      <c r="C4611" t="s">
        <v>14278</v>
      </c>
      <c r="D4611" s="1">
        <v>279</v>
      </c>
      <c r="E4611" s="1">
        <v>0</v>
      </c>
      <c r="H4611" t="s">
        <v>1050</v>
      </c>
    </row>
    <row r="4612" spans="1:8">
      <c r="A4612" s="232">
        <v>45457</v>
      </c>
      <c r="C4612" t="s">
        <v>14279</v>
      </c>
      <c r="D4612" s="1">
        <v>4245.6400000000003</v>
      </c>
      <c r="E4612" s="1">
        <v>0</v>
      </c>
      <c r="H4612" t="s">
        <v>1050</v>
      </c>
    </row>
    <row r="4613" spans="1:8">
      <c r="A4613" s="232">
        <v>45458</v>
      </c>
      <c r="C4613" t="s">
        <v>14280</v>
      </c>
      <c r="D4613" s="1">
        <v>50</v>
      </c>
      <c r="E4613" s="1">
        <v>0</v>
      </c>
      <c r="H4613" t="s">
        <v>1050</v>
      </c>
    </row>
    <row r="4614" spans="1:8">
      <c r="A4614" s="232">
        <v>45458</v>
      </c>
      <c r="C4614" t="s">
        <v>14281</v>
      </c>
      <c r="D4614" s="1">
        <v>250</v>
      </c>
      <c r="E4614" s="1">
        <v>0</v>
      </c>
      <c r="H4614" t="s">
        <v>1050</v>
      </c>
    </row>
    <row r="4615" spans="1:8">
      <c r="A4615" s="232">
        <v>45458</v>
      </c>
      <c r="C4615" t="s">
        <v>14282</v>
      </c>
      <c r="D4615" s="1">
        <v>95</v>
      </c>
      <c r="E4615" s="1">
        <v>0</v>
      </c>
      <c r="H4615" t="s">
        <v>1050</v>
      </c>
    </row>
    <row r="4616" spans="1:8">
      <c r="A4616" s="232">
        <v>45459</v>
      </c>
      <c r="C4616" t="s">
        <v>14283</v>
      </c>
      <c r="D4616" s="1">
        <v>200</v>
      </c>
      <c r="E4616" s="1">
        <v>0</v>
      </c>
      <c r="H4616" t="s">
        <v>1050</v>
      </c>
    </row>
    <row r="4617" spans="1:8">
      <c r="A4617" s="232">
        <v>45459</v>
      </c>
      <c r="C4617" t="s">
        <v>14284</v>
      </c>
      <c r="D4617" s="1">
        <v>35</v>
      </c>
      <c r="E4617" s="1">
        <v>0</v>
      </c>
      <c r="H4617" t="s">
        <v>1050</v>
      </c>
    </row>
    <row r="4618" spans="1:8" hidden="1">
      <c r="A4618" s="232">
        <v>45460</v>
      </c>
      <c r="C4618" t="s">
        <v>14285</v>
      </c>
      <c r="D4618" s="1">
        <v>11250</v>
      </c>
      <c r="E4618" s="1">
        <v>0</v>
      </c>
      <c r="G4618" s="8" t="s">
        <v>1372</v>
      </c>
      <c r="H4618" t="s">
        <v>1050</v>
      </c>
    </row>
    <row r="4619" spans="1:8">
      <c r="A4619" s="232">
        <v>45460</v>
      </c>
      <c r="C4619" t="s">
        <v>4135</v>
      </c>
      <c r="D4619" s="1">
        <v>0</v>
      </c>
      <c r="E4619" s="1">
        <v>10000</v>
      </c>
      <c r="H4619" t="s">
        <v>1050</v>
      </c>
    </row>
    <row r="4620" spans="1:8">
      <c r="A4620" s="232">
        <v>45460</v>
      </c>
      <c r="C4620" t="s">
        <v>4136</v>
      </c>
      <c r="D4620" s="1">
        <v>0</v>
      </c>
      <c r="E4620" s="1">
        <v>721</v>
      </c>
      <c r="H4620" t="s">
        <v>1050</v>
      </c>
    </row>
    <row r="4621" spans="1:8">
      <c r="A4621" s="232">
        <v>45462</v>
      </c>
      <c r="C4621" t="s">
        <v>14286</v>
      </c>
      <c r="D4621" s="1">
        <v>4500</v>
      </c>
      <c r="E4621" s="1">
        <v>0</v>
      </c>
      <c r="H4621" t="s">
        <v>1050</v>
      </c>
    </row>
    <row r="4622" spans="1:8">
      <c r="A4622" s="232">
        <v>45462</v>
      </c>
      <c r="C4622" t="s">
        <v>14287</v>
      </c>
      <c r="D4622" s="1">
        <v>10</v>
      </c>
      <c r="E4622" s="1">
        <v>0</v>
      </c>
      <c r="H4622" t="s">
        <v>1050</v>
      </c>
    </row>
    <row r="4623" spans="1:8">
      <c r="A4623" s="232">
        <v>45462</v>
      </c>
      <c r="C4623" t="s">
        <v>14288</v>
      </c>
      <c r="D4623" s="1">
        <v>99</v>
      </c>
      <c r="E4623" s="1">
        <v>0</v>
      </c>
      <c r="H4623" t="s">
        <v>1050</v>
      </c>
    </row>
    <row r="4624" spans="1:8">
      <c r="A4624" s="232">
        <v>45462</v>
      </c>
      <c r="C4624" t="s">
        <v>4135</v>
      </c>
      <c r="D4624" s="1">
        <v>0</v>
      </c>
      <c r="E4624" s="1">
        <v>5000</v>
      </c>
      <c r="H4624" t="s">
        <v>1050</v>
      </c>
    </row>
    <row r="4625" spans="1:8">
      <c r="A4625" s="232">
        <v>45462</v>
      </c>
      <c r="C4625" t="s">
        <v>4136</v>
      </c>
      <c r="D4625" s="1">
        <v>0</v>
      </c>
      <c r="E4625" s="1">
        <v>363</v>
      </c>
      <c r="H4625" t="s">
        <v>1050</v>
      </c>
    </row>
    <row r="4626" spans="1:8">
      <c r="A4626" s="232">
        <v>45464</v>
      </c>
      <c r="C4626" t="s">
        <v>14289</v>
      </c>
      <c r="D4626" s="1">
        <v>53</v>
      </c>
      <c r="E4626" s="1">
        <v>0</v>
      </c>
      <c r="H4626" t="s">
        <v>1050</v>
      </c>
    </row>
    <row r="4627" spans="1:8" hidden="1">
      <c r="A4627" s="232">
        <v>45464</v>
      </c>
      <c r="C4627" t="s">
        <v>14290</v>
      </c>
      <c r="D4627" s="1">
        <v>33333</v>
      </c>
      <c r="E4627" s="1">
        <v>0</v>
      </c>
      <c r="G4627" s="8" t="s">
        <v>1381</v>
      </c>
      <c r="H4627" t="s">
        <v>1050</v>
      </c>
    </row>
    <row r="4628" spans="1:8">
      <c r="A4628" s="232">
        <v>45464</v>
      </c>
      <c r="C4628" t="s">
        <v>4135</v>
      </c>
      <c r="D4628" s="1">
        <v>0</v>
      </c>
      <c r="E4628" s="1">
        <v>35000</v>
      </c>
      <c r="H4628" t="s">
        <v>1050</v>
      </c>
    </row>
    <row r="4629" spans="1:8">
      <c r="A4629" s="232">
        <v>45464</v>
      </c>
      <c r="C4629" t="s">
        <v>4136</v>
      </c>
      <c r="D4629" s="1">
        <v>0</v>
      </c>
      <c r="E4629" s="1">
        <v>2549</v>
      </c>
      <c r="H4629" t="s">
        <v>1050</v>
      </c>
    </row>
    <row r="4630" spans="1:8">
      <c r="A4630" s="232">
        <v>45465</v>
      </c>
      <c r="C4630" t="s">
        <v>14291</v>
      </c>
      <c r="D4630" s="1">
        <v>760</v>
      </c>
      <c r="E4630" s="1">
        <v>0</v>
      </c>
      <c r="H4630" t="s">
        <v>1050</v>
      </c>
    </row>
    <row r="4631" spans="1:8" hidden="1">
      <c r="A4631" s="232">
        <v>45467</v>
      </c>
      <c r="C4631" t="s">
        <v>14292</v>
      </c>
      <c r="D4631" s="1">
        <v>11250</v>
      </c>
      <c r="E4631" s="1">
        <v>0</v>
      </c>
      <c r="G4631" s="8" t="s">
        <v>1372</v>
      </c>
      <c r="H4631" t="s">
        <v>1050</v>
      </c>
    </row>
    <row r="4632" spans="1:8">
      <c r="A4632" s="232">
        <v>45467</v>
      </c>
      <c r="C4632" t="s">
        <v>14293</v>
      </c>
      <c r="D4632" s="1">
        <v>2397</v>
      </c>
      <c r="E4632" s="1">
        <v>0</v>
      </c>
      <c r="H4632" t="s">
        <v>1050</v>
      </c>
    </row>
    <row r="4633" spans="1:8">
      <c r="A4633" s="232">
        <v>45467</v>
      </c>
      <c r="C4633" t="s">
        <v>4135</v>
      </c>
      <c r="D4633" s="1">
        <v>0</v>
      </c>
      <c r="E4633" s="1">
        <v>10000</v>
      </c>
      <c r="H4633" t="s">
        <v>1050</v>
      </c>
    </row>
    <row r="4634" spans="1:8">
      <c r="A4634" s="232">
        <v>45467</v>
      </c>
      <c r="C4634" t="s">
        <v>4136</v>
      </c>
      <c r="D4634" s="1">
        <v>0</v>
      </c>
      <c r="E4634" s="1">
        <v>734</v>
      </c>
      <c r="H4634" t="s">
        <v>1050</v>
      </c>
    </row>
    <row r="4635" spans="1:8">
      <c r="A4635" s="232">
        <v>45469</v>
      </c>
      <c r="C4635" t="s">
        <v>14294</v>
      </c>
      <c r="D4635" s="1">
        <v>4500</v>
      </c>
      <c r="E4635" s="1">
        <v>0</v>
      </c>
      <c r="H4635" t="s">
        <v>1050</v>
      </c>
    </row>
    <row r="4636" spans="1:8">
      <c r="A4636" s="232">
        <v>45469</v>
      </c>
      <c r="C4636" t="s">
        <v>14295</v>
      </c>
      <c r="D4636" s="1">
        <v>86</v>
      </c>
      <c r="E4636" s="1">
        <v>0</v>
      </c>
      <c r="H4636" t="s">
        <v>1050</v>
      </c>
    </row>
    <row r="4637" spans="1:8" hidden="1">
      <c r="A4637" s="232">
        <v>45469</v>
      </c>
      <c r="C4637" t="s">
        <v>14296</v>
      </c>
      <c r="D4637" s="1">
        <v>0</v>
      </c>
      <c r="E4637" s="1">
        <v>342455</v>
      </c>
      <c r="G4637" s="8" t="s">
        <v>1380</v>
      </c>
      <c r="H4637" t="s">
        <v>1050</v>
      </c>
    </row>
    <row r="4638" spans="1:8">
      <c r="A4638" s="232">
        <v>45471</v>
      </c>
      <c r="C4638" t="s">
        <v>14297</v>
      </c>
      <c r="D4638" s="1">
        <v>1433</v>
      </c>
      <c r="E4638" s="1">
        <v>0</v>
      </c>
      <c r="H4638" t="s">
        <v>1050</v>
      </c>
    </row>
    <row r="4639" spans="1:8">
      <c r="A4639" s="232">
        <v>45471</v>
      </c>
      <c r="C4639" t="s">
        <v>14298</v>
      </c>
      <c r="D4639" s="1">
        <v>288</v>
      </c>
      <c r="E4639" s="1">
        <v>0</v>
      </c>
      <c r="H4639" t="s">
        <v>1050</v>
      </c>
    </row>
    <row r="4640" spans="1:8">
      <c r="A4640" s="232">
        <v>45472</v>
      </c>
      <c r="C4640" t="s">
        <v>14299</v>
      </c>
      <c r="D4640" s="1">
        <v>9750</v>
      </c>
      <c r="E4640" s="1">
        <v>0</v>
      </c>
      <c r="H4640" t="s">
        <v>1050</v>
      </c>
    </row>
    <row r="4641" spans="1:8">
      <c r="A4641" s="232">
        <v>45472</v>
      </c>
      <c r="C4641" t="s">
        <v>14300</v>
      </c>
      <c r="D4641" s="1">
        <v>0</v>
      </c>
      <c r="E4641" s="1">
        <v>4</v>
      </c>
      <c r="H4641" t="s">
        <v>1050</v>
      </c>
    </row>
    <row r="4642" spans="1:8">
      <c r="A4642" s="232">
        <v>45472</v>
      </c>
      <c r="C4642" t="s">
        <v>14301</v>
      </c>
      <c r="D4642" s="1">
        <v>4630</v>
      </c>
      <c r="E4642" s="1">
        <v>0</v>
      </c>
      <c r="H4642" t="s">
        <v>1050</v>
      </c>
    </row>
    <row r="4643" spans="1:8">
      <c r="A4643" s="232">
        <v>45472</v>
      </c>
      <c r="C4643" t="s">
        <v>14302</v>
      </c>
      <c r="D4643" s="1">
        <v>24200</v>
      </c>
      <c r="E4643" s="1">
        <v>0</v>
      </c>
      <c r="H4643" t="s">
        <v>1050</v>
      </c>
    </row>
    <row r="4644" spans="1:8">
      <c r="A4644" s="232">
        <v>45472</v>
      </c>
      <c r="C4644" t="s">
        <v>14303</v>
      </c>
      <c r="D4644" s="1">
        <v>0</v>
      </c>
      <c r="E4644" s="1">
        <v>1376</v>
      </c>
      <c r="G4644" s="8" t="s">
        <v>1368</v>
      </c>
      <c r="H4644" t="s">
        <v>1050</v>
      </c>
    </row>
    <row r="4645" spans="1:8">
      <c r="A4645" s="232">
        <v>45473</v>
      </c>
      <c r="C4645" t="s">
        <v>14304</v>
      </c>
      <c r="D4645" s="1">
        <v>6973</v>
      </c>
      <c r="E4645" s="1">
        <v>0</v>
      </c>
      <c r="H4645" t="s">
        <v>1050</v>
      </c>
    </row>
    <row r="4646" spans="1:8">
      <c r="A4646" s="232">
        <v>45473</v>
      </c>
      <c r="C4646" t="s">
        <v>14305</v>
      </c>
      <c r="D4646" s="1">
        <v>150</v>
      </c>
      <c r="E4646" s="1">
        <v>0</v>
      </c>
      <c r="H4646" t="s">
        <v>1050</v>
      </c>
    </row>
    <row r="4647" spans="1:8">
      <c r="A4647" s="232"/>
    </row>
    <row r="4648" spans="1:8">
      <c r="A4648" s="232"/>
    </row>
    <row r="4649" spans="1:8">
      <c r="A4649" s="232"/>
    </row>
    <row r="4650" spans="1:8">
      <c r="A4650" s="232"/>
    </row>
    <row r="4651" spans="1:8">
      <c r="A4651" s="232"/>
    </row>
    <row r="4652" spans="1:8">
      <c r="A4652" s="232"/>
    </row>
    <row r="4653" spans="1:8">
      <c r="A4653" s="232"/>
    </row>
    <row r="4654" spans="1:8">
      <c r="A4654" s="232"/>
    </row>
    <row r="4655" spans="1:8">
      <c r="A4655" s="232"/>
    </row>
    <row r="4656" spans="1:8">
      <c r="A4656" s="232"/>
    </row>
    <row r="4657" spans="1:1">
      <c r="A4657" s="232"/>
    </row>
    <row r="4658" spans="1:1">
      <c r="A4658" s="232"/>
    </row>
    <row r="4659" spans="1:1">
      <c r="A4659" s="232"/>
    </row>
    <row r="4660" spans="1:1">
      <c r="A4660" s="232"/>
    </row>
    <row r="4661" spans="1:1">
      <c r="A4661" s="232"/>
    </row>
    <row r="4662" spans="1:1">
      <c r="A4662" s="232"/>
    </row>
    <row r="4663" spans="1:1">
      <c r="A4663" s="232"/>
    </row>
    <row r="4664" spans="1:1">
      <c r="A4664" s="232"/>
    </row>
    <row r="4665" spans="1:1">
      <c r="A4665" s="232"/>
    </row>
    <row r="4666" spans="1:1">
      <c r="A4666" s="232"/>
    </row>
    <row r="4667" spans="1:1">
      <c r="A4667" s="232"/>
    </row>
    <row r="4668" spans="1:1">
      <c r="A4668" s="232"/>
    </row>
    <row r="4669" spans="1:1">
      <c r="A4669" s="232"/>
    </row>
    <row r="4670" spans="1:1">
      <c r="A4670" s="232"/>
    </row>
    <row r="4671" spans="1:1">
      <c r="A4671" s="232"/>
    </row>
    <row r="4672" spans="1:1">
      <c r="A4672" s="232"/>
    </row>
    <row r="4673" spans="1:1">
      <c r="A4673" s="232"/>
    </row>
    <row r="4674" spans="1:1">
      <c r="A4674" s="232"/>
    </row>
    <row r="4675" spans="1:1">
      <c r="A4675" s="232"/>
    </row>
    <row r="4676" spans="1:1">
      <c r="A4676" s="232"/>
    </row>
    <row r="4677" spans="1:1">
      <c r="A4677" s="232"/>
    </row>
    <row r="4678" spans="1:1">
      <c r="A4678" s="232"/>
    </row>
    <row r="4679" spans="1:1">
      <c r="A4679" s="232"/>
    </row>
    <row r="4680" spans="1:1">
      <c r="A4680" s="232"/>
    </row>
    <row r="4681" spans="1:1">
      <c r="A4681" s="232"/>
    </row>
    <row r="4682" spans="1:1">
      <c r="A4682" s="232"/>
    </row>
    <row r="4683" spans="1:1">
      <c r="A4683" s="232"/>
    </row>
    <row r="4684" spans="1:1">
      <c r="A4684" s="232"/>
    </row>
    <row r="4685" spans="1:1">
      <c r="A4685" s="232"/>
    </row>
    <row r="4686" spans="1:1">
      <c r="A4686" s="232"/>
    </row>
    <row r="4687" spans="1:1">
      <c r="A4687" s="232"/>
    </row>
    <row r="4688" spans="1:1">
      <c r="A4688" s="232"/>
    </row>
    <row r="4689" spans="1:1">
      <c r="A4689" s="232"/>
    </row>
    <row r="4690" spans="1:1">
      <c r="A4690" s="232"/>
    </row>
    <row r="4691" spans="1:1">
      <c r="A4691" s="232"/>
    </row>
    <row r="4692" spans="1:1">
      <c r="A4692" s="232"/>
    </row>
    <row r="4693" spans="1:1">
      <c r="A4693" s="232"/>
    </row>
    <row r="4694" spans="1:1">
      <c r="A4694" s="232"/>
    </row>
    <row r="4695" spans="1:1">
      <c r="A4695" s="232"/>
    </row>
    <row r="4696" spans="1:1">
      <c r="A4696" s="232"/>
    </row>
    <row r="4697" spans="1:1">
      <c r="A4697" s="232"/>
    </row>
    <row r="4698" spans="1:1">
      <c r="A4698" s="232"/>
    </row>
    <row r="4699" spans="1:1">
      <c r="A4699" s="232"/>
    </row>
    <row r="4700" spans="1:1">
      <c r="A4700" s="232"/>
    </row>
    <row r="4701" spans="1:1">
      <c r="A4701" s="232"/>
    </row>
    <row r="4702" spans="1:1">
      <c r="A4702" s="232"/>
    </row>
    <row r="4703" spans="1:1">
      <c r="A4703" s="232"/>
    </row>
    <row r="4704" spans="1:1">
      <c r="A4704" s="232"/>
    </row>
    <row r="4705" spans="1:1">
      <c r="A4705" s="232"/>
    </row>
    <row r="4706" spans="1:1">
      <c r="A4706" s="232"/>
    </row>
    <row r="4707" spans="1:1">
      <c r="A4707" s="232"/>
    </row>
    <row r="4708" spans="1:1">
      <c r="A4708" s="232"/>
    </row>
    <row r="4709" spans="1:1">
      <c r="A4709" s="232"/>
    </row>
    <row r="4710" spans="1:1">
      <c r="A4710" s="232"/>
    </row>
    <row r="4711" spans="1:1">
      <c r="A4711" s="232"/>
    </row>
    <row r="4712" spans="1:1">
      <c r="A4712" s="232"/>
    </row>
    <row r="4713" spans="1:1">
      <c r="A4713" s="232"/>
    </row>
    <row r="4714" spans="1:1">
      <c r="A4714" s="232"/>
    </row>
    <row r="4715" spans="1:1">
      <c r="A4715" s="232"/>
    </row>
    <row r="4716" spans="1:1">
      <c r="A4716" s="232"/>
    </row>
    <row r="4717" spans="1:1">
      <c r="A4717" s="232"/>
    </row>
    <row r="4718" spans="1:1">
      <c r="A4718" s="232"/>
    </row>
    <row r="4719" spans="1:1">
      <c r="A4719" s="232"/>
    </row>
    <row r="4720" spans="1:1">
      <c r="A4720" s="232"/>
    </row>
    <row r="4721" spans="1:1">
      <c r="A4721" s="232"/>
    </row>
    <row r="4722" spans="1:1">
      <c r="A4722" s="232"/>
    </row>
    <row r="4723" spans="1:1">
      <c r="A4723" s="232"/>
    </row>
    <row r="4724" spans="1:1">
      <c r="A4724" s="232"/>
    </row>
    <row r="4725" spans="1:1">
      <c r="A4725" s="232"/>
    </row>
    <row r="4726" spans="1:1">
      <c r="A4726" s="232"/>
    </row>
    <row r="4727" spans="1:1">
      <c r="A4727" s="232"/>
    </row>
    <row r="4728" spans="1:1">
      <c r="A4728" s="232"/>
    </row>
    <row r="4729" spans="1:1">
      <c r="A4729" s="232"/>
    </row>
    <row r="4730" spans="1:1">
      <c r="A4730" s="232"/>
    </row>
    <row r="4731" spans="1:1">
      <c r="A4731" s="232"/>
    </row>
    <row r="4732" spans="1:1">
      <c r="A4732" s="232"/>
    </row>
    <row r="4733" spans="1:1">
      <c r="A4733" s="232"/>
    </row>
    <row r="4734" spans="1:1">
      <c r="A4734" s="232"/>
    </row>
  </sheetData>
  <autoFilter ref="A1:H4646" xr:uid="{FB6870D3-35B4-4B47-9795-4BB33C2EDA86}">
    <filterColumn colId="0">
      <filters>
        <dateGroupItem year="2024" month="6" dateTimeGrouping="month"/>
      </filters>
    </filterColumn>
    <filterColumn colId="6">
      <filters blank="1">
        <filter val="Credit Card payment"/>
      </filters>
    </filterColumn>
  </autoFilter>
  <pageMargins left="0.7" right="0.7" top="0.75" bottom="0.75" header="0.3" footer="0.3"/>
  <pageSetup orientation="portrait" r:id="rId1"/>
  <legacyDrawing r:id="rId2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01AA2EC-B3AE-41C1-9F4D-247786694BC3}">
  <sheetPr filterMode="1">
    <tabColor rgb="FF92D050"/>
  </sheetPr>
  <dimension ref="A1:J5374"/>
  <sheetViews>
    <sheetView workbookViewId="0">
      <pane ySplit="1" topLeftCell="A5243" activePane="bottomLeft" state="frozen"/>
      <selection pane="bottomLeft" activeCell="C1" sqref="C1"/>
    </sheetView>
  </sheetViews>
  <sheetFormatPr defaultRowHeight="15"/>
  <cols>
    <col min="1" max="1" width="12.140625" style="2" bestFit="1" customWidth="1"/>
    <col min="2" max="2" width="18.28515625" bestFit="1" customWidth="1"/>
    <col min="3" max="3" width="97.5703125" bestFit="1" customWidth="1"/>
    <col min="4" max="4" width="14.7109375" style="69" bestFit="1" customWidth="1"/>
    <col min="5" max="5" width="10.5703125" bestFit="1" customWidth="1"/>
    <col min="6" max="6" width="11" bestFit="1" customWidth="1"/>
    <col min="7" max="7" width="19" style="8" bestFit="1" customWidth="1"/>
    <col min="9" max="9" width="12.140625" style="232" bestFit="1" customWidth="1"/>
    <col min="10" max="10" width="12.140625" bestFit="1" customWidth="1"/>
  </cols>
  <sheetData>
    <row r="1" spans="1:9">
      <c r="A1" s="2" t="s">
        <v>1386</v>
      </c>
      <c r="B1" t="s">
        <v>1387</v>
      </c>
      <c r="C1" t="s">
        <v>1388</v>
      </c>
      <c r="D1" s="69" t="s">
        <v>1389</v>
      </c>
      <c r="E1" t="s">
        <v>1390</v>
      </c>
      <c r="F1" t="s">
        <v>1391</v>
      </c>
      <c r="G1" s="8" t="s">
        <v>1392</v>
      </c>
      <c r="I1" s="232" t="s">
        <v>1386</v>
      </c>
    </row>
    <row r="2" spans="1:9" hidden="1">
      <c r="A2" s="232">
        <v>39904</v>
      </c>
      <c r="C2" t="s">
        <v>1394</v>
      </c>
      <c r="D2">
        <v>0</v>
      </c>
      <c r="E2">
        <v>0</v>
      </c>
      <c r="F2">
        <v>378760.15</v>
      </c>
      <c r="I2" s="232">
        <v>39904</v>
      </c>
    </row>
    <row r="3" spans="1:9" hidden="1">
      <c r="A3" s="232">
        <v>39909</v>
      </c>
      <c r="C3" t="s">
        <v>5043</v>
      </c>
      <c r="D3">
        <v>40000</v>
      </c>
      <c r="E3">
        <v>0</v>
      </c>
      <c r="F3">
        <v>338760.15</v>
      </c>
      <c r="I3" s="232">
        <v>39909</v>
      </c>
    </row>
    <row r="4" spans="1:9" hidden="1">
      <c r="A4" s="232">
        <v>39918</v>
      </c>
      <c r="C4" t="s">
        <v>5044</v>
      </c>
      <c r="D4">
        <v>7000</v>
      </c>
      <c r="E4">
        <v>0</v>
      </c>
      <c r="F4">
        <v>331760.15000000002</v>
      </c>
      <c r="G4" s="8" t="s">
        <v>1361</v>
      </c>
      <c r="I4" s="232">
        <v>39918</v>
      </c>
    </row>
    <row r="5" spans="1:9" hidden="1">
      <c r="A5" s="232">
        <v>39918</v>
      </c>
      <c r="C5" t="s">
        <v>5045</v>
      </c>
      <c r="D5">
        <v>432</v>
      </c>
      <c r="E5">
        <v>0</v>
      </c>
      <c r="F5">
        <v>331328.15000000002</v>
      </c>
      <c r="I5" s="232">
        <v>39918</v>
      </c>
    </row>
    <row r="6" spans="1:9" hidden="1">
      <c r="A6" s="232">
        <v>39918</v>
      </c>
      <c r="C6" t="s">
        <v>5046</v>
      </c>
      <c r="D6">
        <v>375</v>
      </c>
      <c r="E6">
        <v>0</v>
      </c>
      <c r="F6">
        <v>330953.15000000002</v>
      </c>
      <c r="I6" s="232">
        <v>39918</v>
      </c>
    </row>
    <row r="7" spans="1:9" hidden="1">
      <c r="A7" s="232">
        <v>39921</v>
      </c>
      <c r="C7" t="s">
        <v>5047</v>
      </c>
      <c r="D7">
        <v>5896.01</v>
      </c>
      <c r="E7">
        <v>0</v>
      </c>
      <c r="F7">
        <v>325057.14</v>
      </c>
      <c r="G7" s="8" t="s">
        <v>1362</v>
      </c>
      <c r="I7" s="232">
        <v>39921</v>
      </c>
    </row>
    <row r="8" spans="1:9" hidden="1">
      <c r="A8" s="232">
        <v>39932</v>
      </c>
      <c r="C8" t="s">
        <v>1404</v>
      </c>
      <c r="D8">
        <v>0</v>
      </c>
      <c r="E8">
        <v>367577</v>
      </c>
      <c r="F8">
        <v>692634.14</v>
      </c>
      <c r="G8" s="8" t="s">
        <v>1380</v>
      </c>
      <c r="I8" s="232">
        <v>39932</v>
      </c>
    </row>
    <row r="9" spans="1:9" hidden="1">
      <c r="A9" s="232">
        <v>39939</v>
      </c>
      <c r="C9" t="s">
        <v>5048</v>
      </c>
      <c r="D9">
        <v>8000</v>
      </c>
      <c r="E9">
        <v>0</v>
      </c>
      <c r="F9">
        <v>684634.14</v>
      </c>
      <c r="G9" s="8" t="s">
        <v>1361</v>
      </c>
      <c r="I9" s="232">
        <v>39939</v>
      </c>
    </row>
    <row r="10" spans="1:9" hidden="1">
      <c r="A10" s="232">
        <v>39939</v>
      </c>
      <c r="C10" t="s">
        <v>5049</v>
      </c>
      <c r="D10">
        <v>0</v>
      </c>
      <c r="E10">
        <v>3500</v>
      </c>
      <c r="F10">
        <v>688134.14</v>
      </c>
      <c r="I10" s="232">
        <v>39939</v>
      </c>
    </row>
    <row r="11" spans="1:9" hidden="1">
      <c r="A11" s="232">
        <v>39939</v>
      </c>
      <c r="C11">
        <v>4864093103224000</v>
      </c>
      <c r="D11">
        <v>2816.7</v>
      </c>
      <c r="E11">
        <v>0</v>
      </c>
      <c r="F11">
        <v>685317.44</v>
      </c>
      <c r="G11" s="8" t="s">
        <v>1362</v>
      </c>
      <c r="I11" s="232">
        <v>39939</v>
      </c>
    </row>
    <row r="12" spans="1:9" hidden="1">
      <c r="A12" s="232">
        <v>39945</v>
      </c>
      <c r="C12" t="s">
        <v>1413</v>
      </c>
      <c r="D12">
        <v>0</v>
      </c>
      <c r="E12">
        <v>375</v>
      </c>
      <c r="F12">
        <v>685692.44</v>
      </c>
      <c r="G12" s="8" t="s">
        <v>1380</v>
      </c>
      <c r="I12" s="232">
        <v>39945</v>
      </c>
    </row>
    <row r="13" spans="1:9" hidden="1">
      <c r="A13" s="232">
        <v>39954</v>
      </c>
      <c r="C13" t="s">
        <v>1414</v>
      </c>
      <c r="D13">
        <v>0</v>
      </c>
      <c r="E13">
        <v>1350</v>
      </c>
      <c r="F13">
        <v>687042.44</v>
      </c>
      <c r="G13" s="8" t="s">
        <v>1380</v>
      </c>
      <c r="I13" s="232">
        <v>39954</v>
      </c>
    </row>
    <row r="14" spans="1:9" hidden="1">
      <c r="A14" s="232">
        <v>39958</v>
      </c>
      <c r="C14" t="s">
        <v>5047</v>
      </c>
      <c r="D14">
        <v>4406.84</v>
      </c>
      <c r="E14">
        <v>0</v>
      </c>
      <c r="F14">
        <v>682635.6</v>
      </c>
      <c r="G14" s="8" t="s">
        <v>1362</v>
      </c>
      <c r="I14" s="232">
        <v>39958</v>
      </c>
    </row>
    <row r="15" spans="1:9" hidden="1">
      <c r="A15" s="232">
        <v>39959</v>
      </c>
      <c r="C15" t="s">
        <v>1412</v>
      </c>
      <c r="D15">
        <v>110418.12</v>
      </c>
      <c r="E15">
        <v>0</v>
      </c>
      <c r="F15">
        <v>572217.48</v>
      </c>
      <c r="G15" s="8" t="s">
        <v>1362</v>
      </c>
      <c r="I15" s="232">
        <v>39959</v>
      </c>
    </row>
    <row r="16" spans="1:9" hidden="1">
      <c r="A16" s="232">
        <v>39961</v>
      </c>
      <c r="C16" t="s">
        <v>1404</v>
      </c>
      <c r="D16">
        <v>0</v>
      </c>
      <c r="E16">
        <v>81505</v>
      </c>
      <c r="F16">
        <v>653722.48</v>
      </c>
      <c r="G16" s="8" t="s">
        <v>1380</v>
      </c>
      <c r="I16" s="232">
        <v>39961</v>
      </c>
    </row>
    <row r="17" spans="1:9" hidden="1">
      <c r="A17" s="232">
        <v>39966</v>
      </c>
      <c r="C17" t="s">
        <v>1419</v>
      </c>
      <c r="D17">
        <v>0</v>
      </c>
      <c r="E17">
        <v>107562</v>
      </c>
      <c r="F17">
        <v>761284.48</v>
      </c>
      <c r="G17" s="8" t="s">
        <v>1380</v>
      </c>
      <c r="I17" s="232">
        <v>39966</v>
      </c>
    </row>
    <row r="18" spans="1:9" hidden="1">
      <c r="A18" s="232">
        <v>39969</v>
      </c>
      <c r="C18">
        <v>4864093103224000</v>
      </c>
      <c r="D18">
        <v>17052</v>
      </c>
      <c r="E18">
        <v>0</v>
      </c>
      <c r="F18">
        <v>744232.48</v>
      </c>
      <c r="G18" s="8" t="s">
        <v>1362</v>
      </c>
      <c r="I18" s="232">
        <v>39969</v>
      </c>
    </row>
    <row r="19" spans="1:9" hidden="1">
      <c r="A19" s="232">
        <v>39973</v>
      </c>
      <c r="C19" t="s">
        <v>5050</v>
      </c>
      <c r="D19">
        <v>200000</v>
      </c>
      <c r="E19">
        <v>0</v>
      </c>
      <c r="F19">
        <v>544232.48</v>
      </c>
      <c r="G19" s="8" t="s">
        <v>1363</v>
      </c>
      <c r="I19" s="232">
        <v>39973</v>
      </c>
    </row>
    <row r="20" spans="1:9" hidden="1">
      <c r="A20" s="232">
        <v>39986</v>
      </c>
      <c r="C20" t="s">
        <v>5051</v>
      </c>
      <c r="D20">
        <v>10000</v>
      </c>
      <c r="E20">
        <v>0</v>
      </c>
      <c r="F20">
        <v>534232.48</v>
      </c>
      <c r="G20" s="8" t="s">
        <v>1361</v>
      </c>
      <c r="I20" s="232">
        <v>39986</v>
      </c>
    </row>
    <row r="21" spans="1:9" hidden="1">
      <c r="A21" s="232">
        <v>39986</v>
      </c>
      <c r="C21" t="s">
        <v>1538</v>
      </c>
      <c r="D21">
        <v>138476.87</v>
      </c>
      <c r="E21">
        <v>0</v>
      </c>
      <c r="F21">
        <v>395755.61</v>
      </c>
      <c r="G21" s="8" t="s">
        <v>1362</v>
      </c>
      <c r="I21" s="232">
        <v>39986</v>
      </c>
    </row>
    <row r="22" spans="1:9" hidden="1">
      <c r="A22" s="232">
        <v>39993</v>
      </c>
      <c r="C22" t="s">
        <v>1404</v>
      </c>
      <c r="D22">
        <v>0</v>
      </c>
      <c r="E22">
        <v>81505</v>
      </c>
      <c r="F22">
        <v>477260.61</v>
      </c>
      <c r="G22" s="8" t="s">
        <v>1380</v>
      </c>
      <c r="I22" s="232">
        <v>39993</v>
      </c>
    </row>
    <row r="23" spans="1:9" hidden="1">
      <c r="A23" s="232">
        <v>39993</v>
      </c>
      <c r="C23" t="s">
        <v>1414</v>
      </c>
      <c r="D23">
        <v>0</v>
      </c>
      <c r="E23">
        <v>913</v>
      </c>
      <c r="F23">
        <v>478173.61</v>
      </c>
      <c r="G23" s="8" t="s">
        <v>1380</v>
      </c>
      <c r="I23" s="232">
        <v>39993</v>
      </c>
    </row>
    <row r="24" spans="1:9" hidden="1">
      <c r="A24" s="232">
        <v>39997</v>
      </c>
      <c r="C24" t="s">
        <v>5052</v>
      </c>
      <c r="D24">
        <v>3210</v>
      </c>
      <c r="E24">
        <v>0</v>
      </c>
      <c r="F24">
        <v>474963.61</v>
      </c>
      <c r="G24" s="8" t="s">
        <v>1370</v>
      </c>
      <c r="I24" s="232">
        <v>39997</v>
      </c>
    </row>
    <row r="25" spans="1:9" hidden="1">
      <c r="A25" s="232">
        <v>40001</v>
      </c>
      <c r="C25">
        <v>4864093103224000</v>
      </c>
      <c r="D25">
        <v>25977</v>
      </c>
      <c r="E25">
        <v>0</v>
      </c>
      <c r="F25">
        <v>448986.61</v>
      </c>
      <c r="G25" s="8" t="s">
        <v>1362</v>
      </c>
      <c r="I25" s="232">
        <v>40001</v>
      </c>
    </row>
    <row r="26" spans="1:9" hidden="1">
      <c r="A26" s="232">
        <v>40015</v>
      </c>
      <c r="C26" t="s">
        <v>5053</v>
      </c>
      <c r="D26">
        <v>0</v>
      </c>
      <c r="E26">
        <v>4196.67</v>
      </c>
      <c r="F26">
        <v>453183.28</v>
      </c>
      <c r="G26" s="8" t="s">
        <v>1375</v>
      </c>
      <c r="I26" s="232">
        <v>40015</v>
      </c>
    </row>
    <row r="27" spans="1:9" hidden="1">
      <c r="A27" s="232">
        <v>40015</v>
      </c>
      <c r="C27" t="s">
        <v>5054</v>
      </c>
      <c r="D27">
        <v>3921.2</v>
      </c>
      <c r="E27">
        <v>0</v>
      </c>
      <c r="F27">
        <v>449262.08000000002</v>
      </c>
      <c r="I27" s="232">
        <v>40015</v>
      </c>
    </row>
    <row r="28" spans="1:9" hidden="1">
      <c r="A28" s="232">
        <v>40016</v>
      </c>
      <c r="C28" t="s">
        <v>1425</v>
      </c>
      <c r="D28">
        <v>3360</v>
      </c>
      <c r="E28">
        <v>0</v>
      </c>
      <c r="F28">
        <v>445902.08000000002</v>
      </c>
      <c r="G28" s="8" t="s">
        <v>1362</v>
      </c>
      <c r="I28" s="232">
        <v>40016</v>
      </c>
    </row>
    <row r="29" spans="1:9" hidden="1">
      <c r="A29" s="232">
        <v>40022</v>
      </c>
      <c r="C29" t="s">
        <v>1435</v>
      </c>
      <c r="D29">
        <v>0</v>
      </c>
      <c r="E29">
        <v>4802</v>
      </c>
      <c r="F29">
        <v>450704.08</v>
      </c>
      <c r="G29" s="8" t="s">
        <v>1380</v>
      </c>
      <c r="I29" s="232">
        <v>40022</v>
      </c>
    </row>
    <row r="30" spans="1:9" hidden="1">
      <c r="A30" s="232">
        <v>40024</v>
      </c>
      <c r="C30" t="s">
        <v>1404</v>
      </c>
      <c r="D30">
        <v>0</v>
      </c>
      <c r="E30">
        <v>86080</v>
      </c>
      <c r="F30">
        <v>536784.07999999996</v>
      </c>
      <c r="G30" s="8" t="s">
        <v>1380</v>
      </c>
      <c r="I30" s="232">
        <v>40024</v>
      </c>
    </row>
    <row r="31" spans="1:9" hidden="1">
      <c r="A31" s="232">
        <v>40030</v>
      </c>
      <c r="C31">
        <v>4864093103224000</v>
      </c>
      <c r="D31">
        <v>3457</v>
      </c>
      <c r="E31">
        <v>0</v>
      </c>
      <c r="F31">
        <v>533327.07999999996</v>
      </c>
      <c r="G31" s="8" t="s">
        <v>1362</v>
      </c>
      <c r="I31" s="232">
        <v>40030</v>
      </c>
    </row>
    <row r="32" spans="1:9" hidden="1">
      <c r="A32" s="232">
        <v>40030</v>
      </c>
      <c r="C32" t="s">
        <v>1424</v>
      </c>
      <c r="D32">
        <v>10960.61</v>
      </c>
      <c r="E32">
        <v>0</v>
      </c>
      <c r="F32">
        <v>522366.47</v>
      </c>
      <c r="G32" s="8" t="s">
        <v>1362</v>
      </c>
      <c r="I32" s="232">
        <v>40030</v>
      </c>
    </row>
    <row r="33" spans="1:9" hidden="1">
      <c r="A33" s="232">
        <v>40035</v>
      </c>
      <c r="C33" t="s">
        <v>1581</v>
      </c>
      <c r="D33">
        <v>1650</v>
      </c>
      <c r="E33">
        <v>0</v>
      </c>
      <c r="F33">
        <v>520716.47</v>
      </c>
      <c r="I33" s="232">
        <v>40035</v>
      </c>
    </row>
    <row r="34" spans="1:9" hidden="1">
      <c r="A34" s="232">
        <v>40044</v>
      </c>
      <c r="C34" t="s">
        <v>5055</v>
      </c>
      <c r="D34">
        <v>746</v>
      </c>
      <c r="E34">
        <v>0</v>
      </c>
      <c r="F34">
        <v>519970.47</v>
      </c>
      <c r="G34" s="8" t="s">
        <v>1362</v>
      </c>
      <c r="I34" s="232">
        <v>40044</v>
      </c>
    </row>
    <row r="35" spans="1:9" hidden="1">
      <c r="A35" s="232">
        <v>40044</v>
      </c>
      <c r="C35" t="s">
        <v>5056</v>
      </c>
      <c r="D35">
        <v>885</v>
      </c>
      <c r="E35">
        <v>0</v>
      </c>
      <c r="F35">
        <v>519085.47</v>
      </c>
      <c r="I35" s="232">
        <v>40044</v>
      </c>
    </row>
    <row r="36" spans="1:9" hidden="1">
      <c r="A36" s="232">
        <v>40045</v>
      </c>
      <c r="C36" t="s">
        <v>1590</v>
      </c>
      <c r="D36">
        <v>0</v>
      </c>
      <c r="E36">
        <v>588</v>
      </c>
      <c r="F36">
        <v>519673.47</v>
      </c>
      <c r="G36" s="8" t="s">
        <v>1380</v>
      </c>
      <c r="I36" s="232">
        <v>40045</v>
      </c>
    </row>
    <row r="37" spans="1:9" hidden="1">
      <c r="A37" s="232">
        <v>40045</v>
      </c>
      <c r="C37" t="s">
        <v>5057</v>
      </c>
      <c r="D37">
        <v>930</v>
      </c>
      <c r="E37">
        <v>0</v>
      </c>
      <c r="F37">
        <v>518743.47</v>
      </c>
      <c r="I37" s="232">
        <v>40045</v>
      </c>
    </row>
    <row r="38" spans="1:9" hidden="1">
      <c r="A38" s="232">
        <v>40052</v>
      </c>
      <c r="C38" t="s">
        <v>1538</v>
      </c>
      <c r="D38">
        <v>35943.35</v>
      </c>
      <c r="E38">
        <v>0</v>
      </c>
      <c r="F38">
        <v>482800.12</v>
      </c>
      <c r="G38" s="8" t="s">
        <v>1362</v>
      </c>
      <c r="I38" s="232">
        <v>40052</v>
      </c>
    </row>
    <row r="39" spans="1:9" hidden="1">
      <c r="A39" s="232">
        <v>40053</v>
      </c>
      <c r="C39" t="s">
        <v>1404</v>
      </c>
      <c r="D39">
        <v>0</v>
      </c>
      <c r="E39">
        <v>86080</v>
      </c>
      <c r="F39">
        <v>568880.12</v>
      </c>
      <c r="G39" s="8" t="s">
        <v>1380</v>
      </c>
      <c r="I39" s="232">
        <v>40053</v>
      </c>
    </row>
    <row r="40" spans="1:9" hidden="1">
      <c r="A40" s="232">
        <v>40054</v>
      </c>
      <c r="C40" t="s">
        <v>5058</v>
      </c>
      <c r="D40">
        <v>0</v>
      </c>
      <c r="E40">
        <v>53807</v>
      </c>
      <c r="F40">
        <v>622687.12</v>
      </c>
      <c r="G40" s="8" t="s">
        <v>1380</v>
      </c>
      <c r="I40" s="232">
        <v>40054</v>
      </c>
    </row>
    <row r="41" spans="1:9" hidden="1">
      <c r="A41" s="232">
        <v>40056</v>
      </c>
      <c r="C41" t="s">
        <v>5059</v>
      </c>
      <c r="D41">
        <v>0</v>
      </c>
      <c r="E41">
        <v>4003</v>
      </c>
      <c r="F41">
        <v>626690.12</v>
      </c>
      <c r="G41" s="8" t="s">
        <v>1375</v>
      </c>
      <c r="I41" s="232">
        <v>40056</v>
      </c>
    </row>
    <row r="42" spans="1:9" hidden="1">
      <c r="A42" s="232">
        <v>40059</v>
      </c>
      <c r="C42" t="s">
        <v>5060</v>
      </c>
      <c r="D42">
        <v>5000</v>
      </c>
      <c r="E42">
        <v>0</v>
      </c>
      <c r="F42">
        <v>621690.12</v>
      </c>
      <c r="G42" s="8" t="s">
        <v>1361</v>
      </c>
      <c r="I42" s="232">
        <v>40059</v>
      </c>
    </row>
    <row r="43" spans="1:9" hidden="1">
      <c r="A43" s="232">
        <v>40059</v>
      </c>
      <c r="C43" t="s">
        <v>5061</v>
      </c>
      <c r="D43">
        <v>5000</v>
      </c>
      <c r="E43">
        <v>0</v>
      </c>
      <c r="F43">
        <v>616690.12</v>
      </c>
      <c r="G43" s="8" t="s">
        <v>1361</v>
      </c>
      <c r="I43" s="232">
        <v>40059</v>
      </c>
    </row>
    <row r="44" spans="1:9" hidden="1">
      <c r="A44" s="232">
        <v>40059</v>
      </c>
      <c r="C44" t="s">
        <v>5062</v>
      </c>
      <c r="D44">
        <v>10000</v>
      </c>
      <c r="E44">
        <v>0</v>
      </c>
      <c r="F44">
        <v>606690.12</v>
      </c>
      <c r="G44" s="8" t="s">
        <v>1361</v>
      </c>
      <c r="I44" s="232">
        <v>40059</v>
      </c>
    </row>
    <row r="45" spans="1:9" hidden="1">
      <c r="A45" s="232">
        <v>40060</v>
      </c>
      <c r="C45" t="s">
        <v>5063</v>
      </c>
      <c r="D45">
        <v>0</v>
      </c>
      <c r="E45">
        <v>7255</v>
      </c>
      <c r="F45">
        <v>613945.12</v>
      </c>
      <c r="G45" s="8" t="s">
        <v>1368</v>
      </c>
      <c r="I45" s="232">
        <v>40060</v>
      </c>
    </row>
    <row r="46" spans="1:9" hidden="1">
      <c r="A46" s="232">
        <v>40063</v>
      </c>
      <c r="C46">
        <v>4864093103224000</v>
      </c>
      <c r="D46">
        <v>7283</v>
      </c>
      <c r="E46">
        <v>0</v>
      </c>
      <c r="F46">
        <v>606662.12</v>
      </c>
      <c r="G46" s="8" t="s">
        <v>1362</v>
      </c>
      <c r="I46" s="232">
        <v>40063</v>
      </c>
    </row>
    <row r="47" spans="1:9" hidden="1">
      <c r="A47" s="232">
        <v>40063</v>
      </c>
      <c r="C47" t="s">
        <v>1443</v>
      </c>
      <c r="D47">
        <v>0</v>
      </c>
      <c r="E47">
        <v>695.53</v>
      </c>
      <c r="F47">
        <v>607357.65</v>
      </c>
      <c r="G47" s="8" t="s">
        <v>1375</v>
      </c>
      <c r="I47" s="232">
        <v>40063</v>
      </c>
    </row>
    <row r="48" spans="1:9" hidden="1">
      <c r="A48" s="232">
        <v>40064</v>
      </c>
      <c r="C48" t="s">
        <v>5064</v>
      </c>
      <c r="D48">
        <v>0</v>
      </c>
      <c r="E48">
        <v>881</v>
      </c>
      <c r="F48">
        <v>608238.65</v>
      </c>
      <c r="G48" s="8" t="s">
        <v>1380</v>
      </c>
      <c r="I48" s="232">
        <v>40064</v>
      </c>
    </row>
    <row r="49" spans="1:9" hidden="1">
      <c r="A49" s="232">
        <v>40066</v>
      </c>
      <c r="C49" t="s">
        <v>5065</v>
      </c>
      <c r="D49">
        <v>3000</v>
      </c>
      <c r="E49">
        <v>0</v>
      </c>
      <c r="F49">
        <v>605238.65</v>
      </c>
      <c r="I49" s="232">
        <v>40066</v>
      </c>
    </row>
    <row r="50" spans="1:9" hidden="1">
      <c r="A50" s="232">
        <v>40067</v>
      </c>
      <c r="C50" t="s">
        <v>5066</v>
      </c>
      <c r="D50">
        <v>5612</v>
      </c>
      <c r="E50">
        <v>0</v>
      </c>
      <c r="F50">
        <v>599626.65</v>
      </c>
      <c r="G50" s="8" t="s">
        <v>1370</v>
      </c>
      <c r="I50" s="232">
        <v>40067</v>
      </c>
    </row>
    <row r="51" spans="1:9" hidden="1">
      <c r="A51" s="232">
        <v>40071</v>
      </c>
      <c r="C51" t="s">
        <v>5067</v>
      </c>
      <c r="D51">
        <v>4196</v>
      </c>
      <c r="E51">
        <v>0</v>
      </c>
      <c r="F51">
        <v>595430.65</v>
      </c>
      <c r="G51" s="8" t="s">
        <v>1362</v>
      </c>
      <c r="I51" s="232">
        <v>40071</v>
      </c>
    </row>
    <row r="52" spans="1:9" hidden="1">
      <c r="A52" s="232">
        <v>40078</v>
      </c>
      <c r="C52" t="s">
        <v>5068</v>
      </c>
      <c r="D52">
        <v>14059.85</v>
      </c>
      <c r="E52">
        <v>0</v>
      </c>
      <c r="F52">
        <v>581370.80000000005</v>
      </c>
      <c r="G52" s="8" t="s">
        <v>1362</v>
      </c>
      <c r="I52" s="232">
        <v>40078</v>
      </c>
    </row>
    <row r="53" spans="1:9" hidden="1">
      <c r="A53" s="232">
        <v>40079</v>
      </c>
      <c r="C53" t="s">
        <v>5069</v>
      </c>
      <c r="D53">
        <v>885</v>
      </c>
      <c r="E53">
        <v>0</v>
      </c>
      <c r="F53">
        <v>580485.80000000005</v>
      </c>
      <c r="I53" s="232">
        <v>40079</v>
      </c>
    </row>
    <row r="54" spans="1:9" hidden="1">
      <c r="A54" s="232">
        <v>40079</v>
      </c>
      <c r="C54" t="s">
        <v>5070</v>
      </c>
      <c r="D54">
        <v>936</v>
      </c>
      <c r="E54">
        <v>0</v>
      </c>
      <c r="F54">
        <v>579549.80000000005</v>
      </c>
      <c r="I54" s="232">
        <v>40079</v>
      </c>
    </row>
    <row r="55" spans="1:9" hidden="1">
      <c r="A55" s="232">
        <v>40079</v>
      </c>
      <c r="C55" t="s">
        <v>5071</v>
      </c>
      <c r="D55">
        <v>100000</v>
      </c>
      <c r="E55">
        <v>0</v>
      </c>
      <c r="F55">
        <v>479549.8</v>
      </c>
      <c r="G55" s="8" t="s">
        <v>1366</v>
      </c>
      <c r="I55" s="232">
        <v>40079</v>
      </c>
    </row>
    <row r="56" spans="1:9" hidden="1">
      <c r="A56" s="232">
        <v>40081</v>
      </c>
      <c r="C56" t="s">
        <v>1404</v>
      </c>
      <c r="D56">
        <v>0</v>
      </c>
      <c r="E56">
        <v>89535</v>
      </c>
      <c r="F56">
        <v>569084.80000000005</v>
      </c>
      <c r="G56" s="8" t="s">
        <v>1380</v>
      </c>
      <c r="I56" s="232">
        <v>40081</v>
      </c>
    </row>
    <row r="57" spans="1:9" hidden="1">
      <c r="A57" s="232">
        <v>40085</v>
      </c>
      <c r="C57" t="s">
        <v>5072</v>
      </c>
      <c r="D57">
        <v>5468</v>
      </c>
      <c r="E57">
        <v>0</v>
      </c>
      <c r="F57">
        <v>563616.80000000005</v>
      </c>
      <c r="I57" s="232">
        <v>40085</v>
      </c>
    </row>
    <row r="58" spans="1:9" hidden="1">
      <c r="A58" s="232">
        <v>40089</v>
      </c>
      <c r="C58" t="s">
        <v>5073</v>
      </c>
      <c r="D58">
        <v>7500</v>
      </c>
      <c r="E58">
        <v>0</v>
      </c>
      <c r="F58">
        <v>556116.80000000005</v>
      </c>
      <c r="I58" s="232">
        <v>40089</v>
      </c>
    </row>
    <row r="59" spans="1:9" hidden="1">
      <c r="A59" s="232">
        <v>40089</v>
      </c>
      <c r="C59" t="s">
        <v>1809</v>
      </c>
      <c r="D59">
        <v>11030</v>
      </c>
      <c r="E59">
        <v>0</v>
      </c>
      <c r="F59">
        <v>545086.80000000005</v>
      </c>
      <c r="G59" s="8" t="s">
        <v>1366</v>
      </c>
      <c r="I59" s="232">
        <v>40089</v>
      </c>
    </row>
    <row r="60" spans="1:9" hidden="1">
      <c r="A60" s="232">
        <v>40092</v>
      </c>
      <c r="C60">
        <v>4864093103224000</v>
      </c>
      <c r="D60">
        <v>18426.82</v>
      </c>
      <c r="E60">
        <v>0</v>
      </c>
      <c r="F60">
        <v>526659.98</v>
      </c>
      <c r="G60" s="8" t="s">
        <v>1362</v>
      </c>
      <c r="I60" s="232">
        <v>40092</v>
      </c>
    </row>
    <row r="61" spans="1:9" hidden="1">
      <c r="A61" s="232">
        <v>40093</v>
      </c>
      <c r="C61" t="s">
        <v>5074</v>
      </c>
      <c r="D61">
        <v>0</v>
      </c>
      <c r="E61">
        <v>36606</v>
      </c>
      <c r="F61">
        <v>563265.98</v>
      </c>
      <c r="I61" s="232">
        <v>40093</v>
      </c>
    </row>
    <row r="62" spans="1:9" hidden="1">
      <c r="A62" s="232">
        <v>40093</v>
      </c>
      <c r="C62" t="s">
        <v>1414</v>
      </c>
      <c r="D62">
        <v>0</v>
      </c>
      <c r="E62">
        <v>881</v>
      </c>
      <c r="F62">
        <v>564146.98</v>
      </c>
      <c r="G62" s="8" t="s">
        <v>1380</v>
      </c>
      <c r="I62" s="232">
        <v>40093</v>
      </c>
    </row>
    <row r="63" spans="1:9" hidden="1">
      <c r="A63" s="232">
        <v>40100</v>
      </c>
      <c r="C63" t="s">
        <v>1630</v>
      </c>
      <c r="D63">
        <v>3000</v>
      </c>
      <c r="E63">
        <v>0</v>
      </c>
      <c r="F63">
        <v>561146.98</v>
      </c>
      <c r="I63" s="232">
        <v>40100</v>
      </c>
    </row>
    <row r="64" spans="1:9" hidden="1">
      <c r="A64" s="232">
        <v>40106</v>
      </c>
      <c r="C64" t="s">
        <v>5075</v>
      </c>
      <c r="D64">
        <v>15446.85</v>
      </c>
      <c r="E64">
        <v>0</v>
      </c>
      <c r="F64">
        <v>545700.13</v>
      </c>
      <c r="G64" s="8" t="s">
        <v>1362</v>
      </c>
      <c r="I64" s="232">
        <v>40106</v>
      </c>
    </row>
    <row r="65" spans="1:9" hidden="1">
      <c r="A65" s="232">
        <v>40114</v>
      </c>
      <c r="C65" t="s">
        <v>1453</v>
      </c>
      <c r="D65">
        <v>0</v>
      </c>
      <c r="E65">
        <v>881</v>
      </c>
      <c r="F65">
        <v>546581.13</v>
      </c>
      <c r="G65" s="8" t="s">
        <v>1380</v>
      </c>
      <c r="I65" s="232">
        <v>40114</v>
      </c>
    </row>
    <row r="66" spans="1:9" hidden="1">
      <c r="A66" s="232">
        <v>40115</v>
      </c>
      <c r="C66" t="s">
        <v>1404</v>
      </c>
      <c r="D66">
        <v>0</v>
      </c>
      <c r="E66">
        <v>86080</v>
      </c>
      <c r="F66">
        <v>632661.13</v>
      </c>
      <c r="G66" s="8" t="s">
        <v>1380</v>
      </c>
      <c r="I66" s="232">
        <v>40115</v>
      </c>
    </row>
    <row r="67" spans="1:9" hidden="1">
      <c r="A67" s="232">
        <v>40122</v>
      </c>
      <c r="C67">
        <v>4864093103224000</v>
      </c>
      <c r="D67">
        <v>799</v>
      </c>
      <c r="E67">
        <v>0</v>
      </c>
      <c r="F67">
        <v>631862.13</v>
      </c>
      <c r="G67" s="8" t="s">
        <v>1362</v>
      </c>
      <c r="I67" s="232">
        <v>40122</v>
      </c>
    </row>
    <row r="68" spans="1:9" hidden="1">
      <c r="A68" s="232">
        <v>40126</v>
      </c>
      <c r="C68" t="s">
        <v>1630</v>
      </c>
      <c r="D68">
        <v>3000</v>
      </c>
      <c r="E68">
        <v>0</v>
      </c>
      <c r="F68">
        <v>628862.13</v>
      </c>
      <c r="I68" s="232">
        <v>40126</v>
      </c>
    </row>
    <row r="69" spans="1:9" hidden="1">
      <c r="A69" s="232">
        <v>40128</v>
      </c>
      <c r="C69" t="s">
        <v>5076</v>
      </c>
      <c r="D69">
        <v>0</v>
      </c>
      <c r="E69">
        <v>530094</v>
      </c>
      <c r="F69">
        <v>1158956.1299999999</v>
      </c>
      <c r="I69" s="232">
        <v>40128</v>
      </c>
    </row>
    <row r="70" spans="1:9" hidden="1">
      <c r="A70" s="232">
        <v>40135</v>
      </c>
      <c r="C70" t="s">
        <v>5077</v>
      </c>
      <c r="D70">
        <v>56105.45</v>
      </c>
      <c r="E70">
        <v>0</v>
      </c>
      <c r="F70">
        <v>1102850.68</v>
      </c>
      <c r="G70" s="8" t="s">
        <v>1362</v>
      </c>
      <c r="I70" s="232">
        <v>40135</v>
      </c>
    </row>
    <row r="71" spans="1:9" hidden="1">
      <c r="A71" s="232">
        <v>40140</v>
      </c>
      <c r="C71" t="s">
        <v>5078</v>
      </c>
      <c r="D71">
        <v>15000</v>
      </c>
      <c r="E71">
        <v>0</v>
      </c>
      <c r="F71">
        <v>1087850.68</v>
      </c>
      <c r="G71" s="8" t="s">
        <v>1361</v>
      </c>
      <c r="I71" s="232">
        <v>40140</v>
      </c>
    </row>
    <row r="72" spans="1:9" hidden="1">
      <c r="A72" s="232">
        <v>40142</v>
      </c>
      <c r="C72" t="s">
        <v>5079</v>
      </c>
      <c r="D72">
        <v>656431</v>
      </c>
      <c r="E72">
        <v>0</v>
      </c>
      <c r="F72">
        <v>431419.68</v>
      </c>
      <c r="G72" s="8" t="s">
        <v>1366</v>
      </c>
      <c r="I72" s="232">
        <v>40142</v>
      </c>
    </row>
    <row r="73" spans="1:9" hidden="1">
      <c r="A73" s="232">
        <v>40144</v>
      </c>
      <c r="C73" t="s">
        <v>5080</v>
      </c>
      <c r="D73">
        <v>0</v>
      </c>
      <c r="E73">
        <v>50754</v>
      </c>
      <c r="F73">
        <v>482173.68</v>
      </c>
      <c r="G73" s="8" t="s">
        <v>1380</v>
      </c>
      <c r="I73" s="232">
        <v>40144</v>
      </c>
    </row>
    <row r="74" spans="1:9" hidden="1">
      <c r="A74" s="232">
        <v>40144</v>
      </c>
      <c r="C74" t="s">
        <v>1404</v>
      </c>
      <c r="D74">
        <v>0</v>
      </c>
      <c r="E74">
        <v>86080</v>
      </c>
      <c r="F74">
        <v>568253.68000000005</v>
      </c>
      <c r="G74" s="8" t="s">
        <v>1380</v>
      </c>
      <c r="I74" s="232">
        <v>40144</v>
      </c>
    </row>
    <row r="75" spans="1:9" hidden="1">
      <c r="A75" s="232">
        <v>40151</v>
      </c>
      <c r="C75" t="s">
        <v>5081</v>
      </c>
      <c r="D75">
        <v>3000</v>
      </c>
      <c r="E75">
        <v>0</v>
      </c>
      <c r="F75">
        <v>565253.68000000005</v>
      </c>
      <c r="I75" s="232">
        <v>40151</v>
      </c>
    </row>
    <row r="76" spans="1:9" hidden="1">
      <c r="A76" s="232">
        <v>40154</v>
      </c>
      <c r="C76">
        <v>4864093103224000</v>
      </c>
      <c r="D76">
        <v>16147.46</v>
      </c>
      <c r="E76">
        <v>0</v>
      </c>
      <c r="F76">
        <v>549106.22</v>
      </c>
      <c r="G76" s="8" t="s">
        <v>1362</v>
      </c>
      <c r="I76" s="232">
        <v>40154</v>
      </c>
    </row>
    <row r="77" spans="1:9" hidden="1">
      <c r="A77" s="232">
        <v>40156</v>
      </c>
      <c r="C77" t="s">
        <v>5082</v>
      </c>
      <c r="D77">
        <v>10000</v>
      </c>
      <c r="E77">
        <v>0</v>
      </c>
      <c r="F77">
        <v>539106.22</v>
      </c>
      <c r="G77" s="8" t="s">
        <v>1361</v>
      </c>
      <c r="I77" s="232">
        <v>40156</v>
      </c>
    </row>
    <row r="78" spans="1:9" hidden="1">
      <c r="A78" s="232">
        <v>40164</v>
      </c>
      <c r="C78" t="s">
        <v>5083</v>
      </c>
      <c r="D78">
        <v>1220.49</v>
      </c>
      <c r="E78">
        <v>0</v>
      </c>
      <c r="F78">
        <v>537885.73</v>
      </c>
      <c r="G78" s="8" t="s">
        <v>1362</v>
      </c>
      <c r="I78" s="232">
        <v>40164</v>
      </c>
    </row>
    <row r="79" spans="1:9" hidden="1">
      <c r="A79" s="232">
        <v>40164</v>
      </c>
      <c r="C79" t="s">
        <v>5084</v>
      </c>
      <c r="D79">
        <v>30430</v>
      </c>
      <c r="E79">
        <v>0</v>
      </c>
      <c r="F79">
        <v>507455.73</v>
      </c>
      <c r="G79" s="8" t="s">
        <v>1370</v>
      </c>
      <c r="I79" s="232">
        <v>40164</v>
      </c>
    </row>
    <row r="80" spans="1:9" hidden="1">
      <c r="A80" s="232">
        <v>40171</v>
      </c>
      <c r="C80" t="s">
        <v>1467</v>
      </c>
      <c r="D80">
        <v>0</v>
      </c>
      <c r="E80">
        <v>91777</v>
      </c>
      <c r="F80">
        <v>599232.73</v>
      </c>
      <c r="G80" s="8" t="s">
        <v>1380</v>
      </c>
      <c r="I80" s="232">
        <v>40171</v>
      </c>
    </row>
    <row r="81" spans="1:9" hidden="1">
      <c r="A81" s="232">
        <v>40175</v>
      </c>
      <c r="C81" t="s">
        <v>5085</v>
      </c>
      <c r="D81">
        <v>3210</v>
      </c>
      <c r="E81">
        <v>0</v>
      </c>
      <c r="F81">
        <v>596022.73</v>
      </c>
      <c r="G81" s="8" t="s">
        <v>1370</v>
      </c>
      <c r="I81" s="232">
        <v>40175</v>
      </c>
    </row>
    <row r="82" spans="1:9" hidden="1">
      <c r="A82" s="232">
        <v>40183</v>
      </c>
      <c r="C82" t="s">
        <v>5086</v>
      </c>
      <c r="D82">
        <v>20000</v>
      </c>
      <c r="E82">
        <v>0</v>
      </c>
      <c r="F82">
        <v>576022.73</v>
      </c>
      <c r="G82" s="8" t="s">
        <v>1378</v>
      </c>
      <c r="I82" s="232">
        <v>40183</v>
      </c>
    </row>
    <row r="83" spans="1:9" hidden="1">
      <c r="A83" s="232">
        <v>40183</v>
      </c>
      <c r="C83">
        <v>4864093103224000</v>
      </c>
      <c r="D83">
        <v>28205.82</v>
      </c>
      <c r="E83">
        <v>0</v>
      </c>
      <c r="F83">
        <v>547816.91</v>
      </c>
      <c r="G83" s="8" t="s">
        <v>1362</v>
      </c>
      <c r="I83" s="232">
        <v>40183</v>
      </c>
    </row>
    <row r="84" spans="1:9" hidden="1">
      <c r="A84" s="232">
        <v>40185</v>
      </c>
      <c r="C84" t="s">
        <v>5087</v>
      </c>
      <c r="D84">
        <v>618</v>
      </c>
      <c r="E84">
        <v>0</v>
      </c>
      <c r="F84">
        <v>547198.91</v>
      </c>
      <c r="I84" s="232">
        <v>40185</v>
      </c>
    </row>
    <row r="85" spans="1:9" hidden="1">
      <c r="A85" s="232">
        <v>40191</v>
      </c>
      <c r="C85" t="s">
        <v>1453</v>
      </c>
      <c r="D85">
        <v>0</v>
      </c>
      <c r="E85">
        <v>1499</v>
      </c>
      <c r="F85">
        <v>548697.91</v>
      </c>
      <c r="G85" s="8" t="s">
        <v>1380</v>
      </c>
      <c r="I85" s="232">
        <v>40191</v>
      </c>
    </row>
    <row r="86" spans="1:9" hidden="1">
      <c r="A86" s="232">
        <v>40196</v>
      </c>
      <c r="C86" t="s">
        <v>5088</v>
      </c>
      <c r="D86">
        <v>8192.81</v>
      </c>
      <c r="E86">
        <v>0</v>
      </c>
      <c r="F86">
        <v>540505.1</v>
      </c>
      <c r="G86" s="8" t="s">
        <v>1362</v>
      </c>
      <c r="I86" s="232">
        <v>40196</v>
      </c>
    </row>
    <row r="87" spans="1:9" hidden="1">
      <c r="A87" s="232">
        <v>40200</v>
      </c>
      <c r="C87" t="s">
        <v>5089</v>
      </c>
      <c r="D87">
        <v>20000</v>
      </c>
      <c r="E87">
        <v>0</v>
      </c>
      <c r="F87">
        <v>520505.1</v>
      </c>
      <c r="G87" s="8" t="s">
        <v>1361</v>
      </c>
      <c r="I87" s="232">
        <v>40200</v>
      </c>
    </row>
    <row r="88" spans="1:9" hidden="1">
      <c r="A88" s="232">
        <v>40203</v>
      </c>
      <c r="C88" t="s">
        <v>5090</v>
      </c>
      <c r="D88">
        <v>881</v>
      </c>
      <c r="E88">
        <v>0</v>
      </c>
      <c r="F88">
        <v>519624.1</v>
      </c>
      <c r="I88" s="232">
        <v>40203</v>
      </c>
    </row>
    <row r="89" spans="1:9" hidden="1">
      <c r="A89" s="232">
        <v>40205</v>
      </c>
      <c r="C89" t="s">
        <v>5091</v>
      </c>
      <c r="D89">
        <v>712</v>
      </c>
      <c r="E89">
        <v>0</v>
      </c>
      <c r="F89">
        <v>518912.1</v>
      </c>
      <c r="I89" s="232">
        <v>40205</v>
      </c>
    </row>
    <row r="90" spans="1:9" hidden="1">
      <c r="A90" s="232">
        <v>40205</v>
      </c>
      <c r="C90" t="s">
        <v>5092</v>
      </c>
      <c r="D90">
        <v>882</v>
      </c>
      <c r="E90">
        <v>0</v>
      </c>
      <c r="F90">
        <v>518030.1</v>
      </c>
      <c r="I90" s="232">
        <v>40205</v>
      </c>
    </row>
    <row r="91" spans="1:9" hidden="1">
      <c r="A91" s="232">
        <v>40206</v>
      </c>
      <c r="C91" t="s">
        <v>1404</v>
      </c>
      <c r="D91">
        <v>0</v>
      </c>
      <c r="E91">
        <v>84703</v>
      </c>
      <c r="F91">
        <v>602733.1</v>
      </c>
      <c r="G91" s="8" t="s">
        <v>1380</v>
      </c>
      <c r="I91" s="232">
        <v>40206</v>
      </c>
    </row>
    <row r="92" spans="1:9" hidden="1">
      <c r="A92" s="232">
        <v>40210</v>
      </c>
      <c r="C92" t="s">
        <v>5093</v>
      </c>
      <c r="D92">
        <v>10952.71</v>
      </c>
      <c r="E92">
        <v>0</v>
      </c>
      <c r="F92">
        <v>591780.39</v>
      </c>
      <c r="I92" s="232">
        <v>40210</v>
      </c>
    </row>
    <row r="93" spans="1:9" hidden="1">
      <c r="A93" s="232">
        <v>40210</v>
      </c>
      <c r="C93" t="s">
        <v>5079</v>
      </c>
      <c r="D93">
        <v>21148.05</v>
      </c>
      <c r="E93">
        <v>0</v>
      </c>
      <c r="F93">
        <v>570632.34</v>
      </c>
      <c r="I93" s="232">
        <v>40210</v>
      </c>
    </row>
    <row r="94" spans="1:9" hidden="1">
      <c r="A94" s="232">
        <v>40212</v>
      </c>
      <c r="C94" t="s">
        <v>1453</v>
      </c>
      <c r="D94">
        <v>0</v>
      </c>
      <c r="E94">
        <v>1763</v>
      </c>
      <c r="F94">
        <v>572395.34</v>
      </c>
      <c r="G94" s="8" t="s">
        <v>1380</v>
      </c>
      <c r="I94" s="232">
        <v>40212</v>
      </c>
    </row>
    <row r="95" spans="1:9" hidden="1">
      <c r="A95" s="232">
        <v>40214</v>
      </c>
      <c r="C95">
        <v>4864093103224000</v>
      </c>
      <c r="D95">
        <v>9052</v>
      </c>
      <c r="E95">
        <v>0</v>
      </c>
      <c r="F95">
        <v>563343.34</v>
      </c>
      <c r="G95" s="8" t="s">
        <v>1362</v>
      </c>
      <c r="I95" s="232">
        <v>40214</v>
      </c>
    </row>
    <row r="96" spans="1:9" hidden="1">
      <c r="A96" s="232">
        <v>40221</v>
      </c>
      <c r="C96" t="s">
        <v>5094</v>
      </c>
      <c r="D96">
        <v>349.64</v>
      </c>
      <c r="E96">
        <v>0</v>
      </c>
      <c r="F96">
        <v>562993.69999999995</v>
      </c>
      <c r="I96" s="232">
        <v>40221</v>
      </c>
    </row>
    <row r="97" spans="1:9" hidden="1">
      <c r="A97" s="232">
        <v>40224</v>
      </c>
      <c r="C97" t="s">
        <v>5095</v>
      </c>
      <c r="D97">
        <v>6317.77</v>
      </c>
      <c r="E97">
        <v>0</v>
      </c>
      <c r="F97">
        <v>556675.93000000005</v>
      </c>
      <c r="G97" s="8" t="s">
        <v>1362</v>
      </c>
      <c r="I97" s="232">
        <v>40224</v>
      </c>
    </row>
    <row r="98" spans="1:9" hidden="1">
      <c r="A98" s="232">
        <v>40224</v>
      </c>
      <c r="C98" t="s">
        <v>5096</v>
      </c>
      <c r="D98">
        <v>881</v>
      </c>
      <c r="E98">
        <v>0</v>
      </c>
      <c r="F98">
        <v>555794.93000000005</v>
      </c>
      <c r="I98" s="232">
        <v>40224</v>
      </c>
    </row>
    <row r="99" spans="1:9" hidden="1">
      <c r="A99" s="232">
        <v>40224</v>
      </c>
      <c r="C99" t="s">
        <v>5097</v>
      </c>
      <c r="D99">
        <v>881</v>
      </c>
      <c r="E99">
        <v>0</v>
      </c>
      <c r="F99">
        <v>554913.93000000005</v>
      </c>
      <c r="I99" s="232">
        <v>40224</v>
      </c>
    </row>
    <row r="100" spans="1:9" hidden="1">
      <c r="A100" s="232">
        <v>40224</v>
      </c>
      <c r="C100" t="s">
        <v>5098</v>
      </c>
      <c r="D100">
        <v>10000</v>
      </c>
      <c r="E100">
        <v>0</v>
      </c>
      <c r="F100">
        <v>544913.93000000005</v>
      </c>
      <c r="G100" s="8" t="s">
        <v>1361</v>
      </c>
      <c r="I100" s="232">
        <v>40224</v>
      </c>
    </row>
    <row r="101" spans="1:9" hidden="1">
      <c r="A101" s="232">
        <v>40224</v>
      </c>
      <c r="C101" t="s">
        <v>5099</v>
      </c>
      <c r="D101">
        <v>15000</v>
      </c>
      <c r="E101">
        <v>0</v>
      </c>
      <c r="F101">
        <v>529913.93000000005</v>
      </c>
      <c r="G101" s="8" t="s">
        <v>1361</v>
      </c>
      <c r="I101" s="232">
        <v>40224</v>
      </c>
    </row>
    <row r="102" spans="1:9" hidden="1">
      <c r="A102" s="232">
        <v>40225</v>
      </c>
      <c r="C102" t="s">
        <v>1630</v>
      </c>
      <c r="D102">
        <v>6000</v>
      </c>
      <c r="E102">
        <v>0</v>
      </c>
      <c r="F102">
        <v>523913.93</v>
      </c>
      <c r="I102" s="232">
        <v>40225</v>
      </c>
    </row>
    <row r="103" spans="1:9" hidden="1">
      <c r="A103" s="232">
        <v>40228</v>
      </c>
      <c r="C103" t="s">
        <v>1481</v>
      </c>
      <c r="D103">
        <v>2475.1</v>
      </c>
      <c r="E103">
        <v>0</v>
      </c>
      <c r="F103">
        <v>521438.83</v>
      </c>
      <c r="I103" s="232">
        <v>40228</v>
      </c>
    </row>
    <row r="104" spans="1:9" hidden="1">
      <c r="A104" s="232">
        <v>40234</v>
      </c>
      <c r="C104" t="s">
        <v>1404</v>
      </c>
      <c r="D104">
        <v>0</v>
      </c>
      <c r="E104">
        <v>84702</v>
      </c>
      <c r="F104">
        <v>606140.82999999996</v>
      </c>
      <c r="G104" s="8" t="s">
        <v>1380</v>
      </c>
      <c r="I104" s="232">
        <v>40234</v>
      </c>
    </row>
    <row r="105" spans="1:9" hidden="1">
      <c r="A105" s="232">
        <v>40235</v>
      </c>
      <c r="C105" t="s">
        <v>5100</v>
      </c>
      <c r="D105">
        <v>59138</v>
      </c>
      <c r="E105">
        <v>0</v>
      </c>
      <c r="F105">
        <v>547002.82999999996</v>
      </c>
      <c r="G105" s="8" t="s">
        <v>1370</v>
      </c>
      <c r="I105" s="232">
        <v>40235</v>
      </c>
    </row>
    <row r="106" spans="1:9" hidden="1">
      <c r="A106" s="232">
        <v>40238</v>
      </c>
      <c r="C106" t="s">
        <v>5101</v>
      </c>
      <c r="D106">
        <v>0</v>
      </c>
      <c r="E106">
        <v>8760</v>
      </c>
      <c r="F106">
        <v>555762.82999999996</v>
      </c>
      <c r="G106" s="8" t="s">
        <v>1368</v>
      </c>
      <c r="I106" s="232">
        <v>40238</v>
      </c>
    </row>
    <row r="107" spans="1:9" hidden="1">
      <c r="A107" s="232">
        <v>40240</v>
      </c>
      <c r="C107" t="s">
        <v>1497</v>
      </c>
      <c r="D107">
        <v>0</v>
      </c>
      <c r="E107">
        <v>18381</v>
      </c>
      <c r="F107">
        <v>574143.82999999996</v>
      </c>
      <c r="G107" s="8" t="s">
        <v>1380</v>
      </c>
      <c r="I107" s="232">
        <v>40240</v>
      </c>
    </row>
    <row r="108" spans="1:9" hidden="1">
      <c r="A108" s="232">
        <v>40240</v>
      </c>
      <c r="C108" t="s">
        <v>5102</v>
      </c>
      <c r="D108">
        <v>1476</v>
      </c>
      <c r="E108">
        <v>0</v>
      </c>
      <c r="F108">
        <v>572667.82999999996</v>
      </c>
      <c r="I108" s="232">
        <v>40240</v>
      </c>
    </row>
    <row r="109" spans="1:9" hidden="1">
      <c r="A109" s="232">
        <v>40242</v>
      </c>
      <c r="C109" t="s">
        <v>5103</v>
      </c>
      <c r="D109">
        <v>0</v>
      </c>
      <c r="E109">
        <v>1476</v>
      </c>
      <c r="F109">
        <v>574143.82999999996</v>
      </c>
      <c r="I109" s="232">
        <v>40242</v>
      </c>
    </row>
    <row r="110" spans="1:9" hidden="1">
      <c r="A110" s="232">
        <v>40248</v>
      </c>
      <c r="C110" t="s">
        <v>1491</v>
      </c>
      <c r="D110">
        <v>0</v>
      </c>
      <c r="E110">
        <v>31780</v>
      </c>
      <c r="F110">
        <v>605923.82999999996</v>
      </c>
      <c r="G110" s="8" t="s">
        <v>1360</v>
      </c>
      <c r="I110" s="232">
        <v>40248</v>
      </c>
    </row>
    <row r="111" spans="1:9" hidden="1">
      <c r="A111" s="232">
        <v>40249</v>
      </c>
      <c r="C111" t="s">
        <v>5104</v>
      </c>
      <c r="D111">
        <v>20000</v>
      </c>
      <c r="E111">
        <v>0</v>
      </c>
      <c r="F111">
        <v>585923.82999999996</v>
      </c>
      <c r="G111" s="8" t="s">
        <v>1361</v>
      </c>
      <c r="I111" s="232">
        <v>40249</v>
      </c>
    </row>
    <row r="112" spans="1:9" hidden="1">
      <c r="A112" s="232">
        <v>40249</v>
      </c>
      <c r="C112" t="s">
        <v>5105</v>
      </c>
      <c r="D112">
        <v>881</v>
      </c>
      <c r="E112">
        <v>0</v>
      </c>
      <c r="F112">
        <v>585042.82999999996</v>
      </c>
      <c r="I112" s="232">
        <v>40249</v>
      </c>
    </row>
    <row r="113" spans="1:9" hidden="1">
      <c r="A113" s="232">
        <v>40249</v>
      </c>
      <c r="C113" t="s">
        <v>5106</v>
      </c>
      <c r="D113">
        <v>881</v>
      </c>
      <c r="E113">
        <v>0</v>
      </c>
      <c r="F113">
        <v>584161.82999999996</v>
      </c>
      <c r="I113" s="232">
        <v>40249</v>
      </c>
    </row>
    <row r="114" spans="1:9" hidden="1">
      <c r="A114" s="232">
        <v>40249</v>
      </c>
      <c r="C114" t="s">
        <v>1414</v>
      </c>
      <c r="D114">
        <v>0</v>
      </c>
      <c r="E114">
        <v>7317</v>
      </c>
      <c r="F114">
        <v>591478.82999999996</v>
      </c>
      <c r="G114" s="8" t="s">
        <v>1380</v>
      </c>
      <c r="I114" s="232">
        <v>40249</v>
      </c>
    </row>
    <row r="115" spans="1:9" hidden="1">
      <c r="A115" s="232">
        <v>40253</v>
      </c>
      <c r="C115" t="s">
        <v>5107</v>
      </c>
      <c r="D115">
        <v>3000</v>
      </c>
      <c r="E115">
        <v>0</v>
      </c>
      <c r="F115">
        <v>588478.82999999996</v>
      </c>
      <c r="G115" s="8" t="s">
        <v>1361</v>
      </c>
      <c r="I115" s="232">
        <v>40253</v>
      </c>
    </row>
    <row r="116" spans="1:9" hidden="1">
      <c r="A116" s="232">
        <v>40260</v>
      </c>
      <c r="C116" t="s">
        <v>5108</v>
      </c>
      <c r="D116">
        <v>20557.46</v>
      </c>
      <c r="E116">
        <v>0</v>
      </c>
      <c r="F116">
        <v>567921.37</v>
      </c>
      <c r="G116" s="8" t="s">
        <v>1362</v>
      </c>
      <c r="I116" s="232">
        <v>40260</v>
      </c>
    </row>
    <row r="117" spans="1:9" hidden="1">
      <c r="A117" s="232">
        <v>40260</v>
      </c>
      <c r="C117" t="s">
        <v>5109</v>
      </c>
      <c r="D117">
        <v>3210</v>
      </c>
      <c r="E117">
        <v>0</v>
      </c>
      <c r="F117">
        <v>564711.37</v>
      </c>
      <c r="G117" s="8" t="s">
        <v>1370</v>
      </c>
      <c r="I117" s="232">
        <v>40260</v>
      </c>
    </row>
    <row r="118" spans="1:9" hidden="1">
      <c r="A118" s="232">
        <v>40261</v>
      </c>
      <c r="C118" t="s">
        <v>5110</v>
      </c>
      <c r="D118">
        <v>0</v>
      </c>
      <c r="E118">
        <v>1217.18</v>
      </c>
      <c r="F118">
        <v>565928.55000000005</v>
      </c>
      <c r="G118" s="8" t="s">
        <v>1375</v>
      </c>
      <c r="I118" s="232">
        <v>40261</v>
      </c>
    </row>
    <row r="119" spans="1:9" hidden="1">
      <c r="A119" s="232">
        <v>40263</v>
      </c>
      <c r="C119" t="s">
        <v>1414</v>
      </c>
      <c r="D119">
        <v>0</v>
      </c>
      <c r="E119">
        <v>881</v>
      </c>
      <c r="F119">
        <v>566809.55000000005</v>
      </c>
      <c r="G119" s="8" t="s">
        <v>1380</v>
      </c>
      <c r="I119" s="232">
        <v>40263</v>
      </c>
    </row>
    <row r="120" spans="1:9" hidden="1">
      <c r="A120" s="232">
        <v>40267</v>
      </c>
      <c r="C120" t="s">
        <v>1404</v>
      </c>
      <c r="D120">
        <v>0</v>
      </c>
      <c r="E120">
        <v>126065</v>
      </c>
      <c r="F120">
        <v>692874.55</v>
      </c>
      <c r="G120" s="8" t="s">
        <v>1380</v>
      </c>
      <c r="I120" s="232">
        <v>40267</v>
      </c>
    </row>
    <row r="121" spans="1:9" hidden="1">
      <c r="A121" s="232">
        <v>40269</v>
      </c>
      <c r="C121" t="s">
        <v>1394</v>
      </c>
      <c r="D121">
        <v>0</v>
      </c>
      <c r="E121">
        <v>0</v>
      </c>
      <c r="F121">
        <v>692874.55</v>
      </c>
      <c r="I121" s="232">
        <v>40269</v>
      </c>
    </row>
    <row r="122" spans="1:9" hidden="1">
      <c r="A122" s="232">
        <v>40274</v>
      </c>
      <c r="C122" t="s">
        <v>5111</v>
      </c>
      <c r="D122">
        <v>3970.95</v>
      </c>
      <c r="E122">
        <v>0</v>
      </c>
      <c r="F122">
        <v>688903.6</v>
      </c>
      <c r="G122" s="8" t="s">
        <v>1362</v>
      </c>
      <c r="I122" s="232">
        <v>40274</v>
      </c>
    </row>
    <row r="123" spans="1:9" hidden="1">
      <c r="A123" s="232">
        <v>40275</v>
      </c>
      <c r="C123" t="s">
        <v>5112</v>
      </c>
      <c r="D123">
        <v>20000</v>
      </c>
      <c r="E123">
        <v>0</v>
      </c>
      <c r="F123">
        <v>668903.6</v>
      </c>
      <c r="G123" s="8" t="s">
        <v>1378</v>
      </c>
      <c r="I123" s="232">
        <v>40275</v>
      </c>
    </row>
    <row r="124" spans="1:9" hidden="1">
      <c r="A124" s="232">
        <v>40281</v>
      </c>
      <c r="C124" t="s">
        <v>5113</v>
      </c>
      <c r="D124">
        <v>906</v>
      </c>
      <c r="E124">
        <v>0</v>
      </c>
      <c r="F124">
        <v>667997.6</v>
      </c>
      <c r="I124" s="232">
        <v>40281</v>
      </c>
    </row>
    <row r="125" spans="1:9" hidden="1">
      <c r="A125" s="232">
        <v>40287</v>
      </c>
      <c r="C125" t="s">
        <v>5114</v>
      </c>
      <c r="D125">
        <v>4907.32</v>
      </c>
      <c r="E125">
        <v>0</v>
      </c>
      <c r="F125">
        <v>663090.28</v>
      </c>
      <c r="G125" s="8" t="s">
        <v>1362</v>
      </c>
      <c r="I125" s="232">
        <v>40287</v>
      </c>
    </row>
    <row r="126" spans="1:9" hidden="1">
      <c r="A126" s="232">
        <v>40289</v>
      </c>
      <c r="C126" t="s">
        <v>5115</v>
      </c>
      <c r="D126">
        <v>0</v>
      </c>
      <c r="E126">
        <v>906</v>
      </c>
      <c r="F126">
        <v>663996.28</v>
      </c>
      <c r="G126" s="8" t="s">
        <v>1380</v>
      </c>
      <c r="I126" s="232">
        <v>40289</v>
      </c>
    </row>
    <row r="127" spans="1:9" hidden="1">
      <c r="A127" s="232">
        <v>40297</v>
      </c>
      <c r="C127" t="s">
        <v>5116</v>
      </c>
      <c r="D127">
        <v>0</v>
      </c>
      <c r="E127">
        <v>1647</v>
      </c>
      <c r="F127">
        <v>665643.28</v>
      </c>
      <c r="G127" s="8" t="s">
        <v>1368</v>
      </c>
      <c r="I127" s="232">
        <v>40297</v>
      </c>
    </row>
    <row r="128" spans="1:9" hidden="1">
      <c r="A128" s="232">
        <v>40297</v>
      </c>
      <c r="C128" t="s">
        <v>1404</v>
      </c>
      <c r="D128">
        <v>0</v>
      </c>
      <c r="E128">
        <v>420481</v>
      </c>
      <c r="F128">
        <v>1086124.28</v>
      </c>
      <c r="G128" s="8" t="s">
        <v>1380</v>
      </c>
      <c r="I128" s="232">
        <v>40297</v>
      </c>
    </row>
    <row r="129" spans="1:9" hidden="1">
      <c r="A129" s="232">
        <v>40301</v>
      </c>
      <c r="C129" t="s">
        <v>5117</v>
      </c>
      <c r="D129">
        <v>20000</v>
      </c>
      <c r="E129">
        <v>0</v>
      </c>
      <c r="F129">
        <v>1066124.28</v>
      </c>
      <c r="G129" s="8" t="s">
        <v>1361</v>
      </c>
      <c r="I129" s="232">
        <v>40301</v>
      </c>
    </row>
    <row r="130" spans="1:9" hidden="1">
      <c r="A130" s="232">
        <v>40304</v>
      </c>
      <c r="C130" t="s">
        <v>5118</v>
      </c>
      <c r="D130">
        <v>15479</v>
      </c>
      <c r="E130">
        <v>0</v>
      </c>
      <c r="F130">
        <v>1050645.28</v>
      </c>
      <c r="G130" s="8" t="s">
        <v>1362</v>
      </c>
      <c r="I130" s="232">
        <v>40304</v>
      </c>
    </row>
    <row r="131" spans="1:9" hidden="1">
      <c r="A131" s="232">
        <v>40305</v>
      </c>
      <c r="C131" t="s">
        <v>5119</v>
      </c>
      <c r="D131">
        <v>886</v>
      </c>
      <c r="E131">
        <v>0</v>
      </c>
      <c r="F131">
        <v>1049759.28</v>
      </c>
      <c r="I131" s="232">
        <v>40305</v>
      </c>
    </row>
    <row r="132" spans="1:9" hidden="1">
      <c r="A132" s="232">
        <v>40305</v>
      </c>
      <c r="C132" t="s">
        <v>5120</v>
      </c>
      <c r="D132">
        <v>881</v>
      </c>
      <c r="E132">
        <v>0</v>
      </c>
      <c r="F132">
        <v>1048878.28</v>
      </c>
      <c r="I132" s="232">
        <v>40305</v>
      </c>
    </row>
    <row r="133" spans="1:9" hidden="1">
      <c r="A133" s="232">
        <v>40306</v>
      </c>
      <c r="C133" t="s">
        <v>1526</v>
      </c>
      <c r="D133">
        <v>3000</v>
      </c>
      <c r="E133">
        <v>0</v>
      </c>
      <c r="F133">
        <v>1045878.28</v>
      </c>
      <c r="I133" s="232">
        <v>40306</v>
      </c>
    </row>
    <row r="134" spans="1:9" hidden="1">
      <c r="A134" s="232">
        <v>40308</v>
      </c>
      <c r="C134" t="s">
        <v>2457</v>
      </c>
      <c r="D134">
        <v>400000</v>
      </c>
      <c r="E134">
        <v>0</v>
      </c>
      <c r="F134">
        <v>645878.28</v>
      </c>
      <c r="G134" s="8" t="s">
        <v>1363</v>
      </c>
      <c r="I134" s="232">
        <v>40308</v>
      </c>
    </row>
    <row r="135" spans="1:9" hidden="1">
      <c r="A135" s="232">
        <v>40309</v>
      </c>
      <c r="C135" t="s">
        <v>5121</v>
      </c>
      <c r="D135">
        <v>10000</v>
      </c>
      <c r="E135">
        <v>0</v>
      </c>
      <c r="F135">
        <v>635878.28</v>
      </c>
      <c r="I135" s="232">
        <v>40309</v>
      </c>
    </row>
    <row r="136" spans="1:9" hidden="1">
      <c r="A136" s="232">
        <v>40315</v>
      </c>
      <c r="C136" t="s">
        <v>5122</v>
      </c>
      <c r="D136">
        <v>5000</v>
      </c>
      <c r="E136">
        <v>0</v>
      </c>
      <c r="F136">
        <v>630878.28</v>
      </c>
      <c r="G136" s="8" t="s">
        <v>1361</v>
      </c>
      <c r="I136" s="232">
        <v>40315</v>
      </c>
    </row>
    <row r="137" spans="1:9" hidden="1">
      <c r="A137" s="232">
        <v>40316</v>
      </c>
      <c r="C137" t="s">
        <v>5123</v>
      </c>
      <c r="D137">
        <v>1537.5</v>
      </c>
      <c r="E137">
        <v>0</v>
      </c>
      <c r="F137">
        <v>629340.78</v>
      </c>
      <c r="G137" s="8" t="s">
        <v>1362</v>
      </c>
      <c r="I137" s="232">
        <v>40316</v>
      </c>
    </row>
    <row r="138" spans="1:9" hidden="1">
      <c r="A138" s="232">
        <v>40316</v>
      </c>
      <c r="C138" t="s">
        <v>5124</v>
      </c>
      <c r="D138">
        <v>1397.71</v>
      </c>
      <c r="E138">
        <v>0</v>
      </c>
      <c r="F138">
        <v>627943.06999999995</v>
      </c>
      <c r="G138" s="8" t="s">
        <v>1362</v>
      </c>
      <c r="I138" s="232">
        <v>40316</v>
      </c>
    </row>
    <row r="139" spans="1:9" hidden="1">
      <c r="A139" s="232">
        <v>40316</v>
      </c>
      <c r="C139" t="s">
        <v>1414</v>
      </c>
      <c r="D139">
        <v>0</v>
      </c>
      <c r="E139">
        <v>886</v>
      </c>
      <c r="F139">
        <v>628829.06999999995</v>
      </c>
      <c r="G139" s="8" t="s">
        <v>1380</v>
      </c>
      <c r="I139" s="232">
        <v>40316</v>
      </c>
    </row>
    <row r="140" spans="1:9" hidden="1">
      <c r="A140" s="232">
        <v>40323</v>
      </c>
      <c r="C140" t="s">
        <v>959</v>
      </c>
      <c r="D140">
        <v>238859</v>
      </c>
      <c r="E140">
        <v>0</v>
      </c>
      <c r="F140">
        <v>389970.07</v>
      </c>
      <c r="G140" s="8" t="s">
        <v>1370</v>
      </c>
      <c r="I140" s="232">
        <v>40323</v>
      </c>
    </row>
    <row r="141" spans="1:9" hidden="1">
      <c r="A141" s="232">
        <v>40326</v>
      </c>
      <c r="C141" t="s">
        <v>1404</v>
      </c>
      <c r="D141">
        <v>0</v>
      </c>
      <c r="E141">
        <v>99907</v>
      </c>
      <c r="F141">
        <v>489877.07</v>
      </c>
      <c r="G141" s="8" t="s">
        <v>1380</v>
      </c>
      <c r="I141" s="232">
        <v>40326</v>
      </c>
    </row>
    <row r="142" spans="1:9" hidden="1">
      <c r="A142" s="232">
        <v>40327</v>
      </c>
      <c r="C142" t="s">
        <v>5125</v>
      </c>
      <c r="D142">
        <v>1249.3599999999999</v>
      </c>
      <c r="E142">
        <v>0</v>
      </c>
      <c r="F142">
        <v>488627.71</v>
      </c>
      <c r="I142" s="232">
        <v>40327</v>
      </c>
    </row>
    <row r="143" spans="1:9" hidden="1">
      <c r="A143" s="232">
        <v>40336</v>
      </c>
      <c r="C143" t="s">
        <v>5126</v>
      </c>
      <c r="D143">
        <v>7705.5</v>
      </c>
      <c r="E143">
        <v>0</v>
      </c>
      <c r="F143">
        <v>480922.21</v>
      </c>
      <c r="G143" s="8" t="s">
        <v>1362</v>
      </c>
      <c r="I143" s="232">
        <v>40336</v>
      </c>
    </row>
    <row r="144" spans="1:9" hidden="1">
      <c r="A144" s="232">
        <v>40343</v>
      </c>
      <c r="C144" t="s">
        <v>5127</v>
      </c>
      <c r="D144">
        <v>881</v>
      </c>
      <c r="E144">
        <v>0</v>
      </c>
      <c r="F144">
        <v>480041.21</v>
      </c>
      <c r="I144" s="232">
        <v>40343</v>
      </c>
    </row>
    <row r="145" spans="1:9" hidden="1">
      <c r="A145" s="232">
        <v>40343</v>
      </c>
      <c r="C145" t="s">
        <v>5128</v>
      </c>
      <c r="D145">
        <v>881</v>
      </c>
      <c r="E145">
        <v>0</v>
      </c>
      <c r="F145">
        <v>479160.21</v>
      </c>
      <c r="I145" s="232">
        <v>40343</v>
      </c>
    </row>
    <row r="146" spans="1:9" hidden="1">
      <c r="A146" s="232">
        <v>40348</v>
      </c>
      <c r="C146" t="s">
        <v>5129</v>
      </c>
      <c r="D146">
        <v>19463</v>
      </c>
      <c r="E146">
        <v>0</v>
      </c>
      <c r="F146">
        <v>459697.21</v>
      </c>
      <c r="I146" s="232">
        <v>40348</v>
      </c>
    </row>
    <row r="147" spans="1:9" hidden="1">
      <c r="A147" s="232">
        <v>40352</v>
      </c>
      <c r="C147" t="s">
        <v>5130</v>
      </c>
      <c r="D147">
        <v>0</v>
      </c>
      <c r="E147">
        <v>14758.24</v>
      </c>
      <c r="F147">
        <v>474455.45</v>
      </c>
      <c r="G147" s="8" t="s">
        <v>1380</v>
      </c>
      <c r="I147" s="232">
        <v>40352</v>
      </c>
    </row>
    <row r="148" spans="1:9" hidden="1">
      <c r="A148" s="232">
        <v>40353</v>
      </c>
      <c r="C148" t="s">
        <v>1473</v>
      </c>
      <c r="D148">
        <v>6553</v>
      </c>
      <c r="E148">
        <v>0</v>
      </c>
      <c r="F148">
        <v>467902.45</v>
      </c>
      <c r="G148" s="8" t="s">
        <v>1370</v>
      </c>
      <c r="I148" s="232">
        <v>40353</v>
      </c>
    </row>
    <row r="149" spans="1:9" hidden="1">
      <c r="A149" s="232">
        <v>40357</v>
      </c>
      <c r="C149" t="s">
        <v>5131</v>
      </c>
      <c r="D149">
        <v>3210</v>
      </c>
      <c r="E149">
        <v>0</v>
      </c>
      <c r="F149">
        <v>464692.45</v>
      </c>
      <c r="G149" s="8" t="s">
        <v>1370</v>
      </c>
      <c r="I149" s="232">
        <v>40357</v>
      </c>
    </row>
    <row r="150" spans="1:9" hidden="1">
      <c r="A150" s="232">
        <v>40358</v>
      </c>
      <c r="C150" t="s">
        <v>1453</v>
      </c>
      <c r="D150">
        <v>0</v>
      </c>
      <c r="E150">
        <v>881</v>
      </c>
      <c r="F150">
        <v>465573.45</v>
      </c>
      <c r="G150" s="8" t="s">
        <v>1380</v>
      </c>
      <c r="I150" s="232">
        <v>40358</v>
      </c>
    </row>
    <row r="151" spans="1:9" hidden="1">
      <c r="A151" s="232">
        <v>40358</v>
      </c>
      <c r="C151" t="s">
        <v>1404</v>
      </c>
      <c r="D151">
        <v>0</v>
      </c>
      <c r="E151">
        <v>99907</v>
      </c>
      <c r="F151">
        <v>565480.44999999995</v>
      </c>
      <c r="G151" s="8" t="s">
        <v>1380</v>
      </c>
      <c r="I151" s="232">
        <v>40358</v>
      </c>
    </row>
    <row r="152" spans="1:9" hidden="1">
      <c r="A152" s="232">
        <v>40361</v>
      </c>
      <c r="C152" t="s">
        <v>5132</v>
      </c>
      <c r="D152">
        <v>5000</v>
      </c>
      <c r="E152">
        <v>0</v>
      </c>
      <c r="F152">
        <v>560480.44999999995</v>
      </c>
      <c r="G152" s="8" t="s">
        <v>1361</v>
      </c>
      <c r="I152" s="232">
        <v>40361</v>
      </c>
    </row>
    <row r="153" spans="1:9" hidden="1">
      <c r="A153" s="232">
        <v>40361</v>
      </c>
      <c r="C153" t="s">
        <v>5133</v>
      </c>
      <c r="D153">
        <v>5000</v>
      </c>
      <c r="E153">
        <v>0</v>
      </c>
      <c r="F153">
        <v>555480.44999999995</v>
      </c>
      <c r="G153" s="8" t="s">
        <v>1361</v>
      </c>
      <c r="I153" s="232">
        <v>40361</v>
      </c>
    </row>
    <row r="154" spans="1:9" hidden="1">
      <c r="A154" s="232">
        <v>40365</v>
      </c>
      <c r="C154" t="s">
        <v>5134</v>
      </c>
      <c r="D154">
        <v>4403.72</v>
      </c>
      <c r="E154">
        <v>0</v>
      </c>
      <c r="F154">
        <v>551076.73</v>
      </c>
      <c r="G154" s="8" t="s">
        <v>1362</v>
      </c>
      <c r="I154" s="232">
        <v>40365</v>
      </c>
    </row>
    <row r="155" spans="1:9" hidden="1">
      <c r="A155" s="232">
        <v>40372</v>
      </c>
      <c r="C155" t="s">
        <v>5135</v>
      </c>
      <c r="D155">
        <v>300000</v>
      </c>
      <c r="E155">
        <v>0</v>
      </c>
      <c r="F155">
        <v>251076.73</v>
      </c>
      <c r="I155" s="232">
        <v>40372</v>
      </c>
    </row>
    <row r="156" spans="1:9" hidden="1">
      <c r="A156" s="232">
        <v>40373</v>
      </c>
      <c r="C156" t="s">
        <v>5136</v>
      </c>
      <c r="D156">
        <v>9019.8799999999992</v>
      </c>
      <c r="E156">
        <v>0</v>
      </c>
      <c r="F156">
        <v>242056.85</v>
      </c>
      <c r="G156" s="8" t="s">
        <v>1362</v>
      </c>
      <c r="I156" s="232">
        <v>40373</v>
      </c>
    </row>
    <row r="157" spans="1:9" hidden="1">
      <c r="A157" s="232">
        <v>40373</v>
      </c>
      <c r="C157" t="s">
        <v>5137</v>
      </c>
      <c r="D157">
        <v>161</v>
      </c>
      <c r="E157">
        <v>0</v>
      </c>
      <c r="F157">
        <v>241895.85</v>
      </c>
      <c r="G157" s="8" t="s">
        <v>1362</v>
      </c>
      <c r="I157" s="232">
        <v>40373</v>
      </c>
    </row>
    <row r="158" spans="1:9" hidden="1">
      <c r="A158" s="232">
        <v>40374</v>
      </c>
      <c r="C158" t="s">
        <v>5138</v>
      </c>
      <c r="D158">
        <v>1000</v>
      </c>
      <c r="E158">
        <v>0</v>
      </c>
      <c r="F158">
        <v>240895.85</v>
      </c>
      <c r="I158" s="232">
        <v>40374</v>
      </c>
    </row>
    <row r="159" spans="1:9" hidden="1">
      <c r="A159" s="232">
        <v>40385</v>
      </c>
      <c r="C159" t="s">
        <v>5139</v>
      </c>
      <c r="D159">
        <v>881</v>
      </c>
      <c r="E159">
        <v>0</v>
      </c>
      <c r="F159">
        <v>240014.85</v>
      </c>
      <c r="I159" s="232">
        <v>40385</v>
      </c>
    </row>
    <row r="160" spans="1:9" hidden="1">
      <c r="A160" s="232">
        <v>40385</v>
      </c>
      <c r="C160" t="s">
        <v>5140</v>
      </c>
      <c r="D160">
        <v>881</v>
      </c>
      <c r="E160">
        <v>0</v>
      </c>
      <c r="F160">
        <v>239133.85</v>
      </c>
      <c r="I160" s="232">
        <v>40385</v>
      </c>
    </row>
    <row r="161" spans="1:9" hidden="1">
      <c r="A161" s="232">
        <v>40388</v>
      </c>
      <c r="C161" t="s">
        <v>1404</v>
      </c>
      <c r="D161">
        <v>0</v>
      </c>
      <c r="E161">
        <v>99907</v>
      </c>
      <c r="F161">
        <v>339040.85</v>
      </c>
      <c r="G161" s="8" t="s">
        <v>1380</v>
      </c>
      <c r="I161" s="232">
        <v>40388</v>
      </c>
    </row>
    <row r="162" spans="1:9" hidden="1">
      <c r="A162" s="232">
        <v>40395</v>
      </c>
      <c r="C162" t="s">
        <v>5141</v>
      </c>
      <c r="D162">
        <v>3277.25</v>
      </c>
      <c r="E162">
        <v>0</v>
      </c>
      <c r="F162">
        <v>335763.6</v>
      </c>
      <c r="G162" s="8" t="s">
        <v>1362</v>
      </c>
      <c r="I162" s="232">
        <v>40395</v>
      </c>
    </row>
    <row r="163" spans="1:9" hidden="1">
      <c r="A163" s="232">
        <v>40402</v>
      </c>
      <c r="C163" t="s">
        <v>1414</v>
      </c>
      <c r="D163">
        <v>0</v>
      </c>
      <c r="E163">
        <v>881</v>
      </c>
      <c r="F163">
        <v>336644.6</v>
      </c>
      <c r="G163" s="8" t="s">
        <v>1380</v>
      </c>
      <c r="I163" s="232">
        <v>40402</v>
      </c>
    </row>
    <row r="164" spans="1:9" hidden="1">
      <c r="A164" s="232">
        <v>40406</v>
      </c>
      <c r="C164" t="s">
        <v>5142</v>
      </c>
      <c r="D164">
        <v>17835.25</v>
      </c>
      <c r="E164">
        <v>0</v>
      </c>
      <c r="F164">
        <v>318809.34999999998</v>
      </c>
      <c r="G164" s="8" t="s">
        <v>1362</v>
      </c>
      <c r="I164" s="232">
        <v>40406</v>
      </c>
    </row>
    <row r="165" spans="1:9" hidden="1">
      <c r="A165" s="232">
        <v>40409</v>
      </c>
      <c r="C165" t="s">
        <v>5143</v>
      </c>
      <c r="D165">
        <v>882</v>
      </c>
      <c r="E165">
        <v>0</v>
      </c>
      <c r="F165">
        <v>317927.34999999998</v>
      </c>
      <c r="I165" s="232">
        <v>40409</v>
      </c>
    </row>
    <row r="166" spans="1:9" hidden="1">
      <c r="A166" s="232">
        <v>40409</v>
      </c>
      <c r="C166" t="s">
        <v>5144</v>
      </c>
      <c r="D166">
        <v>882</v>
      </c>
      <c r="E166">
        <v>0</v>
      </c>
      <c r="F166">
        <v>317045.34999999998</v>
      </c>
      <c r="I166" s="232">
        <v>40409</v>
      </c>
    </row>
    <row r="167" spans="1:9" hidden="1">
      <c r="A167" s="232">
        <v>40420</v>
      </c>
      <c r="C167" t="s">
        <v>1404</v>
      </c>
      <c r="D167">
        <v>0</v>
      </c>
      <c r="E167">
        <v>99907</v>
      </c>
      <c r="F167">
        <v>416952.35</v>
      </c>
      <c r="G167" s="8" t="s">
        <v>1380</v>
      </c>
      <c r="I167" s="232">
        <v>40420</v>
      </c>
    </row>
    <row r="168" spans="1:9" hidden="1">
      <c r="A168" s="232">
        <v>40424</v>
      </c>
      <c r="C168" t="s">
        <v>1537</v>
      </c>
      <c r="D168">
        <v>0</v>
      </c>
      <c r="E168">
        <v>882</v>
      </c>
      <c r="F168">
        <v>417834.35</v>
      </c>
      <c r="G168" s="8" t="s">
        <v>1380</v>
      </c>
      <c r="I168" s="232">
        <v>40424</v>
      </c>
    </row>
    <row r="169" spans="1:9" hidden="1">
      <c r="A169" s="232">
        <v>40425</v>
      </c>
      <c r="C169" t="s">
        <v>5145</v>
      </c>
      <c r="D169">
        <v>0</v>
      </c>
      <c r="E169">
        <v>7620</v>
      </c>
      <c r="F169">
        <v>425454.35</v>
      </c>
      <c r="G169" s="8" t="s">
        <v>1368</v>
      </c>
      <c r="I169" s="232">
        <v>40425</v>
      </c>
    </row>
    <row r="170" spans="1:9" hidden="1">
      <c r="A170" s="232">
        <v>40427</v>
      </c>
      <c r="C170" t="s">
        <v>5146</v>
      </c>
      <c r="D170">
        <v>10000</v>
      </c>
      <c r="E170">
        <v>0</v>
      </c>
      <c r="F170">
        <v>415454.35</v>
      </c>
      <c r="G170" s="8" t="s">
        <v>1361</v>
      </c>
      <c r="I170" s="232">
        <v>40427</v>
      </c>
    </row>
    <row r="171" spans="1:9" hidden="1">
      <c r="A171" s="232">
        <v>40430</v>
      </c>
      <c r="C171" t="s">
        <v>5147</v>
      </c>
      <c r="D171">
        <v>0</v>
      </c>
      <c r="E171">
        <v>6544.27</v>
      </c>
      <c r="F171">
        <v>421998.62</v>
      </c>
      <c r="G171" s="8" t="s">
        <v>1380</v>
      </c>
      <c r="I171" s="232">
        <v>40430</v>
      </c>
    </row>
    <row r="172" spans="1:9" hidden="1">
      <c r="A172" s="232">
        <v>40435</v>
      </c>
      <c r="C172" t="s">
        <v>1550</v>
      </c>
      <c r="D172">
        <v>3000</v>
      </c>
      <c r="E172">
        <v>0</v>
      </c>
      <c r="F172">
        <v>418998.62</v>
      </c>
      <c r="I172" s="232">
        <v>40435</v>
      </c>
    </row>
    <row r="173" spans="1:9" hidden="1">
      <c r="A173" s="232">
        <v>40436</v>
      </c>
      <c r="C173" t="s">
        <v>5148</v>
      </c>
      <c r="D173">
        <v>15417.85</v>
      </c>
      <c r="E173">
        <v>0</v>
      </c>
      <c r="F173">
        <v>403580.77</v>
      </c>
      <c r="G173" s="8" t="s">
        <v>1362</v>
      </c>
      <c r="I173" s="232">
        <v>40436</v>
      </c>
    </row>
    <row r="174" spans="1:9" hidden="1">
      <c r="A174" s="232">
        <v>40442</v>
      </c>
      <c r="C174" t="s">
        <v>1630</v>
      </c>
      <c r="D174">
        <v>1250</v>
      </c>
      <c r="E174">
        <v>0</v>
      </c>
      <c r="F174">
        <v>402330.77</v>
      </c>
      <c r="I174" s="232">
        <v>40442</v>
      </c>
    </row>
    <row r="175" spans="1:9" hidden="1">
      <c r="A175" s="232">
        <v>40444</v>
      </c>
      <c r="C175" t="s">
        <v>5149</v>
      </c>
      <c r="D175">
        <v>889</v>
      </c>
      <c r="E175">
        <v>0</v>
      </c>
      <c r="F175">
        <v>401441.77</v>
      </c>
      <c r="I175" s="232">
        <v>40444</v>
      </c>
    </row>
    <row r="176" spans="1:9" hidden="1">
      <c r="A176" s="232">
        <v>40444</v>
      </c>
      <c r="C176" t="s">
        <v>5150</v>
      </c>
      <c r="D176">
        <v>881</v>
      </c>
      <c r="E176">
        <v>0</v>
      </c>
      <c r="F176">
        <v>400560.77</v>
      </c>
      <c r="I176" s="232">
        <v>40444</v>
      </c>
    </row>
    <row r="177" spans="1:9" hidden="1">
      <c r="A177" s="232">
        <v>40450</v>
      </c>
      <c r="C177" t="s">
        <v>1404</v>
      </c>
      <c r="D177">
        <v>0</v>
      </c>
      <c r="E177">
        <v>102644</v>
      </c>
      <c r="F177">
        <v>503204.77</v>
      </c>
      <c r="G177" s="8" t="s">
        <v>1380</v>
      </c>
      <c r="I177" s="232">
        <v>40450</v>
      </c>
    </row>
    <row r="178" spans="1:9" hidden="1">
      <c r="A178" s="232">
        <v>40455</v>
      </c>
      <c r="C178" t="s">
        <v>5151</v>
      </c>
      <c r="D178">
        <v>5612</v>
      </c>
      <c r="E178">
        <v>0</v>
      </c>
      <c r="F178">
        <v>497592.77</v>
      </c>
      <c r="G178" s="8" t="s">
        <v>1370</v>
      </c>
      <c r="I178" s="232">
        <v>40455</v>
      </c>
    </row>
    <row r="179" spans="1:9" hidden="1">
      <c r="A179" s="232">
        <v>40457</v>
      </c>
      <c r="C179" t="s">
        <v>5152</v>
      </c>
      <c r="D179">
        <v>28015</v>
      </c>
      <c r="E179">
        <v>0</v>
      </c>
      <c r="F179">
        <v>469577.77</v>
      </c>
      <c r="G179" s="8" t="s">
        <v>1362</v>
      </c>
      <c r="I179" s="232">
        <v>40457</v>
      </c>
    </row>
    <row r="180" spans="1:9" hidden="1">
      <c r="A180" s="232">
        <v>40459</v>
      </c>
      <c r="C180" t="s">
        <v>1537</v>
      </c>
      <c r="D180">
        <v>0</v>
      </c>
      <c r="E180">
        <v>889</v>
      </c>
      <c r="F180">
        <v>470466.77</v>
      </c>
      <c r="G180" s="8" t="s">
        <v>1380</v>
      </c>
      <c r="I180" s="232">
        <v>40459</v>
      </c>
    </row>
    <row r="181" spans="1:9" hidden="1">
      <c r="A181" s="232">
        <v>40463</v>
      </c>
      <c r="C181" t="s">
        <v>5153</v>
      </c>
      <c r="D181">
        <v>887</v>
      </c>
      <c r="E181">
        <v>0</v>
      </c>
      <c r="F181">
        <v>469579.77</v>
      </c>
      <c r="I181" s="232">
        <v>40463</v>
      </c>
    </row>
    <row r="182" spans="1:9" hidden="1">
      <c r="A182" s="232">
        <v>40463</v>
      </c>
      <c r="C182" t="s">
        <v>5154</v>
      </c>
      <c r="D182">
        <v>883</v>
      </c>
      <c r="E182">
        <v>0</v>
      </c>
      <c r="F182">
        <v>468696.77</v>
      </c>
      <c r="I182" s="232">
        <v>40463</v>
      </c>
    </row>
    <row r="183" spans="1:9" hidden="1">
      <c r="A183" s="232">
        <v>40476</v>
      </c>
      <c r="C183" t="s">
        <v>5155</v>
      </c>
      <c r="D183">
        <v>10000</v>
      </c>
      <c r="E183">
        <v>0</v>
      </c>
      <c r="F183">
        <v>458696.77</v>
      </c>
      <c r="G183" s="8" t="s">
        <v>1361</v>
      </c>
      <c r="I183" s="232">
        <v>40476</v>
      </c>
    </row>
    <row r="184" spans="1:9" hidden="1">
      <c r="A184" s="232">
        <v>40477</v>
      </c>
      <c r="C184" t="s">
        <v>5156</v>
      </c>
      <c r="D184">
        <v>9587.89</v>
      </c>
      <c r="E184">
        <v>0</v>
      </c>
      <c r="F184">
        <v>449108.88</v>
      </c>
      <c r="G184" s="8" t="s">
        <v>1362</v>
      </c>
      <c r="I184" s="232">
        <v>40477</v>
      </c>
    </row>
    <row r="185" spans="1:9" hidden="1">
      <c r="A185" s="232">
        <v>40477</v>
      </c>
      <c r="C185" t="s">
        <v>1544</v>
      </c>
      <c r="D185">
        <v>0</v>
      </c>
      <c r="E185">
        <v>29888</v>
      </c>
      <c r="F185">
        <v>478996.88</v>
      </c>
      <c r="G185" s="8" t="s">
        <v>1380</v>
      </c>
      <c r="I185" s="232">
        <v>40477</v>
      </c>
    </row>
    <row r="186" spans="1:9" hidden="1">
      <c r="A186" s="232">
        <v>40479</v>
      </c>
      <c r="C186" t="s">
        <v>5157</v>
      </c>
      <c r="D186">
        <v>10000</v>
      </c>
      <c r="E186">
        <v>0</v>
      </c>
      <c r="F186">
        <v>468996.88</v>
      </c>
      <c r="G186" s="8" t="s">
        <v>1361</v>
      </c>
      <c r="I186" s="232">
        <v>40479</v>
      </c>
    </row>
    <row r="187" spans="1:9" hidden="1">
      <c r="A187" s="232">
        <v>40479</v>
      </c>
      <c r="C187" t="s">
        <v>1546</v>
      </c>
      <c r="D187">
        <v>0</v>
      </c>
      <c r="E187">
        <v>99907</v>
      </c>
      <c r="F187">
        <v>568903.88</v>
      </c>
      <c r="G187" s="8" t="s">
        <v>1380</v>
      </c>
      <c r="I187" s="232">
        <v>40479</v>
      </c>
    </row>
    <row r="188" spans="1:9" hidden="1">
      <c r="A188" s="232">
        <v>40484</v>
      </c>
      <c r="C188" t="s">
        <v>5158</v>
      </c>
      <c r="D188">
        <v>29000.51</v>
      </c>
      <c r="E188">
        <v>0</v>
      </c>
      <c r="F188">
        <v>539903.37</v>
      </c>
      <c r="G188" s="8" t="s">
        <v>1362</v>
      </c>
      <c r="I188" s="232">
        <v>40484</v>
      </c>
    </row>
    <row r="189" spans="1:9" hidden="1">
      <c r="A189" s="232">
        <v>40486</v>
      </c>
      <c r="C189" t="s">
        <v>5159</v>
      </c>
      <c r="D189">
        <v>10000</v>
      </c>
      <c r="E189">
        <v>0</v>
      </c>
      <c r="F189">
        <v>529903.37</v>
      </c>
      <c r="G189" s="8" t="s">
        <v>1361</v>
      </c>
      <c r="I189" s="232">
        <v>40486</v>
      </c>
    </row>
    <row r="190" spans="1:9" hidden="1">
      <c r="A190" s="232">
        <v>40487</v>
      </c>
      <c r="C190" t="s">
        <v>5160</v>
      </c>
      <c r="D190">
        <v>1938</v>
      </c>
      <c r="E190">
        <v>0</v>
      </c>
      <c r="F190">
        <v>527965.37</v>
      </c>
      <c r="G190" s="8" t="s">
        <v>1362</v>
      </c>
      <c r="I190" s="232">
        <v>40487</v>
      </c>
    </row>
    <row r="191" spans="1:9" hidden="1">
      <c r="A191" s="232">
        <v>40497</v>
      </c>
      <c r="C191" t="s">
        <v>5161</v>
      </c>
      <c r="D191">
        <v>881</v>
      </c>
      <c r="E191">
        <v>0</v>
      </c>
      <c r="F191">
        <v>527084.37</v>
      </c>
      <c r="I191" s="232">
        <v>40497</v>
      </c>
    </row>
    <row r="192" spans="1:9" hidden="1">
      <c r="A192" s="232">
        <v>40497</v>
      </c>
      <c r="C192" t="s">
        <v>5162</v>
      </c>
      <c r="D192">
        <v>881</v>
      </c>
      <c r="E192">
        <v>0</v>
      </c>
      <c r="F192">
        <v>526203.37</v>
      </c>
      <c r="I192" s="232">
        <v>40497</v>
      </c>
    </row>
    <row r="193" spans="1:9" hidden="1">
      <c r="A193" s="232">
        <v>40500</v>
      </c>
      <c r="C193" t="s">
        <v>5163</v>
      </c>
      <c r="D193">
        <v>425.42</v>
      </c>
      <c r="E193">
        <v>0</v>
      </c>
      <c r="F193">
        <v>525777.94999999995</v>
      </c>
      <c r="I193" s="232">
        <v>40500</v>
      </c>
    </row>
    <row r="194" spans="1:9" hidden="1">
      <c r="A194" s="232">
        <v>40507</v>
      </c>
      <c r="C194" t="s">
        <v>5164</v>
      </c>
      <c r="D194">
        <v>13474.05</v>
      </c>
      <c r="E194">
        <v>0</v>
      </c>
      <c r="F194">
        <v>512303.9</v>
      </c>
      <c r="G194" s="8" t="s">
        <v>1362</v>
      </c>
      <c r="I194" s="232">
        <v>40507</v>
      </c>
    </row>
    <row r="195" spans="1:9" hidden="1">
      <c r="A195" s="232">
        <v>40511</v>
      </c>
      <c r="C195" t="s">
        <v>1546</v>
      </c>
      <c r="D195">
        <v>0</v>
      </c>
      <c r="E195">
        <v>103362</v>
      </c>
      <c r="F195">
        <v>615665.9</v>
      </c>
      <c r="G195" s="8" t="s">
        <v>1380</v>
      </c>
      <c r="I195" s="232">
        <v>40511</v>
      </c>
    </row>
    <row r="196" spans="1:9" hidden="1">
      <c r="A196" s="232">
        <v>40515</v>
      </c>
      <c r="C196" t="s">
        <v>5165</v>
      </c>
      <c r="D196">
        <v>0</v>
      </c>
      <c r="E196">
        <v>881</v>
      </c>
      <c r="F196">
        <v>616546.9</v>
      </c>
      <c r="G196" s="8" t="s">
        <v>1380</v>
      </c>
      <c r="I196" s="232">
        <v>40515</v>
      </c>
    </row>
    <row r="197" spans="1:9" hidden="1">
      <c r="A197" s="232">
        <v>40519</v>
      </c>
      <c r="C197" t="s">
        <v>5166</v>
      </c>
      <c r="D197">
        <v>51255.5</v>
      </c>
      <c r="E197">
        <v>0</v>
      </c>
      <c r="F197">
        <v>565291.4</v>
      </c>
      <c r="G197" s="8" t="s">
        <v>1362</v>
      </c>
      <c r="I197" s="232">
        <v>40519</v>
      </c>
    </row>
    <row r="198" spans="1:9" hidden="1">
      <c r="A198" s="232">
        <v>40523</v>
      </c>
      <c r="C198" t="s">
        <v>5167</v>
      </c>
      <c r="D198">
        <v>10000</v>
      </c>
      <c r="E198">
        <v>0</v>
      </c>
      <c r="F198">
        <v>555291.4</v>
      </c>
      <c r="G198" s="8" t="s">
        <v>1370</v>
      </c>
      <c r="I198" s="232">
        <v>40523</v>
      </c>
    </row>
    <row r="199" spans="1:9" hidden="1">
      <c r="A199" s="232">
        <v>40527</v>
      </c>
      <c r="C199" t="s">
        <v>5168</v>
      </c>
      <c r="D199">
        <v>170</v>
      </c>
      <c r="E199">
        <v>0</v>
      </c>
      <c r="F199">
        <v>555121.4</v>
      </c>
      <c r="I199" s="232">
        <v>40527</v>
      </c>
    </row>
    <row r="200" spans="1:9" hidden="1">
      <c r="A200" s="232">
        <v>40527</v>
      </c>
      <c r="C200" t="s">
        <v>5169</v>
      </c>
      <c r="D200">
        <v>50000</v>
      </c>
      <c r="E200">
        <v>0</v>
      </c>
      <c r="F200">
        <v>505121.4</v>
      </c>
      <c r="G200" s="8" t="s">
        <v>1362</v>
      </c>
      <c r="I200" s="232">
        <v>40527</v>
      </c>
    </row>
    <row r="201" spans="1:9" hidden="1">
      <c r="A201" s="232">
        <v>40532</v>
      </c>
      <c r="C201" t="s">
        <v>5170</v>
      </c>
      <c r="D201">
        <v>20430</v>
      </c>
      <c r="E201">
        <v>0</v>
      </c>
      <c r="F201">
        <v>484691.4</v>
      </c>
      <c r="G201" s="8" t="s">
        <v>1370</v>
      </c>
      <c r="I201" s="232">
        <v>40532</v>
      </c>
    </row>
    <row r="202" spans="1:9" hidden="1">
      <c r="A202" s="232">
        <v>40540</v>
      </c>
      <c r="C202" t="s">
        <v>5171</v>
      </c>
      <c r="D202">
        <v>3210</v>
      </c>
      <c r="E202">
        <v>0</v>
      </c>
      <c r="F202">
        <v>481481.4</v>
      </c>
      <c r="G202" s="8" t="s">
        <v>1370</v>
      </c>
      <c r="I202" s="232">
        <v>40540</v>
      </c>
    </row>
    <row r="203" spans="1:9" hidden="1">
      <c r="A203" s="232">
        <v>40540</v>
      </c>
      <c r="C203" t="s">
        <v>1562</v>
      </c>
      <c r="D203">
        <v>0</v>
      </c>
      <c r="E203">
        <v>101451</v>
      </c>
      <c r="F203">
        <v>582932.4</v>
      </c>
      <c r="G203" s="8" t="s">
        <v>1380</v>
      </c>
      <c r="I203" s="232">
        <v>40540</v>
      </c>
    </row>
    <row r="204" spans="1:9" hidden="1">
      <c r="A204" s="232">
        <v>40542</v>
      </c>
      <c r="C204" t="s">
        <v>5172</v>
      </c>
      <c r="D204">
        <v>100</v>
      </c>
      <c r="E204">
        <v>0</v>
      </c>
      <c r="F204">
        <v>582832.4</v>
      </c>
      <c r="G204" s="8" t="s">
        <v>1363</v>
      </c>
      <c r="I204" s="232">
        <v>40542</v>
      </c>
    </row>
    <row r="205" spans="1:9" hidden="1">
      <c r="A205" s="232">
        <v>40546</v>
      </c>
      <c r="C205" t="s">
        <v>5173</v>
      </c>
      <c r="D205">
        <v>100000</v>
      </c>
      <c r="E205">
        <v>0</v>
      </c>
      <c r="F205">
        <v>482832.4</v>
      </c>
      <c r="G205" s="8" t="s">
        <v>1363</v>
      </c>
      <c r="I205" s="232">
        <v>40546</v>
      </c>
    </row>
    <row r="206" spans="1:9" hidden="1">
      <c r="A206" s="232">
        <v>40548</v>
      </c>
      <c r="C206" t="s">
        <v>5174</v>
      </c>
      <c r="D206">
        <v>474.99</v>
      </c>
      <c r="E206">
        <v>0</v>
      </c>
      <c r="F206">
        <v>482357.41</v>
      </c>
      <c r="G206" s="8" t="s">
        <v>1362</v>
      </c>
      <c r="I206" s="232">
        <v>40548</v>
      </c>
    </row>
    <row r="207" spans="1:9" hidden="1">
      <c r="A207" s="232">
        <v>40550</v>
      </c>
      <c r="C207" t="s">
        <v>1590</v>
      </c>
      <c r="D207">
        <v>0</v>
      </c>
      <c r="E207">
        <v>881</v>
      </c>
      <c r="F207">
        <v>483238.41</v>
      </c>
      <c r="G207" s="8" t="s">
        <v>1380</v>
      </c>
      <c r="I207" s="232">
        <v>40550</v>
      </c>
    </row>
    <row r="208" spans="1:9" hidden="1">
      <c r="A208" s="232">
        <v>40562</v>
      </c>
      <c r="C208" t="s">
        <v>5175</v>
      </c>
      <c r="D208">
        <v>884</v>
      </c>
      <c r="E208">
        <v>0</v>
      </c>
      <c r="F208">
        <v>482354.41</v>
      </c>
      <c r="I208" s="232">
        <v>40562</v>
      </c>
    </row>
    <row r="209" spans="1:9" hidden="1">
      <c r="A209" s="232">
        <v>40563</v>
      </c>
      <c r="C209" t="s">
        <v>5176</v>
      </c>
      <c r="D209">
        <v>15000</v>
      </c>
      <c r="E209">
        <v>0</v>
      </c>
      <c r="F209">
        <v>467354.41</v>
      </c>
      <c r="G209" s="8" t="s">
        <v>1361</v>
      </c>
      <c r="I209" s="232">
        <v>40563</v>
      </c>
    </row>
    <row r="210" spans="1:9" hidden="1">
      <c r="A210" s="232">
        <v>40567</v>
      </c>
      <c r="C210" t="s">
        <v>5177</v>
      </c>
      <c r="D210">
        <v>4000</v>
      </c>
      <c r="E210">
        <v>0</v>
      </c>
      <c r="F210">
        <v>463354.41</v>
      </c>
      <c r="G210" s="8" t="s">
        <v>1361</v>
      </c>
      <c r="I210" s="232">
        <v>40567</v>
      </c>
    </row>
    <row r="211" spans="1:9" hidden="1">
      <c r="A211" s="232">
        <v>40567</v>
      </c>
      <c r="C211" t="s">
        <v>5178</v>
      </c>
      <c r="D211">
        <v>10000</v>
      </c>
      <c r="E211">
        <v>0</v>
      </c>
      <c r="F211">
        <v>453354.41</v>
      </c>
      <c r="G211" s="8" t="s">
        <v>1361</v>
      </c>
      <c r="I211" s="232">
        <v>40567</v>
      </c>
    </row>
    <row r="212" spans="1:9" hidden="1">
      <c r="A212" s="232">
        <v>40570</v>
      </c>
      <c r="C212" t="s">
        <v>5179</v>
      </c>
      <c r="D212">
        <v>0</v>
      </c>
      <c r="E212">
        <v>66.17</v>
      </c>
      <c r="F212">
        <v>453420.58</v>
      </c>
      <c r="G212" s="8" t="s">
        <v>1380</v>
      </c>
      <c r="I212" s="232">
        <v>40570</v>
      </c>
    </row>
    <row r="213" spans="1:9" hidden="1">
      <c r="A213" s="232">
        <v>40571</v>
      </c>
      <c r="C213" t="s">
        <v>1562</v>
      </c>
      <c r="D213">
        <v>0</v>
      </c>
      <c r="E213">
        <v>104254</v>
      </c>
      <c r="F213">
        <v>557674.57999999996</v>
      </c>
      <c r="G213" s="8" t="s">
        <v>1380</v>
      </c>
      <c r="I213" s="232">
        <v>40571</v>
      </c>
    </row>
    <row r="214" spans="1:9" hidden="1">
      <c r="A214" s="232">
        <v>40575</v>
      </c>
      <c r="C214" t="s">
        <v>5180</v>
      </c>
      <c r="D214">
        <v>100000</v>
      </c>
      <c r="E214">
        <v>0</v>
      </c>
      <c r="F214">
        <v>457674.58</v>
      </c>
      <c r="G214" s="8" t="s">
        <v>1363</v>
      </c>
      <c r="I214" s="232">
        <v>40575</v>
      </c>
    </row>
    <row r="215" spans="1:9" hidden="1">
      <c r="A215" s="232">
        <v>40579</v>
      </c>
      <c r="C215" t="s">
        <v>5181</v>
      </c>
      <c r="D215">
        <v>39316</v>
      </c>
      <c r="E215">
        <v>0</v>
      </c>
      <c r="F215">
        <v>418358.58</v>
      </c>
      <c r="G215" s="8" t="s">
        <v>1366</v>
      </c>
      <c r="I215" s="232">
        <v>40579</v>
      </c>
    </row>
    <row r="216" spans="1:9" hidden="1">
      <c r="A216" s="232">
        <v>40581</v>
      </c>
      <c r="C216" t="s">
        <v>5182</v>
      </c>
      <c r="D216">
        <v>500</v>
      </c>
      <c r="E216">
        <v>0</v>
      </c>
      <c r="F216">
        <v>417858.58</v>
      </c>
      <c r="G216" s="8" t="s">
        <v>1362</v>
      </c>
      <c r="I216" s="232">
        <v>40581</v>
      </c>
    </row>
    <row r="217" spans="1:9" hidden="1">
      <c r="A217" s="232">
        <v>40582</v>
      </c>
      <c r="C217" t="s">
        <v>5183</v>
      </c>
      <c r="D217">
        <v>0</v>
      </c>
      <c r="E217">
        <v>881</v>
      </c>
      <c r="F217">
        <v>418739.58</v>
      </c>
      <c r="G217" s="8" t="s">
        <v>1380</v>
      </c>
      <c r="I217" s="232">
        <v>40582</v>
      </c>
    </row>
    <row r="218" spans="1:9" hidden="1">
      <c r="A218" s="232">
        <v>40583</v>
      </c>
      <c r="C218" t="s">
        <v>5184</v>
      </c>
      <c r="D218">
        <v>10000</v>
      </c>
      <c r="E218">
        <v>0</v>
      </c>
      <c r="F218">
        <v>408739.58</v>
      </c>
      <c r="G218" s="8" t="s">
        <v>1361</v>
      </c>
      <c r="I218" s="232">
        <v>40583</v>
      </c>
    </row>
    <row r="219" spans="1:9" hidden="1">
      <c r="A219" s="232">
        <v>40596</v>
      </c>
      <c r="C219" t="s">
        <v>5185</v>
      </c>
      <c r="D219">
        <v>5000</v>
      </c>
      <c r="E219">
        <v>0</v>
      </c>
      <c r="F219">
        <v>403739.58</v>
      </c>
      <c r="G219" s="8" t="s">
        <v>1361</v>
      </c>
      <c r="I219" s="232">
        <v>40596</v>
      </c>
    </row>
    <row r="220" spans="1:9" hidden="1">
      <c r="A220" s="232">
        <v>40599</v>
      </c>
      <c r="C220" t="s">
        <v>5186</v>
      </c>
      <c r="D220">
        <v>592</v>
      </c>
      <c r="E220">
        <v>0</v>
      </c>
      <c r="F220">
        <v>403147.58</v>
      </c>
      <c r="I220" s="232">
        <v>40599</v>
      </c>
    </row>
    <row r="221" spans="1:9" hidden="1">
      <c r="A221" s="232">
        <v>40600</v>
      </c>
      <c r="C221" t="s">
        <v>1590</v>
      </c>
      <c r="D221">
        <v>0</v>
      </c>
      <c r="E221">
        <v>3141</v>
      </c>
      <c r="F221">
        <v>406288.58</v>
      </c>
      <c r="G221" s="8" t="s">
        <v>1380</v>
      </c>
      <c r="I221" s="232">
        <v>40600</v>
      </c>
    </row>
    <row r="222" spans="1:9" hidden="1">
      <c r="A222" s="232">
        <v>40602</v>
      </c>
      <c r="C222" t="s">
        <v>1404</v>
      </c>
      <c r="D222">
        <v>0</v>
      </c>
      <c r="E222">
        <v>131370</v>
      </c>
      <c r="F222">
        <v>537658.57999999996</v>
      </c>
      <c r="G222" s="8" t="s">
        <v>1380</v>
      </c>
      <c r="I222" s="232">
        <v>40602</v>
      </c>
    </row>
    <row r="223" spans="1:9" hidden="1">
      <c r="A223" s="232">
        <v>40605</v>
      </c>
      <c r="C223" t="s">
        <v>5187</v>
      </c>
      <c r="D223">
        <v>59138</v>
      </c>
      <c r="E223">
        <v>0</v>
      </c>
      <c r="F223">
        <v>478520.58</v>
      </c>
      <c r="G223" s="8" t="s">
        <v>1370</v>
      </c>
      <c r="I223" s="232">
        <v>40605</v>
      </c>
    </row>
    <row r="224" spans="1:9" hidden="1">
      <c r="A224" s="232">
        <v>40605</v>
      </c>
      <c r="C224" t="s">
        <v>5188</v>
      </c>
      <c r="D224">
        <v>0</v>
      </c>
      <c r="E224">
        <v>5335.04</v>
      </c>
      <c r="F224">
        <v>483855.62</v>
      </c>
      <c r="G224" s="8" t="s">
        <v>1380</v>
      </c>
      <c r="I224" s="232">
        <v>40605</v>
      </c>
    </row>
    <row r="225" spans="1:9" hidden="1">
      <c r="A225" s="232">
        <v>40606</v>
      </c>
      <c r="C225" t="s">
        <v>5189</v>
      </c>
      <c r="D225">
        <v>100005.52</v>
      </c>
      <c r="E225">
        <v>0</v>
      </c>
      <c r="F225">
        <v>383850.1</v>
      </c>
      <c r="G225" s="8" t="s">
        <v>1363</v>
      </c>
      <c r="I225" s="232">
        <v>40606</v>
      </c>
    </row>
    <row r="226" spans="1:9" hidden="1">
      <c r="A226" s="232">
        <v>40607</v>
      </c>
      <c r="C226" t="s">
        <v>5190</v>
      </c>
      <c r="D226">
        <v>0</v>
      </c>
      <c r="E226">
        <v>8398</v>
      </c>
      <c r="F226">
        <v>392248.1</v>
      </c>
      <c r="G226" s="8" t="s">
        <v>1368</v>
      </c>
      <c r="I226" s="232">
        <v>40607</v>
      </c>
    </row>
    <row r="227" spans="1:9" hidden="1">
      <c r="A227" s="232">
        <v>40609</v>
      </c>
      <c r="C227" t="s">
        <v>5191</v>
      </c>
      <c r="D227">
        <v>9480</v>
      </c>
      <c r="E227">
        <v>0</v>
      </c>
      <c r="F227">
        <v>382768.1</v>
      </c>
      <c r="G227" s="8" t="s">
        <v>1362</v>
      </c>
      <c r="I227" s="232">
        <v>40609</v>
      </c>
    </row>
    <row r="228" spans="1:9" hidden="1">
      <c r="A228" s="232">
        <v>40626</v>
      </c>
      <c r="C228" t="s">
        <v>5192</v>
      </c>
      <c r="D228">
        <v>0</v>
      </c>
      <c r="E228">
        <v>3748.54</v>
      </c>
      <c r="F228">
        <v>386516.64</v>
      </c>
      <c r="G228" s="8" t="s">
        <v>1380</v>
      </c>
      <c r="I228" s="232">
        <v>40626</v>
      </c>
    </row>
    <row r="229" spans="1:9" hidden="1">
      <c r="A229" s="232">
        <v>40627</v>
      </c>
      <c r="C229" t="s">
        <v>5193</v>
      </c>
      <c r="D229">
        <v>1000</v>
      </c>
      <c r="E229">
        <v>0</v>
      </c>
      <c r="F229">
        <v>385516.64</v>
      </c>
      <c r="I229" s="232">
        <v>40627</v>
      </c>
    </row>
    <row r="230" spans="1:9" hidden="1">
      <c r="A230" s="232">
        <v>40630</v>
      </c>
      <c r="C230" t="s">
        <v>5194</v>
      </c>
      <c r="D230">
        <v>3210</v>
      </c>
      <c r="E230">
        <v>0</v>
      </c>
      <c r="F230">
        <v>382306.64</v>
      </c>
      <c r="G230" s="8" t="s">
        <v>1370</v>
      </c>
      <c r="I230" s="232">
        <v>40630</v>
      </c>
    </row>
    <row r="231" spans="1:9" hidden="1">
      <c r="A231" s="232">
        <v>40632</v>
      </c>
      <c r="C231" t="s">
        <v>5195</v>
      </c>
      <c r="D231">
        <v>3178.83</v>
      </c>
      <c r="E231">
        <v>0</v>
      </c>
      <c r="F231">
        <v>379127.81</v>
      </c>
      <c r="G231" s="8" t="s">
        <v>1362</v>
      </c>
      <c r="I231" s="232">
        <v>40632</v>
      </c>
    </row>
    <row r="232" spans="1:9" hidden="1">
      <c r="A232" s="232">
        <v>40632</v>
      </c>
      <c r="C232" t="s">
        <v>1404</v>
      </c>
      <c r="D232">
        <v>0</v>
      </c>
      <c r="E232">
        <v>116291</v>
      </c>
      <c r="F232">
        <v>495418.81</v>
      </c>
      <c r="G232" s="8" t="s">
        <v>1380</v>
      </c>
      <c r="I232" s="232">
        <v>40632</v>
      </c>
    </row>
    <row r="233" spans="1:9" hidden="1">
      <c r="A233" s="232">
        <v>40634</v>
      </c>
      <c r="C233" t="s">
        <v>1394</v>
      </c>
      <c r="D233">
        <v>0</v>
      </c>
      <c r="E233">
        <v>0</v>
      </c>
      <c r="F233">
        <v>495418.81</v>
      </c>
      <c r="I233" s="232">
        <v>40634</v>
      </c>
    </row>
    <row r="234" spans="1:9" hidden="1">
      <c r="A234" s="232">
        <v>40637</v>
      </c>
      <c r="C234" t="s">
        <v>5196</v>
      </c>
      <c r="D234">
        <v>8335</v>
      </c>
      <c r="E234">
        <v>0</v>
      </c>
      <c r="F234">
        <v>487083.81</v>
      </c>
      <c r="G234" s="8" t="s">
        <v>1362</v>
      </c>
      <c r="I234" s="232">
        <v>40637</v>
      </c>
    </row>
    <row r="235" spans="1:9" hidden="1">
      <c r="A235" s="232">
        <v>40638</v>
      </c>
      <c r="C235" t="s">
        <v>1594</v>
      </c>
      <c r="D235">
        <v>0</v>
      </c>
      <c r="E235">
        <v>5460</v>
      </c>
      <c r="F235">
        <v>492543.81</v>
      </c>
      <c r="G235" s="8" t="s">
        <v>1380</v>
      </c>
      <c r="I235" s="232">
        <v>40638</v>
      </c>
    </row>
    <row r="236" spans="1:9" hidden="1">
      <c r="A236" s="232">
        <v>40640</v>
      </c>
      <c r="C236" t="s">
        <v>5197</v>
      </c>
      <c r="D236">
        <v>0</v>
      </c>
      <c r="E236">
        <v>695.53</v>
      </c>
      <c r="F236">
        <v>493239.34</v>
      </c>
      <c r="G236" s="8" t="s">
        <v>1375</v>
      </c>
      <c r="I236" s="232">
        <v>40640</v>
      </c>
    </row>
    <row r="237" spans="1:9" hidden="1">
      <c r="A237" s="232">
        <v>40651</v>
      </c>
      <c r="C237" t="s">
        <v>5198</v>
      </c>
      <c r="D237">
        <v>5660</v>
      </c>
      <c r="E237">
        <v>0</v>
      </c>
      <c r="F237">
        <v>487579.34</v>
      </c>
      <c r="I237" s="232">
        <v>40651</v>
      </c>
    </row>
    <row r="238" spans="1:9" hidden="1">
      <c r="A238" s="232">
        <v>40654</v>
      </c>
      <c r="C238" t="s">
        <v>1622</v>
      </c>
      <c r="D238">
        <v>0</v>
      </c>
      <c r="E238">
        <v>824</v>
      </c>
      <c r="F238">
        <v>488403.34</v>
      </c>
      <c r="G238" s="8" t="s">
        <v>1380</v>
      </c>
      <c r="I238" s="232">
        <v>40654</v>
      </c>
    </row>
    <row r="239" spans="1:9" hidden="1">
      <c r="A239" s="232">
        <v>40654</v>
      </c>
      <c r="C239" t="s">
        <v>5199</v>
      </c>
      <c r="D239">
        <v>5000</v>
      </c>
      <c r="E239">
        <v>0</v>
      </c>
      <c r="F239">
        <v>483403.34</v>
      </c>
      <c r="G239" s="8" t="s">
        <v>1361</v>
      </c>
      <c r="I239" s="232">
        <v>40654</v>
      </c>
    </row>
    <row r="240" spans="1:9" hidden="1">
      <c r="A240" s="232">
        <v>40654</v>
      </c>
      <c r="C240" t="s">
        <v>5200</v>
      </c>
      <c r="D240">
        <v>5000</v>
      </c>
      <c r="E240">
        <v>0</v>
      </c>
      <c r="F240">
        <v>478403.34</v>
      </c>
      <c r="G240" s="8" t="s">
        <v>1361</v>
      </c>
      <c r="I240" s="232">
        <v>40654</v>
      </c>
    </row>
    <row r="241" spans="1:9" hidden="1">
      <c r="A241" s="232">
        <v>40659</v>
      </c>
      <c r="C241" t="s">
        <v>5201</v>
      </c>
      <c r="D241">
        <v>879</v>
      </c>
      <c r="E241">
        <v>0</v>
      </c>
      <c r="F241">
        <v>477524.34</v>
      </c>
      <c r="G241" s="8" t="s">
        <v>1362</v>
      </c>
      <c r="I241" s="232">
        <v>40659</v>
      </c>
    </row>
    <row r="242" spans="1:9" hidden="1">
      <c r="A242" s="232">
        <v>40661</v>
      </c>
      <c r="C242" t="s">
        <v>1404</v>
      </c>
      <c r="D242">
        <v>0</v>
      </c>
      <c r="E242">
        <v>441901</v>
      </c>
      <c r="F242">
        <v>919425.34</v>
      </c>
      <c r="G242" s="8" t="s">
        <v>1380</v>
      </c>
      <c r="I242" s="232">
        <v>40661</v>
      </c>
    </row>
    <row r="243" spans="1:9" hidden="1">
      <c r="A243" s="232">
        <v>40661</v>
      </c>
      <c r="C243" t="s">
        <v>5202</v>
      </c>
      <c r="D243">
        <v>400</v>
      </c>
      <c r="E243">
        <v>0</v>
      </c>
      <c r="F243">
        <v>919025.34</v>
      </c>
      <c r="I243" s="232">
        <v>40661</v>
      </c>
    </row>
    <row r="244" spans="1:9" hidden="1">
      <c r="A244" s="232">
        <v>40663</v>
      </c>
      <c r="C244" t="s">
        <v>5203</v>
      </c>
      <c r="D244">
        <v>1491</v>
      </c>
      <c r="E244">
        <v>0</v>
      </c>
      <c r="F244">
        <v>917534.34</v>
      </c>
      <c r="I244" s="232">
        <v>40663</v>
      </c>
    </row>
    <row r="245" spans="1:9" hidden="1">
      <c r="A245" s="232">
        <v>40667</v>
      </c>
      <c r="C245" t="s">
        <v>5204</v>
      </c>
      <c r="D245">
        <v>400</v>
      </c>
      <c r="E245">
        <v>0</v>
      </c>
      <c r="F245">
        <v>917134.34</v>
      </c>
      <c r="G245" s="8" t="s">
        <v>1362</v>
      </c>
      <c r="I245" s="232">
        <v>40667</v>
      </c>
    </row>
    <row r="246" spans="1:9" hidden="1">
      <c r="A246" s="232">
        <v>40693</v>
      </c>
      <c r="C246" t="s">
        <v>1404</v>
      </c>
      <c r="D246">
        <v>0</v>
      </c>
      <c r="E246">
        <v>109561</v>
      </c>
      <c r="F246">
        <v>1026695.34</v>
      </c>
      <c r="G246" s="8" t="s">
        <v>1380</v>
      </c>
      <c r="I246" s="232">
        <v>40693</v>
      </c>
    </row>
    <row r="247" spans="1:9" hidden="1">
      <c r="A247" s="232">
        <v>40695</v>
      </c>
      <c r="C247" t="s">
        <v>5205</v>
      </c>
      <c r="D247">
        <v>9527.6200000000008</v>
      </c>
      <c r="E247">
        <v>0</v>
      </c>
      <c r="F247">
        <v>1017167.72</v>
      </c>
      <c r="G247" s="8" t="s">
        <v>1362</v>
      </c>
      <c r="I247" s="232">
        <v>40695</v>
      </c>
    </row>
    <row r="248" spans="1:9" hidden="1">
      <c r="A248" s="232">
        <v>40697</v>
      </c>
      <c r="C248" t="s">
        <v>5206</v>
      </c>
      <c r="D248">
        <v>100006</v>
      </c>
      <c r="E248">
        <v>0</v>
      </c>
      <c r="F248">
        <v>917161.72</v>
      </c>
      <c r="G248" s="8" t="s">
        <v>1363</v>
      </c>
      <c r="I248" s="232">
        <v>40697</v>
      </c>
    </row>
    <row r="249" spans="1:9" hidden="1">
      <c r="A249" s="232">
        <v>40697</v>
      </c>
      <c r="C249" t="s">
        <v>5207</v>
      </c>
      <c r="D249">
        <v>8976.9</v>
      </c>
      <c r="E249">
        <v>0</v>
      </c>
      <c r="F249">
        <v>908184.82</v>
      </c>
      <c r="G249" s="8" t="s">
        <v>1362</v>
      </c>
      <c r="I249" s="232">
        <v>40697</v>
      </c>
    </row>
    <row r="250" spans="1:9" hidden="1">
      <c r="A250" s="232">
        <v>40697</v>
      </c>
      <c r="C250" t="s">
        <v>1622</v>
      </c>
      <c r="D250">
        <v>0</v>
      </c>
      <c r="E250">
        <v>76577</v>
      </c>
      <c r="F250">
        <v>984761.82</v>
      </c>
      <c r="G250" s="8" t="s">
        <v>1380</v>
      </c>
      <c r="I250" s="232">
        <v>40697</v>
      </c>
    </row>
    <row r="251" spans="1:9" hidden="1">
      <c r="A251" s="232">
        <v>40704</v>
      </c>
      <c r="C251" t="s">
        <v>5208</v>
      </c>
      <c r="D251">
        <v>245417</v>
      </c>
      <c r="E251">
        <v>0</v>
      </c>
      <c r="F251">
        <v>739344.82</v>
      </c>
      <c r="G251" s="8" t="s">
        <v>1370</v>
      </c>
      <c r="I251" s="232">
        <v>40704</v>
      </c>
    </row>
    <row r="252" spans="1:9" hidden="1">
      <c r="A252" s="232">
        <v>40707</v>
      </c>
      <c r="C252" t="s">
        <v>5209</v>
      </c>
      <c r="D252">
        <v>10000</v>
      </c>
      <c r="E252">
        <v>0</v>
      </c>
      <c r="F252">
        <v>729344.82</v>
      </c>
      <c r="G252" s="8" t="s">
        <v>1361</v>
      </c>
      <c r="I252" s="232">
        <v>40707</v>
      </c>
    </row>
    <row r="253" spans="1:9" hidden="1">
      <c r="A253" s="232">
        <v>40710</v>
      </c>
      <c r="C253" t="s">
        <v>5210</v>
      </c>
      <c r="D253">
        <v>20000</v>
      </c>
      <c r="E253">
        <v>0</v>
      </c>
      <c r="F253">
        <v>709344.82</v>
      </c>
      <c r="G253" s="8" t="s">
        <v>1378</v>
      </c>
      <c r="I253" s="232">
        <v>40710</v>
      </c>
    </row>
    <row r="254" spans="1:9" hidden="1">
      <c r="A254" s="232">
        <v>40723</v>
      </c>
      <c r="C254" t="s">
        <v>1404</v>
      </c>
      <c r="D254">
        <v>0</v>
      </c>
      <c r="E254">
        <v>109561</v>
      </c>
      <c r="F254">
        <v>818905.82</v>
      </c>
      <c r="G254" s="8" t="s">
        <v>1380</v>
      </c>
      <c r="I254" s="232">
        <v>40723</v>
      </c>
    </row>
    <row r="255" spans="1:9" hidden="1">
      <c r="A255" s="232">
        <v>40723</v>
      </c>
      <c r="C255" t="s">
        <v>1622</v>
      </c>
      <c r="D255">
        <v>0</v>
      </c>
      <c r="E255">
        <v>3641</v>
      </c>
      <c r="F255">
        <v>822546.82</v>
      </c>
      <c r="G255" s="8" t="s">
        <v>1380</v>
      </c>
      <c r="I255" s="232">
        <v>40723</v>
      </c>
    </row>
    <row r="256" spans="1:9" hidden="1">
      <c r="A256" s="232">
        <v>40725</v>
      </c>
      <c r="C256" t="s">
        <v>5211</v>
      </c>
      <c r="D256">
        <v>76168.039999999994</v>
      </c>
      <c r="E256">
        <v>0</v>
      </c>
      <c r="F256">
        <v>746378.78</v>
      </c>
      <c r="G256" s="8" t="s">
        <v>1362</v>
      </c>
      <c r="I256" s="232">
        <v>40725</v>
      </c>
    </row>
    <row r="257" spans="1:9" hidden="1">
      <c r="A257" s="232">
        <v>40728</v>
      </c>
      <c r="C257" t="s">
        <v>5212</v>
      </c>
      <c r="D257">
        <v>1540</v>
      </c>
      <c r="E257">
        <v>0</v>
      </c>
      <c r="F257">
        <v>744838.78</v>
      </c>
      <c r="I257" s="232">
        <v>40728</v>
      </c>
    </row>
    <row r="258" spans="1:9" hidden="1">
      <c r="A258" s="232">
        <v>40730</v>
      </c>
      <c r="C258" t="s">
        <v>5213</v>
      </c>
      <c r="D258">
        <v>400</v>
      </c>
      <c r="E258">
        <v>0</v>
      </c>
      <c r="F258">
        <v>744438.78</v>
      </c>
      <c r="I258" s="232">
        <v>40730</v>
      </c>
    </row>
    <row r="259" spans="1:9" hidden="1">
      <c r="A259" s="232">
        <v>40732</v>
      </c>
      <c r="C259" t="s">
        <v>5214</v>
      </c>
      <c r="D259">
        <v>10000</v>
      </c>
      <c r="E259">
        <v>0</v>
      </c>
      <c r="F259">
        <v>734438.78</v>
      </c>
      <c r="G259" s="8" t="s">
        <v>1361</v>
      </c>
      <c r="I259" s="232">
        <v>40732</v>
      </c>
    </row>
    <row r="260" spans="1:9" hidden="1">
      <c r="A260" s="232">
        <v>40742</v>
      </c>
      <c r="C260" t="s">
        <v>5215</v>
      </c>
      <c r="D260">
        <v>3110</v>
      </c>
      <c r="E260">
        <v>0</v>
      </c>
      <c r="F260">
        <v>731328.78</v>
      </c>
      <c r="I260" s="232">
        <v>40742</v>
      </c>
    </row>
    <row r="261" spans="1:9" hidden="1">
      <c r="A261" s="232">
        <v>40743</v>
      </c>
      <c r="C261" t="s">
        <v>5216</v>
      </c>
      <c r="D261">
        <v>5000</v>
      </c>
      <c r="E261">
        <v>0</v>
      </c>
      <c r="F261">
        <v>726328.78</v>
      </c>
      <c r="G261" s="8" t="s">
        <v>1361</v>
      </c>
      <c r="I261" s="232">
        <v>40743</v>
      </c>
    </row>
    <row r="262" spans="1:9" hidden="1">
      <c r="A262" s="232">
        <v>40752</v>
      </c>
      <c r="C262" t="s">
        <v>1404</v>
      </c>
      <c r="D262">
        <v>0</v>
      </c>
      <c r="E262">
        <v>106471</v>
      </c>
      <c r="F262">
        <v>832799.78</v>
      </c>
      <c r="G262" s="8" t="s">
        <v>1380</v>
      </c>
      <c r="I262" s="232">
        <v>40752</v>
      </c>
    </row>
    <row r="263" spans="1:9" hidden="1">
      <c r="A263" s="232">
        <v>40753</v>
      </c>
      <c r="C263" t="s">
        <v>1537</v>
      </c>
      <c r="D263">
        <v>0</v>
      </c>
      <c r="E263">
        <v>4784</v>
      </c>
      <c r="F263">
        <v>837583.78</v>
      </c>
      <c r="G263" s="8" t="s">
        <v>1380</v>
      </c>
      <c r="I263" s="232">
        <v>40753</v>
      </c>
    </row>
    <row r="264" spans="1:9" hidden="1">
      <c r="A264" s="232">
        <v>40756</v>
      </c>
      <c r="C264" t="s">
        <v>5217</v>
      </c>
      <c r="D264">
        <v>4070.27</v>
      </c>
      <c r="E264">
        <v>0</v>
      </c>
      <c r="F264">
        <v>833513.51</v>
      </c>
      <c r="I264" s="232">
        <v>40756</v>
      </c>
    </row>
    <row r="265" spans="1:9" hidden="1">
      <c r="A265" s="232">
        <v>40759</v>
      </c>
      <c r="C265" t="s">
        <v>5218</v>
      </c>
      <c r="D265">
        <v>100006</v>
      </c>
      <c r="E265">
        <v>0</v>
      </c>
      <c r="F265">
        <v>733507.51</v>
      </c>
      <c r="G265" s="8" t="s">
        <v>1363</v>
      </c>
      <c r="I265" s="232">
        <v>40759</v>
      </c>
    </row>
    <row r="266" spans="1:9" hidden="1">
      <c r="A266" s="232">
        <v>40759</v>
      </c>
      <c r="C266" t="s">
        <v>5219</v>
      </c>
      <c r="D266">
        <v>1459.03</v>
      </c>
      <c r="E266">
        <v>0</v>
      </c>
      <c r="F266">
        <v>732048.48</v>
      </c>
      <c r="I266" s="232">
        <v>40759</v>
      </c>
    </row>
    <row r="267" spans="1:9" hidden="1">
      <c r="A267" s="232">
        <v>40760</v>
      </c>
      <c r="C267" t="s">
        <v>1622</v>
      </c>
      <c r="D267">
        <v>0</v>
      </c>
      <c r="E267">
        <v>1297</v>
      </c>
      <c r="F267">
        <v>733345.48</v>
      </c>
      <c r="G267" s="8" t="s">
        <v>1380</v>
      </c>
      <c r="I267" s="232">
        <v>40760</v>
      </c>
    </row>
    <row r="268" spans="1:9" hidden="1">
      <c r="A268" s="232">
        <v>40763</v>
      </c>
      <c r="C268" t="s">
        <v>5220</v>
      </c>
      <c r="D268">
        <v>100006</v>
      </c>
      <c r="E268">
        <v>0</v>
      </c>
      <c r="F268">
        <v>633339.48</v>
      </c>
      <c r="G268" s="8" t="s">
        <v>1363</v>
      </c>
      <c r="I268" s="232">
        <v>40763</v>
      </c>
    </row>
    <row r="269" spans="1:9" hidden="1">
      <c r="A269" s="232">
        <v>40764</v>
      </c>
      <c r="C269" t="s">
        <v>5221</v>
      </c>
      <c r="D269">
        <v>3231.4</v>
      </c>
      <c r="E269">
        <v>0</v>
      </c>
      <c r="F269">
        <v>630108.07999999996</v>
      </c>
      <c r="G269" s="8" t="s">
        <v>1370</v>
      </c>
      <c r="I269" s="232">
        <v>40764</v>
      </c>
    </row>
    <row r="270" spans="1:9" hidden="1">
      <c r="A270" s="232">
        <v>40765</v>
      </c>
      <c r="C270" t="s">
        <v>5222</v>
      </c>
      <c r="D270">
        <v>0</v>
      </c>
      <c r="E270">
        <v>10000</v>
      </c>
      <c r="F270">
        <v>640108.07999999996</v>
      </c>
      <c r="G270" s="8" t="s">
        <v>1380</v>
      </c>
      <c r="I270" s="232">
        <v>40765</v>
      </c>
    </row>
    <row r="271" spans="1:9" hidden="1">
      <c r="A271" s="232">
        <v>40768</v>
      </c>
      <c r="C271" t="s">
        <v>1622</v>
      </c>
      <c r="D271">
        <v>0</v>
      </c>
      <c r="E271">
        <v>881</v>
      </c>
      <c r="F271">
        <v>640989.07999999996</v>
      </c>
      <c r="G271" s="8" t="s">
        <v>1380</v>
      </c>
      <c r="I271" s="232">
        <v>40768</v>
      </c>
    </row>
    <row r="272" spans="1:9" hidden="1">
      <c r="A272" s="232">
        <v>40779</v>
      </c>
      <c r="C272" t="s">
        <v>5223</v>
      </c>
      <c r="D272">
        <v>100006</v>
      </c>
      <c r="E272">
        <v>0</v>
      </c>
      <c r="F272">
        <v>540983.07999999996</v>
      </c>
      <c r="G272" s="8" t="s">
        <v>1363</v>
      </c>
      <c r="I272" s="232">
        <v>40779</v>
      </c>
    </row>
    <row r="273" spans="1:9" hidden="1">
      <c r="A273" s="232">
        <v>40781</v>
      </c>
      <c r="C273" t="s">
        <v>5224</v>
      </c>
      <c r="D273">
        <v>20000</v>
      </c>
      <c r="E273">
        <v>0</v>
      </c>
      <c r="F273">
        <v>520983.08</v>
      </c>
      <c r="G273" s="8" t="s">
        <v>1361</v>
      </c>
      <c r="I273" s="232">
        <v>40781</v>
      </c>
    </row>
    <row r="274" spans="1:9" hidden="1">
      <c r="A274" s="232">
        <v>40784</v>
      </c>
      <c r="C274" t="s">
        <v>1404</v>
      </c>
      <c r="D274">
        <v>0</v>
      </c>
      <c r="E274">
        <v>109561</v>
      </c>
      <c r="F274">
        <v>630544.07999999996</v>
      </c>
      <c r="G274" s="8" t="s">
        <v>1380</v>
      </c>
      <c r="I274" s="232">
        <v>40784</v>
      </c>
    </row>
    <row r="275" spans="1:9" hidden="1">
      <c r="A275" s="232">
        <v>40785</v>
      </c>
      <c r="C275" t="s">
        <v>5225</v>
      </c>
      <c r="D275">
        <v>1239</v>
      </c>
      <c r="E275">
        <v>0</v>
      </c>
      <c r="F275">
        <v>629305.07999999996</v>
      </c>
      <c r="I275" s="232">
        <v>40785</v>
      </c>
    </row>
    <row r="276" spans="1:9" hidden="1">
      <c r="A276" s="232">
        <v>40787</v>
      </c>
      <c r="C276" t="s">
        <v>5226</v>
      </c>
      <c r="D276">
        <v>0</v>
      </c>
      <c r="E276">
        <v>13254</v>
      </c>
      <c r="F276">
        <v>642559.07999999996</v>
      </c>
      <c r="G276" s="8" t="s">
        <v>1368</v>
      </c>
      <c r="I276" s="232">
        <v>40787</v>
      </c>
    </row>
    <row r="277" spans="1:9" hidden="1">
      <c r="A277" s="232">
        <v>40791</v>
      </c>
      <c r="C277" t="s">
        <v>5227</v>
      </c>
      <c r="D277">
        <v>17898</v>
      </c>
      <c r="E277">
        <v>0</v>
      </c>
      <c r="F277">
        <v>624661.07999999996</v>
      </c>
      <c r="G277" s="8" t="s">
        <v>1362</v>
      </c>
      <c r="I277" s="232">
        <v>40791</v>
      </c>
    </row>
    <row r="278" spans="1:9" hidden="1">
      <c r="A278" s="232">
        <v>40793</v>
      </c>
      <c r="C278" t="s">
        <v>5228</v>
      </c>
      <c r="D278">
        <v>400</v>
      </c>
      <c r="E278">
        <v>0</v>
      </c>
      <c r="F278">
        <v>624261.07999999996</v>
      </c>
      <c r="I278" s="232">
        <v>40793</v>
      </c>
    </row>
    <row r="279" spans="1:9" hidden="1">
      <c r="A279" s="232">
        <v>40796</v>
      </c>
      <c r="C279" t="s">
        <v>5229</v>
      </c>
      <c r="D279">
        <v>20000</v>
      </c>
      <c r="E279">
        <v>0</v>
      </c>
      <c r="F279">
        <v>604261.07999999996</v>
      </c>
      <c r="G279" s="8" t="s">
        <v>1361</v>
      </c>
      <c r="I279" s="232">
        <v>40796</v>
      </c>
    </row>
    <row r="280" spans="1:9" hidden="1">
      <c r="A280" s="232">
        <v>40796</v>
      </c>
      <c r="C280" t="s">
        <v>5230</v>
      </c>
      <c r="D280">
        <v>4000</v>
      </c>
      <c r="E280">
        <v>0</v>
      </c>
      <c r="F280">
        <v>600261.07999999996</v>
      </c>
      <c r="G280" s="8" t="s">
        <v>1361</v>
      </c>
      <c r="I280" s="232">
        <v>40796</v>
      </c>
    </row>
    <row r="281" spans="1:9" hidden="1">
      <c r="A281" s="232">
        <v>40807</v>
      </c>
      <c r="C281" t="s">
        <v>5231</v>
      </c>
      <c r="D281">
        <v>8200</v>
      </c>
      <c r="E281">
        <v>0</v>
      </c>
      <c r="F281">
        <v>592061.07999999996</v>
      </c>
      <c r="I281" s="232">
        <v>40807</v>
      </c>
    </row>
    <row r="282" spans="1:9" hidden="1">
      <c r="A282" s="232">
        <v>40807</v>
      </c>
      <c r="C282" t="s">
        <v>5232</v>
      </c>
      <c r="D282">
        <v>20000</v>
      </c>
      <c r="E282">
        <v>0</v>
      </c>
      <c r="F282">
        <v>572061.07999999996</v>
      </c>
      <c r="I282" s="232">
        <v>40807</v>
      </c>
    </row>
    <row r="283" spans="1:9" hidden="1">
      <c r="A283" s="232">
        <v>40810</v>
      </c>
      <c r="C283" t="s">
        <v>1622</v>
      </c>
      <c r="D283">
        <v>0</v>
      </c>
      <c r="E283">
        <v>1110</v>
      </c>
      <c r="F283">
        <v>573171.07999999996</v>
      </c>
      <c r="G283" s="8" t="s">
        <v>1380</v>
      </c>
      <c r="I283" s="232">
        <v>40810</v>
      </c>
    </row>
    <row r="284" spans="1:9" hidden="1">
      <c r="A284" s="232">
        <v>40810</v>
      </c>
      <c r="C284" t="s">
        <v>5233</v>
      </c>
      <c r="D284">
        <v>10000</v>
      </c>
      <c r="E284">
        <v>0</v>
      </c>
      <c r="F284">
        <v>563171.07999999996</v>
      </c>
      <c r="G284" s="8" t="s">
        <v>1361</v>
      </c>
      <c r="I284" s="232">
        <v>40810</v>
      </c>
    </row>
    <row r="285" spans="1:9" hidden="1">
      <c r="A285" s="232">
        <v>40812</v>
      </c>
      <c r="C285" t="s">
        <v>5234</v>
      </c>
      <c r="D285">
        <v>5612</v>
      </c>
      <c r="E285">
        <v>0</v>
      </c>
      <c r="F285">
        <v>557559.07999999996</v>
      </c>
      <c r="G285" s="8" t="s">
        <v>1370</v>
      </c>
      <c r="I285" s="232">
        <v>40812</v>
      </c>
    </row>
    <row r="286" spans="1:9" hidden="1">
      <c r="A286" s="232">
        <v>40815</v>
      </c>
      <c r="C286" t="s">
        <v>1404</v>
      </c>
      <c r="D286">
        <v>0</v>
      </c>
      <c r="E286">
        <v>109561</v>
      </c>
      <c r="F286">
        <v>667120.07999999996</v>
      </c>
      <c r="G286" s="8" t="s">
        <v>1380</v>
      </c>
      <c r="I286" s="232">
        <v>40815</v>
      </c>
    </row>
    <row r="287" spans="1:9" hidden="1">
      <c r="A287" s="232">
        <v>40819</v>
      </c>
      <c r="C287" t="s">
        <v>5235</v>
      </c>
      <c r="D287">
        <v>1956.41</v>
      </c>
      <c r="E287">
        <v>0</v>
      </c>
      <c r="F287">
        <v>665163.67000000004</v>
      </c>
      <c r="I287" s="232">
        <v>40819</v>
      </c>
    </row>
    <row r="288" spans="1:9" hidden="1">
      <c r="A288" s="232">
        <v>40819</v>
      </c>
      <c r="C288" t="s">
        <v>1594</v>
      </c>
      <c r="D288">
        <v>0</v>
      </c>
      <c r="E288">
        <v>1018</v>
      </c>
      <c r="F288">
        <v>666181.67000000004</v>
      </c>
      <c r="G288" s="8" t="s">
        <v>1380</v>
      </c>
      <c r="I288" s="232">
        <v>40819</v>
      </c>
    </row>
    <row r="289" spans="1:9" hidden="1">
      <c r="A289" s="232">
        <v>40824</v>
      </c>
      <c r="C289" t="s">
        <v>5236</v>
      </c>
      <c r="D289">
        <v>5000</v>
      </c>
      <c r="E289">
        <v>0</v>
      </c>
      <c r="F289">
        <v>661181.67000000004</v>
      </c>
      <c r="G289" s="8" t="s">
        <v>1361</v>
      </c>
      <c r="I289" s="232">
        <v>40824</v>
      </c>
    </row>
    <row r="290" spans="1:9" hidden="1">
      <c r="A290" s="232">
        <v>40828</v>
      </c>
      <c r="C290" t="s">
        <v>5237</v>
      </c>
      <c r="D290">
        <v>881</v>
      </c>
      <c r="E290">
        <v>0</v>
      </c>
      <c r="F290">
        <v>660300.67000000004</v>
      </c>
      <c r="I290" s="232">
        <v>40828</v>
      </c>
    </row>
    <row r="291" spans="1:9" hidden="1">
      <c r="A291" s="232">
        <v>40828</v>
      </c>
      <c r="C291" t="s">
        <v>5238</v>
      </c>
      <c r="D291">
        <v>881</v>
      </c>
      <c r="E291">
        <v>0</v>
      </c>
      <c r="F291">
        <v>659419.67000000004</v>
      </c>
      <c r="I291" s="232">
        <v>40828</v>
      </c>
    </row>
    <row r="292" spans="1:9" hidden="1">
      <c r="A292" s="232">
        <v>40833</v>
      </c>
      <c r="C292" t="s">
        <v>5239</v>
      </c>
      <c r="D292">
        <v>54950</v>
      </c>
      <c r="E292">
        <v>0</v>
      </c>
      <c r="F292">
        <v>604469.67000000004</v>
      </c>
      <c r="G292" s="8" t="s">
        <v>1362</v>
      </c>
      <c r="I292" s="232">
        <v>40833</v>
      </c>
    </row>
    <row r="293" spans="1:9" hidden="1">
      <c r="A293" s="232">
        <v>40833</v>
      </c>
      <c r="C293" t="s">
        <v>5240</v>
      </c>
      <c r="D293">
        <v>100006</v>
      </c>
      <c r="E293">
        <v>0</v>
      </c>
      <c r="F293">
        <v>504463.67</v>
      </c>
      <c r="G293" s="8" t="s">
        <v>1363</v>
      </c>
      <c r="I293" s="232">
        <v>40833</v>
      </c>
    </row>
    <row r="294" spans="1:9" hidden="1">
      <c r="A294" s="232">
        <v>40835</v>
      </c>
      <c r="C294" t="s">
        <v>5241</v>
      </c>
      <c r="D294">
        <v>10000</v>
      </c>
      <c r="E294">
        <v>0</v>
      </c>
      <c r="F294">
        <v>494463.67</v>
      </c>
      <c r="G294" s="8" t="s">
        <v>1361</v>
      </c>
      <c r="I294" s="232">
        <v>40835</v>
      </c>
    </row>
    <row r="295" spans="1:9" hidden="1">
      <c r="A295" s="232">
        <v>40844</v>
      </c>
      <c r="C295" t="s">
        <v>1404</v>
      </c>
      <c r="D295">
        <v>0</v>
      </c>
      <c r="E295">
        <v>109561</v>
      </c>
      <c r="F295">
        <v>604024.67000000004</v>
      </c>
      <c r="G295" s="8" t="s">
        <v>1380</v>
      </c>
      <c r="I295" s="232">
        <v>40844</v>
      </c>
    </row>
    <row r="296" spans="1:9" hidden="1">
      <c r="A296" s="232">
        <v>40845</v>
      </c>
      <c r="C296" t="s">
        <v>5242</v>
      </c>
      <c r="D296">
        <v>10000</v>
      </c>
      <c r="E296">
        <v>0</v>
      </c>
      <c r="F296">
        <v>594024.67000000004</v>
      </c>
      <c r="G296" s="8" t="s">
        <v>1361</v>
      </c>
      <c r="I296" s="232">
        <v>40845</v>
      </c>
    </row>
    <row r="297" spans="1:9" hidden="1">
      <c r="A297" s="232">
        <v>40849</v>
      </c>
      <c r="C297" t="s">
        <v>5243</v>
      </c>
      <c r="D297">
        <v>23175</v>
      </c>
      <c r="E297">
        <v>0</v>
      </c>
      <c r="F297">
        <v>570849.67000000004</v>
      </c>
      <c r="I297" s="232">
        <v>40849</v>
      </c>
    </row>
    <row r="298" spans="1:9" hidden="1">
      <c r="A298" s="232">
        <v>40849</v>
      </c>
      <c r="C298" t="s">
        <v>5244</v>
      </c>
      <c r="D298">
        <v>13262</v>
      </c>
      <c r="E298">
        <v>0</v>
      </c>
      <c r="F298">
        <v>557587.67000000004</v>
      </c>
      <c r="I298" s="232">
        <v>40849</v>
      </c>
    </row>
    <row r="299" spans="1:9" hidden="1">
      <c r="A299" s="232">
        <v>40850</v>
      </c>
      <c r="C299" t="s">
        <v>5245</v>
      </c>
      <c r="D299">
        <v>0</v>
      </c>
      <c r="E299">
        <v>23175</v>
      </c>
      <c r="F299">
        <v>580762.67000000004</v>
      </c>
      <c r="I299" s="232">
        <v>40850</v>
      </c>
    </row>
    <row r="300" spans="1:9" hidden="1">
      <c r="A300" s="232">
        <v>40851</v>
      </c>
      <c r="C300" t="s">
        <v>5246</v>
      </c>
      <c r="D300">
        <v>1361.88</v>
      </c>
      <c r="E300">
        <v>0</v>
      </c>
      <c r="F300">
        <v>579400.79</v>
      </c>
      <c r="I300" s="232">
        <v>40851</v>
      </c>
    </row>
    <row r="301" spans="1:9" hidden="1">
      <c r="A301" s="232">
        <v>40851</v>
      </c>
      <c r="C301" t="s">
        <v>1622</v>
      </c>
      <c r="D301">
        <v>0</v>
      </c>
      <c r="E301">
        <v>1998</v>
      </c>
      <c r="F301">
        <v>581398.79</v>
      </c>
      <c r="G301" s="8" t="s">
        <v>1380</v>
      </c>
      <c r="I301" s="232">
        <v>40851</v>
      </c>
    </row>
    <row r="302" spans="1:9" hidden="1">
      <c r="A302" s="232">
        <v>40855</v>
      </c>
      <c r="C302" t="s">
        <v>5247</v>
      </c>
      <c r="D302">
        <v>1033</v>
      </c>
      <c r="E302">
        <v>0</v>
      </c>
      <c r="F302">
        <v>580365.79</v>
      </c>
      <c r="I302" s="232">
        <v>40855</v>
      </c>
    </row>
    <row r="303" spans="1:9" hidden="1">
      <c r="A303" s="232">
        <v>40876</v>
      </c>
      <c r="C303" t="s">
        <v>1694</v>
      </c>
      <c r="D303">
        <v>0</v>
      </c>
      <c r="E303">
        <v>109562</v>
      </c>
      <c r="F303">
        <v>689927.79</v>
      </c>
      <c r="G303" s="8" t="s">
        <v>1380</v>
      </c>
      <c r="I303" s="232">
        <v>40876</v>
      </c>
    </row>
    <row r="304" spans="1:9" hidden="1">
      <c r="A304" s="232">
        <v>40879</v>
      </c>
      <c r="C304" t="s">
        <v>1622</v>
      </c>
      <c r="D304">
        <v>0</v>
      </c>
      <c r="E304">
        <v>1010.8</v>
      </c>
      <c r="F304">
        <v>690938.59</v>
      </c>
      <c r="G304" s="8" t="s">
        <v>1380</v>
      </c>
      <c r="I304" s="232">
        <v>40879</v>
      </c>
    </row>
    <row r="305" spans="1:9" hidden="1">
      <c r="A305" s="232">
        <v>40879</v>
      </c>
      <c r="C305" t="s">
        <v>5248</v>
      </c>
      <c r="D305">
        <v>1500</v>
      </c>
      <c r="E305">
        <v>0</v>
      </c>
      <c r="F305">
        <v>689438.59</v>
      </c>
      <c r="I305" s="232">
        <v>40879</v>
      </c>
    </row>
    <row r="306" spans="1:9" hidden="1">
      <c r="A306" s="232">
        <v>40882</v>
      </c>
      <c r="C306" t="s">
        <v>5249</v>
      </c>
      <c r="D306">
        <v>45789.4</v>
      </c>
      <c r="E306">
        <v>0</v>
      </c>
      <c r="F306">
        <v>643649.18999999994</v>
      </c>
      <c r="G306" s="8" t="s">
        <v>1362</v>
      </c>
      <c r="I306" s="232">
        <v>40882</v>
      </c>
    </row>
    <row r="307" spans="1:9" hidden="1">
      <c r="A307" s="232">
        <v>40886</v>
      </c>
      <c r="C307" t="s">
        <v>5250</v>
      </c>
      <c r="D307">
        <v>100006</v>
      </c>
      <c r="E307">
        <v>0</v>
      </c>
      <c r="F307">
        <v>543643.18999999994</v>
      </c>
      <c r="G307" s="8" t="s">
        <v>1363</v>
      </c>
      <c r="I307" s="232">
        <v>40886</v>
      </c>
    </row>
    <row r="308" spans="1:9" hidden="1">
      <c r="A308" s="232">
        <v>40886</v>
      </c>
      <c r="C308" t="s">
        <v>5251</v>
      </c>
      <c r="D308">
        <v>33640</v>
      </c>
      <c r="E308">
        <v>0</v>
      </c>
      <c r="F308">
        <v>510003.19</v>
      </c>
      <c r="G308" s="8" t="s">
        <v>1370</v>
      </c>
      <c r="I308" s="232">
        <v>40886</v>
      </c>
    </row>
    <row r="309" spans="1:9" hidden="1">
      <c r="A309" s="232">
        <v>40894</v>
      </c>
      <c r="C309" t="s">
        <v>1590</v>
      </c>
      <c r="D309">
        <v>0</v>
      </c>
      <c r="E309">
        <v>2000</v>
      </c>
      <c r="F309">
        <v>512003.19</v>
      </c>
      <c r="G309" s="8" t="s">
        <v>1380</v>
      </c>
      <c r="I309" s="232">
        <v>40894</v>
      </c>
    </row>
    <row r="310" spans="1:9" hidden="1">
      <c r="A310" s="232">
        <v>40897</v>
      </c>
      <c r="C310" t="s">
        <v>5252</v>
      </c>
      <c r="D310">
        <v>2520</v>
      </c>
      <c r="E310">
        <v>0</v>
      </c>
      <c r="F310">
        <v>509483.19</v>
      </c>
      <c r="G310" s="8" t="s">
        <v>1362</v>
      </c>
      <c r="I310" s="232">
        <v>40897</v>
      </c>
    </row>
    <row r="311" spans="1:9" hidden="1">
      <c r="A311" s="232">
        <v>40897</v>
      </c>
      <c r="C311" t="s">
        <v>5253</v>
      </c>
      <c r="D311">
        <v>1221</v>
      </c>
      <c r="E311">
        <v>0</v>
      </c>
      <c r="F311">
        <v>508262.19</v>
      </c>
      <c r="I311" s="232">
        <v>40897</v>
      </c>
    </row>
    <row r="312" spans="1:9" hidden="1">
      <c r="A312" s="232">
        <v>40903</v>
      </c>
      <c r="C312" t="s">
        <v>1699</v>
      </c>
      <c r="D312">
        <v>0</v>
      </c>
      <c r="E312">
        <v>998</v>
      </c>
      <c r="F312">
        <v>509260.19</v>
      </c>
      <c r="G312" s="8" t="s">
        <v>1380</v>
      </c>
      <c r="I312" s="232">
        <v>40903</v>
      </c>
    </row>
    <row r="313" spans="1:9" hidden="1">
      <c r="A313" s="232">
        <v>40906</v>
      </c>
      <c r="C313" t="s">
        <v>1702</v>
      </c>
      <c r="D313">
        <v>0</v>
      </c>
      <c r="E313">
        <v>109061</v>
      </c>
      <c r="F313">
        <v>618321.18999999994</v>
      </c>
      <c r="G313" s="8" t="s">
        <v>1380</v>
      </c>
      <c r="I313" s="232">
        <v>40906</v>
      </c>
    </row>
    <row r="314" spans="1:9" hidden="1">
      <c r="A314" s="232">
        <v>40914</v>
      </c>
      <c r="C314" t="s">
        <v>1622</v>
      </c>
      <c r="D314">
        <v>0</v>
      </c>
      <c r="E314">
        <v>2520</v>
      </c>
      <c r="F314">
        <v>620841.18999999994</v>
      </c>
      <c r="G314" s="8" t="s">
        <v>1380</v>
      </c>
      <c r="I314" s="232">
        <v>40914</v>
      </c>
    </row>
    <row r="315" spans="1:9" hidden="1">
      <c r="A315" s="232">
        <v>40924</v>
      </c>
      <c r="C315" t="s">
        <v>5254</v>
      </c>
      <c r="D315">
        <v>150017</v>
      </c>
      <c r="E315">
        <v>0</v>
      </c>
      <c r="F315">
        <v>470824.19</v>
      </c>
      <c r="G315" s="8" t="s">
        <v>1363</v>
      </c>
      <c r="I315" s="232">
        <v>40924</v>
      </c>
    </row>
    <row r="316" spans="1:9" hidden="1">
      <c r="A316" s="232">
        <v>40924</v>
      </c>
      <c r="C316" t="s">
        <v>5255</v>
      </c>
      <c r="D316">
        <v>200017</v>
      </c>
      <c r="E316">
        <v>0</v>
      </c>
      <c r="F316">
        <v>270807.19</v>
      </c>
      <c r="G316" s="8" t="s">
        <v>1363</v>
      </c>
      <c r="I316" s="232">
        <v>40924</v>
      </c>
    </row>
    <row r="317" spans="1:9" hidden="1">
      <c r="A317" s="232">
        <v>40933</v>
      </c>
      <c r="C317" t="s">
        <v>5256</v>
      </c>
      <c r="D317">
        <v>1500</v>
      </c>
      <c r="E317">
        <v>0</v>
      </c>
      <c r="F317">
        <v>269307.19</v>
      </c>
      <c r="I317" s="232">
        <v>40933</v>
      </c>
    </row>
    <row r="318" spans="1:9" hidden="1">
      <c r="A318" s="232">
        <v>40935</v>
      </c>
      <c r="C318" t="s">
        <v>1590</v>
      </c>
      <c r="D318">
        <v>0</v>
      </c>
      <c r="E318">
        <v>998</v>
      </c>
      <c r="F318">
        <v>270305.19</v>
      </c>
      <c r="G318" s="8" t="s">
        <v>1380</v>
      </c>
      <c r="I318" s="232">
        <v>40935</v>
      </c>
    </row>
    <row r="319" spans="1:9" hidden="1">
      <c r="A319" s="232">
        <v>40938</v>
      </c>
      <c r="C319" t="s">
        <v>1711</v>
      </c>
      <c r="D319">
        <v>0</v>
      </c>
      <c r="E319">
        <v>109061</v>
      </c>
      <c r="F319">
        <v>379366.19</v>
      </c>
      <c r="G319" s="8" t="s">
        <v>1380</v>
      </c>
      <c r="I319" s="232">
        <v>40938</v>
      </c>
    </row>
    <row r="320" spans="1:9" hidden="1">
      <c r="A320" s="232">
        <v>40942</v>
      </c>
      <c r="C320" t="s">
        <v>5257</v>
      </c>
      <c r="D320">
        <v>500</v>
      </c>
      <c r="E320">
        <v>0</v>
      </c>
      <c r="F320">
        <v>378866.19</v>
      </c>
      <c r="G320" s="8" t="s">
        <v>1362</v>
      </c>
      <c r="I320" s="232">
        <v>40942</v>
      </c>
    </row>
    <row r="321" spans="1:9" hidden="1">
      <c r="A321" s="232">
        <v>40945</v>
      </c>
      <c r="C321" t="s">
        <v>5258</v>
      </c>
      <c r="D321">
        <v>15000</v>
      </c>
      <c r="E321">
        <v>0</v>
      </c>
      <c r="F321">
        <v>363866.19</v>
      </c>
      <c r="G321" s="8" t="s">
        <v>1361</v>
      </c>
      <c r="I321" s="232">
        <v>40945</v>
      </c>
    </row>
    <row r="322" spans="1:9" hidden="1">
      <c r="A322" s="232">
        <v>40957</v>
      </c>
      <c r="C322" t="s">
        <v>5259</v>
      </c>
      <c r="D322">
        <v>0</v>
      </c>
      <c r="E322">
        <v>2000</v>
      </c>
      <c r="F322">
        <v>365866.19</v>
      </c>
      <c r="G322" s="8" t="s">
        <v>1380</v>
      </c>
      <c r="I322" s="232">
        <v>40957</v>
      </c>
    </row>
    <row r="323" spans="1:9" hidden="1">
      <c r="A323" s="232">
        <v>40961</v>
      </c>
      <c r="C323" t="s">
        <v>1630</v>
      </c>
      <c r="D323">
        <v>1000</v>
      </c>
      <c r="E323">
        <v>0</v>
      </c>
      <c r="F323">
        <v>364866.19</v>
      </c>
      <c r="I323" s="232">
        <v>40961</v>
      </c>
    </row>
    <row r="324" spans="1:9" hidden="1">
      <c r="A324" s="232">
        <v>40966</v>
      </c>
      <c r="C324" t="s">
        <v>5260</v>
      </c>
      <c r="D324">
        <v>59138</v>
      </c>
      <c r="E324">
        <v>0</v>
      </c>
      <c r="F324">
        <v>305728.19</v>
      </c>
      <c r="G324" s="8" t="s">
        <v>1370</v>
      </c>
      <c r="I324" s="232">
        <v>40966</v>
      </c>
    </row>
    <row r="325" spans="1:9" hidden="1">
      <c r="A325" s="232">
        <v>40967</v>
      </c>
      <c r="C325" t="s">
        <v>1721</v>
      </c>
      <c r="D325">
        <v>0</v>
      </c>
      <c r="E325">
        <v>116619</v>
      </c>
      <c r="F325">
        <v>422347.19</v>
      </c>
      <c r="G325" s="8" t="s">
        <v>1380</v>
      </c>
      <c r="I325" s="232">
        <v>40967</v>
      </c>
    </row>
    <row r="326" spans="1:9" hidden="1">
      <c r="A326" s="232">
        <v>40969</v>
      </c>
      <c r="C326" t="s">
        <v>5261</v>
      </c>
      <c r="D326">
        <v>0</v>
      </c>
      <c r="E326">
        <v>10537</v>
      </c>
      <c r="F326">
        <v>432884.19</v>
      </c>
      <c r="G326" s="8" t="s">
        <v>1368</v>
      </c>
      <c r="I326" s="232">
        <v>40969</v>
      </c>
    </row>
    <row r="327" spans="1:9" hidden="1">
      <c r="A327" s="232">
        <v>40973</v>
      </c>
      <c r="C327" t="s">
        <v>5262</v>
      </c>
      <c r="D327">
        <v>2000</v>
      </c>
      <c r="E327">
        <v>0</v>
      </c>
      <c r="F327">
        <v>430884.19</v>
      </c>
      <c r="I327" s="232">
        <v>40973</v>
      </c>
    </row>
    <row r="328" spans="1:9" hidden="1">
      <c r="A328" s="232">
        <v>40983</v>
      </c>
      <c r="C328" t="s">
        <v>5263</v>
      </c>
      <c r="D328">
        <v>0</v>
      </c>
      <c r="E328">
        <v>4221.24</v>
      </c>
      <c r="F328">
        <v>435105.43</v>
      </c>
      <c r="G328" s="8" t="s">
        <v>1380</v>
      </c>
      <c r="I328" s="232">
        <v>40983</v>
      </c>
    </row>
    <row r="329" spans="1:9" hidden="1">
      <c r="A329" s="232">
        <v>40995</v>
      </c>
      <c r="C329" t="s">
        <v>5264</v>
      </c>
      <c r="D329">
        <v>0</v>
      </c>
      <c r="E329">
        <v>6344.67</v>
      </c>
      <c r="F329">
        <v>441450.1</v>
      </c>
      <c r="G329" s="8" t="s">
        <v>1380</v>
      </c>
      <c r="I329" s="232">
        <v>40995</v>
      </c>
    </row>
    <row r="330" spans="1:9" hidden="1">
      <c r="A330" s="232">
        <v>40996</v>
      </c>
      <c r="C330" t="s">
        <v>5265</v>
      </c>
      <c r="D330">
        <v>0</v>
      </c>
      <c r="E330">
        <v>260.82</v>
      </c>
      <c r="F330">
        <v>441710.92</v>
      </c>
      <c r="G330" s="8" t="s">
        <v>1375</v>
      </c>
      <c r="I330" s="232">
        <v>40996</v>
      </c>
    </row>
    <row r="331" spans="1:9" hidden="1">
      <c r="A331" s="232">
        <v>40997</v>
      </c>
      <c r="C331" t="s">
        <v>1404</v>
      </c>
      <c r="D331">
        <v>0</v>
      </c>
      <c r="E331">
        <v>187947</v>
      </c>
      <c r="F331">
        <v>629657.92000000004</v>
      </c>
      <c r="G331" s="8" t="s">
        <v>1380</v>
      </c>
      <c r="I331" s="232">
        <v>40997</v>
      </c>
    </row>
    <row r="332" spans="1:9" hidden="1">
      <c r="A332" s="232">
        <v>41000</v>
      </c>
      <c r="C332" t="s">
        <v>1394</v>
      </c>
      <c r="D332">
        <v>0</v>
      </c>
      <c r="E332">
        <v>0</v>
      </c>
      <c r="F332">
        <v>629657.92000000004</v>
      </c>
      <c r="I332" s="232">
        <v>41000</v>
      </c>
    </row>
    <row r="333" spans="1:9" hidden="1">
      <c r="A333" s="232">
        <v>41002</v>
      </c>
      <c r="C333" t="s">
        <v>5266</v>
      </c>
      <c r="D333">
        <v>525</v>
      </c>
      <c r="E333">
        <v>0</v>
      </c>
      <c r="F333">
        <v>629132.92000000004</v>
      </c>
      <c r="I333" s="232">
        <v>41002</v>
      </c>
    </row>
    <row r="334" spans="1:9" hidden="1">
      <c r="A334" s="232">
        <v>41002</v>
      </c>
      <c r="C334" t="s">
        <v>5267</v>
      </c>
      <c r="D334">
        <v>3210</v>
      </c>
      <c r="E334">
        <v>0</v>
      </c>
      <c r="F334">
        <v>625922.92000000004</v>
      </c>
      <c r="G334" s="8" t="s">
        <v>1370</v>
      </c>
      <c r="I334" s="232">
        <v>41002</v>
      </c>
    </row>
    <row r="335" spans="1:9" hidden="1">
      <c r="A335" s="232">
        <v>41012</v>
      </c>
      <c r="C335" t="s">
        <v>5268</v>
      </c>
      <c r="D335">
        <v>200017</v>
      </c>
      <c r="E335">
        <v>0</v>
      </c>
      <c r="F335">
        <v>425905.91999999998</v>
      </c>
      <c r="G335" s="8" t="s">
        <v>1363</v>
      </c>
      <c r="I335" s="232">
        <v>41012</v>
      </c>
    </row>
    <row r="336" spans="1:9" hidden="1">
      <c r="A336" s="232">
        <v>41016</v>
      </c>
      <c r="C336" t="s">
        <v>1630</v>
      </c>
      <c r="D336">
        <v>2000</v>
      </c>
      <c r="E336">
        <v>0</v>
      </c>
      <c r="F336">
        <v>423905.92</v>
      </c>
      <c r="I336" s="232">
        <v>41016</v>
      </c>
    </row>
    <row r="337" spans="1:9" hidden="1">
      <c r="A337" s="232">
        <v>41022</v>
      </c>
      <c r="C337" t="s">
        <v>1739</v>
      </c>
      <c r="D337">
        <v>5000</v>
      </c>
      <c r="E337">
        <v>0</v>
      </c>
      <c r="F337">
        <v>418905.92</v>
      </c>
      <c r="G337" s="8" t="s">
        <v>1361</v>
      </c>
      <c r="I337" s="232">
        <v>41022</v>
      </c>
    </row>
    <row r="338" spans="1:9" hidden="1">
      <c r="A338" s="232">
        <v>41026</v>
      </c>
      <c r="C338" t="s">
        <v>1404</v>
      </c>
      <c r="D338">
        <v>0</v>
      </c>
      <c r="E338">
        <v>573565</v>
      </c>
      <c r="F338">
        <v>992470.92</v>
      </c>
      <c r="G338" s="8" t="s">
        <v>1380</v>
      </c>
      <c r="I338" s="232">
        <v>41026</v>
      </c>
    </row>
    <row r="339" spans="1:9" hidden="1">
      <c r="A339" s="232">
        <v>41027</v>
      </c>
      <c r="C339" t="s">
        <v>5269</v>
      </c>
      <c r="D339">
        <v>0</v>
      </c>
      <c r="E339">
        <v>1000</v>
      </c>
      <c r="F339">
        <v>993470.92</v>
      </c>
      <c r="G339" s="8" t="s">
        <v>1380</v>
      </c>
      <c r="I339" s="232">
        <v>41027</v>
      </c>
    </row>
    <row r="340" spans="1:9" hidden="1">
      <c r="A340" s="232">
        <v>41032</v>
      </c>
      <c r="C340" t="s">
        <v>5270</v>
      </c>
      <c r="D340">
        <v>1179.18</v>
      </c>
      <c r="E340">
        <v>0</v>
      </c>
      <c r="F340">
        <v>992291.74</v>
      </c>
      <c r="I340" s="232">
        <v>41032</v>
      </c>
    </row>
    <row r="341" spans="1:9" hidden="1">
      <c r="A341" s="232">
        <v>41032</v>
      </c>
      <c r="C341" t="s">
        <v>5271</v>
      </c>
      <c r="D341">
        <v>200000</v>
      </c>
      <c r="E341">
        <v>0</v>
      </c>
      <c r="F341">
        <v>792291.74</v>
      </c>
      <c r="G341" s="8" t="s">
        <v>1363</v>
      </c>
      <c r="I341" s="232">
        <v>41032</v>
      </c>
    </row>
    <row r="342" spans="1:9" hidden="1">
      <c r="A342" s="232">
        <v>41032</v>
      </c>
      <c r="C342" t="s">
        <v>5272</v>
      </c>
      <c r="D342">
        <v>28</v>
      </c>
      <c r="E342">
        <v>0</v>
      </c>
      <c r="F342">
        <v>792263.74</v>
      </c>
      <c r="I342" s="232">
        <v>41032</v>
      </c>
    </row>
    <row r="343" spans="1:9" hidden="1">
      <c r="A343" s="232">
        <v>41037</v>
      </c>
      <c r="C343" t="s">
        <v>1855</v>
      </c>
      <c r="D343">
        <v>2000</v>
      </c>
      <c r="E343">
        <v>0</v>
      </c>
      <c r="F343">
        <v>790263.74</v>
      </c>
      <c r="I343" s="232">
        <v>41037</v>
      </c>
    </row>
    <row r="344" spans="1:9" hidden="1">
      <c r="A344" s="232">
        <v>41046</v>
      </c>
      <c r="C344" t="s">
        <v>5273</v>
      </c>
      <c r="D344">
        <v>200017</v>
      </c>
      <c r="E344">
        <v>0</v>
      </c>
      <c r="F344">
        <v>590246.74</v>
      </c>
      <c r="G344" s="8" t="s">
        <v>1363</v>
      </c>
      <c r="I344" s="232">
        <v>41046</v>
      </c>
    </row>
    <row r="345" spans="1:9" hidden="1">
      <c r="A345" s="232">
        <v>41047</v>
      </c>
      <c r="C345" t="s">
        <v>5274</v>
      </c>
      <c r="D345">
        <v>10000</v>
      </c>
      <c r="E345">
        <v>0</v>
      </c>
      <c r="F345">
        <v>580246.74</v>
      </c>
      <c r="G345" s="8" t="s">
        <v>1361</v>
      </c>
      <c r="I345" s="232">
        <v>41047</v>
      </c>
    </row>
    <row r="346" spans="1:9" hidden="1">
      <c r="A346" s="232">
        <v>41050</v>
      </c>
      <c r="C346" t="s">
        <v>1590</v>
      </c>
      <c r="D346">
        <v>0</v>
      </c>
      <c r="E346">
        <v>998</v>
      </c>
      <c r="F346">
        <v>581244.74</v>
      </c>
      <c r="G346" s="8" t="s">
        <v>1380</v>
      </c>
      <c r="I346" s="232">
        <v>41050</v>
      </c>
    </row>
    <row r="347" spans="1:9" hidden="1">
      <c r="A347" s="232">
        <v>41052</v>
      </c>
      <c r="C347" t="s">
        <v>5275</v>
      </c>
      <c r="D347">
        <v>1020</v>
      </c>
      <c r="E347">
        <v>0</v>
      </c>
      <c r="F347">
        <v>580224.74</v>
      </c>
      <c r="I347" s="232">
        <v>41052</v>
      </c>
    </row>
    <row r="348" spans="1:9" hidden="1">
      <c r="A348" s="232">
        <v>41052</v>
      </c>
      <c r="C348" t="s">
        <v>5276</v>
      </c>
      <c r="D348">
        <v>500</v>
      </c>
      <c r="E348">
        <v>0</v>
      </c>
      <c r="F348">
        <v>579724.74</v>
      </c>
      <c r="I348" s="232">
        <v>41052</v>
      </c>
    </row>
    <row r="349" spans="1:9" hidden="1">
      <c r="A349" s="232">
        <v>41059</v>
      </c>
      <c r="C349" t="s">
        <v>1404</v>
      </c>
      <c r="D349">
        <v>0</v>
      </c>
      <c r="E349">
        <v>138226</v>
      </c>
      <c r="F349">
        <v>717950.74</v>
      </c>
      <c r="G349" s="8" t="s">
        <v>1380</v>
      </c>
      <c r="I349" s="232">
        <v>41059</v>
      </c>
    </row>
    <row r="350" spans="1:9" hidden="1">
      <c r="A350" s="232">
        <v>41061</v>
      </c>
      <c r="C350" t="s">
        <v>5277</v>
      </c>
      <c r="D350">
        <v>1600</v>
      </c>
      <c r="E350">
        <v>0</v>
      </c>
      <c r="F350">
        <v>716350.74</v>
      </c>
      <c r="I350" s="232">
        <v>41061</v>
      </c>
    </row>
    <row r="351" spans="1:9" hidden="1">
      <c r="A351" s="232">
        <v>41061</v>
      </c>
      <c r="C351" t="s">
        <v>5278</v>
      </c>
      <c r="D351">
        <v>200017</v>
      </c>
      <c r="E351">
        <v>0</v>
      </c>
      <c r="F351">
        <v>516333.74</v>
      </c>
      <c r="G351" s="8" t="s">
        <v>1363</v>
      </c>
      <c r="I351" s="232">
        <v>41061</v>
      </c>
    </row>
    <row r="352" spans="1:9" hidden="1">
      <c r="A352" s="232">
        <v>41064</v>
      </c>
      <c r="C352" t="s">
        <v>5279</v>
      </c>
      <c r="D352">
        <v>245417</v>
      </c>
      <c r="E352">
        <v>0</v>
      </c>
      <c r="F352">
        <v>270916.74</v>
      </c>
      <c r="G352" s="8" t="s">
        <v>1370</v>
      </c>
      <c r="I352" s="232">
        <v>41064</v>
      </c>
    </row>
    <row r="353" spans="1:9" hidden="1">
      <c r="A353" s="232">
        <v>41064</v>
      </c>
      <c r="C353" t="s">
        <v>5280</v>
      </c>
      <c r="D353">
        <v>100006</v>
      </c>
      <c r="E353">
        <v>0</v>
      </c>
      <c r="F353">
        <v>170910.74</v>
      </c>
      <c r="G353" s="8" t="s">
        <v>1363</v>
      </c>
      <c r="I353" s="232">
        <v>41064</v>
      </c>
    </row>
    <row r="354" spans="1:9" hidden="1">
      <c r="A354" s="232">
        <v>41064</v>
      </c>
      <c r="C354" t="s">
        <v>5281</v>
      </c>
      <c r="D354">
        <v>1463</v>
      </c>
      <c r="E354">
        <v>0</v>
      </c>
      <c r="F354">
        <v>169447.74</v>
      </c>
      <c r="G354" s="8" t="s">
        <v>1362</v>
      </c>
      <c r="I354" s="232">
        <v>41064</v>
      </c>
    </row>
    <row r="355" spans="1:9" hidden="1">
      <c r="A355" s="232">
        <v>41065</v>
      </c>
      <c r="C355" t="s">
        <v>1553</v>
      </c>
      <c r="D355">
        <v>7500</v>
      </c>
      <c r="E355">
        <v>0</v>
      </c>
      <c r="F355">
        <v>161947.74</v>
      </c>
      <c r="I355" s="232">
        <v>41065</v>
      </c>
    </row>
    <row r="356" spans="1:9" hidden="1">
      <c r="A356" s="232">
        <v>41066</v>
      </c>
      <c r="C356" t="s">
        <v>5282</v>
      </c>
      <c r="D356">
        <v>1490</v>
      </c>
      <c r="E356">
        <v>0</v>
      </c>
      <c r="F356">
        <v>160457.74</v>
      </c>
      <c r="I356" s="232">
        <v>41066</v>
      </c>
    </row>
    <row r="357" spans="1:9" hidden="1">
      <c r="A357" s="232">
        <v>41066</v>
      </c>
      <c r="C357" t="s">
        <v>5283</v>
      </c>
      <c r="D357">
        <v>1490</v>
      </c>
      <c r="E357">
        <v>0</v>
      </c>
      <c r="F357">
        <v>158967.74</v>
      </c>
      <c r="I357" s="232">
        <v>41066</v>
      </c>
    </row>
    <row r="358" spans="1:9" hidden="1">
      <c r="A358" s="232">
        <v>41068</v>
      </c>
      <c r="C358" t="s">
        <v>5284</v>
      </c>
      <c r="D358">
        <v>10000</v>
      </c>
      <c r="E358">
        <v>0</v>
      </c>
      <c r="F358">
        <v>148967.74</v>
      </c>
      <c r="G358" s="8" t="s">
        <v>1361</v>
      </c>
      <c r="I358" s="232">
        <v>41068</v>
      </c>
    </row>
    <row r="359" spans="1:9" hidden="1">
      <c r="A359" s="232">
        <v>41075</v>
      </c>
      <c r="C359" t="s">
        <v>5285</v>
      </c>
      <c r="D359">
        <v>1020</v>
      </c>
      <c r="E359">
        <v>0</v>
      </c>
      <c r="F359">
        <v>147947.74</v>
      </c>
      <c r="I359" s="232">
        <v>41075</v>
      </c>
    </row>
    <row r="360" spans="1:9" hidden="1">
      <c r="A360" s="232">
        <v>41087</v>
      </c>
      <c r="C360" t="s">
        <v>5286</v>
      </c>
      <c r="D360">
        <v>3210</v>
      </c>
      <c r="E360">
        <v>0</v>
      </c>
      <c r="F360">
        <v>144737.74</v>
      </c>
      <c r="G360" s="8" t="s">
        <v>1370</v>
      </c>
      <c r="I360" s="232">
        <v>41087</v>
      </c>
    </row>
    <row r="361" spans="1:9" hidden="1">
      <c r="A361" s="232">
        <v>41088</v>
      </c>
      <c r="C361" t="s">
        <v>1404</v>
      </c>
      <c r="D361">
        <v>0</v>
      </c>
      <c r="E361">
        <v>138226</v>
      </c>
      <c r="F361">
        <v>282963.74</v>
      </c>
      <c r="G361" s="8" t="s">
        <v>1380</v>
      </c>
      <c r="I361" s="232">
        <v>41088</v>
      </c>
    </row>
    <row r="362" spans="1:9" hidden="1">
      <c r="A362" s="232">
        <v>41090</v>
      </c>
      <c r="C362" t="s">
        <v>5269</v>
      </c>
      <c r="D362">
        <v>0</v>
      </c>
      <c r="E362">
        <v>2998</v>
      </c>
      <c r="F362">
        <v>285961.74</v>
      </c>
      <c r="G362" s="8" t="s">
        <v>1380</v>
      </c>
      <c r="I362" s="232">
        <v>41090</v>
      </c>
    </row>
    <row r="363" spans="1:9" hidden="1">
      <c r="A363" s="232">
        <v>41093</v>
      </c>
      <c r="C363" t="s">
        <v>5287</v>
      </c>
      <c r="D363">
        <v>2098.6999999999998</v>
      </c>
      <c r="E363">
        <v>0</v>
      </c>
      <c r="F363">
        <v>283863.03999999998</v>
      </c>
      <c r="I363" s="232">
        <v>41093</v>
      </c>
    </row>
    <row r="364" spans="1:9" hidden="1">
      <c r="A364" s="232">
        <v>41094</v>
      </c>
      <c r="C364" t="s">
        <v>5288</v>
      </c>
      <c r="D364">
        <v>760</v>
      </c>
      <c r="E364">
        <v>0</v>
      </c>
      <c r="F364">
        <v>283103.03999999998</v>
      </c>
      <c r="G364" s="8" t="s">
        <v>1362</v>
      </c>
      <c r="I364" s="232">
        <v>41094</v>
      </c>
    </row>
    <row r="365" spans="1:9" hidden="1">
      <c r="A365" s="232">
        <v>41095</v>
      </c>
      <c r="C365" t="s">
        <v>5289</v>
      </c>
      <c r="D365">
        <v>172723</v>
      </c>
      <c r="E365">
        <v>0</v>
      </c>
      <c r="F365">
        <v>110380.04</v>
      </c>
      <c r="I365" s="232">
        <v>41095</v>
      </c>
    </row>
    <row r="366" spans="1:9" hidden="1">
      <c r="A366" s="232">
        <v>41099</v>
      </c>
      <c r="C366" t="s">
        <v>5290</v>
      </c>
      <c r="D366">
        <v>1457</v>
      </c>
      <c r="E366">
        <v>0</v>
      </c>
      <c r="F366">
        <v>108923.04</v>
      </c>
      <c r="I366" s="232">
        <v>41099</v>
      </c>
    </row>
    <row r="367" spans="1:9" hidden="1">
      <c r="A367" s="232">
        <v>41120</v>
      </c>
      <c r="C367" t="s">
        <v>5291</v>
      </c>
      <c r="D367">
        <v>1020</v>
      </c>
      <c r="E367">
        <v>0</v>
      </c>
      <c r="F367">
        <v>107903.03999999999</v>
      </c>
      <c r="I367" s="232">
        <v>41120</v>
      </c>
    </row>
    <row r="368" spans="1:9" hidden="1">
      <c r="A368" s="232">
        <v>41120</v>
      </c>
      <c r="C368" t="s">
        <v>1404</v>
      </c>
      <c r="D368">
        <v>0</v>
      </c>
      <c r="E368">
        <v>138226</v>
      </c>
      <c r="F368">
        <v>246129.04</v>
      </c>
      <c r="G368" s="8" t="s">
        <v>1380</v>
      </c>
      <c r="I368" s="232">
        <v>41120</v>
      </c>
    </row>
    <row r="369" spans="1:9" hidden="1">
      <c r="A369" s="232">
        <v>41124</v>
      </c>
      <c r="C369" t="s">
        <v>5292</v>
      </c>
      <c r="D369">
        <v>28218.46</v>
      </c>
      <c r="E369">
        <v>0</v>
      </c>
      <c r="F369">
        <v>217910.58</v>
      </c>
      <c r="G369" s="8" t="s">
        <v>1362</v>
      </c>
      <c r="I369" s="232">
        <v>41124</v>
      </c>
    </row>
    <row r="370" spans="1:9" hidden="1">
      <c r="A370" s="232">
        <v>41127</v>
      </c>
      <c r="C370" t="s">
        <v>5293</v>
      </c>
      <c r="D370">
        <v>1315.51</v>
      </c>
      <c r="E370">
        <v>0</v>
      </c>
      <c r="F370">
        <v>216595.07</v>
      </c>
      <c r="I370" s="232">
        <v>41127</v>
      </c>
    </row>
    <row r="371" spans="1:9" hidden="1">
      <c r="A371" s="232">
        <v>41127</v>
      </c>
      <c r="C371" t="s">
        <v>5294</v>
      </c>
      <c r="D371">
        <v>1020</v>
      </c>
      <c r="E371">
        <v>0</v>
      </c>
      <c r="F371">
        <v>215575.07</v>
      </c>
      <c r="I371" s="232">
        <v>41127</v>
      </c>
    </row>
    <row r="372" spans="1:9" hidden="1">
      <c r="A372" s="232">
        <v>41131</v>
      </c>
      <c r="C372" t="s">
        <v>1537</v>
      </c>
      <c r="D372">
        <v>0</v>
      </c>
      <c r="E372">
        <v>2996</v>
      </c>
      <c r="F372">
        <v>218571.07</v>
      </c>
      <c r="G372" s="8" t="s">
        <v>1380</v>
      </c>
      <c r="I372" s="232">
        <v>41131</v>
      </c>
    </row>
    <row r="373" spans="1:9" hidden="1">
      <c r="A373" s="232">
        <v>41134</v>
      </c>
      <c r="C373" t="s">
        <v>5295</v>
      </c>
      <c r="D373">
        <v>350028.09</v>
      </c>
      <c r="E373">
        <v>0</v>
      </c>
      <c r="F373">
        <v>-131457.01999999999</v>
      </c>
      <c r="G373" s="8" t="s">
        <v>1363</v>
      </c>
      <c r="I373" s="232">
        <v>41134</v>
      </c>
    </row>
    <row r="374" spans="1:9" hidden="1">
      <c r="A374" s="232">
        <v>41134</v>
      </c>
      <c r="C374" t="s">
        <v>5296</v>
      </c>
      <c r="D374">
        <v>0</v>
      </c>
      <c r="E374">
        <v>283</v>
      </c>
      <c r="F374">
        <v>-131174.01999999999</v>
      </c>
      <c r="G374" s="8" t="s">
        <v>1379</v>
      </c>
      <c r="I374" s="232">
        <v>41134</v>
      </c>
    </row>
    <row r="375" spans="1:9" hidden="1">
      <c r="A375" s="232">
        <v>41134</v>
      </c>
      <c r="C375" t="s">
        <v>5297</v>
      </c>
      <c r="D375">
        <v>0</v>
      </c>
      <c r="E375">
        <v>15589</v>
      </c>
      <c r="F375">
        <v>-115585.02</v>
      </c>
      <c r="G375" s="8" t="s">
        <v>1379</v>
      </c>
      <c r="I375" s="232">
        <v>41134</v>
      </c>
    </row>
    <row r="376" spans="1:9" hidden="1">
      <c r="A376" s="232">
        <v>41134</v>
      </c>
      <c r="C376" t="s">
        <v>5298</v>
      </c>
      <c r="D376">
        <v>0</v>
      </c>
      <c r="E376">
        <v>67963</v>
      </c>
      <c r="F376">
        <v>-47622.02</v>
      </c>
      <c r="G376" s="8" t="s">
        <v>1379</v>
      </c>
      <c r="I376" s="232">
        <v>41134</v>
      </c>
    </row>
    <row r="377" spans="1:9" hidden="1">
      <c r="A377" s="232">
        <v>41134</v>
      </c>
      <c r="C377" t="s">
        <v>5299</v>
      </c>
      <c r="D377">
        <v>0</v>
      </c>
      <c r="E377">
        <v>7960</v>
      </c>
      <c r="F377">
        <v>-39662.019999999997</v>
      </c>
      <c r="G377" s="8" t="s">
        <v>1379</v>
      </c>
      <c r="I377" s="232">
        <v>41134</v>
      </c>
    </row>
    <row r="378" spans="1:9" hidden="1">
      <c r="A378" s="232">
        <v>41134</v>
      </c>
      <c r="C378" t="s">
        <v>5300</v>
      </c>
      <c r="D378">
        <v>0</v>
      </c>
      <c r="E378">
        <v>31681</v>
      </c>
      <c r="F378">
        <v>-7981.02</v>
      </c>
      <c r="G378" s="8" t="s">
        <v>1379</v>
      </c>
      <c r="I378" s="232">
        <v>41134</v>
      </c>
    </row>
    <row r="379" spans="1:9" hidden="1">
      <c r="A379" s="232">
        <v>41134</v>
      </c>
      <c r="C379" t="s">
        <v>5301</v>
      </c>
      <c r="D379">
        <v>0</v>
      </c>
      <c r="E379">
        <v>15000</v>
      </c>
      <c r="F379">
        <v>7018.98</v>
      </c>
      <c r="G379" s="8" t="s">
        <v>1379</v>
      </c>
      <c r="I379" s="232">
        <v>41134</v>
      </c>
    </row>
    <row r="380" spans="1:9" hidden="1">
      <c r="A380" s="232">
        <v>41134</v>
      </c>
      <c r="C380" t="s">
        <v>5296</v>
      </c>
      <c r="D380">
        <v>0</v>
      </c>
      <c r="E380">
        <v>63</v>
      </c>
      <c r="F380">
        <v>7081.98</v>
      </c>
      <c r="G380" s="8" t="s">
        <v>1379</v>
      </c>
      <c r="I380" s="232">
        <v>41134</v>
      </c>
    </row>
    <row r="381" spans="1:9" hidden="1">
      <c r="A381" s="232">
        <v>41134</v>
      </c>
      <c r="C381" t="s">
        <v>5301</v>
      </c>
      <c r="D381">
        <v>0</v>
      </c>
      <c r="E381">
        <v>663</v>
      </c>
      <c r="F381">
        <v>7744.98</v>
      </c>
      <c r="G381" s="8" t="s">
        <v>1379</v>
      </c>
      <c r="I381" s="232">
        <v>41134</v>
      </c>
    </row>
    <row r="382" spans="1:9" hidden="1">
      <c r="A382" s="232">
        <v>41134</v>
      </c>
      <c r="C382" t="s">
        <v>5300</v>
      </c>
      <c r="D382">
        <v>0</v>
      </c>
      <c r="E382">
        <v>1222</v>
      </c>
      <c r="F382">
        <v>8966.98</v>
      </c>
      <c r="G382" s="8" t="s">
        <v>1379</v>
      </c>
      <c r="I382" s="232">
        <v>41134</v>
      </c>
    </row>
    <row r="383" spans="1:9" hidden="1">
      <c r="A383" s="232">
        <v>41134</v>
      </c>
      <c r="C383" t="s">
        <v>5299</v>
      </c>
      <c r="D383">
        <v>0</v>
      </c>
      <c r="E383">
        <v>206</v>
      </c>
      <c r="F383">
        <v>9172.98</v>
      </c>
      <c r="G383" s="8" t="s">
        <v>1379</v>
      </c>
      <c r="I383" s="232">
        <v>41134</v>
      </c>
    </row>
    <row r="384" spans="1:9" hidden="1">
      <c r="A384" s="232">
        <v>41134</v>
      </c>
      <c r="C384" t="s">
        <v>5298</v>
      </c>
      <c r="D384">
        <v>0</v>
      </c>
      <c r="E384">
        <v>1535</v>
      </c>
      <c r="F384">
        <v>10707.98</v>
      </c>
      <c r="G384" s="8" t="s">
        <v>1379</v>
      </c>
      <c r="I384" s="232">
        <v>41134</v>
      </c>
    </row>
    <row r="385" spans="1:9" hidden="1">
      <c r="A385" s="232">
        <v>41134</v>
      </c>
      <c r="C385" t="s">
        <v>5297</v>
      </c>
      <c r="D385">
        <v>0</v>
      </c>
      <c r="E385">
        <v>16</v>
      </c>
      <c r="F385">
        <v>10723.98</v>
      </c>
      <c r="G385" s="8" t="s">
        <v>1379</v>
      </c>
      <c r="I385" s="232">
        <v>41134</v>
      </c>
    </row>
    <row r="386" spans="1:9" hidden="1">
      <c r="A386" s="232">
        <v>41142</v>
      </c>
      <c r="C386" t="s">
        <v>1774</v>
      </c>
      <c r="D386">
        <v>0</v>
      </c>
      <c r="E386">
        <v>35463</v>
      </c>
      <c r="F386">
        <v>46186.98</v>
      </c>
      <c r="G386" s="8" t="s">
        <v>1380</v>
      </c>
      <c r="I386" s="232">
        <v>41142</v>
      </c>
    </row>
    <row r="387" spans="1:9" hidden="1">
      <c r="A387" s="232">
        <v>41143</v>
      </c>
      <c r="C387" t="s">
        <v>5302</v>
      </c>
      <c r="D387">
        <v>36939.519999999997</v>
      </c>
      <c r="E387">
        <v>0</v>
      </c>
      <c r="F387">
        <v>9247.4599999999991</v>
      </c>
      <c r="G387" s="8" t="s">
        <v>1362</v>
      </c>
      <c r="I387" s="232">
        <v>41143</v>
      </c>
    </row>
    <row r="388" spans="1:9" hidden="1">
      <c r="A388" s="232">
        <v>41143</v>
      </c>
      <c r="C388" t="s">
        <v>5303</v>
      </c>
      <c r="D388">
        <v>0</v>
      </c>
      <c r="E388">
        <v>179236.21</v>
      </c>
      <c r="F388">
        <v>188483.67</v>
      </c>
      <c r="G388" s="8" t="s">
        <v>1380</v>
      </c>
      <c r="I388" s="232">
        <v>41143</v>
      </c>
    </row>
    <row r="389" spans="1:9" hidden="1">
      <c r="A389" s="232">
        <v>41149</v>
      </c>
      <c r="C389" t="s">
        <v>5304</v>
      </c>
      <c r="D389">
        <v>0</v>
      </c>
      <c r="E389">
        <v>262725.28000000003</v>
      </c>
      <c r="F389">
        <v>451208.95</v>
      </c>
      <c r="G389" s="8" t="s">
        <v>1380</v>
      </c>
      <c r="I389" s="232">
        <v>41149</v>
      </c>
    </row>
    <row r="390" spans="1:9" hidden="1">
      <c r="A390" s="232">
        <v>41150</v>
      </c>
      <c r="C390" t="s">
        <v>5305</v>
      </c>
      <c r="D390">
        <v>12024</v>
      </c>
      <c r="E390">
        <v>0</v>
      </c>
      <c r="F390">
        <v>439184.95</v>
      </c>
      <c r="I390" s="232">
        <v>41150</v>
      </c>
    </row>
    <row r="391" spans="1:9" hidden="1">
      <c r="A391" s="232">
        <v>41150</v>
      </c>
      <c r="C391" t="s">
        <v>5306</v>
      </c>
      <c r="D391">
        <v>0</v>
      </c>
      <c r="E391">
        <v>2643</v>
      </c>
      <c r="F391">
        <v>441827.95</v>
      </c>
      <c r="G391" s="8" t="s">
        <v>1380</v>
      </c>
      <c r="I391" s="232">
        <v>41150</v>
      </c>
    </row>
    <row r="392" spans="1:9" hidden="1">
      <c r="A392" s="232">
        <v>41151</v>
      </c>
      <c r="C392" t="s">
        <v>1404</v>
      </c>
      <c r="D392">
        <v>0</v>
      </c>
      <c r="E392">
        <v>151656</v>
      </c>
      <c r="F392">
        <v>593483.94999999995</v>
      </c>
      <c r="G392" s="8" t="s">
        <v>1380</v>
      </c>
      <c r="I392" s="232">
        <v>41151</v>
      </c>
    </row>
    <row r="393" spans="1:9" hidden="1">
      <c r="A393" s="232">
        <v>41153</v>
      </c>
      <c r="C393" t="s">
        <v>5307</v>
      </c>
      <c r="D393">
        <v>0</v>
      </c>
      <c r="E393">
        <v>7657</v>
      </c>
      <c r="F393">
        <v>601140.94999999995</v>
      </c>
      <c r="G393" s="8" t="s">
        <v>1368</v>
      </c>
      <c r="I393" s="232">
        <v>41153</v>
      </c>
    </row>
    <row r="394" spans="1:9" hidden="1">
      <c r="A394" s="232">
        <v>41155</v>
      </c>
      <c r="C394" t="s">
        <v>5308</v>
      </c>
      <c r="D394">
        <v>1271.1400000000001</v>
      </c>
      <c r="E394">
        <v>0</v>
      </c>
      <c r="F394">
        <v>599869.81000000006</v>
      </c>
      <c r="I394" s="232">
        <v>41155</v>
      </c>
    </row>
    <row r="395" spans="1:9" hidden="1">
      <c r="A395" s="232">
        <v>41155</v>
      </c>
      <c r="C395" t="s">
        <v>5309</v>
      </c>
      <c r="D395">
        <v>10000</v>
      </c>
      <c r="E395">
        <v>0</v>
      </c>
      <c r="F395">
        <v>589869.81000000006</v>
      </c>
      <c r="G395" s="8" t="s">
        <v>1361</v>
      </c>
      <c r="I395" s="232">
        <v>41155</v>
      </c>
    </row>
    <row r="396" spans="1:9" hidden="1">
      <c r="A396" s="232">
        <v>41156</v>
      </c>
      <c r="C396" t="s">
        <v>5310</v>
      </c>
      <c r="D396">
        <v>1020</v>
      </c>
      <c r="E396">
        <v>0</v>
      </c>
      <c r="F396">
        <v>588849.81000000006</v>
      </c>
      <c r="I396" s="232">
        <v>41156</v>
      </c>
    </row>
    <row r="397" spans="1:9" hidden="1">
      <c r="A397" s="232">
        <v>41156</v>
      </c>
      <c r="C397" t="s">
        <v>5311</v>
      </c>
      <c r="D397">
        <v>4993</v>
      </c>
      <c r="E397">
        <v>0</v>
      </c>
      <c r="F397">
        <v>583856.81000000006</v>
      </c>
      <c r="G397" s="8" t="s">
        <v>1362</v>
      </c>
      <c r="I397" s="232">
        <v>41156</v>
      </c>
    </row>
    <row r="398" spans="1:9" hidden="1">
      <c r="A398" s="232">
        <v>41167</v>
      </c>
      <c r="C398" t="s">
        <v>1537</v>
      </c>
      <c r="D398">
        <v>0</v>
      </c>
      <c r="E398">
        <v>2046</v>
      </c>
      <c r="F398">
        <v>585902.81000000006</v>
      </c>
      <c r="G398" s="8" t="s">
        <v>1380</v>
      </c>
      <c r="I398" s="232">
        <v>41167</v>
      </c>
    </row>
    <row r="399" spans="1:9" hidden="1">
      <c r="A399" s="232">
        <v>41176</v>
      </c>
      <c r="C399" t="s">
        <v>1785</v>
      </c>
      <c r="D399">
        <v>10000</v>
      </c>
      <c r="E399">
        <v>0</v>
      </c>
      <c r="F399">
        <v>575902.81000000006</v>
      </c>
      <c r="G399" s="8" t="s">
        <v>1361</v>
      </c>
      <c r="I399" s="232">
        <v>41176</v>
      </c>
    </row>
    <row r="400" spans="1:9" hidden="1">
      <c r="A400" s="232">
        <v>41176</v>
      </c>
      <c r="C400" t="s">
        <v>5312</v>
      </c>
      <c r="D400">
        <v>5612</v>
      </c>
      <c r="E400">
        <v>0</v>
      </c>
      <c r="F400">
        <v>570290.81000000006</v>
      </c>
      <c r="G400" s="8" t="s">
        <v>1370</v>
      </c>
      <c r="I400" s="232">
        <v>41176</v>
      </c>
    </row>
    <row r="401" spans="1:9" hidden="1">
      <c r="A401" s="232">
        <v>41179</v>
      </c>
      <c r="C401" t="s">
        <v>1404</v>
      </c>
      <c r="D401">
        <v>0</v>
      </c>
      <c r="E401">
        <v>138226</v>
      </c>
      <c r="F401">
        <v>708516.81</v>
      </c>
      <c r="G401" s="8" t="s">
        <v>1380</v>
      </c>
      <c r="I401" s="232">
        <v>41179</v>
      </c>
    </row>
    <row r="402" spans="1:9" hidden="1">
      <c r="A402" s="232">
        <v>41183</v>
      </c>
      <c r="C402" t="s">
        <v>5313</v>
      </c>
      <c r="D402">
        <v>1367.87</v>
      </c>
      <c r="E402">
        <v>0</v>
      </c>
      <c r="F402">
        <v>707148.94</v>
      </c>
      <c r="I402" s="232">
        <v>41183</v>
      </c>
    </row>
    <row r="403" spans="1:9" hidden="1">
      <c r="A403" s="232">
        <v>41186</v>
      </c>
      <c r="C403" t="s">
        <v>5314</v>
      </c>
      <c r="D403">
        <v>1110</v>
      </c>
      <c r="E403">
        <v>0</v>
      </c>
      <c r="F403">
        <v>706038.94</v>
      </c>
      <c r="I403" s="232">
        <v>41186</v>
      </c>
    </row>
    <row r="404" spans="1:9" hidden="1">
      <c r="A404" s="232">
        <v>41186</v>
      </c>
      <c r="C404" t="s">
        <v>5315</v>
      </c>
      <c r="D404">
        <v>3897.5</v>
      </c>
      <c r="E404">
        <v>0</v>
      </c>
      <c r="F404">
        <v>702141.43999999994</v>
      </c>
      <c r="G404" s="8" t="s">
        <v>1362</v>
      </c>
      <c r="I404" s="232">
        <v>41186</v>
      </c>
    </row>
    <row r="405" spans="1:9" hidden="1">
      <c r="A405" s="232">
        <v>41194</v>
      </c>
      <c r="C405" t="s">
        <v>5316</v>
      </c>
      <c r="D405">
        <v>0</v>
      </c>
      <c r="E405">
        <v>43840.18</v>
      </c>
      <c r="F405">
        <v>745981.62</v>
      </c>
      <c r="G405" s="8" t="s">
        <v>1375</v>
      </c>
      <c r="I405" s="232">
        <v>41194</v>
      </c>
    </row>
    <row r="406" spans="1:9" hidden="1">
      <c r="A406" s="232">
        <v>41194</v>
      </c>
      <c r="C406" t="s">
        <v>5317</v>
      </c>
      <c r="D406">
        <v>0</v>
      </c>
      <c r="E406">
        <v>32760.25</v>
      </c>
      <c r="F406">
        <v>778741.87</v>
      </c>
      <c r="G406" s="8" t="s">
        <v>1375</v>
      </c>
      <c r="I406" s="232">
        <v>41194</v>
      </c>
    </row>
    <row r="407" spans="1:9" hidden="1">
      <c r="A407" s="232">
        <v>41195</v>
      </c>
      <c r="C407" t="s">
        <v>1537</v>
      </c>
      <c r="D407">
        <v>0</v>
      </c>
      <c r="E407">
        <v>1998</v>
      </c>
      <c r="F407">
        <v>780739.87</v>
      </c>
      <c r="G407" s="8" t="s">
        <v>1380</v>
      </c>
      <c r="I407" s="232">
        <v>41195</v>
      </c>
    </row>
    <row r="408" spans="1:9" hidden="1">
      <c r="A408" s="232">
        <v>41212</v>
      </c>
      <c r="C408" t="s">
        <v>5318</v>
      </c>
      <c r="D408">
        <v>0</v>
      </c>
      <c r="E408">
        <v>28496.5</v>
      </c>
      <c r="F408">
        <v>809236.37</v>
      </c>
      <c r="G408" s="8" t="s">
        <v>1375</v>
      </c>
      <c r="I408" s="232">
        <v>41212</v>
      </c>
    </row>
    <row r="409" spans="1:9" hidden="1">
      <c r="A409" s="232">
        <v>41212</v>
      </c>
      <c r="C409" t="s">
        <v>5319</v>
      </c>
      <c r="D409">
        <v>250000</v>
      </c>
      <c r="E409">
        <v>0</v>
      </c>
      <c r="F409">
        <v>559236.37</v>
      </c>
      <c r="G409" s="8" t="s">
        <v>1366</v>
      </c>
      <c r="I409" s="232">
        <v>41212</v>
      </c>
    </row>
    <row r="410" spans="1:9" hidden="1">
      <c r="A410" s="232">
        <v>41212</v>
      </c>
      <c r="C410" t="s">
        <v>1803</v>
      </c>
      <c r="D410">
        <v>0</v>
      </c>
      <c r="E410">
        <v>138226</v>
      </c>
      <c r="F410">
        <v>697462.37</v>
      </c>
      <c r="G410" s="8" t="s">
        <v>1380</v>
      </c>
      <c r="I410" s="232">
        <v>41212</v>
      </c>
    </row>
    <row r="411" spans="1:9" hidden="1">
      <c r="A411" s="232">
        <v>41213</v>
      </c>
      <c r="C411" t="s">
        <v>1809</v>
      </c>
      <c r="D411">
        <v>11048</v>
      </c>
      <c r="E411">
        <v>0</v>
      </c>
      <c r="F411">
        <v>686414.37</v>
      </c>
      <c r="G411" s="8" t="s">
        <v>1366</v>
      </c>
      <c r="I411" s="232">
        <v>41213</v>
      </c>
    </row>
    <row r="412" spans="1:9" hidden="1">
      <c r="A412" s="232">
        <v>41214</v>
      </c>
      <c r="C412" t="s">
        <v>1630</v>
      </c>
      <c r="D412">
        <v>5000</v>
      </c>
      <c r="E412">
        <v>0</v>
      </c>
      <c r="F412">
        <v>681414.37</v>
      </c>
      <c r="I412" s="232">
        <v>41214</v>
      </c>
    </row>
    <row r="413" spans="1:9" hidden="1">
      <c r="A413" s="232">
        <v>41218</v>
      </c>
      <c r="C413" t="s">
        <v>5320</v>
      </c>
      <c r="D413">
        <v>1305.4100000000001</v>
      </c>
      <c r="E413">
        <v>0</v>
      </c>
      <c r="F413">
        <v>680108.96</v>
      </c>
      <c r="I413" s="232">
        <v>41218</v>
      </c>
    </row>
    <row r="414" spans="1:9" hidden="1">
      <c r="A414" s="232">
        <v>41218</v>
      </c>
      <c r="C414" t="s">
        <v>5321</v>
      </c>
      <c r="D414">
        <v>1110</v>
      </c>
      <c r="E414">
        <v>0</v>
      </c>
      <c r="F414">
        <v>678998.96</v>
      </c>
      <c r="I414" s="232">
        <v>41218</v>
      </c>
    </row>
    <row r="415" spans="1:9" hidden="1">
      <c r="A415" s="232">
        <v>41218</v>
      </c>
      <c r="C415" t="s">
        <v>5322</v>
      </c>
      <c r="D415">
        <v>5578.64</v>
      </c>
      <c r="E415">
        <v>0</v>
      </c>
      <c r="F415">
        <v>673420.32</v>
      </c>
      <c r="G415" s="8" t="s">
        <v>1362</v>
      </c>
      <c r="I415" s="232">
        <v>41218</v>
      </c>
    </row>
    <row r="416" spans="1:9" hidden="1">
      <c r="A416" s="232">
        <v>41221</v>
      </c>
      <c r="C416" t="s">
        <v>5323</v>
      </c>
      <c r="D416">
        <v>5000</v>
      </c>
      <c r="E416">
        <v>0</v>
      </c>
      <c r="F416">
        <v>668420.31999999995</v>
      </c>
      <c r="G416" s="8" t="s">
        <v>1361</v>
      </c>
      <c r="I416" s="232">
        <v>41221</v>
      </c>
    </row>
    <row r="417" spans="1:9" hidden="1">
      <c r="A417" s="232">
        <v>41223</v>
      </c>
      <c r="C417" t="s">
        <v>5306</v>
      </c>
      <c r="D417">
        <v>0</v>
      </c>
      <c r="E417">
        <v>1998</v>
      </c>
      <c r="F417">
        <v>670418.31999999995</v>
      </c>
      <c r="G417" s="8" t="s">
        <v>1380</v>
      </c>
      <c r="I417" s="232">
        <v>41223</v>
      </c>
    </row>
    <row r="418" spans="1:9" hidden="1">
      <c r="A418" s="232">
        <v>41229</v>
      </c>
      <c r="C418" t="s">
        <v>5324</v>
      </c>
      <c r="D418">
        <v>650000</v>
      </c>
      <c r="E418">
        <v>0</v>
      </c>
      <c r="F418">
        <v>20418.32</v>
      </c>
      <c r="G418" s="8" t="s">
        <v>1366</v>
      </c>
      <c r="I418" s="232">
        <v>41229</v>
      </c>
    </row>
    <row r="419" spans="1:9" hidden="1">
      <c r="A419" s="232">
        <v>41235</v>
      </c>
      <c r="C419" t="s">
        <v>5325</v>
      </c>
      <c r="D419">
        <v>10000</v>
      </c>
      <c r="E419">
        <v>0</v>
      </c>
      <c r="F419">
        <v>10418.32</v>
      </c>
      <c r="G419" s="8" t="s">
        <v>1361</v>
      </c>
      <c r="I419" s="232">
        <v>41235</v>
      </c>
    </row>
    <row r="420" spans="1:9" hidden="1">
      <c r="A420" s="232">
        <v>41242</v>
      </c>
      <c r="C420" t="s">
        <v>1815</v>
      </c>
      <c r="D420">
        <v>0</v>
      </c>
      <c r="E420">
        <v>138226</v>
      </c>
      <c r="F420">
        <v>148644.32</v>
      </c>
      <c r="G420" s="8" t="s">
        <v>1380</v>
      </c>
      <c r="I420" s="232">
        <v>41242</v>
      </c>
    </row>
    <row r="421" spans="1:9" hidden="1">
      <c r="A421" s="232">
        <v>41246</v>
      </c>
      <c r="C421" t="s">
        <v>5326</v>
      </c>
      <c r="D421">
        <v>1765.64</v>
      </c>
      <c r="E421">
        <v>0</v>
      </c>
      <c r="F421">
        <v>146878.68</v>
      </c>
      <c r="I421" s="232">
        <v>41246</v>
      </c>
    </row>
    <row r="422" spans="1:9" hidden="1">
      <c r="A422" s="232">
        <v>41246</v>
      </c>
      <c r="C422" t="s">
        <v>5327</v>
      </c>
      <c r="D422">
        <v>1110</v>
      </c>
      <c r="E422">
        <v>0</v>
      </c>
      <c r="F422">
        <v>145768.68</v>
      </c>
      <c r="I422" s="232">
        <v>41246</v>
      </c>
    </row>
    <row r="423" spans="1:9" hidden="1">
      <c r="A423" s="232">
        <v>41246</v>
      </c>
      <c r="C423" t="s">
        <v>5328</v>
      </c>
      <c r="D423">
        <v>500</v>
      </c>
      <c r="E423">
        <v>0</v>
      </c>
      <c r="F423">
        <v>145268.68</v>
      </c>
      <c r="I423" s="232">
        <v>41246</v>
      </c>
    </row>
    <row r="424" spans="1:9" hidden="1">
      <c r="A424" s="232">
        <v>41246</v>
      </c>
      <c r="C424" t="s">
        <v>5329</v>
      </c>
      <c r="D424">
        <v>1000</v>
      </c>
      <c r="E424">
        <v>0</v>
      </c>
      <c r="F424">
        <v>144268.68</v>
      </c>
      <c r="I424" s="232">
        <v>41246</v>
      </c>
    </row>
    <row r="425" spans="1:9" hidden="1">
      <c r="A425" s="232">
        <v>41247</v>
      </c>
      <c r="C425" t="s">
        <v>5330</v>
      </c>
      <c r="D425">
        <v>8808.5</v>
      </c>
      <c r="E425">
        <v>0</v>
      </c>
      <c r="F425">
        <v>135460.18</v>
      </c>
      <c r="G425" s="8" t="s">
        <v>1362</v>
      </c>
      <c r="I425" s="232">
        <v>41247</v>
      </c>
    </row>
    <row r="426" spans="1:9" hidden="1">
      <c r="A426" s="232">
        <v>41247</v>
      </c>
      <c r="C426" t="s">
        <v>5331</v>
      </c>
      <c r="D426">
        <v>20000</v>
      </c>
      <c r="E426">
        <v>0</v>
      </c>
      <c r="F426">
        <v>115460.18</v>
      </c>
      <c r="G426" s="8" t="s">
        <v>1361</v>
      </c>
      <c r="I426" s="232">
        <v>41247</v>
      </c>
    </row>
    <row r="427" spans="1:9" hidden="1">
      <c r="A427" s="232">
        <v>41247</v>
      </c>
      <c r="C427" t="s">
        <v>5332</v>
      </c>
      <c r="D427">
        <v>20000</v>
      </c>
      <c r="E427">
        <v>0</v>
      </c>
      <c r="F427">
        <v>95460.18</v>
      </c>
      <c r="G427" s="8" t="s">
        <v>1361</v>
      </c>
      <c r="I427" s="232">
        <v>41247</v>
      </c>
    </row>
    <row r="428" spans="1:9" hidden="1">
      <c r="A428" s="232">
        <v>41262</v>
      </c>
      <c r="C428" t="s">
        <v>5333</v>
      </c>
      <c r="D428">
        <v>0</v>
      </c>
      <c r="E428">
        <v>12500</v>
      </c>
      <c r="F428">
        <v>107960.18</v>
      </c>
      <c r="G428" s="8" t="s">
        <v>1369</v>
      </c>
      <c r="I428" s="232">
        <v>41262</v>
      </c>
    </row>
    <row r="429" spans="1:9" hidden="1">
      <c r="A429" s="232">
        <v>41262</v>
      </c>
      <c r="C429" t="s">
        <v>5334</v>
      </c>
      <c r="D429">
        <v>0</v>
      </c>
      <c r="E429">
        <v>20000</v>
      </c>
      <c r="F429">
        <v>127960.18</v>
      </c>
      <c r="G429" s="8" t="s">
        <v>1369</v>
      </c>
      <c r="I429" s="232">
        <v>41262</v>
      </c>
    </row>
    <row r="430" spans="1:9" hidden="1">
      <c r="A430" s="232">
        <v>41262</v>
      </c>
      <c r="C430" t="s">
        <v>5335</v>
      </c>
      <c r="D430">
        <v>0</v>
      </c>
      <c r="E430">
        <v>12500</v>
      </c>
      <c r="F430">
        <v>140460.18</v>
      </c>
      <c r="G430" s="8" t="s">
        <v>1369</v>
      </c>
      <c r="I430" s="232">
        <v>41262</v>
      </c>
    </row>
    <row r="431" spans="1:9" hidden="1">
      <c r="A431" s="232">
        <v>41264</v>
      </c>
      <c r="C431" t="s">
        <v>3251</v>
      </c>
      <c r="D431">
        <v>20000</v>
      </c>
      <c r="E431">
        <v>0</v>
      </c>
      <c r="F431">
        <v>120460.18</v>
      </c>
      <c r="G431" s="8" t="s">
        <v>1378</v>
      </c>
      <c r="I431" s="232">
        <v>41264</v>
      </c>
    </row>
    <row r="432" spans="1:9" hidden="1">
      <c r="A432" s="232">
        <v>41264</v>
      </c>
      <c r="C432" t="s">
        <v>5336</v>
      </c>
      <c r="D432">
        <v>0</v>
      </c>
      <c r="E432">
        <v>1792</v>
      </c>
      <c r="F432">
        <v>122252.18</v>
      </c>
      <c r="I432" s="232">
        <v>41264</v>
      </c>
    </row>
    <row r="433" spans="1:9" hidden="1">
      <c r="A433" s="232">
        <v>41269</v>
      </c>
      <c r="C433" t="s">
        <v>5337</v>
      </c>
      <c r="D433">
        <v>102.81</v>
      </c>
      <c r="E433">
        <v>0</v>
      </c>
      <c r="F433">
        <v>122149.37</v>
      </c>
      <c r="I433" s="232">
        <v>41269</v>
      </c>
    </row>
    <row r="434" spans="1:9" hidden="1">
      <c r="A434" s="232">
        <v>41269</v>
      </c>
      <c r="C434" t="s">
        <v>5338</v>
      </c>
      <c r="D434">
        <v>33640</v>
      </c>
      <c r="E434">
        <v>0</v>
      </c>
      <c r="F434">
        <v>88509.37</v>
      </c>
      <c r="G434" s="8" t="s">
        <v>1370</v>
      </c>
      <c r="I434" s="232">
        <v>41269</v>
      </c>
    </row>
    <row r="435" spans="1:9" hidden="1">
      <c r="A435" s="232">
        <v>41269</v>
      </c>
      <c r="C435" t="s">
        <v>5339</v>
      </c>
      <c r="D435">
        <v>50005.62</v>
      </c>
      <c r="E435">
        <v>0</v>
      </c>
      <c r="F435">
        <v>38503.75</v>
      </c>
      <c r="G435" s="8" t="s">
        <v>1363</v>
      </c>
      <c r="I435" s="232">
        <v>41269</v>
      </c>
    </row>
    <row r="436" spans="1:9" hidden="1">
      <c r="A436" s="232">
        <v>41271</v>
      </c>
      <c r="C436" t="s">
        <v>1826</v>
      </c>
      <c r="D436">
        <v>0</v>
      </c>
      <c r="E436">
        <v>138226</v>
      </c>
      <c r="F436">
        <v>176729.75</v>
      </c>
      <c r="G436" s="8" t="s">
        <v>1380</v>
      </c>
      <c r="I436" s="232">
        <v>41271</v>
      </c>
    </row>
    <row r="437" spans="1:9" hidden="1">
      <c r="A437" s="232">
        <v>41276</v>
      </c>
      <c r="C437" t="s">
        <v>5340</v>
      </c>
      <c r="D437">
        <v>1263</v>
      </c>
      <c r="E437">
        <v>0</v>
      </c>
      <c r="F437">
        <v>175466.75</v>
      </c>
      <c r="I437" s="232">
        <v>41276</v>
      </c>
    </row>
    <row r="438" spans="1:9" hidden="1">
      <c r="A438" s="232">
        <v>41277</v>
      </c>
      <c r="C438" t="s">
        <v>5341</v>
      </c>
      <c r="D438">
        <v>26748.45</v>
      </c>
      <c r="E438">
        <v>0</v>
      </c>
      <c r="F438">
        <v>148718.29999999999</v>
      </c>
      <c r="G438" s="8" t="s">
        <v>1362</v>
      </c>
      <c r="I438" s="232">
        <v>41277</v>
      </c>
    </row>
    <row r="439" spans="1:9" hidden="1">
      <c r="A439" s="232">
        <v>41285</v>
      </c>
      <c r="C439" t="s">
        <v>5342</v>
      </c>
      <c r="D439">
        <v>2500</v>
      </c>
      <c r="E439">
        <v>0</v>
      </c>
      <c r="F439">
        <v>146218.29999999999</v>
      </c>
      <c r="I439" s="232">
        <v>41285</v>
      </c>
    </row>
    <row r="440" spans="1:9" hidden="1">
      <c r="A440" s="232">
        <v>41291</v>
      </c>
      <c r="C440" t="s">
        <v>5343</v>
      </c>
      <c r="D440">
        <v>0</v>
      </c>
      <c r="E440">
        <v>74037.3</v>
      </c>
      <c r="F440">
        <v>220255.6</v>
      </c>
      <c r="G440" s="8" t="s">
        <v>1375</v>
      </c>
      <c r="I440" s="232">
        <v>41291</v>
      </c>
    </row>
    <row r="441" spans="1:9" hidden="1">
      <c r="A441" s="232">
        <v>41292</v>
      </c>
      <c r="C441" t="s">
        <v>5344</v>
      </c>
      <c r="D441">
        <v>20005.62</v>
      </c>
      <c r="E441">
        <v>0</v>
      </c>
      <c r="F441">
        <v>200249.98</v>
      </c>
      <c r="I441" s="232">
        <v>41292</v>
      </c>
    </row>
    <row r="442" spans="1:9" hidden="1">
      <c r="A442" s="232">
        <v>41299</v>
      </c>
      <c r="C442" t="s">
        <v>5345</v>
      </c>
      <c r="D442">
        <v>7000</v>
      </c>
      <c r="E442">
        <v>0</v>
      </c>
      <c r="F442">
        <v>193249.98</v>
      </c>
      <c r="G442" s="8" t="s">
        <v>1361</v>
      </c>
      <c r="I442" s="232">
        <v>41299</v>
      </c>
    </row>
    <row r="443" spans="1:9" hidden="1">
      <c r="A443" s="232">
        <v>41302</v>
      </c>
      <c r="C443" t="s">
        <v>5346</v>
      </c>
      <c r="D443">
        <v>7000</v>
      </c>
      <c r="E443">
        <v>0</v>
      </c>
      <c r="F443">
        <v>186249.98</v>
      </c>
      <c r="G443" s="8" t="s">
        <v>1361</v>
      </c>
      <c r="I443" s="232">
        <v>41302</v>
      </c>
    </row>
    <row r="444" spans="1:9" hidden="1">
      <c r="A444" s="232">
        <v>41304</v>
      </c>
      <c r="C444" t="s">
        <v>1837</v>
      </c>
      <c r="D444">
        <v>0</v>
      </c>
      <c r="E444">
        <v>138226</v>
      </c>
      <c r="F444">
        <v>324475.98</v>
      </c>
      <c r="G444" s="8" t="s">
        <v>1380</v>
      </c>
      <c r="I444" s="232">
        <v>41304</v>
      </c>
    </row>
    <row r="445" spans="1:9" hidden="1">
      <c r="A445" s="232">
        <v>41306</v>
      </c>
      <c r="C445" t="s">
        <v>1537</v>
      </c>
      <c r="D445">
        <v>0</v>
      </c>
      <c r="E445">
        <v>4002.4</v>
      </c>
      <c r="F445">
        <v>328478.38</v>
      </c>
      <c r="G445" s="8" t="s">
        <v>1380</v>
      </c>
      <c r="I445" s="232">
        <v>41306</v>
      </c>
    </row>
    <row r="446" spans="1:9" hidden="1">
      <c r="A446" s="232">
        <v>41309</v>
      </c>
      <c r="C446" t="s">
        <v>5347</v>
      </c>
      <c r="D446">
        <v>6386</v>
      </c>
      <c r="E446">
        <v>0</v>
      </c>
      <c r="F446">
        <v>322092.38</v>
      </c>
      <c r="G446" s="8" t="s">
        <v>1362</v>
      </c>
      <c r="I446" s="232">
        <v>41309</v>
      </c>
    </row>
    <row r="447" spans="1:9" hidden="1">
      <c r="A447" s="232">
        <v>41310</v>
      </c>
      <c r="C447" t="s">
        <v>5348</v>
      </c>
      <c r="D447">
        <v>1372</v>
      </c>
      <c r="E447">
        <v>0</v>
      </c>
      <c r="F447">
        <v>320720.38</v>
      </c>
      <c r="I447" s="232">
        <v>41310</v>
      </c>
    </row>
    <row r="448" spans="1:9" hidden="1">
      <c r="A448" s="232">
        <v>41328</v>
      </c>
      <c r="C448" t="s">
        <v>5349</v>
      </c>
      <c r="D448">
        <v>59138</v>
      </c>
      <c r="E448">
        <v>0</v>
      </c>
      <c r="F448">
        <v>261582.38</v>
      </c>
      <c r="G448" s="8" t="s">
        <v>1370</v>
      </c>
      <c r="I448" s="232">
        <v>41328</v>
      </c>
    </row>
    <row r="449" spans="1:9" hidden="1">
      <c r="A449" s="232">
        <v>41332</v>
      </c>
      <c r="C449" t="s">
        <v>1809</v>
      </c>
      <c r="D449">
        <v>69887</v>
      </c>
      <c r="E449">
        <v>0</v>
      </c>
      <c r="F449">
        <v>191695.38</v>
      </c>
      <c r="G449" s="8" t="s">
        <v>1366</v>
      </c>
      <c r="I449" s="232">
        <v>41332</v>
      </c>
    </row>
    <row r="450" spans="1:9" hidden="1">
      <c r="A450" s="232">
        <v>41332</v>
      </c>
      <c r="C450" t="s">
        <v>1847</v>
      </c>
      <c r="D450">
        <v>0</v>
      </c>
      <c r="E450">
        <v>139583</v>
      </c>
      <c r="F450">
        <v>331278.38</v>
      </c>
      <c r="G450" s="8" t="s">
        <v>1380</v>
      </c>
      <c r="I450" s="232">
        <v>41332</v>
      </c>
    </row>
    <row r="451" spans="1:9" hidden="1">
      <c r="A451" s="232">
        <v>41334</v>
      </c>
      <c r="C451" t="s">
        <v>5350</v>
      </c>
      <c r="D451">
        <v>0</v>
      </c>
      <c r="E451">
        <v>7646</v>
      </c>
      <c r="F451">
        <v>338924.38</v>
      </c>
      <c r="G451" s="8" t="s">
        <v>1368</v>
      </c>
      <c r="I451" s="232">
        <v>41334</v>
      </c>
    </row>
    <row r="452" spans="1:9" hidden="1">
      <c r="A452" s="232">
        <v>41334</v>
      </c>
      <c r="C452" t="s">
        <v>1850</v>
      </c>
      <c r="D452">
        <v>10000</v>
      </c>
      <c r="E452">
        <v>0</v>
      </c>
      <c r="F452">
        <v>328924.38</v>
      </c>
      <c r="G452" s="8" t="s">
        <v>1361</v>
      </c>
      <c r="I452" s="232">
        <v>41334</v>
      </c>
    </row>
    <row r="453" spans="1:9" hidden="1">
      <c r="A453" s="232">
        <v>41334</v>
      </c>
      <c r="C453" t="s">
        <v>1850</v>
      </c>
      <c r="D453">
        <v>10000</v>
      </c>
      <c r="E453">
        <v>0</v>
      </c>
      <c r="F453">
        <v>318924.38</v>
      </c>
      <c r="G453" s="8" t="s">
        <v>1361</v>
      </c>
      <c r="I453" s="232">
        <v>41334</v>
      </c>
    </row>
    <row r="454" spans="1:9" hidden="1">
      <c r="A454" s="232">
        <v>41335</v>
      </c>
      <c r="C454" t="s">
        <v>5351</v>
      </c>
      <c r="D454">
        <v>1383</v>
      </c>
      <c r="E454">
        <v>0</v>
      </c>
      <c r="F454">
        <v>317541.38</v>
      </c>
      <c r="I454" s="232">
        <v>41335</v>
      </c>
    </row>
    <row r="455" spans="1:9" hidden="1">
      <c r="A455" s="232">
        <v>41335</v>
      </c>
      <c r="C455" t="s">
        <v>1851</v>
      </c>
      <c r="D455">
        <v>10000</v>
      </c>
      <c r="E455">
        <v>0</v>
      </c>
      <c r="F455">
        <v>307541.38</v>
      </c>
      <c r="G455" s="8" t="s">
        <v>1361</v>
      </c>
      <c r="I455" s="232">
        <v>41335</v>
      </c>
    </row>
    <row r="456" spans="1:9" hidden="1">
      <c r="A456" s="232">
        <v>41335</v>
      </c>
      <c r="C456" t="s">
        <v>1851</v>
      </c>
      <c r="D456">
        <v>10000</v>
      </c>
      <c r="E456">
        <v>0</v>
      </c>
      <c r="F456">
        <v>297541.38</v>
      </c>
      <c r="G456" s="8" t="s">
        <v>1361</v>
      </c>
      <c r="I456" s="232">
        <v>41335</v>
      </c>
    </row>
    <row r="457" spans="1:9" hidden="1">
      <c r="A457" s="232">
        <v>41338</v>
      </c>
      <c r="C457" t="s">
        <v>5352</v>
      </c>
      <c r="D457">
        <v>4455.5</v>
      </c>
      <c r="E457">
        <v>0</v>
      </c>
      <c r="F457">
        <v>293085.88</v>
      </c>
      <c r="G457" s="8" t="s">
        <v>1362</v>
      </c>
      <c r="I457" s="232">
        <v>41338</v>
      </c>
    </row>
    <row r="458" spans="1:9" hidden="1">
      <c r="A458" s="232">
        <v>41354</v>
      </c>
      <c r="C458" t="s">
        <v>5353</v>
      </c>
      <c r="D458">
        <v>15005.62</v>
      </c>
      <c r="E458">
        <v>0</v>
      </c>
      <c r="F458">
        <v>278080.26</v>
      </c>
      <c r="I458" s="232">
        <v>41354</v>
      </c>
    </row>
    <row r="459" spans="1:9" hidden="1">
      <c r="A459" s="232">
        <v>41354</v>
      </c>
      <c r="C459" t="s">
        <v>5354</v>
      </c>
      <c r="D459">
        <v>3210</v>
      </c>
      <c r="E459">
        <v>0</v>
      </c>
      <c r="F459">
        <v>274870.26</v>
      </c>
      <c r="G459" s="8" t="s">
        <v>1370</v>
      </c>
      <c r="I459" s="232">
        <v>41354</v>
      </c>
    </row>
    <row r="460" spans="1:9" hidden="1">
      <c r="A460" s="232">
        <v>41360</v>
      </c>
      <c r="C460" t="s">
        <v>1861</v>
      </c>
      <c r="D460">
        <v>0</v>
      </c>
      <c r="E460">
        <v>243387</v>
      </c>
      <c r="F460">
        <v>518257.26</v>
      </c>
      <c r="G460" s="8" t="s">
        <v>1380</v>
      </c>
      <c r="I460" s="232">
        <v>41360</v>
      </c>
    </row>
    <row r="461" spans="1:9" hidden="1">
      <c r="A461" s="232">
        <v>41365</v>
      </c>
      <c r="C461" t="s">
        <v>1865</v>
      </c>
      <c r="D461">
        <v>0</v>
      </c>
      <c r="E461">
        <v>0</v>
      </c>
      <c r="F461">
        <v>518257.26</v>
      </c>
      <c r="I461" s="232">
        <v>41365</v>
      </c>
    </row>
    <row r="462" spans="1:9" hidden="1">
      <c r="A462" s="232">
        <v>41367</v>
      </c>
      <c r="C462" t="s">
        <v>5355</v>
      </c>
      <c r="D462">
        <v>5759.35</v>
      </c>
      <c r="E462">
        <v>0</v>
      </c>
      <c r="F462">
        <v>512497.91</v>
      </c>
      <c r="G462" s="8" t="s">
        <v>1362</v>
      </c>
      <c r="I462" s="232">
        <v>41367</v>
      </c>
    </row>
    <row r="463" spans="1:9" hidden="1">
      <c r="A463" s="232">
        <v>41368</v>
      </c>
      <c r="C463" t="s">
        <v>5356</v>
      </c>
      <c r="D463">
        <v>1428.8</v>
      </c>
      <c r="E463">
        <v>0</v>
      </c>
      <c r="F463">
        <v>511069.11</v>
      </c>
      <c r="I463" s="232">
        <v>41368</v>
      </c>
    </row>
    <row r="464" spans="1:9" hidden="1">
      <c r="A464" s="232">
        <v>41372</v>
      </c>
      <c r="C464" t="s">
        <v>1869</v>
      </c>
      <c r="D464">
        <v>5000</v>
      </c>
      <c r="E464">
        <v>0</v>
      </c>
      <c r="F464">
        <v>506069.11</v>
      </c>
      <c r="G464" s="8" t="s">
        <v>1361</v>
      </c>
      <c r="I464" s="232">
        <v>41372</v>
      </c>
    </row>
    <row r="465" spans="1:9" hidden="1">
      <c r="A465" s="232">
        <v>41376</v>
      </c>
      <c r="B465" t="s">
        <v>1868</v>
      </c>
      <c r="C465" t="s">
        <v>5357</v>
      </c>
      <c r="D465">
        <v>4700</v>
      </c>
      <c r="E465">
        <v>0</v>
      </c>
      <c r="F465">
        <v>501369.11</v>
      </c>
      <c r="I465" s="232">
        <v>41376</v>
      </c>
    </row>
    <row r="466" spans="1:9" hidden="1">
      <c r="A466" s="232">
        <v>41386</v>
      </c>
      <c r="C466" t="s">
        <v>5358</v>
      </c>
      <c r="D466">
        <v>10000</v>
      </c>
      <c r="E466">
        <v>0</v>
      </c>
      <c r="F466">
        <v>491369.11</v>
      </c>
      <c r="G466" s="8" t="s">
        <v>1361</v>
      </c>
      <c r="I466" s="232">
        <v>41386</v>
      </c>
    </row>
    <row r="467" spans="1:9" hidden="1">
      <c r="A467" s="232">
        <v>41393</v>
      </c>
      <c r="C467" t="s">
        <v>1880</v>
      </c>
      <c r="D467">
        <v>0</v>
      </c>
      <c r="E467">
        <v>582304</v>
      </c>
      <c r="F467">
        <v>1073673.1100000001</v>
      </c>
      <c r="G467" s="8" t="s">
        <v>1380</v>
      </c>
      <c r="I467" s="232">
        <v>41393</v>
      </c>
    </row>
    <row r="468" spans="1:9" hidden="1">
      <c r="A468" s="232">
        <v>41396</v>
      </c>
      <c r="C468" t="s">
        <v>5359</v>
      </c>
      <c r="D468">
        <v>1275.07</v>
      </c>
      <c r="E468">
        <v>0</v>
      </c>
      <c r="F468">
        <v>1072398.04</v>
      </c>
      <c r="I468" s="232">
        <v>41396</v>
      </c>
    </row>
    <row r="469" spans="1:9" hidden="1">
      <c r="A469" s="232">
        <v>41396</v>
      </c>
      <c r="C469" t="s">
        <v>5360</v>
      </c>
      <c r="D469">
        <v>0</v>
      </c>
      <c r="E469">
        <v>366561</v>
      </c>
      <c r="F469">
        <v>1438959.04</v>
      </c>
      <c r="I469" s="232">
        <v>41396</v>
      </c>
    </row>
    <row r="470" spans="1:9" hidden="1">
      <c r="A470" s="232">
        <v>41398</v>
      </c>
      <c r="C470" t="s">
        <v>5361</v>
      </c>
      <c r="D470">
        <v>1110</v>
      </c>
      <c r="E470">
        <v>0</v>
      </c>
      <c r="F470">
        <v>1437849.04</v>
      </c>
      <c r="I470" s="232">
        <v>41398</v>
      </c>
    </row>
    <row r="471" spans="1:9" hidden="1">
      <c r="A471" s="232">
        <v>41400</v>
      </c>
      <c r="C471" t="s">
        <v>5362</v>
      </c>
      <c r="D471">
        <v>6210</v>
      </c>
      <c r="E471">
        <v>0</v>
      </c>
      <c r="F471">
        <v>1431639.04</v>
      </c>
      <c r="G471" s="8" t="s">
        <v>1362</v>
      </c>
      <c r="I471" s="232">
        <v>41400</v>
      </c>
    </row>
    <row r="472" spans="1:9" hidden="1">
      <c r="A472" s="232">
        <v>41401</v>
      </c>
      <c r="C472" t="s">
        <v>5363</v>
      </c>
      <c r="D472">
        <v>5000</v>
      </c>
      <c r="E472">
        <v>0</v>
      </c>
      <c r="F472">
        <v>1426639.04</v>
      </c>
      <c r="G472" s="8" t="s">
        <v>1361</v>
      </c>
      <c r="I472" s="232">
        <v>41401</v>
      </c>
    </row>
    <row r="473" spans="1:9" hidden="1">
      <c r="A473" s="232">
        <v>41408</v>
      </c>
      <c r="C473" t="s">
        <v>1883</v>
      </c>
      <c r="D473">
        <v>10000</v>
      </c>
      <c r="E473">
        <v>0</v>
      </c>
      <c r="F473">
        <v>1416639.04</v>
      </c>
      <c r="G473" s="8" t="s">
        <v>1361</v>
      </c>
      <c r="I473" s="232">
        <v>41408</v>
      </c>
    </row>
    <row r="474" spans="1:9" hidden="1">
      <c r="A474" s="232">
        <v>41408</v>
      </c>
      <c r="C474" t="s">
        <v>5364</v>
      </c>
      <c r="D474">
        <v>7002.81</v>
      </c>
      <c r="E474">
        <v>0</v>
      </c>
      <c r="F474">
        <v>1409636.23</v>
      </c>
      <c r="I474" s="232">
        <v>41408</v>
      </c>
    </row>
    <row r="475" spans="1:9" hidden="1">
      <c r="A475" s="232">
        <v>41410</v>
      </c>
      <c r="B475" t="s">
        <v>1868</v>
      </c>
      <c r="C475" t="s">
        <v>5365</v>
      </c>
      <c r="D475">
        <v>16250</v>
      </c>
      <c r="E475">
        <v>0</v>
      </c>
      <c r="F475">
        <v>1393386.23</v>
      </c>
      <c r="I475" s="232">
        <v>41410</v>
      </c>
    </row>
    <row r="476" spans="1:9" hidden="1">
      <c r="A476" s="232">
        <v>41414</v>
      </c>
      <c r="C476" t="s">
        <v>5366</v>
      </c>
      <c r="D476">
        <v>245417</v>
      </c>
      <c r="E476">
        <v>0</v>
      </c>
      <c r="F476">
        <v>1147969.23</v>
      </c>
      <c r="G476" s="8" t="s">
        <v>1370</v>
      </c>
      <c r="I476" s="232">
        <v>41414</v>
      </c>
    </row>
    <row r="477" spans="1:9" hidden="1">
      <c r="A477" s="232">
        <v>41416</v>
      </c>
      <c r="C477" t="s">
        <v>5367</v>
      </c>
      <c r="D477">
        <v>0</v>
      </c>
      <c r="E477">
        <v>121397</v>
      </c>
      <c r="F477">
        <v>1269366.23</v>
      </c>
      <c r="G477" s="8" t="s">
        <v>1369</v>
      </c>
      <c r="I477" s="232">
        <v>41416</v>
      </c>
    </row>
    <row r="478" spans="1:9" hidden="1">
      <c r="A478" s="232">
        <v>41421</v>
      </c>
      <c r="C478" t="s">
        <v>5368</v>
      </c>
      <c r="D478">
        <v>0</v>
      </c>
      <c r="E478">
        <v>155768</v>
      </c>
      <c r="F478">
        <v>1425134.23</v>
      </c>
      <c r="I478" s="232">
        <v>41421</v>
      </c>
    </row>
    <row r="479" spans="1:9" hidden="1">
      <c r="A479" s="232">
        <v>41422</v>
      </c>
      <c r="B479" t="s">
        <v>1868</v>
      </c>
      <c r="C479" t="s">
        <v>3251</v>
      </c>
      <c r="D479">
        <v>20000</v>
      </c>
      <c r="E479">
        <v>0</v>
      </c>
      <c r="F479">
        <v>1405134.23</v>
      </c>
      <c r="G479" s="8" t="s">
        <v>1378</v>
      </c>
      <c r="I479" s="232">
        <v>41422</v>
      </c>
    </row>
    <row r="480" spans="1:9" hidden="1">
      <c r="A480" s="232">
        <v>41423</v>
      </c>
      <c r="C480" t="s">
        <v>5369</v>
      </c>
      <c r="D480">
        <v>9577.81</v>
      </c>
      <c r="E480">
        <v>0</v>
      </c>
      <c r="F480">
        <v>1395556.42</v>
      </c>
      <c r="I480" s="232">
        <v>41423</v>
      </c>
    </row>
    <row r="481" spans="1:9" hidden="1">
      <c r="A481" s="232">
        <v>41426</v>
      </c>
      <c r="C481" t="s">
        <v>5370</v>
      </c>
      <c r="D481">
        <v>2105.29</v>
      </c>
      <c r="E481">
        <v>0</v>
      </c>
      <c r="F481">
        <v>1393451.13</v>
      </c>
      <c r="I481" s="232">
        <v>41426</v>
      </c>
    </row>
    <row r="482" spans="1:9" hidden="1">
      <c r="A482" s="232">
        <v>41428</v>
      </c>
      <c r="C482" t="s">
        <v>1891</v>
      </c>
      <c r="D482">
        <v>5000</v>
      </c>
      <c r="E482">
        <v>0</v>
      </c>
      <c r="F482">
        <v>1388451.13</v>
      </c>
      <c r="G482" s="8" t="s">
        <v>1361</v>
      </c>
      <c r="I482" s="232">
        <v>41428</v>
      </c>
    </row>
    <row r="483" spans="1:9" hidden="1">
      <c r="A483" s="232">
        <v>41429</v>
      </c>
      <c r="C483" t="s">
        <v>5371</v>
      </c>
      <c r="D483">
        <v>20864</v>
      </c>
      <c r="E483">
        <v>0</v>
      </c>
      <c r="F483">
        <v>1367587.13</v>
      </c>
      <c r="G483" s="8" t="s">
        <v>1362</v>
      </c>
      <c r="I483" s="232">
        <v>41429</v>
      </c>
    </row>
    <row r="484" spans="1:9" hidden="1">
      <c r="A484" s="232">
        <v>41431</v>
      </c>
      <c r="B484" t="s">
        <v>1868</v>
      </c>
      <c r="C484" t="s">
        <v>1809</v>
      </c>
      <c r="D484">
        <v>639349</v>
      </c>
      <c r="E484">
        <v>0</v>
      </c>
      <c r="F484">
        <v>728238.13</v>
      </c>
      <c r="G484" s="8" t="s">
        <v>1366</v>
      </c>
      <c r="I484" s="232">
        <v>41431</v>
      </c>
    </row>
    <row r="485" spans="1:9" hidden="1">
      <c r="A485" s="232">
        <v>41438</v>
      </c>
      <c r="C485" t="s">
        <v>5372</v>
      </c>
      <c r="D485">
        <v>0</v>
      </c>
      <c r="E485">
        <v>521.65</v>
      </c>
      <c r="F485">
        <v>728759.78</v>
      </c>
      <c r="I485" s="232">
        <v>41438</v>
      </c>
    </row>
    <row r="486" spans="1:9" hidden="1">
      <c r="A486" s="232">
        <v>41451</v>
      </c>
      <c r="C486" t="s">
        <v>5373</v>
      </c>
      <c r="D486">
        <v>0</v>
      </c>
      <c r="E486">
        <v>140462</v>
      </c>
      <c r="F486">
        <v>869221.78</v>
      </c>
      <c r="G486" s="8" t="s">
        <v>1380</v>
      </c>
      <c r="I486" s="232">
        <v>41451</v>
      </c>
    </row>
    <row r="487" spans="1:9" hidden="1">
      <c r="A487" s="232">
        <v>41456</v>
      </c>
      <c r="C487" t="s">
        <v>5374</v>
      </c>
      <c r="D487">
        <v>1386</v>
      </c>
      <c r="E487">
        <v>0</v>
      </c>
      <c r="F487">
        <v>867835.78</v>
      </c>
      <c r="I487" s="232">
        <v>41456</v>
      </c>
    </row>
    <row r="488" spans="1:9" hidden="1">
      <c r="A488" s="232">
        <v>41458</v>
      </c>
      <c r="C488" t="s">
        <v>5375</v>
      </c>
      <c r="D488">
        <v>9040.81</v>
      </c>
      <c r="E488">
        <v>0</v>
      </c>
      <c r="F488">
        <v>858794.97</v>
      </c>
      <c r="I488" s="232">
        <v>41458</v>
      </c>
    </row>
    <row r="489" spans="1:9" hidden="1">
      <c r="A489" s="232">
        <v>41459</v>
      </c>
      <c r="C489" t="s">
        <v>5376</v>
      </c>
      <c r="D489">
        <v>12157.56</v>
      </c>
      <c r="E489">
        <v>0</v>
      </c>
      <c r="F489">
        <v>846637.41</v>
      </c>
      <c r="G489" s="8" t="s">
        <v>1362</v>
      </c>
      <c r="I489" s="232">
        <v>41459</v>
      </c>
    </row>
    <row r="490" spans="1:9" hidden="1">
      <c r="A490" s="232">
        <v>41463</v>
      </c>
      <c r="C490" t="s">
        <v>1903</v>
      </c>
      <c r="D490">
        <v>5000</v>
      </c>
      <c r="E490">
        <v>0</v>
      </c>
      <c r="F490">
        <v>841637.41</v>
      </c>
      <c r="G490" s="8" t="s">
        <v>1361</v>
      </c>
      <c r="I490" s="232">
        <v>41463</v>
      </c>
    </row>
    <row r="491" spans="1:9" hidden="1">
      <c r="A491" s="232">
        <v>41464</v>
      </c>
      <c r="C491" t="s">
        <v>5377</v>
      </c>
      <c r="D491">
        <v>1110</v>
      </c>
      <c r="E491">
        <v>0</v>
      </c>
      <c r="F491">
        <v>840527.41</v>
      </c>
      <c r="I491" s="232">
        <v>41464</v>
      </c>
    </row>
    <row r="492" spans="1:9" hidden="1">
      <c r="A492" s="232">
        <v>41479</v>
      </c>
      <c r="C492" t="s">
        <v>5378</v>
      </c>
      <c r="D492">
        <v>2573</v>
      </c>
      <c r="E492">
        <v>0</v>
      </c>
      <c r="F492">
        <v>837954.41</v>
      </c>
      <c r="I492" s="232">
        <v>41479</v>
      </c>
    </row>
    <row r="493" spans="1:9" hidden="1">
      <c r="A493" s="232">
        <v>41481</v>
      </c>
      <c r="C493" t="s">
        <v>5379</v>
      </c>
      <c r="D493">
        <v>0</v>
      </c>
      <c r="E493">
        <v>132753</v>
      </c>
      <c r="F493">
        <v>970707.41</v>
      </c>
      <c r="G493" s="8" t="s">
        <v>1380</v>
      </c>
      <c r="I493" s="232">
        <v>41481</v>
      </c>
    </row>
    <row r="494" spans="1:9" hidden="1">
      <c r="A494" s="232">
        <v>41491</v>
      </c>
      <c r="C494" t="s">
        <v>5380</v>
      </c>
      <c r="D494">
        <v>7814</v>
      </c>
      <c r="E494">
        <v>0</v>
      </c>
      <c r="F494">
        <v>962893.41</v>
      </c>
      <c r="G494" s="8" t="s">
        <v>1362</v>
      </c>
      <c r="I494" s="232">
        <v>41491</v>
      </c>
    </row>
    <row r="495" spans="1:9" hidden="1">
      <c r="A495" s="232">
        <v>41494</v>
      </c>
      <c r="B495" t="s">
        <v>1916</v>
      </c>
      <c r="C495" t="s">
        <v>1917</v>
      </c>
      <c r="D495">
        <v>5000</v>
      </c>
      <c r="E495">
        <v>0</v>
      </c>
      <c r="F495">
        <v>957893.41</v>
      </c>
      <c r="G495" s="8" t="s">
        <v>1361</v>
      </c>
      <c r="I495" s="232">
        <v>41494</v>
      </c>
    </row>
    <row r="496" spans="1:9" hidden="1">
      <c r="A496" s="232">
        <v>41498</v>
      </c>
      <c r="B496" t="s">
        <v>1916</v>
      </c>
      <c r="C496" t="s">
        <v>5381</v>
      </c>
      <c r="D496">
        <v>10000</v>
      </c>
      <c r="E496">
        <v>0</v>
      </c>
      <c r="F496">
        <v>947893.41</v>
      </c>
      <c r="G496" s="8" t="s">
        <v>1361</v>
      </c>
      <c r="I496" s="232">
        <v>41498</v>
      </c>
    </row>
    <row r="497" spans="1:9" hidden="1">
      <c r="A497" s="232">
        <v>41498</v>
      </c>
      <c r="B497" t="s">
        <v>1916</v>
      </c>
      <c r="C497" t="s">
        <v>5381</v>
      </c>
      <c r="D497">
        <v>5000</v>
      </c>
      <c r="E497">
        <v>0</v>
      </c>
      <c r="F497">
        <v>942893.41</v>
      </c>
      <c r="G497" s="8" t="s">
        <v>1361</v>
      </c>
      <c r="I497" s="232">
        <v>41498</v>
      </c>
    </row>
    <row r="498" spans="1:9" hidden="1">
      <c r="A498" s="232">
        <v>41500</v>
      </c>
      <c r="B498" t="s">
        <v>1868</v>
      </c>
      <c r="C498" t="s">
        <v>1553</v>
      </c>
      <c r="D498">
        <v>5000</v>
      </c>
      <c r="E498">
        <v>0</v>
      </c>
      <c r="F498">
        <v>937893.41</v>
      </c>
      <c r="I498" s="232">
        <v>41500</v>
      </c>
    </row>
    <row r="499" spans="1:9" hidden="1">
      <c r="A499" s="232">
        <v>41512</v>
      </c>
      <c r="B499" t="s">
        <v>1914</v>
      </c>
      <c r="C499" t="s">
        <v>5382</v>
      </c>
      <c r="D499">
        <v>143923.79</v>
      </c>
      <c r="E499">
        <v>0</v>
      </c>
      <c r="F499">
        <v>793969.62</v>
      </c>
      <c r="G499" s="8" t="s">
        <v>1362</v>
      </c>
      <c r="I499" s="232">
        <v>41512</v>
      </c>
    </row>
    <row r="500" spans="1:9" hidden="1">
      <c r="A500" s="232">
        <v>41513</v>
      </c>
      <c r="C500" t="s">
        <v>5383</v>
      </c>
      <c r="D500">
        <v>0</v>
      </c>
      <c r="E500">
        <v>156194</v>
      </c>
      <c r="F500">
        <v>950163.62</v>
      </c>
      <c r="G500" s="8" t="s">
        <v>1380</v>
      </c>
      <c r="I500" s="232">
        <v>41513</v>
      </c>
    </row>
    <row r="501" spans="1:9" hidden="1">
      <c r="A501" s="232">
        <v>41516</v>
      </c>
      <c r="B501" t="s">
        <v>1916</v>
      </c>
      <c r="C501" t="s">
        <v>1925</v>
      </c>
      <c r="D501">
        <v>10000</v>
      </c>
      <c r="E501">
        <v>0</v>
      </c>
      <c r="F501">
        <v>940163.62</v>
      </c>
      <c r="G501" s="8" t="s">
        <v>1361</v>
      </c>
      <c r="I501" s="232">
        <v>41516</v>
      </c>
    </row>
    <row r="502" spans="1:9" hidden="1">
      <c r="A502" s="232">
        <v>41519</v>
      </c>
      <c r="C502" t="s">
        <v>5384</v>
      </c>
      <c r="D502">
        <v>0</v>
      </c>
      <c r="E502">
        <v>16497</v>
      </c>
      <c r="F502">
        <v>956660.62</v>
      </c>
      <c r="G502" s="8" t="s">
        <v>1368</v>
      </c>
      <c r="I502" s="232">
        <v>41519</v>
      </c>
    </row>
    <row r="503" spans="1:9" hidden="1">
      <c r="A503" s="232">
        <v>41520</v>
      </c>
      <c r="B503" t="s">
        <v>2737</v>
      </c>
      <c r="C503" t="s">
        <v>5385</v>
      </c>
      <c r="D503">
        <v>22373</v>
      </c>
      <c r="E503">
        <v>0</v>
      </c>
      <c r="F503">
        <v>934287.62</v>
      </c>
      <c r="G503" s="8" t="s">
        <v>1362</v>
      </c>
      <c r="I503" s="232">
        <v>41520</v>
      </c>
    </row>
    <row r="504" spans="1:9" hidden="1">
      <c r="A504" s="232">
        <v>41521</v>
      </c>
      <c r="B504" t="s">
        <v>1914</v>
      </c>
      <c r="C504" t="s">
        <v>5386</v>
      </c>
      <c r="D504">
        <v>836.94</v>
      </c>
      <c r="E504">
        <v>0</v>
      </c>
      <c r="F504">
        <v>933450.68</v>
      </c>
      <c r="I504" s="232">
        <v>41521</v>
      </c>
    </row>
    <row r="505" spans="1:9" hidden="1">
      <c r="A505" s="232">
        <v>41528</v>
      </c>
      <c r="B505" t="s">
        <v>1916</v>
      </c>
      <c r="C505" t="s">
        <v>5387</v>
      </c>
      <c r="D505">
        <v>5000</v>
      </c>
      <c r="E505">
        <v>0</v>
      </c>
      <c r="F505">
        <v>928450.68</v>
      </c>
      <c r="G505" s="8" t="s">
        <v>1361</v>
      </c>
      <c r="I505" s="232">
        <v>41528</v>
      </c>
    </row>
    <row r="506" spans="1:9" hidden="1">
      <c r="A506" s="232">
        <v>41528</v>
      </c>
      <c r="B506" t="s">
        <v>1916</v>
      </c>
      <c r="C506" t="s">
        <v>5387</v>
      </c>
      <c r="D506">
        <v>5000</v>
      </c>
      <c r="E506">
        <v>0</v>
      </c>
      <c r="F506">
        <v>923450.68</v>
      </c>
      <c r="G506" s="8" t="s">
        <v>1361</v>
      </c>
      <c r="I506" s="232">
        <v>41528</v>
      </c>
    </row>
    <row r="507" spans="1:9" hidden="1">
      <c r="A507" s="232">
        <v>41540</v>
      </c>
      <c r="B507" t="s">
        <v>1914</v>
      </c>
      <c r="C507" t="s">
        <v>5388</v>
      </c>
      <c r="D507">
        <v>435</v>
      </c>
      <c r="E507">
        <v>0</v>
      </c>
      <c r="F507">
        <v>923015.68000000005</v>
      </c>
      <c r="I507" s="232">
        <v>41540</v>
      </c>
    </row>
    <row r="508" spans="1:9" hidden="1">
      <c r="A508" s="232">
        <v>41540</v>
      </c>
      <c r="C508" t="s">
        <v>3781</v>
      </c>
      <c r="D508">
        <v>0</v>
      </c>
      <c r="E508">
        <v>152895</v>
      </c>
      <c r="F508">
        <v>1075910.68</v>
      </c>
      <c r="G508" s="8" t="s">
        <v>1380</v>
      </c>
      <c r="I508" s="232">
        <v>41540</v>
      </c>
    </row>
    <row r="509" spans="1:9" hidden="1">
      <c r="A509" s="232">
        <v>41542</v>
      </c>
      <c r="B509" t="s">
        <v>1914</v>
      </c>
      <c r="C509" t="s">
        <v>5389</v>
      </c>
      <c r="D509">
        <v>435</v>
      </c>
      <c r="E509">
        <v>0</v>
      </c>
      <c r="F509">
        <v>1075475.68</v>
      </c>
      <c r="I509" s="232">
        <v>41542</v>
      </c>
    </row>
    <row r="510" spans="1:9" hidden="1">
      <c r="A510" s="232">
        <v>41543</v>
      </c>
      <c r="C510" t="s">
        <v>1936</v>
      </c>
      <c r="D510">
        <v>0</v>
      </c>
      <c r="E510">
        <v>156194</v>
      </c>
      <c r="F510">
        <v>1231669.68</v>
      </c>
      <c r="G510" s="8" t="s">
        <v>1380</v>
      </c>
      <c r="I510" s="232">
        <v>41543</v>
      </c>
    </row>
    <row r="511" spans="1:9" hidden="1">
      <c r="A511" s="232">
        <v>41548</v>
      </c>
      <c r="B511" t="s">
        <v>1914</v>
      </c>
      <c r="C511" t="s">
        <v>5390</v>
      </c>
      <c r="D511">
        <v>1281</v>
      </c>
      <c r="E511">
        <v>0</v>
      </c>
      <c r="F511">
        <v>1230388.68</v>
      </c>
      <c r="I511" s="232">
        <v>41548</v>
      </c>
    </row>
    <row r="512" spans="1:9" hidden="1">
      <c r="A512" s="232">
        <v>41551</v>
      </c>
      <c r="B512" t="s">
        <v>1914</v>
      </c>
      <c r="C512" t="s">
        <v>5391</v>
      </c>
      <c r="D512">
        <v>1281</v>
      </c>
      <c r="E512">
        <v>0</v>
      </c>
      <c r="F512">
        <v>1229107.68</v>
      </c>
      <c r="I512" s="232">
        <v>41551</v>
      </c>
    </row>
    <row r="513" spans="1:9" hidden="1">
      <c r="A513" s="232">
        <v>41551</v>
      </c>
      <c r="B513" t="s">
        <v>1914</v>
      </c>
      <c r="C513" t="s">
        <v>5392</v>
      </c>
      <c r="D513">
        <v>300028.09000000003</v>
      </c>
      <c r="E513">
        <v>0</v>
      </c>
      <c r="F513">
        <v>929079.59</v>
      </c>
      <c r="G513" s="8" t="s">
        <v>1363</v>
      </c>
      <c r="I513" s="232">
        <v>41551</v>
      </c>
    </row>
    <row r="514" spans="1:9" hidden="1">
      <c r="A514" s="232">
        <v>41551</v>
      </c>
      <c r="B514" t="s">
        <v>2737</v>
      </c>
      <c r="C514" t="s">
        <v>5393</v>
      </c>
      <c r="D514">
        <v>9187</v>
      </c>
      <c r="E514">
        <v>0</v>
      </c>
      <c r="F514">
        <v>919892.59</v>
      </c>
      <c r="G514" s="8" t="s">
        <v>1362</v>
      </c>
      <c r="I514" s="232">
        <v>41551</v>
      </c>
    </row>
    <row r="515" spans="1:9" hidden="1">
      <c r="A515" s="232">
        <v>41554</v>
      </c>
      <c r="B515" t="s">
        <v>1914</v>
      </c>
      <c r="C515" t="s">
        <v>5394</v>
      </c>
      <c r="D515">
        <v>4331.0600000000004</v>
      </c>
      <c r="E515">
        <v>0</v>
      </c>
      <c r="F515">
        <v>915561.53</v>
      </c>
      <c r="G515" s="8" t="s">
        <v>1362</v>
      </c>
      <c r="I515" s="232">
        <v>41554</v>
      </c>
    </row>
    <row r="516" spans="1:9" hidden="1">
      <c r="A516" s="232">
        <v>41570</v>
      </c>
      <c r="B516" t="s">
        <v>1868</v>
      </c>
      <c r="C516" t="s">
        <v>5395</v>
      </c>
      <c r="D516">
        <v>2500</v>
      </c>
      <c r="E516">
        <v>0</v>
      </c>
      <c r="F516">
        <v>913061.53</v>
      </c>
      <c r="I516" s="232">
        <v>41570</v>
      </c>
    </row>
    <row r="517" spans="1:9" hidden="1">
      <c r="A517" s="232">
        <v>41571</v>
      </c>
      <c r="C517" t="s">
        <v>5396</v>
      </c>
      <c r="D517">
        <v>0</v>
      </c>
      <c r="E517">
        <v>5988</v>
      </c>
      <c r="F517">
        <v>919049.53</v>
      </c>
      <c r="G517" s="8" t="s">
        <v>1380</v>
      </c>
      <c r="I517" s="232">
        <v>41571</v>
      </c>
    </row>
    <row r="518" spans="1:9" hidden="1">
      <c r="A518" s="232">
        <v>41575</v>
      </c>
      <c r="B518" t="s">
        <v>1914</v>
      </c>
      <c r="C518" t="s">
        <v>5397</v>
      </c>
      <c r="D518">
        <v>8942.7000000000007</v>
      </c>
      <c r="E518">
        <v>0</v>
      </c>
      <c r="F518">
        <v>910106.83</v>
      </c>
      <c r="G518" s="8" t="s">
        <v>1370</v>
      </c>
      <c r="I518" s="232">
        <v>41575</v>
      </c>
    </row>
    <row r="519" spans="1:9" hidden="1">
      <c r="A519" s="232">
        <v>41575</v>
      </c>
      <c r="B519" t="s">
        <v>1914</v>
      </c>
      <c r="C519" t="s">
        <v>5398</v>
      </c>
      <c r="D519">
        <v>0</v>
      </c>
      <c r="E519">
        <v>195926</v>
      </c>
      <c r="F519">
        <v>1106032.83</v>
      </c>
      <c r="G519" s="8" t="s">
        <v>1380</v>
      </c>
      <c r="I519" s="232">
        <v>41575</v>
      </c>
    </row>
    <row r="520" spans="1:9" hidden="1">
      <c r="A520" s="232">
        <v>41577</v>
      </c>
      <c r="B520" t="s">
        <v>1916</v>
      </c>
      <c r="C520" t="s">
        <v>5399</v>
      </c>
      <c r="D520">
        <v>10000</v>
      </c>
      <c r="E520">
        <v>0</v>
      </c>
      <c r="F520">
        <v>1096032.83</v>
      </c>
      <c r="G520" s="8" t="s">
        <v>1361</v>
      </c>
      <c r="I520" s="232">
        <v>41577</v>
      </c>
    </row>
    <row r="521" spans="1:9" hidden="1">
      <c r="A521" s="232">
        <v>41582</v>
      </c>
      <c r="B521" t="s">
        <v>2737</v>
      </c>
      <c r="C521" t="s">
        <v>5400</v>
      </c>
      <c r="D521">
        <v>5298</v>
      </c>
      <c r="E521">
        <v>0</v>
      </c>
      <c r="F521">
        <v>1090734.83</v>
      </c>
      <c r="G521" s="8" t="s">
        <v>1362</v>
      </c>
      <c r="I521" s="232">
        <v>41582</v>
      </c>
    </row>
    <row r="522" spans="1:9" hidden="1">
      <c r="A522" s="232">
        <v>41583</v>
      </c>
      <c r="B522" t="s">
        <v>1916</v>
      </c>
      <c r="C522" t="s">
        <v>5401</v>
      </c>
      <c r="D522">
        <v>10000</v>
      </c>
      <c r="E522">
        <v>0</v>
      </c>
      <c r="F522">
        <v>1080734.83</v>
      </c>
      <c r="G522" s="8" t="s">
        <v>1361</v>
      </c>
      <c r="I522" s="232">
        <v>41583</v>
      </c>
    </row>
    <row r="523" spans="1:9" hidden="1">
      <c r="A523" s="232">
        <v>41585</v>
      </c>
      <c r="B523" t="s">
        <v>1914</v>
      </c>
      <c r="C523" t="s">
        <v>5402</v>
      </c>
      <c r="D523">
        <v>1110</v>
      </c>
      <c r="E523">
        <v>0</v>
      </c>
      <c r="F523">
        <v>1079624.83</v>
      </c>
      <c r="I523" s="232">
        <v>41585</v>
      </c>
    </row>
    <row r="524" spans="1:9" hidden="1">
      <c r="A524" s="232">
        <v>41594</v>
      </c>
      <c r="C524" t="s">
        <v>5403</v>
      </c>
      <c r="D524">
        <v>0</v>
      </c>
      <c r="E524">
        <v>1996.8</v>
      </c>
      <c r="F524">
        <v>1081621.6299999999</v>
      </c>
      <c r="G524" s="8" t="s">
        <v>1380</v>
      </c>
      <c r="I524" s="232">
        <v>41594</v>
      </c>
    </row>
    <row r="525" spans="1:9" hidden="1">
      <c r="A525" s="232">
        <v>41604</v>
      </c>
      <c r="B525" t="s">
        <v>1914</v>
      </c>
      <c r="C525" t="s">
        <v>5404</v>
      </c>
      <c r="D525">
        <v>0</v>
      </c>
      <c r="E525">
        <v>162527</v>
      </c>
      <c r="F525">
        <v>1244148.6299999999</v>
      </c>
      <c r="G525" s="8" t="s">
        <v>1380</v>
      </c>
      <c r="I525" s="232">
        <v>41604</v>
      </c>
    </row>
    <row r="526" spans="1:9" hidden="1">
      <c r="A526" s="232">
        <v>41608</v>
      </c>
      <c r="B526" t="s">
        <v>1963</v>
      </c>
      <c r="C526" t="s">
        <v>5405</v>
      </c>
      <c r="D526">
        <v>5000</v>
      </c>
      <c r="E526">
        <v>0</v>
      </c>
      <c r="F526">
        <v>1239148.6299999999</v>
      </c>
      <c r="G526" s="8" t="s">
        <v>1361</v>
      </c>
      <c r="I526" s="232">
        <v>41608</v>
      </c>
    </row>
    <row r="527" spans="1:9" hidden="1">
      <c r="A527" s="232">
        <v>41611</v>
      </c>
      <c r="B527" t="s">
        <v>1914</v>
      </c>
      <c r="C527" t="s">
        <v>5406</v>
      </c>
      <c r="D527">
        <v>1132.44</v>
      </c>
      <c r="E527">
        <v>0</v>
      </c>
      <c r="F527">
        <v>1238016.19</v>
      </c>
      <c r="I527" s="232">
        <v>41611</v>
      </c>
    </row>
    <row r="528" spans="1:9" hidden="1">
      <c r="A528" s="232">
        <v>41612</v>
      </c>
      <c r="B528" t="s">
        <v>2737</v>
      </c>
      <c r="C528" t="s">
        <v>5407</v>
      </c>
      <c r="D528">
        <v>17837</v>
      </c>
      <c r="E528">
        <v>0</v>
      </c>
      <c r="F528">
        <v>1220179.19</v>
      </c>
      <c r="G528" s="8" t="s">
        <v>1362</v>
      </c>
      <c r="I528" s="232">
        <v>41612</v>
      </c>
    </row>
    <row r="529" spans="1:9" hidden="1">
      <c r="A529" s="232">
        <v>41613</v>
      </c>
      <c r="C529" t="s">
        <v>3781</v>
      </c>
      <c r="D529">
        <v>0</v>
      </c>
      <c r="E529">
        <v>2571</v>
      </c>
      <c r="F529">
        <v>1222750.19</v>
      </c>
      <c r="G529" s="8" t="s">
        <v>1380</v>
      </c>
      <c r="I529" s="232">
        <v>41613</v>
      </c>
    </row>
    <row r="530" spans="1:9" hidden="1">
      <c r="A530" s="232">
        <v>41629</v>
      </c>
      <c r="B530" t="s">
        <v>1914</v>
      </c>
      <c r="C530" t="s">
        <v>5408</v>
      </c>
      <c r="D530">
        <v>23640</v>
      </c>
      <c r="E530">
        <v>0</v>
      </c>
      <c r="F530">
        <v>1199110.19</v>
      </c>
      <c r="G530" s="8" t="s">
        <v>1370</v>
      </c>
      <c r="I530" s="232">
        <v>41629</v>
      </c>
    </row>
    <row r="531" spans="1:9" hidden="1">
      <c r="A531" s="232">
        <v>41629</v>
      </c>
      <c r="B531" t="s">
        <v>1963</v>
      </c>
      <c r="C531" t="s">
        <v>1980</v>
      </c>
      <c r="D531">
        <v>10000</v>
      </c>
      <c r="E531">
        <v>0</v>
      </c>
      <c r="F531">
        <v>1189110.19</v>
      </c>
      <c r="G531" s="8" t="s">
        <v>1361</v>
      </c>
      <c r="I531" s="232">
        <v>41629</v>
      </c>
    </row>
    <row r="532" spans="1:9" hidden="1">
      <c r="A532" s="232">
        <v>41635</v>
      </c>
      <c r="B532" t="s">
        <v>1914</v>
      </c>
      <c r="C532" t="s">
        <v>5409</v>
      </c>
      <c r="D532">
        <v>0</v>
      </c>
      <c r="E532">
        <v>156194</v>
      </c>
      <c r="F532">
        <v>1345304.19</v>
      </c>
      <c r="G532" s="8" t="s">
        <v>1380</v>
      </c>
      <c r="I532" s="232">
        <v>41635</v>
      </c>
    </row>
    <row r="533" spans="1:9" hidden="1">
      <c r="A533" s="232">
        <v>41635</v>
      </c>
      <c r="B533" t="s">
        <v>1914</v>
      </c>
      <c r="C533" t="s">
        <v>5410</v>
      </c>
      <c r="D533">
        <v>837.3</v>
      </c>
      <c r="E533">
        <v>0</v>
      </c>
      <c r="F533">
        <v>1344466.89</v>
      </c>
      <c r="I533" s="232">
        <v>41635</v>
      </c>
    </row>
    <row r="534" spans="1:9" hidden="1">
      <c r="A534" s="232">
        <v>41636</v>
      </c>
      <c r="B534" t="s">
        <v>1914</v>
      </c>
      <c r="C534" t="s">
        <v>5411</v>
      </c>
      <c r="D534">
        <v>1234</v>
      </c>
      <c r="E534">
        <v>0</v>
      </c>
      <c r="F534">
        <v>1343232.89</v>
      </c>
      <c r="I534" s="232">
        <v>41636</v>
      </c>
    </row>
    <row r="535" spans="1:9" hidden="1">
      <c r="A535" s="232">
        <v>41638</v>
      </c>
      <c r="C535" t="s">
        <v>5412</v>
      </c>
      <c r="D535">
        <v>0</v>
      </c>
      <c r="E535">
        <v>14124</v>
      </c>
      <c r="F535">
        <v>1357356.89</v>
      </c>
      <c r="G535" s="8" t="s">
        <v>1368</v>
      </c>
      <c r="I535" s="232">
        <v>41638</v>
      </c>
    </row>
    <row r="536" spans="1:9" hidden="1">
      <c r="A536" s="232">
        <v>41638</v>
      </c>
      <c r="B536" t="s">
        <v>1914</v>
      </c>
      <c r="C536" t="s">
        <v>1986</v>
      </c>
      <c r="D536">
        <v>0</v>
      </c>
      <c r="E536">
        <v>100</v>
      </c>
      <c r="F536">
        <v>1357456.89</v>
      </c>
      <c r="I536" s="232">
        <v>41638</v>
      </c>
    </row>
    <row r="537" spans="1:9" hidden="1">
      <c r="A537" s="232">
        <v>41639</v>
      </c>
      <c r="B537" t="s">
        <v>1868</v>
      </c>
      <c r="C537" t="s">
        <v>1809</v>
      </c>
      <c r="D537">
        <v>1007587</v>
      </c>
      <c r="E537">
        <v>0</v>
      </c>
      <c r="F537">
        <v>349869.89</v>
      </c>
      <c r="G537" s="8" t="s">
        <v>1366</v>
      </c>
      <c r="I537" s="232">
        <v>41639</v>
      </c>
    </row>
    <row r="538" spans="1:9" hidden="1">
      <c r="A538" s="232">
        <v>41640</v>
      </c>
      <c r="B538" t="s">
        <v>1914</v>
      </c>
      <c r="C538" t="s">
        <v>1987</v>
      </c>
      <c r="D538">
        <v>0</v>
      </c>
      <c r="E538">
        <v>150000</v>
      </c>
      <c r="F538">
        <v>499869.89</v>
      </c>
      <c r="I538" s="232">
        <v>41640</v>
      </c>
    </row>
    <row r="539" spans="1:9" hidden="1">
      <c r="A539" s="232">
        <v>41642</v>
      </c>
      <c r="B539" t="s">
        <v>2737</v>
      </c>
      <c r="C539" t="s">
        <v>5413</v>
      </c>
      <c r="D539">
        <v>27330.9</v>
      </c>
      <c r="E539">
        <v>0</v>
      </c>
      <c r="F539">
        <v>472538.99</v>
      </c>
      <c r="G539" s="8" t="s">
        <v>1362</v>
      </c>
      <c r="I539" s="232">
        <v>41642</v>
      </c>
    </row>
    <row r="540" spans="1:9" hidden="1">
      <c r="A540" s="232">
        <v>41645</v>
      </c>
      <c r="B540" t="s">
        <v>1963</v>
      </c>
      <c r="C540" t="s">
        <v>5414</v>
      </c>
      <c r="D540">
        <v>5000</v>
      </c>
      <c r="E540">
        <v>0</v>
      </c>
      <c r="F540">
        <v>467538.99</v>
      </c>
      <c r="G540" s="8" t="s">
        <v>1361</v>
      </c>
      <c r="I540" s="232">
        <v>41645</v>
      </c>
    </row>
    <row r="541" spans="1:9" hidden="1">
      <c r="A541" s="232">
        <v>41649</v>
      </c>
      <c r="C541" t="s">
        <v>1419</v>
      </c>
      <c r="D541">
        <v>0</v>
      </c>
      <c r="E541">
        <v>1619.2</v>
      </c>
      <c r="F541">
        <v>469158.19</v>
      </c>
      <c r="G541" s="8" t="s">
        <v>1380</v>
      </c>
      <c r="I541" s="232">
        <v>41649</v>
      </c>
    </row>
    <row r="542" spans="1:9" hidden="1">
      <c r="A542" s="232">
        <v>41659</v>
      </c>
      <c r="B542" t="s">
        <v>1963</v>
      </c>
      <c r="C542" t="s">
        <v>5415</v>
      </c>
      <c r="D542">
        <v>10000</v>
      </c>
      <c r="E542">
        <v>0</v>
      </c>
      <c r="F542">
        <v>459158.19</v>
      </c>
      <c r="G542" s="8" t="s">
        <v>1361</v>
      </c>
      <c r="I542" s="232">
        <v>41659</v>
      </c>
    </row>
    <row r="543" spans="1:9" hidden="1">
      <c r="A543" s="232">
        <v>41666</v>
      </c>
      <c r="B543" t="s">
        <v>1914</v>
      </c>
      <c r="C543" t="s">
        <v>5416</v>
      </c>
      <c r="D543">
        <v>0</v>
      </c>
      <c r="E543">
        <v>180610</v>
      </c>
      <c r="F543">
        <v>639768.18999999994</v>
      </c>
      <c r="G543" s="8" t="s">
        <v>1380</v>
      </c>
      <c r="I543" s="232">
        <v>41666</v>
      </c>
    </row>
    <row r="544" spans="1:9" hidden="1">
      <c r="A544" s="232">
        <v>41673</v>
      </c>
      <c r="B544" t="s">
        <v>1963</v>
      </c>
      <c r="C544" t="s">
        <v>2003</v>
      </c>
      <c r="D544">
        <v>10000</v>
      </c>
      <c r="E544">
        <v>0</v>
      </c>
      <c r="F544">
        <v>629768.18999999994</v>
      </c>
      <c r="G544" s="8" t="s">
        <v>1361</v>
      </c>
      <c r="I544" s="232">
        <v>41673</v>
      </c>
    </row>
    <row r="545" spans="1:9" hidden="1">
      <c r="A545" s="232">
        <v>41674</v>
      </c>
      <c r="B545" t="s">
        <v>1914</v>
      </c>
      <c r="C545" t="s">
        <v>5417</v>
      </c>
      <c r="D545">
        <v>1164.0999999999999</v>
      </c>
      <c r="E545">
        <v>0</v>
      </c>
      <c r="F545">
        <v>628604.09</v>
      </c>
      <c r="I545" s="232">
        <v>41674</v>
      </c>
    </row>
    <row r="546" spans="1:9" hidden="1">
      <c r="A546" s="232">
        <v>41688</v>
      </c>
      <c r="B546" t="s">
        <v>1914</v>
      </c>
      <c r="C546" t="s">
        <v>5418</v>
      </c>
      <c r="D546">
        <v>59138</v>
      </c>
      <c r="E546">
        <v>0</v>
      </c>
      <c r="F546">
        <v>569466.09</v>
      </c>
      <c r="G546" s="8" t="s">
        <v>1370</v>
      </c>
      <c r="I546" s="232">
        <v>41688</v>
      </c>
    </row>
    <row r="547" spans="1:9" hidden="1">
      <c r="A547" s="232">
        <v>41689</v>
      </c>
      <c r="B547" t="s">
        <v>1963</v>
      </c>
      <c r="C547" t="s">
        <v>2011</v>
      </c>
      <c r="D547">
        <v>5000</v>
      </c>
      <c r="E547">
        <v>0</v>
      </c>
      <c r="F547">
        <v>564466.09</v>
      </c>
      <c r="G547" s="8" t="s">
        <v>1361</v>
      </c>
      <c r="I547" s="232">
        <v>41689</v>
      </c>
    </row>
    <row r="548" spans="1:9" hidden="1">
      <c r="A548" s="232">
        <v>41696</v>
      </c>
      <c r="B548" t="s">
        <v>1914</v>
      </c>
      <c r="C548" t="s">
        <v>5419</v>
      </c>
      <c r="D548">
        <v>0</v>
      </c>
      <c r="E548">
        <v>159470</v>
      </c>
      <c r="F548">
        <v>723936.09</v>
      </c>
      <c r="G548" s="8" t="s">
        <v>1380</v>
      </c>
      <c r="I548" s="232">
        <v>41696</v>
      </c>
    </row>
    <row r="549" spans="1:9" hidden="1">
      <c r="A549" s="232">
        <v>41696</v>
      </c>
      <c r="C549" t="s">
        <v>5420</v>
      </c>
      <c r="D549">
        <v>0</v>
      </c>
      <c r="E549">
        <v>3139.2</v>
      </c>
      <c r="F549">
        <v>727075.29</v>
      </c>
      <c r="G549" s="8" t="s">
        <v>1380</v>
      </c>
      <c r="I549" s="232">
        <v>41696</v>
      </c>
    </row>
    <row r="550" spans="1:9" hidden="1">
      <c r="A550" s="232">
        <v>41699</v>
      </c>
      <c r="B550" t="s">
        <v>1914</v>
      </c>
      <c r="C550" t="s">
        <v>5421</v>
      </c>
      <c r="D550">
        <v>1290.21</v>
      </c>
      <c r="E550">
        <v>0</v>
      </c>
      <c r="F550">
        <v>725785.08</v>
      </c>
      <c r="I550" s="232">
        <v>41699</v>
      </c>
    </row>
    <row r="551" spans="1:9" hidden="1">
      <c r="A551" s="232">
        <v>41702</v>
      </c>
      <c r="B551" t="s">
        <v>1868</v>
      </c>
      <c r="C551" t="s">
        <v>5422</v>
      </c>
      <c r="D551">
        <v>125</v>
      </c>
      <c r="E551">
        <v>0</v>
      </c>
      <c r="F551">
        <v>725660.08</v>
      </c>
      <c r="I551" s="232">
        <v>41702</v>
      </c>
    </row>
    <row r="552" spans="1:9" hidden="1">
      <c r="A552" s="232">
        <v>41703</v>
      </c>
      <c r="B552" t="s">
        <v>2020</v>
      </c>
      <c r="C552" t="s">
        <v>5423</v>
      </c>
      <c r="D552">
        <v>0</v>
      </c>
      <c r="E552">
        <v>5886.78</v>
      </c>
      <c r="F552">
        <v>731546.86</v>
      </c>
      <c r="G552" s="8" t="s">
        <v>1380</v>
      </c>
      <c r="I552" s="232">
        <v>41703</v>
      </c>
    </row>
    <row r="553" spans="1:9" hidden="1">
      <c r="A553" s="232">
        <v>41708</v>
      </c>
      <c r="B553" t="s">
        <v>1868</v>
      </c>
      <c r="C553" t="s">
        <v>5424</v>
      </c>
      <c r="D553">
        <v>3000</v>
      </c>
      <c r="E553">
        <v>0</v>
      </c>
      <c r="F553">
        <v>728546.86</v>
      </c>
      <c r="I553" s="232">
        <v>41708</v>
      </c>
    </row>
    <row r="554" spans="1:9" hidden="1">
      <c r="A554" s="232">
        <v>41715</v>
      </c>
      <c r="B554" t="s">
        <v>1914</v>
      </c>
      <c r="C554" t="s">
        <v>5425</v>
      </c>
      <c r="D554">
        <v>7002.81</v>
      </c>
      <c r="E554">
        <v>0</v>
      </c>
      <c r="F554">
        <v>721544.05</v>
      </c>
      <c r="I554" s="232">
        <v>41715</v>
      </c>
    </row>
    <row r="555" spans="1:9" hidden="1">
      <c r="A555" s="232">
        <v>41719</v>
      </c>
      <c r="B555" t="s">
        <v>1963</v>
      </c>
      <c r="C555" t="s">
        <v>5426</v>
      </c>
      <c r="D555">
        <v>5000</v>
      </c>
      <c r="E555">
        <v>0</v>
      </c>
      <c r="F555">
        <v>716544.05</v>
      </c>
      <c r="G555" s="8" t="s">
        <v>1361</v>
      </c>
      <c r="I555" s="232">
        <v>41719</v>
      </c>
    </row>
    <row r="556" spans="1:9" hidden="1">
      <c r="A556" s="232">
        <v>41724</v>
      </c>
      <c r="B556" t="s">
        <v>1914</v>
      </c>
      <c r="C556" t="s">
        <v>5427</v>
      </c>
      <c r="D556">
        <v>0</v>
      </c>
      <c r="E556">
        <v>162090</v>
      </c>
      <c r="F556">
        <v>878634.05</v>
      </c>
      <c r="G556" s="8" t="s">
        <v>1380</v>
      </c>
      <c r="I556" s="232">
        <v>41724</v>
      </c>
    </row>
    <row r="557" spans="1:9" hidden="1">
      <c r="A557" s="232">
        <v>41724</v>
      </c>
      <c r="B557" t="s">
        <v>1963</v>
      </c>
      <c r="C557" t="s">
        <v>2028</v>
      </c>
      <c r="D557">
        <v>5000</v>
      </c>
      <c r="E557">
        <v>0</v>
      </c>
      <c r="F557">
        <v>873634.05</v>
      </c>
      <c r="G557" s="8" t="s">
        <v>1361</v>
      </c>
      <c r="I557" s="232">
        <v>41724</v>
      </c>
    </row>
    <row r="558" spans="1:9" hidden="1">
      <c r="A558" s="232">
        <v>41730</v>
      </c>
      <c r="C558" t="s">
        <v>1865</v>
      </c>
      <c r="D558">
        <v>0</v>
      </c>
      <c r="E558">
        <v>0</v>
      </c>
      <c r="F558">
        <v>873634.05</v>
      </c>
      <c r="I558" s="232">
        <v>41730</v>
      </c>
    </row>
    <row r="559" spans="1:9" hidden="1">
      <c r="A559" s="232">
        <v>41732</v>
      </c>
      <c r="B559" t="s">
        <v>2737</v>
      </c>
      <c r="C559" t="s">
        <v>5413</v>
      </c>
      <c r="D559">
        <v>24639.18</v>
      </c>
      <c r="E559">
        <v>0</v>
      </c>
      <c r="F559">
        <v>848994.87</v>
      </c>
      <c r="G559" s="8" t="s">
        <v>1362</v>
      </c>
      <c r="I559" s="232">
        <v>41732</v>
      </c>
    </row>
    <row r="560" spans="1:9" hidden="1">
      <c r="A560" s="232">
        <v>41733</v>
      </c>
      <c r="B560" t="s">
        <v>1914</v>
      </c>
      <c r="C560" t="s">
        <v>5428</v>
      </c>
      <c r="D560">
        <v>3210</v>
      </c>
      <c r="E560">
        <v>0</v>
      </c>
      <c r="F560">
        <v>845784.87</v>
      </c>
      <c r="G560" s="8" t="s">
        <v>1370</v>
      </c>
      <c r="I560" s="232">
        <v>41733</v>
      </c>
    </row>
    <row r="561" spans="1:9" hidden="1">
      <c r="A561" s="232">
        <v>41733</v>
      </c>
      <c r="B561" t="s">
        <v>1914</v>
      </c>
      <c r="C561" t="s">
        <v>5429</v>
      </c>
      <c r="D561">
        <v>1243.42</v>
      </c>
      <c r="E561">
        <v>0</v>
      </c>
      <c r="F561">
        <v>844541.45</v>
      </c>
      <c r="I561" s="232">
        <v>41733</v>
      </c>
    </row>
    <row r="562" spans="1:9" hidden="1">
      <c r="A562" s="232">
        <v>41739</v>
      </c>
      <c r="B562" t="s">
        <v>1963</v>
      </c>
      <c r="C562" t="s">
        <v>2036</v>
      </c>
      <c r="D562">
        <v>10000</v>
      </c>
      <c r="E562">
        <v>0</v>
      </c>
      <c r="F562">
        <v>834541.45</v>
      </c>
      <c r="G562" s="8" t="s">
        <v>1361</v>
      </c>
      <c r="I562" s="232">
        <v>41739</v>
      </c>
    </row>
    <row r="563" spans="1:9" hidden="1">
      <c r="A563" s="232">
        <v>41739</v>
      </c>
      <c r="B563" t="s">
        <v>1914</v>
      </c>
      <c r="C563" t="s">
        <v>5430</v>
      </c>
      <c r="D563">
        <v>6910.49</v>
      </c>
      <c r="E563">
        <v>0</v>
      </c>
      <c r="F563">
        <v>827630.96</v>
      </c>
      <c r="I563" s="232">
        <v>41739</v>
      </c>
    </row>
    <row r="564" spans="1:9" hidden="1">
      <c r="A564" s="232">
        <v>41739</v>
      </c>
      <c r="B564" t="s">
        <v>1914</v>
      </c>
      <c r="C564" t="s">
        <v>5431</v>
      </c>
      <c r="D564">
        <v>2500</v>
      </c>
      <c r="E564">
        <v>0</v>
      </c>
      <c r="F564">
        <v>825130.96</v>
      </c>
      <c r="I564" s="232">
        <v>41739</v>
      </c>
    </row>
    <row r="565" spans="1:9" hidden="1">
      <c r="A565" s="232">
        <v>41744</v>
      </c>
      <c r="C565" t="s">
        <v>5432</v>
      </c>
      <c r="D565">
        <v>0</v>
      </c>
      <c r="E565">
        <v>521.65</v>
      </c>
      <c r="F565">
        <v>825652.61</v>
      </c>
      <c r="G565" s="8" t="s">
        <v>1375</v>
      </c>
      <c r="I565" s="232">
        <v>41744</v>
      </c>
    </row>
    <row r="566" spans="1:9" hidden="1">
      <c r="A566" s="232">
        <v>41746</v>
      </c>
      <c r="C566" t="s">
        <v>2010</v>
      </c>
      <c r="D566">
        <v>0</v>
      </c>
      <c r="E566">
        <v>2162</v>
      </c>
      <c r="F566">
        <v>827814.61</v>
      </c>
      <c r="G566" s="8" t="s">
        <v>1380</v>
      </c>
      <c r="I566" s="232">
        <v>41746</v>
      </c>
    </row>
    <row r="567" spans="1:9" hidden="1">
      <c r="A567" s="232">
        <v>41757</v>
      </c>
      <c r="B567" t="s">
        <v>1914</v>
      </c>
      <c r="C567" t="s">
        <v>5433</v>
      </c>
      <c r="D567">
        <v>0</v>
      </c>
      <c r="E567">
        <v>845291</v>
      </c>
      <c r="F567">
        <v>1673105.61</v>
      </c>
      <c r="G567" s="8" t="s">
        <v>1380</v>
      </c>
      <c r="I567" s="232">
        <v>41757</v>
      </c>
    </row>
    <row r="568" spans="1:9" hidden="1">
      <c r="A568" s="232">
        <v>41759</v>
      </c>
      <c r="B568" t="s">
        <v>1963</v>
      </c>
      <c r="C568" t="s">
        <v>5434</v>
      </c>
      <c r="D568">
        <v>10000</v>
      </c>
      <c r="E568">
        <v>0</v>
      </c>
      <c r="F568">
        <v>1663105.61</v>
      </c>
      <c r="G568" s="8" t="s">
        <v>1361</v>
      </c>
      <c r="I568" s="232">
        <v>41759</v>
      </c>
    </row>
    <row r="569" spans="1:9" hidden="1">
      <c r="A569" s="232">
        <v>41759</v>
      </c>
      <c r="B569" t="s">
        <v>1963</v>
      </c>
      <c r="C569" t="s">
        <v>5434</v>
      </c>
      <c r="D569">
        <v>5000</v>
      </c>
      <c r="E569">
        <v>0</v>
      </c>
      <c r="F569">
        <v>1658105.61</v>
      </c>
      <c r="G569" s="8" t="s">
        <v>1361</v>
      </c>
      <c r="I569" s="232">
        <v>41759</v>
      </c>
    </row>
    <row r="570" spans="1:9" hidden="1">
      <c r="A570" s="232">
        <v>41764</v>
      </c>
      <c r="B570" t="s">
        <v>1963</v>
      </c>
      <c r="C570" t="s">
        <v>5435</v>
      </c>
      <c r="D570">
        <v>5000</v>
      </c>
      <c r="E570">
        <v>0</v>
      </c>
      <c r="F570">
        <v>1653105.61</v>
      </c>
      <c r="G570" s="8" t="s">
        <v>1361</v>
      </c>
      <c r="I570" s="232">
        <v>41764</v>
      </c>
    </row>
    <row r="571" spans="1:9" hidden="1">
      <c r="A571" s="232">
        <v>41765</v>
      </c>
      <c r="B571" t="s">
        <v>1914</v>
      </c>
      <c r="C571" t="s">
        <v>5436</v>
      </c>
      <c r="D571">
        <v>1241.81</v>
      </c>
      <c r="E571">
        <v>0</v>
      </c>
      <c r="F571">
        <v>1651863.8</v>
      </c>
      <c r="I571" s="232">
        <v>41765</v>
      </c>
    </row>
    <row r="572" spans="1:9" hidden="1">
      <c r="A572" s="232">
        <v>41767</v>
      </c>
      <c r="B572" t="s">
        <v>5437</v>
      </c>
      <c r="C572" t="s">
        <v>1630</v>
      </c>
      <c r="D572">
        <v>1500</v>
      </c>
      <c r="E572">
        <v>0</v>
      </c>
      <c r="F572">
        <v>1650363.8</v>
      </c>
      <c r="I572" s="232">
        <v>41767</v>
      </c>
    </row>
    <row r="573" spans="1:9" hidden="1">
      <c r="A573" s="232">
        <v>41772</v>
      </c>
      <c r="B573" t="s">
        <v>5438</v>
      </c>
      <c r="C573" t="s">
        <v>5439</v>
      </c>
      <c r="D573">
        <v>10000</v>
      </c>
      <c r="E573">
        <v>0</v>
      </c>
      <c r="F573">
        <v>1640363.8</v>
      </c>
      <c r="I573" s="232">
        <v>41772</v>
      </c>
    </row>
    <row r="574" spans="1:9" hidden="1">
      <c r="A574" s="232">
        <v>41772</v>
      </c>
      <c r="C574" t="s">
        <v>2010</v>
      </c>
      <c r="D574">
        <v>0</v>
      </c>
      <c r="E574">
        <v>998</v>
      </c>
      <c r="F574">
        <v>1641361.8</v>
      </c>
      <c r="G574" s="8" t="s">
        <v>1380</v>
      </c>
      <c r="I574" s="232">
        <v>41772</v>
      </c>
    </row>
    <row r="575" spans="1:9" hidden="1">
      <c r="A575" s="232">
        <v>41778</v>
      </c>
      <c r="B575" t="s">
        <v>1914</v>
      </c>
      <c r="C575" t="s">
        <v>5440</v>
      </c>
      <c r="D575">
        <v>245417</v>
      </c>
      <c r="E575">
        <v>0</v>
      </c>
      <c r="F575">
        <v>1395944.8</v>
      </c>
      <c r="G575" s="8" t="s">
        <v>1370</v>
      </c>
      <c r="I575" s="232">
        <v>41778</v>
      </c>
    </row>
    <row r="576" spans="1:9" hidden="1">
      <c r="A576" s="232">
        <v>41783</v>
      </c>
      <c r="B576" t="s">
        <v>1914</v>
      </c>
      <c r="C576" t="s">
        <v>5441</v>
      </c>
      <c r="D576">
        <v>1512.75</v>
      </c>
      <c r="E576">
        <v>0</v>
      </c>
      <c r="F576">
        <v>1394432.05</v>
      </c>
      <c r="I576" s="232">
        <v>41783</v>
      </c>
    </row>
    <row r="577" spans="1:9" hidden="1">
      <c r="A577" s="232">
        <v>41783</v>
      </c>
      <c r="B577" t="s">
        <v>1914</v>
      </c>
      <c r="C577" t="s">
        <v>5442</v>
      </c>
      <c r="D577">
        <v>1512.75</v>
      </c>
      <c r="E577">
        <v>0</v>
      </c>
      <c r="F577">
        <v>1392919.3</v>
      </c>
      <c r="I577" s="232">
        <v>41783</v>
      </c>
    </row>
    <row r="578" spans="1:9" hidden="1">
      <c r="A578" s="232">
        <v>41785</v>
      </c>
      <c r="B578" t="s">
        <v>1914</v>
      </c>
      <c r="C578" t="s">
        <v>5443</v>
      </c>
      <c r="D578">
        <v>0</v>
      </c>
      <c r="E578">
        <v>189529</v>
      </c>
      <c r="F578">
        <v>1582448.3</v>
      </c>
      <c r="G578" s="8" t="s">
        <v>1380</v>
      </c>
      <c r="I578" s="232">
        <v>41785</v>
      </c>
    </row>
    <row r="579" spans="1:9" hidden="1">
      <c r="A579" s="232">
        <v>41785</v>
      </c>
      <c r="B579" t="s">
        <v>1963</v>
      </c>
      <c r="C579" t="s">
        <v>2056</v>
      </c>
      <c r="D579">
        <v>3000</v>
      </c>
      <c r="E579">
        <v>0</v>
      </c>
      <c r="F579">
        <v>1579448.3</v>
      </c>
      <c r="G579" s="8" t="s">
        <v>1361</v>
      </c>
      <c r="I579" s="232">
        <v>41785</v>
      </c>
    </row>
    <row r="580" spans="1:9" hidden="1">
      <c r="A580" s="232">
        <v>41792</v>
      </c>
      <c r="B580" t="s">
        <v>1963</v>
      </c>
      <c r="C580" t="s">
        <v>2059</v>
      </c>
      <c r="D580">
        <v>5000</v>
      </c>
      <c r="E580">
        <v>0</v>
      </c>
      <c r="F580">
        <v>1574448.3</v>
      </c>
      <c r="G580" s="8" t="s">
        <v>1361</v>
      </c>
      <c r="I580" s="232">
        <v>41792</v>
      </c>
    </row>
    <row r="581" spans="1:9" hidden="1">
      <c r="A581" s="232">
        <v>41793</v>
      </c>
      <c r="B581" t="s">
        <v>1914</v>
      </c>
      <c r="C581" t="s">
        <v>5444</v>
      </c>
      <c r="D581">
        <v>1241.81</v>
      </c>
      <c r="E581">
        <v>0</v>
      </c>
      <c r="F581">
        <v>1573206.49</v>
      </c>
      <c r="I581" s="232">
        <v>41793</v>
      </c>
    </row>
    <row r="582" spans="1:9" hidden="1">
      <c r="A582" s="232">
        <v>41793</v>
      </c>
      <c r="B582" t="s">
        <v>2737</v>
      </c>
      <c r="C582" t="s">
        <v>5413</v>
      </c>
      <c r="D582">
        <v>12732.74</v>
      </c>
      <c r="E582">
        <v>0</v>
      </c>
      <c r="F582">
        <v>1560473.75</v>
      </c>
      <c r="G582" s="8" t="s">
        <v>1362</v>
      </c>
      <c r="I582" s="232">
        <v>41793</v>
      </c>
    </row>
    <row r="583" spans="1:9" hidden="1">
      <c r="A583" s="232">
        <v>41797</v>
      </c>
      <c r="B583" t="s">
        <v>1914</v>
      </c>
      <c r="C583" t="s">
        <v>5445</v>
      </c>
      <c r="D583">
        <v>1110</v>
      </c>
      <c r="E583">
        <v>0</v>
      </c>
      <c r="F583">
        <v>1559363.75</v>
      </c>
      <c r="I583" s="232">
        <v>41797</v>
      </c>
    </row>
    <row r="584" spans="1:9" hidden="1">
      <c r="A584" s="232">
        <v>41797</v>
      </c>
      <c r="B584" t="s">
        <v>5446</v>
      </c>
      <c r="C584" t="s">
        <v>1809</v>
      </c>
      <c r="D584">
        <v>1000000</v>
      </c>
      <c r="E584">
        <v>0</v>
      </c>
      <c r="F584">
        <v>559363.75</v>
      </c>
      <c r="G584" s="8" t="s">
        <v>1366</v>
      </c>
      <c r="I584" s="232">
        <v>41797</v>
      </c>
    </row>
    <row r="585" spans="1:9" hidden="1">
      <c r="A585" s="232">
        <v>41797</v>
      </c>
      <c r="B585" t="s">
        <v>5447</v>
      </c>
      <c r="C585" t="s">
        <v>2098</v>
      </c>
      <c r="D585">
        <v>8800</v>
      </c>
      <c r="E585">
        <v>0</v>
      </c>
      <c r="F585">
        <v>550563.75</v>
      </c>
      <c r="I585" s="232">
        <v>41797</v>
      </c>
    </row>
    <row r="586" spans="1:9" hidden="1">
      <c r="A586" s="232">
        <v>41799</v>
      </c>
      <c r="B586" t="s">
        <v>1963</v>
      </c>
      <c r="C586" t="s">
        <v>5448</v>
      </c>
      <c r="D586">
        <v>7000</v>
      </c>
      <c r="E586">
        <v>0</v>
      </c>
      <c r="F586">
        <v>543563.75</v>
      </c>
      <c r="G586" s="8" t="s">
        <v>1361</v>
      </c>
      <c r="I586" s="232">
        <v>41799</v>
      </c>
    </row>
    <row r="587" spans="1:9" hidden="1">
      <c r="A587" s="232">
        <v>41813</v>
      </c>
      <c r="B587" t="s">
        <v>1914</v>
      </c>
      <c r="C587" t="s">
        <v>5449</v>
      </c>
      <c r="D587">
        <v>562</v>
      </c>
      <c r="E587">
        <v>0</v>
      </c>
      <c r="F587">
        <v>543001.75</v>
      </c>
      <c r="I587" s="232">
        <v>41813</v>
      </c>
    </row>
    <row r="588" spans="1:9" hidden="1">
      <c r="A588" s="232">
        <v>41816</v>
      </c>
      <c r="B588" t="s">
        <v>1914</v>
      </c>
      <c r="C588" t="s">
        <v>5450</v>
      </c>
      <c r="D588">
        <v>334.52</v>
      </c>
      <c r="E588">
        <v>0</v>
      </c>
      <c r="F588">
        <v>542667.23</v>
      </c>
      <c r="I588" s="232">
        <v>41816</v>
      </c>
    </row>
    <row r="589" spans="1:9" hidden="1">
      <c r="A589" s="232">
        <v>41816</v>
      </c>
      <c r="B589" t="s">
        <v>1914</v>
      </c>
      <c r="C589" t="s">
        <v>5451</v>
      </c>
      <c r="D589">
        <v>0</v>
      </c>
      <c r="E589">
        <v>184901</v>
      </c>
      <c r="F589">
        <v>727568.23</v>
      </c>
      <c r="G589" s="8" t="s">
        <v>1380</v>
      </c>
      <c r="I589" s="232">
        <v>41816</v>
      </c>
    </row>
    <row r="590" spans="1:9" hidden="1">
      <c r="A590" s="232">
        <v>41820</v>
      </c>
      <c r="C590" t="s">
        <v>5452</v>
      </c>
      <c r="D590">
        <v>0</v>
      </c>
      <c r="E590">
        <v>17203</v>
      </c>
      <c r="F590">
        <v>744771.23</v>
      </c>
      <c r="G590" s="8" t="s">
        <v>1368</v>
      </c>
      <c r="I590" s="232">
        <v>41820</v>
      </c>
    </row>
    <row r="591" spans="1:9" hidden="1">
      <c r="A591" s="232">
        <v>41822</v>
      </c>
      <c r="B591" t="s">
        <v>1963</v>
      </c>
      <c r="C591" t="s">
        <v>5453</v>
      </c>
      <c r="D591">
        <v>5000</v>
      </c>
      <c r="E591">
        <v>0</v>
      </c>
      <c r="F591">
        <v>739771.23</v>
      </c>
      <c r="G591" s="8" t="s">
        <v>1361</v>
      </c>
      <c r="I591" s="232">
        <v>41822</v>
      </c>
    </row>
    <row r="592" spans="1:9" hidden="1">
      <c r="A592" s="232">
        <v>41823</v>
      </c>
      <c r="B592" t="s">
        <v>1963</v>
      </c>
      <c r="C592" t="s">
        <v>5454</v>
      </c>
      <c r="D592">
        <v>10000</v>
      </c>
      <c r="E592">
        <v>0</v>
      </c>
      <c r="F592">
        <v>729771.23</v>
      </c>
      <c r="G592" s="8" t="s">
        <v>1361</v>
      </c>
      <c r="I592" s="232">
        <v>41823</v>
      </c>
    </row>
    <row r="593" spans="1:9" hidden="1">
      <c r="A593" s="232">
        <v>41824</v>
      </c>
      <c r="B593" t="s">
        <v>2737</v>
      </c>
      <c r="C593" t="s">
        <v>5413</v>
      </c>
      <c r="D593">
        <v>32262.26</v>
      </c>
      <c r="E593">
        <v>0</v>
      </c>
      <c r="F593">
        <v>697508.97</v>
      </c>
      <c r="G593" s="8" t="s">
        <v>1362</v>
      </c>
      <c r="I593" s="232">
        <v>41824</v>
      </c>
    </row>
    <row r="594" spans="1:9" hidden="1">
      <c r="A594" s="232">
        <v>41824</v>
      </c>
      <c r="B594" t="s">
        <v>1963</v>
      </c>
      <c r="C594" t="s">
        <v>2073</v>
      </c>
      <c r="D594">
        <v>10000</v>
      </c>
      <c r="E594">
        <v>0</v>
      </c>
      <c r="F594">
        <v>687508.97</v>
      </c>
      <c r="G594" s="8" t="s">
        <v>1361</v>
      </c>
      <c r="I594" s="232">
        <v>41824</v>
      </c>
    </row>
    <row r="595" spans="1:9" hidden="1">
      <c r="A595" s="232">
        <v>41824</v>
      </c>
      <c r="B595" t="s">
        <v>1963</v>
      </c>
      <c r="C595" t="s">
        <v>2073</v>
      </c>
      <c r="D595">
        <v>5000</v>
      </c>
      <c r="E595">
        <v>0</v>
      </c>
      <c r="F595">
        <v>682508.97</v>
      </c>
      <c r="G595" s="8" t="s">
        <v>1361</v>
      </c>
      <c r="I595" s="232">
        <v>41824</v>
      </c>
    </row>
    <row r="596" spans="1:9" hidden="1">
      <c r="A596" s="232">
        <v>41827</v>
      </c>
      <c r="B596" t="s">
        <v>1914</v>
      </c>
      <c r="C596" t="s">
        <v>5455</v>
      </c>
      <c r="D596">
        <v>1332</v>
      </c>
      <c r="E596">
        <v>0</v>
      </c>
      <c r="F596">
        <v>681176.97</v>
      </c>
      <c r="I596" s="232">
        <v>41827</v>
      </c>
    </row>
    <row r="597" spans="1:9" hidden="1">
      <c r="A597" s="232">
        <v>41828</v>
      </c>
      <c r="B597" t="s">
        <v>5456</v>
      </c>
      <c r="C597" t="s">
        <v>2098</v>
      </c>
      <c r="D597">
        <v>4400</v>
      </c>
      <c r="E597">
        <v>0</v>
      </c>
      <c r="F597">
        <v>676776.97</v>
      </c>
      <c r="I597" s="232">
        <v>41828</v>
      </c>
    </row>
    <row r="598" spans="1:9" hidden="1">
      <c r="A598" s="232">
        <v>41828</v>
      </c>
      <c r="B598" t="s">
        <v>1914</v>
      </c>
      <c r="C598" t="s">
        <v>5457</v>
      </c>
      <c r="D598">
        <v>1110</v>
      </c>
      <c r="E598">
        <v>0</v>
      </c>
      <c r="F598">
        <v>675666.97</v>
      </c>
      <c r="I598" s="232">
        <v>41828</v>
      </c>
    </row>
    <row r="599" spans="1:9" hidden="1">
      <c r="A599" s="232">
        <v>41831</v>
      </c>
      <c r="B599" t="s">
        <v>1914</v>
      </c>
      <c r="C599" t="s">
        <v>5458</v>
      </c>
      <c r="D599">
        <v>8470</v>
      </c>
      <c r="E599">
        <v>0</v>
      </c>
      <c r="F599">
        <v>667196.97</v>
      </c>
      <c r="I599" s="232">
        <v>41831</v>
      </c>
    </row>
    <row r="600" spans="1:9" hidden="1">
      <c r="A600" s="232">
        <v>41832</v>
      </c>
      <c r="B600" t="s">
        <v>5459</v>
      </c>
      <c r="C600" t="s">
        <v>5460</v>
      </c>
      <c r="D600">
        <v>20000</v>
      </c>
      <c r="E600">
        <v>0</v>
      </c>
      <c r="F600">
        <v>647196.97</v>
      </c>
      <c r="G600" s="8" t="s">
        <v>1378</v>
      </c>
      <c r="I600" s="232">
        <v>41832</v>
      </c>
    </row>
    <row r="601" spans="1:9" hidden="1">
      <c r="A601" s="232">
        <v>41834</v>
      </c>
      <c r="B601" t="s">
        <v>1963</v>
      </c>
      <c r="C601" t="s">
        <v>5461</v>
      </c>
      <c r="D601">
        <v>5000</v>
      </c>
      <c r="E601">
        <v>0</v>
      </c>
      <c r="F601">
        <v>642196.97</v>
      </c>
      <c r="G601" s="8" t="s">
        <v>1361</v>
      </c>
      <c r="I601" s="232">
        <v>41834</v>
      </c>
    </row>
    <row r="602" spans="1:9" hidden="1">
      <c r="A602" s="232">
        <v>41848</v>
      </c>
      <c r="B602" t="s">
        <v>1914</v>
      </c>
      <c r="C602" t="s">
        <v>5462</v>
      </c>
      <c r="D602">
        <v>0</v>
      </c>
      <c r="E602">
        <v>188873</v>
      </c>
      <c r="F602">
        <v>831069.97</v>
      </c>
      <c r="G602" s="8" t="s">
        <v>1380</v>
      </c>
      <c r="I602" s="232">
        <v>41848</v>
      </c>
    </row>
    <row r="603" spans="1:9" hidden="1">
      <c r="A603" s="232">
        <v>41850</v>
      </c>
      <c r="B603" t="s">
        <v>1963</v>
      </c>
      <c r="C603" t="s">
        <v>5463</v>
      </c>
      <c r="D603">
        <v>5000</v>
      </c>
      <c r="E603">
        <v>0</v>
      </c>
      <c r="F603">
        <v>826069.97</v>
      </c>
      <c r="G603" s="8" t="s">
        <v>1361</v>
      </c>
      <c r="I603" s="232">
        <v>41850</v>
      </c>
    </row>
    <row r="604" spans="1:9" hidden="1">
      <c r="A604" s="232">
        <v>41851</v>
      </c>
      <c r="B604" t="s">
        <v>1914</v>
      </c>
      <c r="C604" t="s">
        <v>5464</v>
      </c>
      <c r="D604">
        <v>476453.09</v>
      </c>
      <c r="E604">
        <v>0</v>
      </c>
      <c r="F604">
        <v>349616.88</v>
      </c>
      <c r="G604" s="8" t="s">
        <v>1363</v>
      </c>
      <c r="I604" s="232">
        <v>41851</v>
      </c>
    </row>
    <row r="605" spans="1:9" hidden="1">
      <c r="A605" s="232">
        <v>41855</v>
      </c>
      <c r="B605" t="s">
        <v>1963</v>
      </c>
      <c r="C605" t="s">
        <v>5465</v>
      </c>
      <c r="D605">
        <v>10000</v>
      </c>
      <c r="E605">
        <v>0</v>
      </c>
      <c r="F605">
        <v>339616.88</v>
      </c>
      <c r="G605" s="8" t="s">
        <v>1361</v>
      </c>
      <c r="I605" s="232">
        <v>41855</v>
      </c>
    </row>
    <row r="606" spans="1:9" hidden="1">
      <c r="A606" s="232">
        <v>41857</v>
      </c>
      <c r="B606" t="s">
        <v>1914</v>
      </c>
      <c r="C606" t="s">
        <v>5466</v>
      </c>
      <c r="D606">
        <v>1196</v>
      </c>
      <c r="E606">
        <v>0</v>
      </c>
      <c r="F606">
        <v>338420.88</v>
      </c>
      <c r="I606" s="232">
        <v>41857</v>
      </c>
    </row>
    <row r="607" spans="1:9" hidden="1">
      <c r="A607" s="232">
        <v>41869</v>
      </c>
      <c r="B607" t="s">
        <v>1963</v>
      </c>
      <c r="C607" t="s">
        <v>5467</v>
      </c>
      <c r="D607">
        <v>10000</v>
      </c>
      <c r="E607">
        <v>0</v>
      </c>
      <c r="F607">
        <v>328420.88</v>
      </c>
      <c r="G607" s="8" t="s">
        <v>1361</v>
      </c>
      <c r="I607" s="232">
        <v>41869</v>
      </c>
    </row>
    <row r="608" spans="1:9" hidden="1">
      <c r="A608" s="232">
        <v>41872</v>
      </c>
      <c r="C608" t="s">
        <v>5468</v>
      </c>
      <c r="D608">
        <v>0</v>
      </c>
      <c r="E608">
        <v>6793.36</v>
      </c>
      <c r="F608">
        <v>335214.24</v>
      </c>
      <c r="G608" s="8" t="s">
        <v>1380</v>
      </c>
      <c r="I608" s="232">
        <v>41872</v>
      </c>
    </row>
    <row r="609" spans="1:9" hidden="1">
      <c r="A609" s="232">
        <v>41877</v>
      </c>
      <c r="C609" t="s">
        <v>5469</v>
      </c>
      <c r="D609">
        <v>0</v>
      </c>
      <c r="E609">
        <v>191448</v>
      </c>
      <c r="F609">
        <v>526662.24</v>
      </c>
      <c r="G609" s="8" t="s">
        <v>1380</v>
      </c>
      <c r="I609" s="232">
        <v>41877</v>
      </c>
    </row>
    <row r="610" spans="1:9" hidden="1">
      <c r="A610" s="232">
        <v>41885</v>
      </c>
      <c r="B610" t="s">
        <v>2737</v>
      </c>
      <c r="C610" t="s">
        <v>5413</v>
      </c>
      <c r="D610">
        <v>7000</v>
      </c>
      <c r="E610">
        <v>0</v>
      </c>
      <c r="F610">
        <v>519662.24</v>
      </c>
      <c r="G610" s="8" t="s">
        <v>1362</v>
      </c>
      <c r="I610" s="232">
        <v>41885</v>
      </c>
    </row>
    <row r="611" spans="1:9" hidden="1">
      <c r="A611" s="232">
        <v>41886</v>
      </c>
      <c r="B611" t="s">
        <v>1963</v>
      </c>
      <c r="C611" t="s">
        <v>5470</v>
      </c>
      <c r="D611">
        <v>10000</v>
      </c>
      <c r="E611">
        <v>0</v>
      </c>
      <c r="F611">
        <v>509662.24</v>
      </c>
      <c r="G611" s="8" t="s">
        <v>1361</v>
      </c>
      <c r="I611" s="232">
        <v>41886</v>
      </c>
    </row>
    <row r="612" spans="1:9" hidden="1">
      <c r="A612" s="232">
        <v>41886</v>
      </c>
      <c r="B612" t="s">
        <v>1914</v>
      </c>
      <c r="C612" t="s">
        <v>5471</v>
      </c>
      <c r="D612">
        <v>1196.77</v>
      </c>
      <c r="E612">
        <v>0</v>
      </c>
      <c r="F612">
        <v>508465.47</v>
      </c>
      <c r="I612" s="232">
        <v>41886</v>
      </c>
    </row>
    <row r="613" spans="1:9" hidden="1">
      <c r="A613" s="232">
        <v>41893</v>
      </c>
      <c r="B613" t="s">
        <v>1914</v>
      </c>
      <c r="C613" t="s">
        <v>5472</v>
      </c>
      <c r="D613">
        <v>303104.09000000003</v>
      </c>
      <c r="E613">
        <v>0</v>
      </c>
      <c r="F613">
        <v>205361.38</v>
      </c>
      <c r="G613" s="8" t="s">
        <v>1363</v>
      </c>
      <c r="I613" s="232">
        <v>41893</v>
      </c>
    </row>
    <row r="614" spans="1:9" hidden="1">
      <c r="A614" s="232">
        <v>41897</v>
      </c>
      <c r="B614" t="s">
        <v>1914</v>
      </c>
      <c r="C614" t="s">
        <v>2101</v>
      </c>
      <c r="D614">
        <v>0</v>
      </c>
      <c r="E614">
        <v>400000</v>
      </c>
      <c r="F614">
        <v>605361.38</v>
      </c>
      <c r="I614" s="232">
        <v>41897</v>
      </c>
    </row>
    <row r="615" spans="1:9" hidden="1">
      <c r="A615" s="232">
        <v>41898</v>
      </c>
      <c r="B615" t="s">
        <v>1963</v>
      </c>
      <c r="C615" t="s">
        <v>5473</v>
      </c>
      <c r="D615">
        <v>10000</v>
      </c>
      <c r="E615">
        <v>0</v>
      </c>
      <c r="F615">
        <v>595361.38</v>
      </c>
      <c r="G615" s="8" t="s">
        <v>1361</v>
      </c>
      <c r="I615" s="232">
        <v>41898</v>
      </c>
    </row>
    <row r="616" spans="1:9" hidden="1">
      <c r="A616" s="232">
        <v>41898</v>
      </c>
      <c r="B616" t="s">
        <v>1963</v>
      </c>
      <c r="C616" t="s">
        <v>5473</v>
      </c>
      <c r="D616">
        <v>10000</v>
      </c>
      <c r="E616">
        <v>0</v>
      </c>
      <c r="F616">
        <v>585361.38</v>
      </c>
      <c r="G616" s="8" t="s">
        <v>1361</v>
      </c>
      <c r="I616" s="232">
        <v>41898</v>
      </c>
    </row>
    <row r="617" spans="1:9" hidden="1">
      <c r="A617" s="232">
        <v>41898</v>
      </c>
      <c r="B617" t="s">
        <v>1963</v>
      </c>
      <c r="C617" t="s">
        <v>5473</v>
      </c>
      <c r="D617">
        <v>5000</v>
      </c>
      <c r="E617">
        <v>0</v>
      </c>
      <c r="F617">
        <v>580361.38</v>
      </c>
      <c r="G617" s="8" t="s">
        <v>1361</v>
      </c>
      <c r="I617" s="232">
        <v>41898</v>
      </c>
    </row>
    <row r="618" spans="1:9" hidden="1">
      <c r="A618" s="232">
        <v>41908</v>
      </c>
      <c r="C618" t="s">
        <v>5474</v>
      </c>
      <c r="D618">
        <v>0</v>
      </c>
      <c r="E618">
        <v>201979</v>
      </c>
      <c r="F618">
        <v>782340.38</v>
      </c>
      <c r="G618" s="8" t="s">
        <v>1380</v>
      </c>
      <c r="I618" s="232">
        <v>41908</v>
      </c>
    </row>
    <row r="619" spans="1:9" hidden="1">
      <c r="A619" s="232">
        <v>41915</v>
      </c>
      <c r="B619" t="s">
        <v>1963</v>
      </c>
      <c r="C619" t="s">
        <v>5475</v>
      </c>
      <c r="D619">
        <v>5000</v>
      </c>
      <c r="E619">
        <v>0</v>
      </c>
      <c r="F619">
        <v>777340.38</v>
      </c>
      <c r="G619" s="8" t="s">
        <v>1361</v>
      </c>
      <c r="I619" s="232">
        <v>41915</v>
      </c>
    </row>
    <row r="620" spans="1:9" hidden="1">
      <c r="A620" s="232">
        <v>41916</v>
      </c>
      <c r="B620" t="s">
        <v>1914</v>
      </c>
      <c r="C620" t="s">
        <v>5476</v>
      </c>
      <c r="D620">
        <v>1252.7</v>
      </c>
      <c r="E620">
        <v>0</v>
      </c>
      <c r="F620">
        <v>776087.68</v>
      </c>
      <c r="I620" s="232">
        <v>41916</v>
      </c>
    </row>
    <row r="621" spans="1:9" hidden="1">
      <c r="A621" s="232">
        <v>41918</v>
      </c>
      <c r="B621" t="s">
        <v>2737</v>
      </c>
      <c r="C621" t="s">
        <v>5413</v>
      </c>
      <c r="D621">
        <v>36274.300000000003</v>
      </c>
      <c r="E621">
        <v>0</v>
      </c>
      <c r="F621">
        <v>739813.38</v>
      </c>
      <c r="G621" s="8" t="s">
        <v>1362</v>
      </c>
      <c r="I621" s="232">
        <v>41918</v>
      </c>
    </row>
    <row r="622" spans="1:9" hidden="1">
      <c r="A622" s="232">
        <v>41928</v>
      </c>
      <c r="B622" t="s">
        <v>1963</v>
      </c>
      <c r="C622" t="s">
        <v>5477</v>
      </c>
      <c r="D622">
        <v>6000</v>
      </c>
      <c r="E622">
        <v>0</v>
      </c>
      <c r="F622">
        <v>733813.38</v>
      </c>
      <c r="G622" s="8" t="s">
        <v>1361</v>
      </c>
      <c r="I622" s="232">
        <v>41928</v>
      </c>
    </row>
    <row r="623" spans="1:9" hidden="1">
      <c r="A623" s="232">
        <v>41934</v>
      </c>
      <c r="C623" t="s">
        <v>5478</v>
      </c>
      <c r="D623">
        <v>0</v>
      </c>
      <c r="E623">
        <v>222155</v>
      </c>
      <c r="F623">
        <v>955968.38</v>
      </c>
      <c r="G623" s="8" t="s">
        <v>1380</v>
      </c>
      <c r="I623" s="232">
        <v>41934</v>
      </c>
    </row>
    <row r="624" spans="1:9" hidden="1">
      <c r="A624" s="232">
        <v>41947</v>
      </c>
      <c r="B624" t="s">
        <v>2737</v>
      </c>
      <c r="C624" t="s">
        <v>5413</v>
      </c>
      <c r="D624">
        <v>23756.5</v>
      </c>
      <c r="E624">
        <v>0</v>
      </c>
      <c r="F624">
        <v>932211.88</v>
      </c>
      <c r="G624" s="8" t="s">
        <v>1362</v>
      </c>
      <c r="I624" s="232">
        <v>41947</v>
      </c>
    </row>
    <row r="625" spans="1:9" hidden="1">
      <c r="A625" s="232">
        <v>41957</v>
      </c>
      <c r="C625" t="s">
        <v>5479</v>
      </c>
      <c r="D625">
        <v>0</v>
      </c>
      <c r="E625">
        <v>3395.02</v>
      </c>
      <c r="F625">
        <v>935606.9</v>
      </c>
      <c r="G625" s="8" t="s">
        <v>1380</v>
      </c>
      <c r="I625" s="232">
        <v>41957</v>
      </c>
    </row>
    <row r="626" spans="1:9" hidden="1">
      <c r="A626" s="232">
        <v>41969</v>
      </c>
      <c r="C626" t="s">
        <v>5480</v>
      </c>
      <c r="D626">
        <v>0</v>
      </c>
      <c r="E626">
        <v>191449</v>
      </c>
      <c r="F626">
        <v>1127055.8999999999</v>
      </c>
      <c r="G626" s="8" t="s">
        <v>1380</v>
      </c>
      <c r="I626" s="232">
        <v>41969</v>
      </c>
    </row>
    <row r="627" spans="1:9" hidden="1">
      <c r="A627" s="232">
        <v>41971</v>
      </c>
      <c r="C627" t="s">
        <v>5481</v>
      </c>
      <c r="D627">
        <v>0</v>
      </c>
      <c r="E627">
        <v>1261.6199999999999</v>
      </c>
      <c r="F627">
        <v>1128317.52</v>
      </c>
      <c r="G627" s="8" t="s">
        <v>1380</v>
      </c>
      <c r="I627" s="232">
        <v>41971</v>
      </c>
    </row>
    <row r="628" spans="1:9" hidden="1">
      <c r="A628" s="232">
        <v>41977</v>
      </c>
      <c r="B628" t="s">
        <v>2737</v>
      </c>
      <c r="C628" t="s">
        <v>5413</v>
      </c>
      <c r="D628">
        <v>14244.1</v>
      </c>
      <c r="E628">
        <v>0</v>
      </c>
      <c r="F628">
        <v>1114073.42</v>
      </c>
      <c r="G628" s="8" t="s">
        <v>1362</v>
      </c>
      <c r="I628" s="232">
        <v>41977</v>
      </c>
    </row>
    <row r="629" spans="1:9" hidden="1">
      <c r="A629" s="232">
        <v>41977</v>
      </c>
      <c r="B629" t="s">
        <v>1963</v>
      </c>
      <c r="C629" t="s">
        <v>5482</v>
      </c>
      <c r="D629">
        <v>10000</v>
      </c>
      <c r="E629">
        <v>0</v>
      </c>
      <c r="F629">
        <v>1104073.42</v>
      </c>
      <c r="G629" s="8" t="s">
        <v>1361</v>
      </c>
      <c r="I629" s="232">
        <v>41977</v>
      </c>
    </row>
    <row r="630" spans="1:9" hidden="1">
      <c r="A630" s="232">
        <v>41978</v>
      </c>
      <c r="B630" t="s">
        <v>1963</v>
      </c>
      <c r="C630" t="s">
        <v>5483</v>
      </c>
      <c r="D630">
        <v>5000</v>
      </c>
      <c r="E630">
        <v>0</v>
      </c>
      <c r="F630">
        <v>1099073.42</v>
      </c>
      <c r="G630" s="8" t="s">
        <v>1361</v>
      </c>
      <c r="I630" s="232">
        <v>41978</v>
      </c>
    </row>
    <row r="631" spans="1:9" hidden="1">
      <c r="A631" s="232">
        <v>41981</v>
      </c>
      <c r="B631" t="s">
        <v>1914</v>
      </c>
      <c r="C631" t="s">
        <v>5484</v>
      </c>
      <c r="D631">
        <v>29467.9</v>
      </c>
      <c r="E631">
        <v>0</v>
      </c>
      <c r="F631">
        <v>1069605.52</v>
      </c>
      <c r="G631" s="8" t="s">
        <v>1370</v>
      </c>
      <c r="I631" s="232">
        <v>41981</v>
      </c>
    </row>
    <row r="632" spans="1:9" hidden="1">
      <c r="A632" s="232">
        <v>41981</v>
      </c>
      <c r="B632" t="s">
        <v>1914</v>
      </c>
      <c r="C632" t="s">
        <v>5485</v>
      </c>
      <c r="D632">
        <v>3210</v>
      </c>
      <c r="E632">
        <v>0</v>
      </c>
      <c r="F632">
        <v>1066395.52</v>
      </c>
      <c r="G632" s="8" t="s">
        <v>1370</v>
      </c>
      <c r="I632" s="232">
        <v>41981</v>
      </c>
    </row>
    <row r="633" spans="1:9" hidden="1">
      <c r="A633" s="232">
        <v>41992</v>
      </c>
      <c r="C633" t="s">
        <v>5486</v>
      </c>
      <c r="D633">
        <v>0</v>
      </c>
      <c r="E633">
        <v>562</v>
      </c>
      <c r="F633">
        <v>1066957.52</v>
      </c>
      <c r="G633" s="8" t="s">
        <v>1380</v>
      </c>
      <c r="I633" s="232">
        <v>41992</v>
      </c>
    </row>
    <row r="634" spans="1:9" hidden="1">
      <c r="A634" s="232">
        <v>41997</v>
      </c>
      <c r="B634" t="s">
        <v>1963</v>
      </c>
      <c r="C634" t="s">
        <v>5487</v>
      </c>
      <c r="D634">
        <v>10000</v>
      </c>
      <c r="E634">
        <v>0</v>
      </c>
      <c r="F634">
        <v>1056957.52</v>
      </c>
      <c r="G634" s="8" t="s">
        <v>1361</v>
      </c>
      <c r="I634" s="232">
        <v>41997</v>
      </c>
    </row>
    <row r="635" spans="1:9" hidden="1">
      <c r="A635" s="232">
        <v>41999</v>
      </c>
      <c r="C635" t="s">
        <v>5488</v>
      </c>
      <c r="D635">
        <v>0</v>
      </c>
      <c r="E635">
        <v>193238</v>
      </c>
      <c r="F635">
        <v>1250195.52</v>
      </c>
      <c r="G635" s="8" t="s">
        <v>1380</v>
      </c>
      <c r="I635" s="232">
        <v>41999</v>
      </c>
    </row>
    <row r="636" spans="1:9" hidden="1">
      <c r="A636" s="232">
        <v>42004</v>
      </c>
      <c r="C636" t="s">
        <v>5489</v>
      </c>
      <c r="D636">
        <v>0</v>
      </c>
      <c r="E636">
        <v>15002</v>
      </c>
      <c r="F636">
        <v>1265197.52</v>
      </c>
      <c r="G636" s="8" t="s">
        <v>1368</v>
      </c>
      <c r="I636" s="232">
        <v>42004</v>
      </c>
    </row>
    <row r="637" spans="1:9" hidden="1">
      <c r="A637" s="232">
        <v>42009</v>
      </c>
      <c r="B637" t="s">
        <v>2737</v>
      </c>
      <c r="C637" t="s">
        <v>5413</v>
      </c>
      <c r="D637">
        <v>8798</v>
      </c>
      <c r="E637">
        <v>0</v>
      </c>
      <c r="F637">
        <v>1256399.52</v>
      </c>
      <c r="G637" s="8" t="s">
        <v>1362</v>
      </c>
      <c r="I637" s="232">
        <v>42009</v>
      </c>
    </row>
    <row r="638" spans="1:9" hidden="1">
      <c r="A638" s="232">
        <v>42009</v>
      </c>
      <c r="B638" t="s">
        <v>1914</v>
      </c>
      <c r="C638" t="s">
        <v>5490</v>
      </c>
      <c r="D638">
        <v>1262.7</v>
      </c>
      <c r="E638">
        <v>0</v>
      </c>
      <c r="F638">
        <v>1255136.82</v>
      </c>
      <c r="I638" s="232">
        <v>42009</v>
      </c>
    </row>
    <row r="639" spans="1:9" hidden="1">
      <c r="A639" s="232">
        <v>42024</v>
      </c>
      <c r="B639" t="s">
        <v>1963</v>
      </c>
      <c r="C639" t="s">
        <v>5491</v>
      </c>
      <c r="D639">
        <v>10000</v>
      </c>
      <c r="E639">
        <v>0</v>
      </c>
      <c r="F639">
        <v>1245136.82</v>
      </c>
      <c r="G639" s="8" t="s">
        <v>1361</v>
      </c>
      <c r="I639" s="232">
        <v>42024</v>
      </c>
    </row>
    <row r="640" spans="1:9" hidden="1">
      <c r="A640" s="232">
        <v>42024</v>
      </c>
      <c r="B640" t="s">
        <v>1963</v>
      </c>
      <c r="C640" t="s">
        <v>5491</v>
      </c>
      <c r="D640">
        <v>5000</v>
      </c>
      <c r="E640">
        <v>0</v>
      </c>
      <c r="F640">
        <v>1240136.82</v>
      </c>
      <c r="G640" s="8" t="s">
        <v>1361</v>
      </c>
      <c r="I640" s="232">
        <v>42024</v>
      </c>
    </row>
    <row r="641" spans="1:9" hidden="1">
      <c r="A641" s="232">
        <v>42027</v>
      </c>
      <c r="C641" t="s">
        <v>5492</v>
      </c>
      <c r="D641">
        <v>30000</v>
      </c>
      <c r="E641">
        <v>0</v>
      </c>
      <c r="F641">
        <v>1210136.82</v>
      </c>
      <c r="G641" s="8" t="s">
        <v>1379</v>
      </c>
      <c r="I641" s="232">
        <v>42027</v>
      </c>
    </row>
    <row r="642" spans="1:9" hidden="1">
      <c r="A642" s="232">
        <v>42032</v>
      </c>
      <c r="C642" t="s">
        <v>5493</v>
      </c>
      <c r="D642">
        <v>0</v>
      </c>
      <c r="E642">
        <v>191449</v>
      </c>
      <c r="F642">
        <v>1401585.82</v>
      </c>
      <c r="G642" s="8" t="s">
        <v>1380</v>
      </c>
      <c r="I642" s="232">
        <v>42032</v>
      </c>
    </row>
    <row r="643" spans="1:9" hidden="1">
      <c r="A643" s="232">
        <v>42037</v>
      </c>
      <c r="B643" t="s">
        <v>1914</v>
      </c>
      <c r="C643" t="s">
        <v>5494</v>
      </c>
      <c r="D643">
        <v>26000</v>
      </c>
      <c r="E643">
        <v>0</v>
      </c>
      <c r="F643">
        <v>1375585.82</v>
      </c>
      <c r="G643" s="8" t="s">
        <v>1379</v>
      </c>
      <c r="I643" s="232">
        <v>42037</v>
      </c>
    </row>
    <row r="644" spans="1:9" hidden="1">
      <c r="A644" s="232">
        <v>42037</v>
      </c>
      <c r="B644" t="s">
        <v>1963</v>
      </c>
      <c r="C644" t="s">
        <v>5495</v>
      </c>
      <c r="D644">
        <v>7000</v>
      </c>
      <c r="E644">
        <v>0</v>
      </c>
      <c r="F644">
        <v>1368585.82</v>
      </c>
      <c r="G644" s="8" t="s">
        <v>1361</v>
      </c>
      <c r="I644" s="232">
        <v>42037</v>
      </c>
    </row>
    <row r="645" spans="1:9" hidden="1">
      <c r="A645" s="232">
        <v>42038</v>
      </c>
      <c r="B645" t="s">
        <v>2737</v>
      </c>
      <c r="C645" t="s">
        <v>5413</v>
      </c>
      <c r="D645">
        <v>25835.8</v>
      </c>
      <c r="E645">
        <v>0</v>
      </c>
      <c r="F645">
        <v>1342750.02</v>
      </c>
      <c r="G645" s="8" t="s">
        <v>1362</v>
      </c>
      <c r="I645" s="232">
        <v>42038</v>
      </c>
    </row>
    <row r="646" spans="1:9" hidden="1">
      <c r="A646" s="232">
        <v>42039</v>
      </c>
      <c r="B646" t="s">
        <v>1914</v>
      </c>
      <c r="C646" t="s">
        <v>5496</v>
      </c>
      <c r="D646">
        <v>1115.96</v>
      </c>
      <c r="E646">
        <v>0</v>
      </c>
      <c r="F646">
        <v>1341634.06</v>
      </c>
      <c r="I646" s="232">
        <v>42039</v>
      </c>
    </row>
    <row r="647" spans="1:9" hidden="1">
      <c r="A647" s="232">
        <v>42051</v>
      </c>
      <c r="B647" t="s">
        <v>1963</v>
      </c>
      <c r="C647" t="s">
        <v>5497</v>
      </c>
      <c r="D647">
        <v>10000</v>
      </c>
      <c r="E647">
        <v>0</v>
      </c>
      <c r="F647">
        <v>1331634.06</v>
      </c>
      <c r="G647" s="8" t="s">
        <v>1361</v>
      </c>
      <c r="I647" s="232">
        <v>42051</v>
      </c>
    </row>
    <row r="648" spans="1:9" hidden="1">
      <c r="A648" s="232">
        <v>42052</v>
      </c>
      <c r="C648" t="s">
        <v>5498</v>
      </c>
      <c r="D648">
        <v>49000</v>
      </c>
      <c r="E648">
        <v>0</v>
      </c>
      <c r="F648">
        <v>1282634.06</v>
      </c>
      <c r="G648" s="8" t="s">
        <v>1379</v>
      </c>
      <c r="I648" s="232">
        <v>42052</v>
      </c>
    </row>
    <row r="649" spans="1:9" hidden="1">
      <c r="A649" s="232">
        <v>42055</v>
      </c>
      <c r="C649" t="s">
        <v>5499</v>
      </c>
      <c r="D649">
        <v>0</v>
      </c>
      <c r="E649">
        <v>3260.86</v>
      </c>
      <c r="F649">
        <v>1285894.92</v>
      </c>
      <c r="G649" s="8" t="s">
        <v>1380</v>
      </c>
      <c r="I649" s="232">
        <v>42055</v>
      </c>
    </row>
    <row r="650" spans="1:9" hidden="1">
      <c r="A650" s="232">
        <v>42058</v>
      </c>
      <c r="B650" t="s">
        <v>1914</v>
      </c>
      <c r="C650" t="s">
        <v>5500</v>
      </c>
      <c r="D650">
        <v>59138</v>
      </c>
      <c r="E650">
        <v>0</v>
      </c>
      <c r="F650">
        <v>1226756.92</v>
      </c>
      <c r="G650" s="8" t="s">
        <v>1370</v>
      </c>
      <c r="I650" s="232">
        <v>42058</v>
      </c>
    </row>
    <row r="651" spans="1:9" hidden="1">
      <c r="A651" s="232">
        <v>42062</v>
      </c>
      <c r="C651" t="s">
        <v>5501</v>
      </c>
      <c r="D651">
        <v>0</v>
      </c>
      <c r="E651">
        <v>191448</v>
      </c>
      <c r="F651">
        <v>1418204.92</v>
      </c>
      <c r="G651" s="8" t="s">
        <v>1380</v>
      </c>
      <c r="I651" s="232">
        <v>42062</v>
      </c>
    </row>
    <row r="652" spans="1:9" hidden="1">
      <c r="A652" s="232">
        <v>42065</v>
      </c>
      <c r="B652" t="s">
        <v>1963</v>
      </c>
      <c r="C652" t="s">
        <v>5502</v>
      </c>
      <c r="D652">
        <v>5000</v>
      </c>
      <c r="E652">
        <v>0</v>
      </c>
      <c r="F652">
        <v>1413204.92</v>
      </c>
      <c r="G652" s="8" t="s">
        <v>1361</v>
      </c>
      <c r="I652" s="232">
        <v>42065</v>
      </c>
    </row>
    <row r="653" spans="1:9" hidden="1">
      <c r="A653" s="232">
        <v>42065</v>
      </c>
      <c r="B653" t="s">
        <v>1914</v>
      </c>
      <c r="C653" t="s">
        <v>5503</v>
      </c>
      <c r="D653">
        <v>26000</v>
      </c>
      <c r="E653">
        <v>0</v>
      </c>
      <c r="F653">
        <v>1387204.92</v>
      </c>
      <c r="G653" s="8" t="s">
        <v>1379</v>
      </c>
      <c r="I653" s="232">
        <v>42065</v>
      </c>
    </row>
    <row r="654" spans="1:9" hidden="1">
      <c r="A654" s="232">
        <v>42066</v>
      </c>
      <c r="B654" t="s">
        <v>1914</v>
      </c>
      <c r="C654" t="s">
        <v>5504</v>
      </c>
      <c r="D654">
        <v>7121.81</v>
      </c>
      <c r="E654">
        <v>0</v>
      </c>
      <c r="F654">
        <v>1380083.11</v>
      </c>
      <c r="I654" s="232">
        <v>42066</v>
      </c>
    </row>
    <row r="655" spans="1:9" hidden="1">
      <c r="A655" s="232">
        <v>42067</v>
      </c>
      <c r="B655" t="s">
        <v>1914</v>
      </c>
      <c r="C655" t="s">
        <v>5505</v>
      </c>
      <c r="D655">
        <v>1110</v>
      </c>
      <c r="E655">
        <v>0</v>
      </c>
      <c r="F655">
        <v>1378973.11</v>
      </c>
      <c r="I655" s="232">
        <v>42067</v>
      </c>
    </row>
    <row r="656" spans="1:9" hidden="1">
      <c r="A656" s="232">
        <v>42067</v>
      </c>
      <c r="B656" t="s">
        <v>1914</v>
      </c>
      <c r="C656" t="s">
        <v>5506</v>
      </c>
      <c r="D656">
        <v>987.87</v>
      </c>
      <c r="E656">
        <v>0</v>
      </c>
      <c r="F656">
        <v>1377985.24</v>
      </c>
      <c r="I656" s="232">
        <v>42067</v>
      </c>
    </row>
    <row r="657" spans="1:9" hidden="1">
      <c r="A657" s="232">
        <v>42068</v>
      </c>
      <c r="B657" t="s">
        <v>1963</v>
      </c>
      <c r="C657" t="s">
        <v>5507</v>
      </c>
      <c r="D657">
        <v>5000</v>
      </c>
      <c r="E657">
        <v>0</v>
      </c>
      <c r="F657">
        <v>1372985.24</v>
      </c>
      <c r="G657" s="8" t="s">
        <v>1361</v>
      </c>
      <c r="I657" s="232">
        <v>42068</v>
      </c>
    </row>
    <row r="658" spans="1:9" hidden="1">
      <c r="A658" s="232">
        <v>42069</v>
      </c>
      <c r="B658" t="s">
        <v>2737</v>
      </c>
      <c r="C658" t="s">
        <v>5413</v>
      </c>
      <c r="D658">
        <v>21951.5</v>
      </c>
      <c r="E658">
        <v>0</v>
      </c>
      <c r="F658">
        <v>1351033.74</v>
      </c>
      <c r="G658" s="8" t="s">
        <v>1362</v>
      </c>
      <c r="I658" s="232">
        <v>42069</v>
      </c>
    </row>
    <row r="659" spans="1:9" hidden="1">
      <c r="A659" s="232">
        <v>42069</v>
      </c>
      <c r="B659" t="s">
        <v>1914</v>
      </c>
      <c r="C659" t="s">
        <v>5508</v>
      </c>
      <c r="D659">
        <v>700028.09</v>
      </c>
      <c r="E659">
        <v>0</v>
      </c>
      <c r="F659">
        <v>651005.65</v>
      </c>
      <c r="G659" s="8" t="s">
        <v>1363</v>
      </c>
      <c r="I659" s="232">
        <v>42069</v>
      </c>
    </row>
    <row r="660" spans="1:9" hidden="1">
      <c r="A660" s="232">
        <v>42072</v>
      </c>
      <c r="B660" t="s">
        <v>2159</v>
      </c>
      <c r="C660" t="s">
        <v>5509</v>
      </c>
      <c r="D660">
        <v>0</v>
      </c>
      <c r="E660">
        <v>5711.95</v>
      </c>
      <c r="F660">
        <v>656717.6</v>
      </c>
      <c r="G660" s="8" t="s">
        <v>1380</v>
      </c>
      <c r="I660" s="232">
        <v>42072</v>
      </c>
    </row>
    <row r="661" spans="1:9" hidden="1">
      <c r="A661" s="232">
        <v>42073</v>
      </c>
      <c r="C661" t="s">
        <v>5510</v>
      </c>
      <c r="D661">
        <v>0</v>
      </c>
      <c r="E661">
        <v>987.87</v>
      </c>
      <c r="F661">
        <v>657705.47</v>
      </c>
      <c r="G661" s="8" t="s">
        <v>1380</v>
      </c>
      <c r="I661" s="232">
        <v>42073</v>
      </c>
    </row>
    <row r="662" spans="1:9" hidden="1">
      <c r="A662" s="232">
        <v>42076</v>
      </c>
      <c r="B662" t="s">
        <v>1914</v>
      </c>
      <c r="C662" t="s">
        <v>5511</v>
      </c>
      <c r="D662">
        <v>3100</v>
      </c>
      <c r="E662">
        <v>0</v>
      </c>
      <c r="F662">
        <v>654605.47</v>
      </c>
      <c r="I662" s="232">
        <v>42076</v>
      </c>
    </row>
    <row r="663" spans="1:9" hidden="1">
      <c r="A663" s="232">
        <v>42079</v>
      </c>
      <c r="B663" t="s">
        <v>1914</v>
      </c>
      <c r="C663" t="s">
        <v>5512</v>
      </c>
      <c r="D663">
        <v>50000</v>
      </c>
      <c r="E663">
        <v>0</v>
      </c>
      <c r="F663">
        <v>604605.47</v>
      </c>
      <c r="G663" s="8" t="s">
        <v>1379</v>
      </c>
      <c r="I663" s="232">
        <v>42079</v>
      </c>
    </row>
    <row r="664" spans="1:9" hidden="1">
      <c r="A664" s="232">
        <v>42079</v>
      </c>
      <c r="B664" t="s">
        <v>1963</v>
      </c>
      <c r="C664" t="s">
        <v>5513</v>
      </c>
      <c r="D664">
        <v>5000</v>
      </c>
      <c r="E664">
        <v>0</v>
      </c>
      <c r="F664">
        <v>599605.47</v>
      </c>
      <c r="G664" s="8" t="s">
        <v>1361</v>
      </c>
      <c r="I664" s="232">
        <v>42079</v>
      </c>
    </row>
    <row r="665" spans="1:9" hidden="1">
      <c r="A665" s="232">
        <v>42089</v>
      </c>
      <c r="C665" t="s">
        <v>5514</v>
      </c>
      <c r="D665">
        <v>0</v>
      </c>
      <c r="E665">
        <v>2177.21</v>
      </c>
      <c r="F665">
        <v>601782.68000000005</v>
      </c>
      <c r="G665" s="8" t="s">
        <v>1380</v>
      </c>
      <c r="I665" s="232">
        <v>42089</v>
      </c>
    </row>
    <row r="666" spans="1:9" hidden="1">
      <c r="A666" s="232">
        <v>42093</v>
      </c>
      <c r="C666" t="s">
        <v>5515</v>
      </c>
      <c r="D666">
        <v>0</v>
      </c>
      <c r="E666">
        <v>734757</v>
      </c>
      <c r="F666">
        <v>1336539.68</v>
      </c>
      <c r="G666" s="8" t="s">
        <v>1380</v>
      </c>
      <c r="I666" s="232">
        <v>42093</v>
      </c>
    </row>
    <row r="667" spans="1:9" hidden="1">
      <c r="A667" s="232">
        <v>42094</v>
      </c>
      <c r="B667" t="s">
        <v>1963</v>
      </c>
      <c r="C667" t="s">
        <v>5516</v>
      </c>
      <c r="D667">
        <v>7000</v>
      </c>
      <c r="E667">
        <v>0</v>
      </c>
      <c r="F667">
        <v>1329539.68</v>
      </c>
      <c r="G667" s="8" t="s">
        <v>1361</v>
      </c>
      <c r="I667" s="232">
        <v>42094</v>
      </c>
    </row>
    <row r="668" spans="1:9" hidden="1">
      <c r="A668" s="232">
        <v>42095</v>
      </c>
      <c r="C668" t="s">
        <v>1865</v>
      </c>
      <c r="D668">
        <v>0</v>
      </c>
      <c r="E668">
        <v>0</v>
      </c>
      <c r="F668">
        <v>1329539.68</v>
      </c>
      <c r="I668" s="232">
        <v>42095</v>
      </c>
    </row>
    <row r="669" spans="1:9" hidden="1">
      <c r="A669" s="232">
        <v>42096</v>
      </c>
      <c r="B669" t="s">
        <v>1914</v>
      </c>
      <c r="C669" t="s">
        <v>5517</v>
      </c>
      <c r="D669">
        <v>26000</v>
      </c>
      <c r="E669">
        <v>0</v>
      </c>
      <c r="F669">
        <v>1303539.68</v>
      </c>
      <c r="G669" s="8" t="s">
        <v>1379</v>
      </c>
      <c r="I669" s="232">
        <v>42096</v>
      </c>
    </row>
    <row r="670" spans="1:9" hidden="1">
      <c r="A670" s="232">
        <v>42096</v>
      </c>
      <c r="B670" t="s">
        <v>1914</v>
      </c>
      <c r="C670" t="s">
        <v>5518</v>
      </c>
      <c r="D670">
        <v>6944.81</v>
      </c>
      <c r="E670">
        <v>0</v>
      </c>
      <c r="F670">
        <v>1296594.8700000001</v>
      </c>
      <c r="I670" s="232">
        <v>42096</v>
      </c>
    </row>
    <row r="671" spans="1:9" hidden="1">
      <c r="A671" s="232">
        <v>42096</v>
      </c>
      <c r="B671" t="s">
        <v>1914</v>
      </c>
      <c r="C671" t="s">
        <v>5519</v>
      </c>
      <c r="D671">
        <v>1618.21</v>
      </c>
      <c r="E671">
        <v>0</v>
      </c>
      <c r="F671">
        <v>1294976.6599999999</v>
      </c>
      <c r="I671" s="232">
        <v>42096</v>
      </c>
    </row>
    <row r="672" spans="1:9" hidden="1">
      <c r="A672" s="232">
        <v>42097</v>
      </c>
      <c r="B672" t="s">
        <v>2737</v>
      </c>
      <c r="C672" t="s">
        <v>5413</v>
      </c>
      <c r="D672">
        <v>12714.78</v>
      </c>
      <c r="E672">
        <v>0</v>
      </c>
      <c r="F672">
        <v>1282261.8799999999</v>
      </c>
      <c r="G672" s="8" t="s">
        <v>1362</v>
      </c>
      <c r="I672" s="232">
        <v>42097</v>
      </c>
    </row>
    <row r="673" spans="1:9" hidden="1">
      <c r="A673" s="232">
        <v>42097</v>
      </c>
      <c r="B673" t="s">
        <v>1963</v>
      </c>
      <c r="C673" t="s">
        <v>5520</v>
      </c>
      <c r="D673">
        <v>10000</v>
      </c>
      <c r="E673">
        <v>0</v>
      </c>
      <c r="F673">
        <v>1272261.8799999999</v>
      </c>
      <c r="G673" s="8" t="s">
        <v>1361</v>
      </c>
      <c r="I673" s="232">
        <v>42097</v>
      </c>
    </row>
    <row r="674" spans="1:9" hidden="1">
      <c r="A674" s="232">
        <v>42100</v>
      </c>
      <c r="B674" t="s">
        <v>1914</v>
      </c>
      <c r="C674" t="s">
        <v>5521</v>
      </c>
      <c r="D674">
        <v>400028.09</v>
      </c>
      <c r="E674">
        <v>0</v>
      </c>
      <c r="F674">
        <v>872233.79</v>
      </c>
      <c r="G674" s="8" t="s">
        <v>1363</v>
      </c>
      <c r="I674" s="232">
        <v>42100</v>
      </c>
    </row>
    <row r="675" spans="1:9" hidden="1">
      <c r="A675" s="232">
        <v>42109</v>
      </c>
      <c r="B675" t="s">
        <v>1914</v>
      </c>
      <c r="C675" t="s">
        <v>5522</v>
      </c>
      <c r="D675">
        <v>50000</v>
      </c>
      <c r="E675">
        <v>0</v>
      </c>
      <c r="F675">
        <v>822233.79</v>
      </c>
      <c r="G675" s="8" t="s">
        <v>1379</v>
      </c>
      <c r="I675" s="232">
        <v>42109</v>
      </c>
    </row>
    <row r="676" spans="1:9" hidden="1">
      <c r="A676" s="232">
        <v>42109</v>
      </c>
      <c r="B676" t="s">
        <v>1963</v>
      </c>
      <c r="C676" t="s">
        <v>5523</v>
      </c>
      <c r="D676">
        <v>10000</v>
      </c>
      <c r="E676">
        <v>0</v>
      </c>
      <c r="F676">
        <v>812233.79</v>
      </c>
      <c r="G676" s="8" t="s">
        <v>1361</v>
      </c>
      <c r="I676" s="232">
        <v>42109</v>
      </c>
    </row>
    <row r="677" spans="1:9" hidden="1">
      <c r="A677" s="232">
        <v>42121</v>
      </c>
      <c r="C677" t="s">
        <v>5524</v>
      </c>
      <c r="D677">
        <v>0</v>
      </c>
      <c r="E677">
        <v>295212</v>
      </c>
      <c r="F677">
        <v>1107445.79</v>
      </c>
      <c r="G677" s="8" t="s">
        <v>1380</v>
      </c>
      <c r="I677" s="232">
        <v>42121</v>
      </c>
    </row>
    <row r="678" spans="1:9" hidden="1">
      <c r="A678" s="232">
        <v>42123</v>
      </c>
      <c r="C678" t="s">
        <v>5525</v>
      </c>
      <c r="D678">
        <v>0</v>
      </c>
      <c r="E678">
        <v>478.18</v>
      </c>
      <c r="F678">
        <v>1107923.97</v>
      </c>
      <c r="G678" s="8" t="s">
        <v>1375</v>
      </c>
      <c r="I678" s="232">
        <v>42123</v>
      </c>
    </row>
    <row r="679" spans="1:9" hidden="1">
      <c r="A679" s="232">
        <v>42125</v>
      </c>
      <c r="B679" t="s">
        <v>1914</v>
      </c>
      <c r="C679" t="s">
        <v>5526</v>
      </c>
      <c r="D679">
        <v>26000</v>
      </c>
      <c r="E679">
        <v>0</v>
      </c>
      <c r="F679">
        <v>1081923.97</v>
      </c>
      <c r="G679" s="8" t="s">
        <v>1379</v>
      </c>
      <c r="I679" s="232">
        <v>42125</v>
      </c>
    </row>
    <row r="680" spans="1:9" hidden="1">
      <c r="A680" s="232">
        <v>42128</v>
      </c>
      <c r="B680" t="s">
        <v>2737</v>
      </c>
      <c r="C680" t="s">
        <v>5413</v>
      </c>
      <c r="D680">
        <v>8892.09</v>
      </c>
      <c r="E680">
        <v>0</v>
      </c>
      <c r="F680">
        <v>1073031.8799999999</v>
      </c>
      <c r="G680" s="8" t="s">
        <v>1362</v>
      </c>
      <c r="I680" s="232">
        <v>42128</v>
      </c>
    </row>
    <row r="681" spans="1:9" hidden="1">
      <c r="A681" s="232">
        <v>42130</v>
      </c>
      <c r="B681" t="s">
        <v>1914</v>
      </c>
      <c r="C681" t="s">
        <v>5527</v>
      </c>
      <c r="D681">
        <v>980</v>
      </c>
      <c r="E681">
        <v>0</v>
      </c>
      <c r="F681">
        <v>1072051.8799999999</v>
      </c>
      <c r="I681" s="232">
        <v>42130</v>
      </c>
    </row>
    <row r="682" spans="1:9" hidden="1">
      <c r="A682" s="232">
        <v>42130</v>
      </c>
      <c r="B682" t="s">
        <v>1914</v>
      </c>
      <c r="C682" t="s">
        <v>5528</v>
      </c>
      <c r="D682">
        <v>248652.4</v>
      </c>
      <c r="E682">
        <v>0</v>
      </c>
      <c r="F682">
        <v>823399.48</v>
      </c>
      <c r="G682" s="8" t="s">
        <v>1370</v>
      </c>
      <c r="I682" s="232">
        <v>42130</v>
      </c>
    </row>
    <row r="683" spans="1:9" hidden="1">
      <c r="A683" s="232">
        <v>42132</v>
      </c>
      <c r="B683" t="s">
        <v>1963</v>
      </c>
      <c r="C683" t="s">
        <v>2191</v>
      </c>
      <c r="D683">
        <v>10000</v>
      </c>
      <c r="E683">
        <v>0</v>
      </c>
      <c r="F683">
        <v>813399.48</v>
      </c>
      <c r="G683" s="8" t="s">
        <v>1361</v>
      </c>
      <c r="I683" s="232">
        <v>42132</v>
      </c>
    </row>
    <row r="684" spans="1:9" hidden="1">
      <c r="A684" s="232">
        <v>42139</v>
      </c>
      <c r="B684" t="s">
        <v>1914</v>
      </c>
      <c r="C684" t="s">
        <v>5529</v>
      </c>
      <c r="D684">
        <v>50000</v>
      </c>
      <c r="E684">
        <v>0</v>
      </c>
      <c r="F684">
        <v>763399.48</v>
      </c>
      <c r="G684" s="8" t="s">
        <v>1379</v>
      </c>
      <c r="I684" s="232">
        <v>42139</v>
      </c>
    </row>
    <row r="685" spans="1:9" hidden="1">
      <c r="A685" s="232">
        <v>42142</v>
      </c>
      <c r="B685" t="s">
        <v>1914</v>
      </c>
      <c r="C685" t="s">
        <v>5530</v>
      </c>
      <c r="D685">
        <v>165</v>
      </c>
      <c r="E685">
        <v>0</v>
      </c>
      <c r="F685">
        <v>763234.48</v>
      </c>
      <c r="I685" s="232">
        <v>42142</v>
      </c>
    </row>
    <row r="686" spans="1:9" hidden="1">
      <c r="A686" s="232">
        <v>42150</v>
      </c>
      <c r="C686" t="s">
        <v>5531</v>
      </c>
      <c r="D686">
        <v>0</v>
      </c>
      <c r="E686">
        <v>203920</v>
      </c>
      <c r="F686">
        <v>967154.48</v>
      </c>
      <c r="G686" s="8" t="s">
        <v>1380</v>
      </c>
      <c r="I686" s="232">
        <v>42150</v>
      </c>
    </row>
    <row r="687" spans="1:9" hidden="1">
      <c r="A687" s="232">
        <v>42154</v>
      </c>
      <c r="B687" t="s">
        <v>1963</v>
      </c>
      <c r="C687" t="s">
        <v>5532</v>
      </c>
      <c r="D687">
        <v>10000</v>
      </c>
      <c r="E687">
        <v>0</v>
      </c>
      <c r="F687">
        <v>957154.48</v>
      </c>
      <c r="G687" s="8" t="s">
        <v>1361</v>
      </c>
      <c r="I687" s="232">
        <v>42154</v>
      </c>
    </row>
    <row r="688" spans="1:9" hidden="1">
      <c r="A688" s="232">
        <v>42154</v>
      </c>
      <c r="B688" t="s">
        <v>1963</v>
      </c>
      <c r="C688" t="s">
        <v>5532</v>
      </c>
      <c r="D688">
        <v>5000</v>
      </c>
      <c r="E688">
        <v>0</v>
      </c>
      <c r="F688">
        <v>952154.48</v>
      </c>
      <c r="G688" s="8" t="s">
        <v>1361</v>
      </c>
      <c r="I688" s="232">
        <v>42154</v>
      </c>
    </row>
    <row r="689" spans="1:9" hidden="1">
      <c r="A689" s="232">
        <v>42156</v>
      </c>
      <c r="B689" t="s">
        <v>1914</v>
      </c>
      <c r="C689" t="s">
        <v>5533</v>
      </c>
      <c r="D689">
        <v>26000</v>
      </c>
      <c r="E689">
        <v>0</v>
      </c>
      <c r="F689">
        <v>926154.48</v>
      </c>
      <c r="G689" s="8" t="s">
        <v>1379</v>
      </c>
      <c r="I689" s="232">
        <v>42156</v>
      </c>
    </row>
    <row r="690" spans="1:9" hidden="1">
      <c r="A690" s="232">
        <v>42156</v>
      </c>
      <c r="B690" t="s">
        <v>1914</v>
      </c>
      <c r="C690" t="s">
        <v>5534</v>
      </c>
      <c r="D690">
        <v>502.53</v>
      </c>
      <c r="E690">
        <v>0</v>
      </c>
      <c r="F690">
        <v>925651.95</v>
      </c>
      <c r="I690" s="232">
        <v>42156</v>
      </c>
    </row>
    <row r="691" spans="1:9" hidden="1">
      <c r="A691" s="232">
        <v>42157</v>
      </c>
      <c r="B691" t="s">
        <v>1914</v>
      </c>
      <c r="C691" t="s">
        <v>5535</v>
      </c>
      <c r="D691">
        <v>7372.85</v>
      </c>
      <c r="E691">
        <v>0</v>
      </c>
      <c r="F691">
        <v>918279.1</v>
      </c>
      <c r="I691" s="232">
        <v>42157</v>
      </c>
    </row>
    <row r="692" spans="1:9" hidden="1">
      <c r="A692" s="232">
        <v>42158</v>
      </c>
      <c r="B692" t="s">
        <v>2737</v>
      </c>
      <c r="C692" t="s">
        <v>5413</v>
      </c>
      <c r="D692">
        <v>10430.379999999999</v>
      </c>
      <c r="E692">
        <v>0</v>
      </c>
      <c r="F692">
        <v>907848.72</v>
      </c>
      <c r="G692" s="8" t="s">
        <v>1362</v>
      </c>
      <c r="I692" s="232">
        <v>42158</v>
      </c>
    </row>
    <row r="693" spans="1:9" hidden="1">
      <c r="A693" s="232">
        <v>42158</v>
      </c>
      <c r="C693" t="s">
        <v>5536</v>
      </c>
      <c r="D693">
        <v>0</v>
      </c>
      <c r="E693">
        <v>2082.8000000000002</v>
      </c>
      <c r="F693">
        <v>909931.52000000002</v>
      </c>
      <c r="G693" s="8" t="s">
        <v>1380</v>
      </c>
      <c r="I693" s="232">
        <v>42158</v>
      </c>
    </row>
    <row r="694" spans="1:9" hidden="1">
      <c r="A694" s="232">
        <v>42159</v>
      </c>
      <c r="B694" t="s">
        <v>1914</v>
      </c>
      <c r="C694" t="s">
        <v>5537</v>
      </c>
      <c r="D694">
        <v>1185.74</v>
      </c>
      <c r="E694">
        <v>0</v>
      </c>
      <c r="F694">
        <v>908745.78</v>
      </c>
      <c r="I694" s="232">
        <v>42159</v>
      </c>
    </row>
    <row r="695" spans="1:9" hidden="1">
      <c r="A695" s="232">
        <v>42166</v>
      </c>
      <c r="B695" t="s">
        <v>1963</v>
      </c>
      <c r="C695" t="s">
        <v>5538</v>
      </c>
      <c r="D695">
        <v>5000</v>
      </c>
      <c r="E695">
        <v>0</v>
      </c>
      <c r="F695">
        <v>903745.78</v>
      </c>
      <c r="G695" s="8" t="s">
        <v>1361</v>
      </c>
      <c r="I695" s="232">
        <v>42166</v>
      </c>
    </row>
    <row r="696" spans="1:9" hidden="1">
      <c r="A696" s="232">
        <v>42170</v>
      </c>
      <c r="B696" t="s">
        <v>1914</v>
      </c>
      <c r="C696" t="s">
        <v>5539</v>
      </c>
      <c r="D696">
        <v>50000</v>
      </c>
      <c r="E696">
        <v>0</v>
      </c>
      <c r="F696">
        <v>853745.78</v>
      </c>
      <c r="G696" s="8" t="s">
        <v>1379</v>
      </c>
      <c r="I696" s="232">
        <v>42170</v>
      </c>
    </row>
    <row r="697" spans="1:9" hidden="1">
      <c r="A697" s="232">
        <v>42170</v>
      </c>
      <c r="B697" t="s">
        <v>1963</v>
      </c>
      <c r="C697" t="s">
        <v>5540</v>
      </c>
      <c r="D697">
        <v>6000</v>
      </c>
      <c r="E697">
        <v>0</v>
      </c>
      <c r="F697">
        <v>847745.78</v>
      </c>
      <c r="G697" s="8" t="s">
        <v>1361</v>
      </c>
      <c r="I697" s="232">
        <v>42170</v>
      </c>
    </row>
    <row r="698" spans="1:9" hidden="1">
      <c r="A698" s="232">
        <v>42173</v>
      </c>
      <c r="B698" t="s">
        <v>1963</v>
      </c>
      <c r="C698" t="s">
        <v>5541</v>
      </c>
      <c r="D698">
        <v>10000</v>
      </c>
      <c r="E698">
        <v>0</v>
      </c>
      <c r="F698">
        <v>837745.78</v>
      </c>
      <c r="G698" s="8" t="s">
        <v>1361</v>
      </c>
      <c r="I698" s="232">
        <v>42173</v>
      </c>
    </row>
    <row r="699" spans="1:9" hidden="1">
      <c r="A699" s="232">
        <v>42181</v>
      </c>
      <c r="C699" t="s">
        <v>5542</v>
      </c>
      <c r="D699">
        <v>0</v>
      </c>
      <c r="E699">
        <v>209919</v>
      </c>
      <c r="F699">
        <v>1047664.78</v>
      </c>
      <c r="G699" s="8" t="s">
        <v>1380</v>
      </c>
      <c r="I699" s="232">
        <v>42181</v>
      </c>
    </row>
    <row r="700" spans="1:9" hidden="1">
      <c r="A700" s="232">
        <v>42184</v>
      </c>
      <c r="B700" t="s">
        <v>1963</v>
      </c>
      <c r="C700" t="s">
        <v>5543</v>
      </c>
      <c r="D700">
        <v>10000</v>
      </c>
      <c r="E700">
        <v>0</v>
      </c>
      <c r="F700">
        <v>1037664.78</v>
      </c>
      <c r="G700" s="8" t="s">
        <v>1361</v>
      </c>
      <c r="I700" s="232">
        <v>42184</v>
      </c>
    </row>
    <row r="701" spans="1:9" hidden="1">
      <c r="A701" s="232">
        <v>42185</v>
      </c>
      <c r="C701" t="s">
        <v>5544</v>
      </c>
      <c r="D701">
        <v>0</v>
      </c>
      <c r="E701">
        <v>20103</v>
      </c>
      <c r="F701">
        <v>1057767.78</v>
      </c>
      <c r="G701" s="8" t="s">
        <v>1368</v>
      </c>
      <c r="I701" s="232">
        <v>42185</v>
      </c>
    </row>
    <row r="702" spans="1:9" hidden="1">
      <c r="A702" s="232">
        <v>42186</v>
      </c>
      <c r="B702" t="s">
        <v>1914</v>
      </c>
      <c r="C702" t="s">
        <v>5545</v>
      </c>
      <c r="D702">
        <v>26000</v>
      </c>
      <c r="E702">
        <v>0</v>
      </c>
      <c r="F702">
        <v>1031767.78</v>
      </c>
      <c r="G702" s="8" t="s">
        <v>1379</v>
      </c>
      <c r="I702" s="232">
        <v>42186</v>
      </c>
    </row>
    <row r="703" spans="1:9" hidden="1">
      <c r="A703" s="232">
        <v>42191</v>
      </c>
      <c r="B703" t="s">
        <v>1914</v>
      </c>
      <c r="C703" t="s">
        <v>5546</v>
      </c>
      <c r="D703">
        <v>1010.95</v>
      </c>
      <c r="E703">
        <v>0</v>
      </c>
      <c r="F703">
        <v>1030756.83</v>
      </c>
      <c r="I703" s="232">
        <v>42191</v>
      </c>
    </row>
    <row r="704" spans="1:9" hidden="1">
      <c r="A704" s="232">
        <v>42191</v>
      </c>
      <c r="B704" t="s">
        <v>2737</v>
      </c>
      <c r="C704" t="s">
        <v>5413</v>
      </c>
      <c r="D704">
        <v>4780.78</v>
      </c>
      <c r="E704">
        <v>0</v>
      </c>
      <c r="F704">
        <v>1025976.05</v>
      </c>
      <c r="G704" s="8" t="s">
        <v>1362</v>
      </c>
      <c r="I704" s="232">
        <v>42191</v>
      </c>
    </row>
    <row r="705" spans="1:9" hidden="1">
      <c r="A705" s="232">
        <v>42192</v>
      </c>
      <c r="C705" t="s">
        <v>5547</v>
      </c>
      <c r="D705">
        <v>0</v>
      </c>
      <c r="E705">
        <v>2760.69</v>
      </c>
      <c r="F705">
        <v>1028736.74</v>
      </c>
      <c r="G705" s="8" t="s">
        <v>1380</v>
      </c>
      <c r="I705" s="232">
        <v>42192</v>
      </c>
    </row>
    <row r="706" spans="1:9" hidden="1">
      <c r="A706" s="232">
        <v>42195</v>
      </c>
      <c r="B706" t="s">
        <v>1963</v>
      </c>
      <c r="C706" t="s">
        <v>5548</v>
      </c>
      <c r="D706">
        <v>10000</v>
      </c>
      <c r="E706">
        <v>0</v>
      </c>
      <c r="F706">
        <v>1018736.74</v>
      </c>
      <c r="G706" s="8" t="s">
        <v>1361</v>
      </c>
      <c r="I706" s="232">
        <v>42195</v>
      </c>
    </row>
    <row r="707" spans="1:9" hidden="1">
      <c r="A707" s="232">
        <v>42200</v>
      </c>
      <c r="B707" t="s">
        <v>1914</v>
      </c>
      <c r="C707" t="s">
        <v>5549</v>
      </c>
      <c r="D707">
        <v>50000</v>
      </c>
      <c r="E707">
        <v>0</v>
      </c>
      <c r="F707">
        <v>968736.74</v>
      </c>
      <c r="G707" s="8" t="s">
        <v>1379</v>
      </c>
      <c r="I707" s="232">
        <v>42200</v>
      </c>
    </row>
    <row r="708" spans="1:9" hidden="1">
      <c r="A708" s="232">
        <v>42205</v>
      </c>
      <c r="B708" t="s">
        <v>1963</v>
      </c>
      <c r="C708" t="s">
        <v>5550</v>
      </c>
      <c r="D708">
        <v>10000</v>
      </c>
      <c r="E708">
        <v>0</v>
      </c>
      <c r="F708">
        <v>958736.74</v>
      </c>
      <c r="G708" s="8" t="s">
        <v>1361</v>
      </c>
      <c r="I708" s="232">
        <v>42205</v>
      </c>
    </row>
    <row r="709" spans="1:9" hidden="1">
      <c r="A709" s="232">
        <v>42209</v>
      </c>
      <c r="C709" t="s">
        <v>5551</v>
      </c>
      <c r="D709">
        <v>0</v>
      </c>
      <c r="E709">
        <v>213375</v>
      </c>
      <c r="F709">
        <v>1172111.74</v>
      </c>
      <c r="G709" s="8" t="s">
        <v>1380</v>
      </c>
      <c r="I709" s="232">
        <v>42209</v>
      </c>
    </row>
    <row r="710" spans="1:9" hidden="1">
      <c r="A710" s="232">
        <v>42210</v>
      </c>
      <c r="B710" t="s">
        <v>1914</v>
      </c>
      <c r="C710" t="s">
        <v>5552</v>
      </c>
      <c r="D710">
        <v>300028.5</v>
      </c>
      <c r="E710">
        <v>0</v>
      </c>
      <c r="F710">
        <v>872083.24</v>
      </c>
      <c r="G710" s="8" t="s">
        <v>1363</v>
      </c>
      <c r="I710" s="232">
        <v>42210</v>
      </c>
    </row>
    <row r="711" spans="1:9" hidden="1">
      <c r="A711" s="232">
        <v>42217</v>
      </c>
      <c r="B711" t="s">
        <v>1914</v>
      </c>
      <c r="C711" t="s">
        <v>5553</v>
      </c>
      <c r="D711">
        <v>26000</v>
      </c>
      <c r="E711">
        <v>0</v>
      </c>
      <c r="F711">
        <v>846083.24</v>
      </c>
      <c r="G711" s="8" t="s">
        <v>1379</v>
      </c>
      <c r="I711" s="232">
        <v>42217</v>
      </c>
    </row>
    <row r="712" spans="1:9" hidden="1">
      <c r="A712" s="232">
        <v>42219</v>
      </c>
      <c r="B712" t="s">
        <v>2737</v>
      </c>
      <c r="C712" t="s">
        <v>5413</v>
      </c>
      <c r="D712">
        <v>5481.55</v>
      </c>
      <c r="E712">
        <v>0</v>
      </c>
      <c r="F712">
        <v>840601.69</v>
      </c>
      <c r="G712" s="8" t="s">
        <v>1362</v>
      </c>
      <c r="I712" s="232">
        <v>42219</v>
      </c>
    </row>
    <row r="713" spans="1:9" hidden="1">
      <c r="A713" s="232">
        <v>42220</v>
      </c>
      <c r="B713" t="s">
        <v>1914</v>
      </c>
      <c r="C713" t="s">
        <v>5554</v>
      </c>
      <c r="D713">
        <v>1117.6600000000001</v>
      </c>
      <c r="E713">
        <v>0</v>
      </c>
      <c r="F713">
        <v>839484.03</v>
      </c>
      <c r="I713" s="232">
        <v>42220</v>
      </c>
    </row>
    <row r="714" spans="1:9" hidden="1">
      <c r="A714" s="232">
        <v>42222</v>
      </c>
      <c r="C714" t="s">
        <v>5555</v>
      </c>
      <c r="D714">
        <v>0</v>
      </c>
      <c r="E714">
        <v>1681.66</v>
      </c>
      <c r="F714">
        <v>841165.69</v>
      </c>
      <c r="G714" s="8" t="s">
        <v>1380</v>
      </c>
      <c r="I714" s="232">
        <v>42222</v>
      </c>
    </row>
    <row r="715" spans="1:9" hidden="1">
      <c r="A715" s="232">
        <v>42229</v>
      </c>
      <c r="B715" t="s">
        <v>1914</v>
      </c>
      <c r="C715" t="s">
        <v>5556</v>
      </c>
      <c r="D715">
        <v>9184</v>
      </c>
      <c r="E715">
        <v>0</v>
      </c>
      <c r="F715">
        <v>831981.69</v>
      </c>
      <c r="I715" s="232">
        <v>42229</v>
      </c>
    </row>
    <row r="716" spans="1:9" hidden="1">
      <c r="A716" s="232">
        <v>42230</v>
      </c>
      <c r="B716" t="s">
        <v>1914</v>
      </c>
      <c r="C716" t="s">
        <v>5557</v>
      </c>
      <c r="D716">
        <v>102.85</v>
      </c>
      <c r="E716">
        <v>0</v>
      </c>
      <c r="F716">
        <v>831878.84</v>
      </c>
      <c r="I716" s="232">
        <v>42230</v>
      </c>
    </row>
    <row r="717" spans="1:9" hidden="1">
      <c r="A717" s="232">
        <v>42230</v>
      </c>
      <c r="B717" t="s">
        <v>1963</v>
      </c>
      <c r="C717" t="s">
        <v>5558</v>
      </c>
      <c r="D717">
        <v>10000</v>
      </c>
      <c r="E717">
        <v>0</v>
      </c>
      <c r="F717">
        <v>821878.84</v>
      </c>
      <c r="G717" s="8" t="s">
        <v>1361</v>
      </c>
      <c r="I717" s="232">
        <v>42230</v>
      </c>
    </row>
    <row r="718" spans="1:9" hidden="1">
      <c r="A718" s="232">
        <v>42230</v>
      </c>
      <c r="B718" t="s">
        <v>1914</v>
      </c>
      <c r="C718" t="s">
        <v>5559</v>
      </c>
      <c r="D718">
        <v>20005.7</v>
      </c>
      <c r="E718">
        <v>0</v>
      </c>
      <c r="F718">
        <v>801873.14</v>
      </c>
      <c r="I718" s="232">
        <v>42230</v>
      </c>
    </row>
    <row r="719" spans="1:9" hidden="1">
      <c r="A719" s="232">
        <v>42233</v>
      </c>
      <c r="B719" t="s">
        <v>1914</v>
      </c>
      <c r="C719" t="s">
        <v>5560</v>
      </c>
      <c r="D719">
        <v>50000</v>
      </c>
      <c r="E719">
        <v>0</v>
      </c>
      <c r="F719">
        <v>751873.14</v>
      </c>
      <c r="G719" s="8" t="s">
        <v>1379</v>
      </c>
      <c r="I719" s="232">
        <v>42233</v>
      </c>
    </row>
    <row r="720" spans="1:9" hidden="1">
      <c r="A720" s="232">
        <v>42241</v>
      </c>
      <c r="C720" t="s">
        <v>5561</v>
      </c>
      <c r="D720">
        <v>0</v>
      </c>
      <c r="E720">
        <v>564</v>
      </c>
      <c r="F720">
        <v>752437.14</v>
      </c>
      <c r="G720" s="8" t="s">
        <v>1380</v>
      </c>
      <c r="I720" s="232">
        <v>42241</v>
      </c>
    </row>
    <row r="721" spans="1:9" hidden="1">
      <c r="A721" s="232">
        <v>42241</v>
      </c>
      <c r="C721" t="s">
        <v>5562</v>
      </c>
      <c r="D721">
        <v>0</v>
      </c>
      <c r="E721">
        <v>1137.26</v>
      </c>
      <c r="F721">
        <v>753574.40000000002</v>
      </c>
      <c r="G721" s="8" t="s">
        <v>1380</v>
      </c>
      <c r="I721" s="232">
        <v>42241</v>
      </c>
    </row>
    <row r="722" spans="1:9" hidden="1">
      <c r="A722" s="232">
        <v>42242</v>
      </c>
      <c r="C722" t="s">
        <v>5563</v>
      </c>
      <c r="D722">
        <v>0</v>
      </c>
      <c r="E722">
        <v>274499</v>
      </c>
      <c r="F722">
        <v>1028073.4</v>
      </c>
      <c r="G722" s="8" t="s">
        <v>1380</v>
      </c>
      <c r="I722" s="232">
        <v>42242</v>
      </c>
    </row>
    <row r="723" spans="1:9" hidden="1">
      <c r="A723" s="232">
        <v>42248</v>
      </c>
      <c r="B723" t="s">
        <v>1914</v>
      </c>
      <c r="C723" t="s">
        <v>5564</v>
      </c>
      <c r="D723">
        <v>26000</v>
      </c>
      <c r="E723">
        <v>0</v>
      </c>
      <c r="F723">
        <v>1002073.4</v>
      </c>
      <c r="G723" s="8" t="s">
        <v>1379</v>
      </c>
      <c r="I723" s="232">
        <v>42248</v>
      </c>
    </row>
    <row r="724" spans="1:9" hidden="1">
      <c r="A724" s="232">
        <v>42248</v>
      </c>
      <c r="B724" t="s">
        <v>1914</v>
      </c>
      <c r="C724" t="s">
        <v>5565</v>
      </c>
      <c r="D724">
        <v>5662.8</v>
      </c>
      <c r="E724">
        <v>0</v>
      </c>
      <c r="F724">
        <v>996410.6</v>
      </c>
      <c r="G724" s="8" t="s">
        <v>1370</v>
      </c>
      <c r="I724" s="232">
        <v>42248</v>
      </c>
    </row>
    <row r="725" spans="1:9" hidden="1">
      <c r="A725" s="232">
        <v>42250</v>
      </c>
      <c r="B725" t="s">
        <v>2737</v>
      </c>
      <c r="C725" t="s">
        <v>5413</v>
      </c>
      <c r="D725">
        <v>3340</v>
      </c>
      <c r="E725">
        <v>0</v>
      </c>
      <c r="F725">
        <v>993070.6</v>
      </c>
      <c r="G725" s="8" t="s">
        <v>1362</v>
      </c>
      <c r="I725" s="232">
        <v>42250</v>
      </c>
    </row>
    <row r="726" spans="1:9" hidden="1">
      <c r="A726" s="232">
        <v>42251</v>
      </c>
      <c r="B726" t="s">
        <v>1914</v>
      </c>
      <c r="C726" t="s">
        <v>5566</v>
      </c>
      <c r="D726">
        <v>1137.26</v>
      </c>
      <c r="E726">
        <v>0</v>
      </c>
      <c r="F726">
        <v>991933.34</v>
      </c>
      <c r="I726" s="232">
        <v>42251</v>
      </c>
    </row>
    <row r="727" spans="1:9" hidden="1">
      <c r="A727" s="232">
        <v>42252</v>
      </c>
      <c r="B727" t="s">
        <v>1914</v>
      </c>
      <c r="C727" t="s">
        <v>5567</v>
      </c>
      <c r="D727">
        <v>1197</v>
      </c>
      <c r="E727">
        <v>0</v>
      </c>
      <c r="F727">
        <v>990736.34</v>
      </c>
      <c r="I727" s="232">
        <v>42252</v>
      </c>
    </row>
    <row r="728" spans="1:9" hidden="1">
      <c r="A728" s="232">
        <v>42261</v>
      </c>
      <c r="B728" t="s">
        <v>1914</v>
      </c>
      <c r="C728" t="s">
        <v>5568</v>
      </c>
      <c r="D728">
        <v>3210</v>
      </c>
      <c r="E728">
        <v>0</v>
      </c>
      <c r="F728">
        <v>987526.34</v>
      </c>
      <c r="G728" s="8" t="s">
        <v>1370</v>
      </c>
      <c r="I728" s="232">
        <v>42261</v>
      </c>
    </row>
    <row r="729" spans="1:9" hidden="1">
      <c r="A729" s="232">
        <v>42261</v>
      </c>
      <c r="B729" t="s">
        <v>1914</v>
      </c>
      <c r="C729" t="s">
        <v>5569</v>
      </c>
      <c r="D729">
        <v>20005.7</v>
      </c>
      <c r="E729">
        <v>0</v>
      </c>
      <c r="F729">
        <v>967520.64</v>
      </c>
      <c r="I729" s="232">
        <v>42261</v>
      </c>
    </row>
    <row r="730" spans="1:9" hidden="1">
      <c r="A730" s="232">
        <v>42262</v>
      </c>
      <c r="B730" t="s">
        <v>1914</v>
      </c>
      <c r="C730" t="s">
        <v>5570</v>
      </c>
      <c r="D730">
        <v>50000</v>
      </c>
      <c r="E730">
        <v>0</v>
      </c>
      <c r="F730">
        <v>917520.64</v>
      </c>
      <c r="G730" s="8" t="s">
        <v>1379</v>
      </c>
      <c r="I730" s="232">
        <v>42262</v>
      </c>
    </row>
    <row r="731" spans="1:9" hidden="1">
      <c r="A731" s="232">
        <v>42272</v>
      </c>
      <c r="C731" t="s">
        <v>5571</v>
      </c>
      <c r="D731">
        <v>0</v>
      </c>
      <c r="E731">
        <v>219553</v>
      </c>
      <c r="F731">
        <v>1137073.6399999999</v>
      </c>
      <c r="G731" s="8" t="s">
        <v>1380</v>
      </c>
      <c r="I731" s="232">
        <v>42272</v>
      </c>
    </row>
    <row r="732" spans="1:9" hidden="1">
      <c r="A732" s="232">
        <v>42276</v>
      </c>
      <c r="C732" t="s">
        <v>5572</v>
      </c>
      <c r="D732">
        <v>0</v>
      </c>
      <c r="E732">
        <v>1170.8900000000001</v>
      </c>
      <c r="F732">
        <v>1138244.53</v>
      </c>
      <c r="G732" s="8" t="s">
        <v>1380</v>
      </c>
      <c r="I732" s="232">
        <v>42276</v>
      </c>
    </row>
    <row r="733" spans="1:9" hidden="1">
      <c r="A733" s="232">
        <v>42277</v>
      </c>
      <c r="C733" t="s">
        <v>5573</v>
      </c>
      <c r="D733">
        <v>0</v>
      </c>
      <c r="E733">
        <v>73</v>
      </c>
      <c r="F733">
        <v>1138317.53</v>
      </c>
      <c r="G733" s="8" t="s">
        <v>1380</v>
      </c>
      <c r="I733" s="232">
        <v>42277</v>
      </c>
    </row>
    <row r="734" spans="1:9" hidden="1">
      <c r="A734" s="232">
        <v>42278</v>
      </c>
      <c r="B734" t="s">
        <v>1914</v>
      </c>
      <c r="C734" t="s">
        <v>5574</v>
      </c>
      <c r="D734">
        <v>26000</v>
      </c>
      <c r="E734">
        <v>0</v>
      </c>
      <c r="F734">
        <v>1112317.53</v>
      </c>
      <c r="G734" s="8" t="s">
        <v>1379</v>
      </c>
      <c r="I734" s="232">
        <v>42278</v>
      </c>
    </row>
    <row r="735" spans="1:9" hidden="1">
      <c r="A735" s="232">
        <v>42280</v>
      </c>
      <c r="B735" t="s">
        <v>1963</v>
      </c>
      <c r="C735" t="s">
        <v>5575</v>
      </c>
      <c r="D735">
        <v>10000</v>
      </c>
      <c r="E735">
        <v>0</v>
      </c>
      <c r="F735">
        <v>1102317.53</v>
      </c>
      <c r="G735" s="8" t="s">
        <v>1361</v>
      </c>
      <c r="I735" s="232">
        <v>42280</v>
      </c>
    </row>
    <row r="736" spans="1:9" hidden="1">
      <c r="A736" s="232">
        <v>42282</v>
      </c>
      <c r="B736" t="s">
        <v>1963</v>
      </c>
      <c r="C736" t="s">
        <v>5576</v>
      </c>
      <c r="D736">
        <v>2000</v>
      </c>
      <c r="E736">
        <v>0</v>
      </c>
      <c r="F736">
        <v>1100317.53</v>
      </c>
      <c r="G736" s="8" t="s">
        <v>1361</v>
      </c>
      <c r="I736" s="232">
        <v>42282</v>
      </c>
    </row>
    <row r="737" spans="1:9" hidden="1">
      <c r="A737" s="232">
        <v>42282</v>
      </c>
      <c r="B737" t="s">
        <v>1963</v>
      </c>
      <c r="C737" t="s">
        <v>5576</v>
      </c>
      <c r="D737">
        <v>2000</v>
      </c>
      <c r="E737">
        <v>0</v>
      </c>
      <c r="F737">
        <v>1098317.53</v>
      </c>
      <c r="G737" s="8" t="s">
        <v>1361</v>
      </c>
      <c r="I737" s="232">
        <v>42282</v>
      </c>
    </row>
    <row r="738" spans="1:9" hidden="1">
      <c r="A738" s="232">
        <v>42282</v>
      </c>
      <c r="B738" t="s">
        <v>2737</v>
      </c>
      <c r="C738" t="s">
        <v>5413</v>
      </c>
      <c r="D738">
        <v>3475</v>
      </c>
      <c r="E738">
        <v>0</v>
      </c>
      <c r="F738">
        <v>1094842.53</v>
      </c>
      <c r="G738" s="8" t="s">
        <v>1362</v>
      </c>
      <c r="I738" s="232">
        <v>42282</v>
      </c>
    </row>
    <row r="739" spans="1:9" hidden="1">
      <c r="A739" s="232">
        <v>42290</v>
      </c>
      <c r="B739" t="s">
        <v>1963</v>
      </c>
      <c r="C739" t="s">
        <v>5577</v>
      </c>
      <c r="D739">
        <v>10000</v>
      </c>
      <c r="E739">
        <v>0</v>
      </c>
      <c r="F739">
        <v>1084842.53</v>
      </c>
      <c r="G739" s="8" t="s">
        <v>1361</v>
      </c>
      <c r="I739" s="232">
        <v>42290</v>
      </c>
    </row>
    <row r="740" spans="1:9" hidden="1">
      <c r="A740" s="232">
        <v>42292</v>
      </c>
      <c r="B740" t="s">
        <v>1914</v>
      </c>
      <c r="C740" t="s">
        <v>5578</v>
      </c>
      <c r="D740">
        <v>50000</v>
      </c>
      <c r="E740">
        <v>0</v>
      </c>
      <c r="F740">
        <v>1034842.53</v>
      </c>
      <c r="G740" s="8" t="s">
        <v>1379</v>
      </c>
      <c r="I740" s="232">
        <v>42292</v>
      </c>
    </row>
    <row r="741" spans="1:9" hidden="1">
      <c r="A741" s="232">
        <v>42307</v>
      </c>
      <c r="B741" t="s">
        <v>1963</v>
      </c>
      <c r="C741" t="s">
        <v>5579</v>
      </c>
      <c r="D741">
        <v>10000</v>
      </c>
      <c r="E741">
        <v>0</v>
      </c>
      <c r="F741">
        <v>1024842.53</v>
      </c>
      <c r="G741" s="8" t="s">
        <v>1361</v>
      </c>
      <c r="I741" s="232">
        <v>42307</v>
      </c>
    </row>
    <row r="742" spans="1:9" hidden="1">
      <c r="A742" s="232">
        <v>42307</v>
      </c>
      <c r="C742" t="s">
        <v>5580</v>
      </c>
      <c r="D742">
        <v>0</v>
      </c>
      <c r="E742">
        <v>9377</v>
      </c>
      <c r="F742">
        <v>1034219.53</v>
      </c>
      <c r="G742" s="8" t="s">
        <v>1380</v>
      </c>
      <c r="I742" s="232">
        <v>42307</v>
      </c>
    </row>
    <row r="743" spans="1:9" hidden="1">
      <c r="A743" s="232">
        <v>42310</v>
      </c>
      <c r="B743" t="s">
        <v>1914</v>
      </c>
      <c r="C743" t="s">
        <v>5581</v>
      </c>
      <c r="D743">
        <v>26000</v>
      </c>
      <c r="E743">
        <v>0</v>
      </c>
      <c r="F743">
        <v>1008219.53</v>
      </c>
      <c r="G743" s="8" t="s">
        <v>1379</v>
      </c>
      <c r="I743" s="232">
        <v>42310</v>
      </c>
    </row>
    <row r="744" spans="1:9" hidden="1">
      <c r="A744" s="232">
        <v>42311</v>
      </c>
      <c r="B744" t="s">
        <v>2737</v>
      </c>
      <c r="C744" t="s">
        <v>5413</v>
      </c>
      <c r="D744">
        <v>9909.5</v>
      </c>
      <c r="E744">
        <v>0</v>
      </c>
      <c r="F744">
        <v>998310.03</v>
      </c>
      <c r="G744" s="8" t="s">
        <v>1362</v>
      </c>
      <c r="I744" s="232">
        <v>42311</v>
      </c>
    </row>
    <row r="745" spans="1:9" hidden="1">
      <c r="A745" s="232">
        <v>42314</v>
      </c>
      <c r="B745" t="s">
        <v>1997</v>
      </c>
      <c r="C745" t="s">
        <v>5582</v>
      </c>
      <c r="D745">
        <v>40005.699999999997</v>
      </c>
      <c r="E745">
        <v>0</v>
      </c>
      <c r="F745">
        <v>958304.33</v>
      </c>
      <c r="I745" s="232">
        <v>42314</v>
      </c>
    </row>
    <row r="746" spans="1:9" hidden="1">
      <c r="A746" s="232">
        <v>42317</v>
      </c>
      <c r="C746" t="s">
        <v>5583</v>
      </c>
      <c r="D746">
        <v>0</v>
      </c>
      <c r="E746">
        <v>659198</v>
      </c>
      <c r="F746">
        <v>1617502.33</v>
      </c>
      <c r="G746" s="8" t="s">
        <v>1380</v>
      </c>
      <c r="I746" s="232">
        <v>42317</v>
      </c>
    </row>
    <row r="747" spans="1:9" hidden="1">
      <c r="A747" s="232">
        <v>42320</v>
      </c>
      <c r="C747" t="s">
        <v>5584</v>
      </c>
      <c r="D747">
        <v>0</v>
      </c>
      <c r="E747">
        <v>1000000</v>
      </c>
      <c r="F747">
        <v>2617502.33</v>
      </c>
      <c r="G747" s="8" t="s">
        <v>1380</v>
      </c>
      <c r="I747" s="232">
        <v>42320</v>
      </c>
    </row>
    <row r="748" spans="1:9" hidden="1">
      <c r="A748" s="232">
        <v>42320</v>
      </c>
      <c r="B748" t="s">
        <v>1963</v>
      </c>
      <c r="C748" t="s">
        <v>5585</v>
      </c>
      <c r="D748">
        <v>5000</v>
      </c>
      <c r="E748">
        <v>0</v>
      </c>
      <c r="F748">
        <v>2612502.33</v>
      </c>
      <c r="G748" s="8" t="s">
        <v>1361</v>
      </c>
      <c r="I748" s="232">
        <v>42320</v>
      </c>
    </row>
    <row r="749" spans="1:9" hidden="1">
      <c r="A749" s="232">
        <v>42324</v>
      </c>
      <c r="B749" t="s">
        <v>1914</v>
      </c>
      <c r="C749" t="s">
        <v>5586</v>
      </c>
      <c r="D749">
        <v>50000</v>
      </c>
      <c r="E749">
        <v>0</v>
      </c>
      <c r="F749">
        <v>2562502.33</v>
      </c>
      <c r="G749" s="8" t="s">
        <v>1379</v>
      </c>
      <c r="I749" s="232">
        <v>42324</v>
      </c>
    </row>
    <row r="750" spans="1:9" hidden="1">
      <c r="A750" s="232">
        <v>42324</v>
      </c>
      <c r="B750" t="s">
        <v>1997</v>
      </c>
      <c r="C750" t="s">
        <v>5587</v>
      </c>
      <c r="D750">
        <v>105.7</v>
      </c>
      <c r="E750">
        <v>0</v>
      </c>
      <c r="F750">
        <v>2562396.63</v>
      </c>
      <c r="I750" s="232">
        <v>42324</v>
      </c>
    </row>
    <row r="751" spans="1:9" hidden="1">
      <c r="A751" s="232">
        <v>42324</v>
      </c>
      <c r="B751" t="s">
        <v>1997</v>
      </c>
      <c r="C751" t="s">
        <v>5588</v>
      </c>
      <c r="D751">
        <v>605.70000000000005</v>
      </c>
      <c r="E751">
        <v>0</v>
      </c>
      <c r="F751">
        <v>2561790.9300000002</v>
      </c>
      <c r="I751" s="232">
        <v>42324</v>
      </c>
    </row>
    <row r="752" spans="1:9" hidden="1">
      <c r="A752" s="232">
        <v>42324</v>
      </c>
      <c r="B752" t="s">
        <v>1914</v>
      </c>
      <c r="C752" t="s">
        <v>2262</v>
      </c>
      <c r="D752">
        <v>0</v>
      </c>
      <c r="E752">
        <v>125000</v>
      </c>
      <c r="F752">
        <v>2686790.93</v>
      </c>
      <c r="I752" s="232">
        <v>42324</v>
      </c>
    </row>
    <row r="753" spans="1:9" hidden="1">
      <c r="A753" s="232">
        <v>42325</v>
      </c>
      <c r="B753" t="s">
        <v>5589</v>
      </c>
      <c r="C753" t="s">
        <v>1809</v>
      </c>
      <c r="D753">
        <v>1752137</v>
      </c>
      <c r="E753">
        <v>0</v>
      </c>
      <c r="F753">
        <v>934653.93</v>
      </c>
      <c r="G753" s="8" t="s">
        <v>1366</v>
      </c>
      <c r="I753" s="232">
        <v>42325</v>
      </c>
    </row>
    <row r="754" spans="1:9" hidden="1">
      <c r="A754" s="232">
        <v>42327</v>
      </c>
      <c r="B754" t="s">
        <v>1963</v>
      </c>
      <c r="C754" t="s">
        <v>5590</v>
      </c>
      <c r="D754">
        <v>5000</v>
      </c>
      <c r="E754">
        <v>0</v>
      </c>
      <c r="F754">
        <v>929653.93</v>
      </c>
      <c r="G754" s="8" t="s">
        <v>1361</v>
      </c>
      <c r="I754" s="232">
        <v>42327</v>
      </c>
    </row>
    <row r="755" spans="1:9" hidden="1">
      <c r="A755" s="232">
        <v>42339</v>
      </c>
      <c r="B755" t="s">
        <v>1914</v>
      </c>
      <c r="C755" t="s">
        <v>5591</v>
      </c>
      <c r="D755">
        <v>26000</v>
      </c>
      <c r="E755">
        <v>0</v>
      </c>
      <c r="F755">
        <v>903653.93</v>
      </c>
      <c r="G755" s="8" t="s">
        <v>1379</v>
      </c>
      <c r="I755" s="232">
        <v>42339</v>
      </c>
    </row>
    <row r="756" spans="1:9" hidden="1">
      <c r="A756" s="232">
        <v>42340</v>
      </c>
      <c r="B756" t="s">
        <v>1997</v>
      </c>
      <c r="C756" t="s">
        <v>5592</v>
      </c>
      <c r="D756">
        <v>20005.73</v>
      </c>
      <c r="E756">
        <v>0</v>
      </c>
      <c r="F756">
        <v>883648.2</v>
      </c>
      <c r="I756" s="232">
        <v>42340</v>
      </c>
    </row>
    <row r="757" spans="1:9" hidden="1">
      <c r="A757" s="232">
        <v>42342</v>
      </c>
      <c r="B757" t="s">
        <v>2737</v>
      </c>
      <c r="C757" t="s">
        <v>5413</v>
      </c>
      <c r="D757">
        <v>1225.5</v>
      </c>
      <c r="E757">
        <v>0</v>
      </c>
      <c r="F757">
        <v>882422.7</v>
      </c>
      <c r="G757" s="8" t="s">
        <v>1362</v>
      </c>
      <c r="I757" s="232">
        <v>42342</v>
      </c>
    </row>
    <row r="758" spans="1:9" hidden="1">
      <c r="A758" s="232">
        <v>42345</v>
      </c>
      <c r="B758" t="s">
        <v>1914</v>
      </c>
      <c r="C758" t="s">
        <v>5593</v>
      </c>
      <c r="D758">
        <v>1202</v>
      </c>
      <c r="E758">
        <v>0</v>
      </c>
      <c r="F758">
        <v>881220.7</v>
      </c>
      <c r="I758" s="232">
        <v>42345</v>
      </c>
    </row>
    <row r="759" spans="1:9" hidden="1">
      <c r="A759" s="232">
        <v>42347</v>
      </c>
      <c r="C759" t="s">
        <v>5594</v>
      </c>
      <c r="D759">
        <v>571.36</v>
      </c>
      <c r="E759">
        <v>0</v>
      </c>
      <c r="F759">
        <v>880649.34</v>
      </c>
      <c r="I759" s="232">
        <v>42347</v>
      </c>
    </row>
    <row r="760" spans="1:9" hidden="1">
      <c r="A760" s="232">
        <v>42348</v>
      </c>
      <c r="B760" t="s">
        <v>1963</v>
      </c>
      <c r="C760" t="s">
        <v>5595</v>
      </c>
      <c r="D760">
        <v>5000</v>
      </c>
      <c r="E760">
        <v>0</v>
      </c>
      <c r="F760">
        <v>875649.34</v>
      </c>
      <c r="G760" s="8" t="s">
        <v>1361</v>
      </c>
      <c r="I760" s="232">
        <v>42348</v>
      </c>
    </row>
    <row r="761" spans="1:9" hidden="1">
      <c r="A761" s="232">
        <v>42348</v>
      </c>
      <c r="B761" t="s">
        <v>1963</v>
      </c>
      <c r="C761" t="s">
        <v>5595</v>
      </c>
      <c r="D761">
        <v>5000</v>
      </c>
      <c r="E761">
        <v>0</v>
      </c>
      <c r="F761">
        <v>870649.34</v>
      </c>
      <c r="G761" s="8" t="s">
        <v>1361</v>
      </c>
      <c r="I761" s="232">
        <v>42348</v>
      </c>
    </row>
    <row r="762" spans="1:9" hidden="1">
      <c r="A762" s="232">
        <v>42349</v>
      </c>
      <c r="B762" t="s">
        <v>5596</v>
      </c>
      <c r="C762" t="s">
        <v>1421</v>
      </c>
      <c r="D762">
        <v>25000</v>
      </c>
      <c r="E762">
        <v>0</v>
      </c>
      <c r="F762">
        <v>845649.34</v>
      </c>
      <c r="I762" s="232">
        <v>42349</v>
      </c>
    </row>
    <row r="763" spans="1:9" hidden="1">
      <c r="A763" s="232">
        <v>42353</v>
      </c>
      <c r="B763" t="s">
        <v>1914</v>
      </c>
      <c r="C763" t="s">
        <v>5597</v>
      </c>
      <c r="D763">
        <v>50000</v>
      </c>
      <c r="E763">
        <v>0</v>
      </c>
      <c r="F763">
        <v>795649.34</v>
      </c>
      <c r="G763" s="8" t="s">
        <v>1379</v>
      </c>
      <c r="I763" s="232">
        <v>42353</v>
      </c>
    </row>
    <row r="764" spans="1:9" hidden="1">
      <c r="A764" s="232">
        <v>42355</v>
      </c>
      <c r="B764" t="s">
        <v>1914</v>
      </c>
      <c r="C764" t="s">
        <v>5598</v>
      </c>
      <c r="D764">
        <v>23640</v>
      </c>
      <c r="E764">
        <v>0</v>
      </c>
      <c r="F764">
        <v>772009.34</v>
      </c>
      <c r="G764" s="8" t="s">
        <v>1370</v>
      </c>
      <c r="I764" s="232">
        <v>42355</v>
      </c>
    </row>
    <row r="765" spans="1:9" hidden="1">
      <c r="A765" s="232">
        <v>42359</v>
      </c>
      <c r="B765" t="s">
        <v>1963</v>
      </c>
      <c r="C765" t="s">
        <v>5599</v>
      </c>
      <c r="D765">
        <v>5000</v>
      </c>
      <c r="E765">
        <v>0</v>
      </c>
      <c r="F765">
        <v>767009.34</v>
      </c>
      <c r="G765" s="8" t="s">
        <v>1361</v>
      </c>
      <c r="I765" s="232">
        <v>42359</v>
      </c>
    </row>
    <row r="766" spans="1:9" hidden="1">
      <c r="A766" s="232">
        <v>42360</v>
      </c>
      <c r="B766" t="s">
        <v>1963</v>
      </c>
      <c r="C766" t="s">
        <v>5600</v>
      </c>
      <c r="D766">
        <v>7000</v>
      </c>
      <c r="E766">
        <v>0</v>
      </c>
      <c r="F766">
        <v>760009.34</v>
      </c>
      <c r="G766" s="8" t="s">
        <v>1361</v>
      </c>
      <c r="I766" s="232">
        <v>42360</v>
      </c>
    </row>
    <row r="767" spans="1:9" hidden="1">
      <c r="A767" s="232">
        <v>42362</v>
      </c>
      <c r="B767" t="s">
        <v>1997</v>
      </c>
      <c r="C767" t="s">
        <v>5601</v>
      </c>
      <c r="D767">
        <v>800</v>
      </c>
      <c r="E767">
        <v>0</v>
      </c>
      <c r="F767">
        <v>759209.34</v>
      </c>
      <c r="I767" s="232">
        <v>42362</v>
      </c>
    </row>
    <row r="768" spans="1:9" hidden="1">
      <c r="A768" s="232">
        <v>42366</v>
      </c>
      <c r="B768" t="s">
        <v>2063</v>
      </c>
      <c r="C768" t="s">
        <v>5602</v>
      </c>
      <c r="D768">
        <v>5000</v>
      </c>
      <c r="E768">
        <v>0</v>
      </c>
      <c r="F768">
        <v>754209.34</v>
      </c>
      <c r="G768" s="8" t="s">
        <v>1361</v>
      </c>
      <c r="I768" s="232">
        <v>42366</v>
      </c>
    </row>
    <row r="769" spans="1:9" hidden="1">
      <c r="A769" s="232">
        <v>42368</v>
      </c>
      <c r="B769" t="s">
        <v>1963</v>
      </c>
      <c r="C769" t="s">
        <v>5603</v>
      </c>
      <c r="D769">
        <v>10000</v>
      </c>
      <c r="E769">
        <v>0</v>
      </c>
      <c r="F769">
        <v>744209.34</v>
      </c>
      <c r="G769" s="8" t="s">
        <v>1361</v>
      </c>
      <c r="I769" s="232">
        <v>42368</v>
      </c>
    </row>
    <row r="770" spans="1:9" hidden="1">
      <c r="A770" s="232">
        <v>42368</v>
      </c>
      <c r="B770" t="s">
        <v>1963</v>
      </c>
      <c r="C770" t="s">
        <v>5603</v>
      </c>
      <c r="D770">
        <v>10000</v>
      </c>
      <c r="E770">
        <v>0</v>
      </c>
      <c r="F770">
        <v>734209.34</v>
      </c>
      <c r="G770" s="8" t="s">
        <v>1361</v>
      </c>
      <c r="I770" s="232">
        <v>42368</v>
      </c>
    </row>
    <row r="771" spans="1:9" hidden="1">
      <c r="A771" s="232">
        <v>42369</v>
      </c>
      <c r="C771" t="s">
        <v>5604</v>
      </c>
      <c r="D771">
        <v>0</v>
      </c>
      <c r="E771">
        <v>20138</v>
      </c>
      <c r="F771">
        <v>754347.34</v>
      </c>
      <c r="G771" s="8" t="s">
        <v>1368</v>
      </c>
      <c r="I771" s="232">
        <v>42369</v>
      </c>
    </row>
    <row r="772" spans="1:9" hidden="1">
      <c r="A772" s="232">
        <v>42369</v>
      </c>
      <c r="B772" t="s">
        <v>1938</v>
      </c>
      <c r="C772" t="s">
        <v>5605</v>
      </c>
      <c r="D772">
        <v>0</v>
      </c>
      <c r="E772">
        <v>402439</v>
      </c>
      <c r="F772">
        <v>1156786.3400000001</v>
      </c>
      <c r="G772" s="8" t="s">
        <v>1380</v>
      </c>
      <c r="I772" s="232">
        <v>42369</v>
      </c>
    </row>
    <row r="773" spans="1:9" hidden="1">
      <c r="A773" s="232">
        <v>42370</v>
      </c>
      <c r="B773" t="s">
        <v>1914</v>
      </c>
      <c r="C773" t="s">
        <v>5606</v>
      </c>
      <c r="D773">
        <v>26000</v>
      </c>
      <c r="E773">
        <v>0</v>
      </c>
      <c r="F773">
        <v>1130786.3400000001</v>
      </c>
      <c r="G773" s="8" t="s">
        <v>1379</v>
      </c>
      <c r="I773" s="232">
        <v>42370</v>
      </c>
    </row>
    <row r="774" spans="1:9" hidden="1">
      <c r="A774" s="232">
        <v>42371</v>
      </c>
      <c r="B774" t="s">
        <v>1914</v>
      </c>
      <c r="C774" t="s">
        <v>5607</v>
      </c>
      <c r="D774">
        <v>275</v>
      </c>
      <c r="E774">
        <v>0</v>
      </c>
      <c r="F774">
        <v>1130511.3400000001</v>
      </c>
      <c r="I774" s="232">
        <v>42371</v>
      </c>
    </row>
    <row r="775" spans="1:9" hidden="1">
      <c r="A775" s="232">
        <v>42371</v>
      </c>
      <c r="B775" t="s">
        <v>1997</v>
      </c>
      <c r="C775" t="s">
        <v>5608</v>
      </c>
      <c r="D775">
        <v>20000</v>
      </c>
      <c r="E775">
        <v>0</v>
      </c>
      <c r="F775">
        <v>1110511.3400000001</v>
      </c>
      <c r="G775" s="8" t="s">
        <v>1358</v>
      </c>
      <c r="I775" s="232">
        <v>42371</v>
      </c>
    </row>
    <row r="776" spans="1:9" hidden="1">
      <c r="A776" s="232">
        <v>42371</v>
      </c>
      <c r="B776" t="s">
        <v>1914</v>
      </c>
      <c r="C776" t="s">
        <v>5609</v>
      </c>
      <c r="D776">
        <v>1202</v>
      </c>
      <c r="E776">
        <v>0</v>
      </c>
      <c r="F776">
        <v>1109309.3400000001</v>
      </c>
      <c r="I776" s="232">
        <v>42371</v>
      </c>
    </row>
    <row r="777" spans="1:9" hidden="1">
      <c r="A777" s="232">
        <v>42371</v>
      </c>
      <c r="B777" t="s">
        <v>1914</v>
      </c>
      <c r="C777" t="s">
        <v>5610</v>
      </c>
      <c r="D777">
        <v>8378</v>
      </c>
      <c r="E777">
        <v>0</v>
      </c>
      <c r="F777">
        <v>1100931.3400000001</v>
      </c>
      <c r="I777" s="232">
        <v>42371</v>
      </c>
    </row>
    <row r="778" spans="1:9" hidden="1">
      <c r="A778" s="232">
        <v>42371</v>
      </c>
      <c r="B778" t="s">
        <v>1914</v>
      </c>
      <c r="C778" t="s">
        <v>5611</v>
      </c>
      <c r="D778">
        <v>1533.06</v>
      </c>
      <c r="E778">
        <v>0</v>
      </c>
      <c r="F778">
        <v>1099398.28</v>
      </c>
      <c r="I778" s="232">
        <v>42371</v>
      </c>
    </row>
    <row r="779" spans="1:9" hidden="1">
      <c r="A779" s="232">
        <v>42373</v>
      </c>
      <c r="C779" t="s">
        <v>5612</v>
      </c>
      <c r="D779">
        <v>49000</v>
      </c>
      <c r="E779">
        <v>0</v>
      </c>
      <c r="F779">
        <v>1050398.28</v>
      </c>
      <c r="G779" s="8" t="s">
        <v>1379</v>
      </c>
      <c r="I779" s="232">
        <v>42373</v>
      </c>
    </row>
    <row r="780" spans="1:9" hidden="1">
      <c r="A780" s="232">
        <v>42373</v>
      </c>
      <c r="B780" t="s">
        <v>2737</v>
      </c>
      <c r="C780" t="s">
        <v>5413</v>
      </c>
      <c r="D780">
        <v>1149</v>
      </c>
      <c r="E780">
        <v>0</v>
      </c>
      <c r="F780">
        <v>1049249.28</v>
      </c>
      <c r="G780" s="8" t="s">
        <v>1362</v>
      </c>
      <c r="I780" s="232">
        <v>42373</v>
      </c>
    </row>
    <row r="781" spans="1:9" hidden="1">
      <c r="A781" s="232">
        <v>42376</v>
      </c>
      <c r="B781" t="s">
        <v>1938</v>
      </c>
      <c r="C781" t="s">
        <v>5613</v>
      </c>
      <c r="D781">
        <v>0</v>
      </c>
      <c r="E781">
        <v>510</v>
      </c>
      <c r="F781">
        <v>1049759.28</v>
      </c>
      <c r="G781" s="8" t="s">
        <v>1380</v>
      </c>
      <c r="I781" s="232">
        <v>42376</v>
      </c>
    </row>
    <row r="782" spans="1:9" hidden="1">
      <c r="A782" s="232">
        <v>42376</v>
      </c>
      <c r="B782" t="s">
        <v>1938</v>
      </c>
      <c r="C782" t="s">
        <v>5614</v>
      </c>
      <c r="D782">
        <v>0</v>
      </c>
      <c r="E782">
        <v>275</v>
      </c>
      <c r="F782">
        <v>1050034.28</v>
      </c>
      <c r="G782" s="8" t="s">
        <v>1380</v>
      </c>
      <c r="I782" s="232">
        <v>42376</v>
      </c>
    </row>
    <row r="783" spans="1:9" hidden="1">
      <c r="A783" s="232">
        <v>42376</v>
      </c>
      <c r="B783" t="s">
        <v>2063</v>
      </c>
      <c r="C783" t="s">
        <v>5615</v>
      </c>
      <c r="D783">
        <v>5000</v>
      </c>
      <c r="E783">
        <v>0</v>
      </c>
      <c r="F783">
        <v>1045034.28</v>
      </c>
      <c r="G783" s="8" t="s">
        <v>1361</v>
      </c>
      <c r="I783" s="232">
        <v>42376</v>
      </c>
    </row>
    <row r="784" spans="1:9" hidden="1">
      <c r="A784" s="232">
        <v>42376</v>
      </c>
      <c r="B784" t="s">
        <v>1997</v>
      </c>
      <c r="C784" t="s">
        <v>5616</v>
      </c>
      <c r="D784">
        <v>2000</v>
      </c>
      <c r="E784">
        <v>0</v>
      </c>
      <c r="F784">
        <v>1043034.28</v>
      </c>
      <c r="I784" s="232">
        <v>42376</v>
      </c>
    </row>
    <row r="785" spans="1:9" hidden="1">
      <c r="A785" s="232">
        <v>42376</v>
      </c>
      <c r="B785" t="s">
        <v>1997</v>
      </c>
      <c r="C785" t="s">
        <v>5617</v>
      </c>
      <c r="D785">
        <v>10000</v>
      </c>
      <c r="E785">
        <v>0</v>
      </c>
      <c r="F785">
        <v>1033034.28</v>
      </c>
      <c r="I785" s="232">
        <v>42376</v>
      </c>
    </row>
    <row r="786" spans="1:9" hidden="1">
      <c r="A786" s="232">
        <v>42380</v>
      </c>
      <c r="B786" t="s">
        <v>1963</v>
      </c>
      <c r="C786" t="s">
        <v>5618</v>
      </c>
      <c r="D786">
        <v>10000</v>
      </c>
      <c r="E786">
        <v>0</v>
      </c>
      <c r="F786">
        <v>1023034.28</v>
      </c>
      <c r="G786" s="8" t="s">
        <v>1361</v>
      </c>
      <c r="I786" s="232">
        <v>42380</v>
      </c>
    </row>
    <row r="787" spans="1:9" hidden="1">
      <c r="A787" s="232">
        <v>42382</v>
      </c>
      <c r="C787" t="s">
        <v>5619</v>
      </c>
      <c r="D787">
        <v>0</v>
      </c>
      <c r="E787">
        <v>297035</v>
      </c>
      <c r="F787">
        <v>1320069.28</v>
      </c>
      <c r="G787" s="8" t="s">
        <v>1380</v>
      </c>
      <c r="I787" s="232">
        <v>42382</v>
      </c>
    </row>
    <row r="788" spans="1:9" hidden="1">
      <c r="A788" s="232">
        <v>42384</v>
      </c>
      <c r="B788" t="s">
        <v>1914</v>
      </c>
      <c r="C788" t="s">
        <v>5620</v>
      </c>
      <c r="D788">
        <v>50000</v>
      </c>
      <c r="E788">
        <v>0</v>
      </c>
      <c r="F788">
        <v>1270069.28</v>
      </c>
      <c r="G788" s="8" t="s">
        <v>1379</v>
      </c>
      <c r="I788" s="232">
        <v>42384</v>
      </c>
    </row>
    <row r="789" spans="1:9" hidden="1">
      <c r="A789" s="232">
        <v>42387</v>
      </c>
      <c r="B789" t="s">
        <v>1938</v>
      </c>
      <c r="C789" t="s">
        <v>5621</v>
      </c>
      <c r="D789">
        <v>0</v>
      </c>
      <c r="E789">
        <v>1563.52</v>
      </c>
      <c r="F789">
        <v>1271632.8</v>
      </c>
      <c r="G789" s="8" t="s">
        <v>1380</v>
      </c>
      <c r="I789" s="232">
        <v>42387</v>
      </c>
    </row>
    <row r="790" spans="1:9" hidden="1">
      <c r="A790" s="232">
        <v>42390</v>
      </c>
      <c r="B790" t="s">
        <v>1963</v>
      </c>
      <c r="C790" t="s">
        <v>5622</v>
      </c>
      <c r="D790">
        <v>10000</v>
      </c>
      <c r="E790">
        <v>0</v>
      </c>
      <c r="F790">
        <v>1261632.8</v>
      </c>
      <c r="G790" s="8" t="s">
        <v>1361</v>
      </c>
      <c r="I790" s="232">
        <v>42390</v>
      </c>
    </row>
    <row r="791" spans="1:9" hidden="1">
      <c r="A791" s="232">
        <v>42391</v>
      </c>
      <c r="B791" t="s">
        <v>1938</v>
      </c>
      <c r="C791" t="s">
        <v>5623</v>
      </c>
      <c r="D791">
        <v>0</v>
      </c>
      <c r="E791">
        <v>1015</v>
      </c>
      <c r="F791">
        <v>1262647.8</v>
      </c>
      <c r="G791" s="8" t="s">
        <v>1380</v>
      </c>
      <c r="I791" s="232">
        <v>42391</v>
      </c>
    </row>
    <row r="792" spans="1:9" hidden="1">
      <c r="A792" s="232">
        <v>42396</v>
      </c>
      <c r="B792" t="s">
        <v>5624</v>
      </c>
      <c r="C792" t="s">
        <v>5625</v>
      </c>
      <c r="D792">
        <v>20000</v>
      </c>
      <c r="E792">
        <v>0</v>
      </c>
      <c r="F792">
        <v>1242647.8</v>
      </c>
      <c r="G792" s="8" t="s">
        <v>1378</v>
      </c>
      <c r="I792" s="232">
        <v>42396</v>
      </c>
    </row>
    <row r="793" spans="1:9" hidden="1">
      <c r="A793" s="232">
        <v>42397</v>
      </c>
      <c r="B793" t="s">
        <v>1914</v>
      </c>
      <c r="C793" t="s">
        <v>5626</v>
      </c>
      <c r="D793">
        <v>1503.88</v>
      </c>
      <c r="E793">
        <v>0</v>
      </c>
      <c r="F793">
        <v>1241143.92</v>
      </c>
      <c r="I793" s="232">
        <v>42397</v>
      </c>
    </row>
    <row r="794" spans="1:9" hidden="1">
      <c r="A794" s="232">
        <v>42398</v>
      </c>
      <c r="B794" t="s">
        <v>1914</v>
      </c>
      <c r="C794" t="s">
        <v>5627</v>
      </c>
      <c r="D794">
        <v>502.77</v>
      </c>
      <c r="E794">
        <v>0</v>
      </c>
      <c r="F794">
        <v>1240641.1499999999</v>
      </c>
      <c r="I794" s="232">
        <v>42398</v>
      </c>
    </row>
    <row r="795" spans="1:9" hidden="1">
      <c r="A795" s="232">
        <v>42401</v>
      </c>
      <c r="B795" t="s">
        <v>1914</v>
      </c>
      <c r="C795" t="s">
        <v>5628</v>
      </c>
      <c r="D795">
        <v>26000</v>
      </c>
      <c r="E795">
        <v>0</v>
      </c>
      <c r="F795">
        <v>1214641.1499999999</v>
      </c>
      <c r="G795" s="8" t="s">
        <v>1379</v>
      </c>
      <c r="I795" s="232">
        <v>42401</v>
      </c>
    </row>
    <row r="796" spans="1:9" hidden="1">
      <c r="A796" s="232">
        <v>42401</v>
      </c>
      <c r="B796" t="s">
        <v>1914</v>
      </c>
      <c r="C796" t="s">
        <v>5629</v>
      </c>
      <c r="D796">
        <v>50000</v>
      </c>
      <c r="E796">
        <v>0</v>
      </c>
      <c r="F796">
        <v>1164641.1499999999</v>
      </c>
      <c r="G796" s="8" t="s">
        <v>1379</v>
      </c>
      <c r="I796" s="232">
        <v>42401</v>
      </c>
    </row>
    <row r="797" spans="1:9" hidden="1">
      <c r="A797" s="232">
        <v>42401</v>
      </c>
      <c r="C797" t="s">
        <v>5630</v>
      </c>
      <c r="D797">
        <v>0</v>
      </c>
      <c r="E797">
        <v>150000</v>
      </c>
      <c r="F797">
        <v>1314641.1499999999</v>
      </c>
      <c r="G797" s="8" t="s">
        <v>1380</v>
      </c>
      <c r="I797" s="232">
        <v>42401</v>
      </c>
    </row>
    <row r="798" spans="1:9" hidden="1">
      <c r="A798" s="232">
        <v>42402</v>
      </c>
      <c r="B798" t="s">
        <v>1938</v>
      </c>
      <c r="C798" t="s">
        <v>5631</v>
      </c>
      <c r="D798">
        <v>0</v>
      </c>
      <c r="E798">
        <v>410</v>
      </c>
      <c r="F798">
        <v>1315051.1499999999</v>
      </c>
      <c r="G798" s="8" t="s">
        <v>1380</v>
      </c>
      <c r="I798" s="232">
        <v>42402</v>
      </c>
    </row>
    <row r="799" spans="1:9" hidden="1">
      <c r="A799" s="232">
        <v>42403</v>
      </c>
      <c r="B799" t="s">
        <v>1914</v>
      </c>
      <c r="C799" t="s">
        <v>5632</v>
      </c>
      <c r="D799">
        <v>1202</v>
      </c>
      <c r="E799">
        <v>0</v>
      </c>
      <c r="F799">
        <v>1313849.1499999999</v>
      </c>
      <c r="I799" s="232">
        <v>42403</v>
      </c>
    </row>
    <row r="800" spans="1:9" hidden="1">
      <c r="A800" s="232">
        <v>42403</v>
      </c>
      <c r="B800" t="s">
        <v>2737</v>
      </c>
      <c r="C800" t="s">
        <v>5413</v>
      </c>
      <c r="D800">
        <v>15571.48</v>
      </c>
      <c r="E800">
        <v>0</v>
      </c>
      <c r="F800">
        <v>1298277.67</v>
      </c>
      <c r="G800" s="8" t="s">
        <v>1362</v>
      </c>
      <c r="I800" s="232">
        <v>42403</v>
      </c>
    </row>
    <row r="801" spans="1:9" hidden="1">
      <c r="A801" s="232">
        <v>42404</v>
      </c>
      <c r="C801" t="s">
        <v>5633</v>
      </c>
      <c r="D801">
        <v>0</v>
      </c>
      <c r="E801">
        <v>1914602</v>
      </c>
      <c r="F801">
        <v>3212879.67</v>
      </c>
      <c r="G801" s="8" t="s">
        <v>1380</v>
      </c>
      <c r="I801" s="232">
        <v>42404</v>
      </c>
    </row>
    <row r="802" spans="1:9" hidden="1">
      <c r="A802" s="232">
        <v>42404</v>
      </c>
      <c r="B802" t="s">
        <v>1997</v>
      </c>
      <c r="C802" t="s">
        <v>5634</v>
      </c>
      <c r="D802">
        <v>20000</v>
      </c>
      <c r="E802">
        <v>0</v>
      </c>
      <c r="F802">
        <v>3192879.67</v>
      </c>
      <c r="G802" s="8" t="s">
        <v>1358</v>
      </c>
      <c r="I802" s="232">
        <v>42404</v>
      </c>
    </row>
    <row r="803" spans="1:9" hidden="1">
      <c r="A803" s="232">
        <v>42405</v>
      </c>
      <c r="B803" t="s">
        <v>1997</v>
      </c>
      <c r="C803" t="s">
        <v>5635</v>
      </c>
      <c r="D803">
        <v>12000</v>
      </c>
      <c r="E803">
        <v>0</v>
      </c>
      <c r="F803">
        <v>3180879.67</v>
      </c>
      <c r="I803" s="232">
        <v>42405</v>
      </c>
    </row>
    <row r="804" spans="1:9" hidden="1">
      <c r="A804" s="232">
        <v>42408</v>
      </c>
      <c r="B804" t="s">
        <v>1914</v>
      </c>
      <c r="C804" t="s">
        <v>5636</v>
      </c>
      <c r="D804">
        <v>15358</v>
      </c>
      <c r="E804">
        <v>0</v>
      </c>
      <c r="F804">
        <v>3165521.67</v>
      </c>
      <c r="I804" s="232">
        <v>42408</v>
      </c>
    </row>
    <row r="805" spans="1:9" hidden="1">
      <c r="A805" s="232">
        <v>42415</v>
      </c>
      <c r="B805" t="s">
        <v>1963</v>
      </c>
      <c r="C805" t="s">
        <v>5637</v>
      </c>
      <c r="D805">
        <v>10000</v>
      </c>
      <c r="E805">
        <v>0</v>
      </c>
      <c r="F805">
        <v>3155521.67</v>
      </c>
      <c r="G805" s="8" t="s">
        <v>1361</v>
      </c>
      <c r="I805" s="232">
        <v>42415</v>
      </c>
    </row>
    <row r="806" spans="1:9" hidden="1">
      <c r="A806" s="232">
        <v>42415</v>
      </c>
      <c r="B806" t="s">
        <v>1914</v>
      </c>
      <c r="C806" t="s">
        <v>5638</v>
      </c>
      <c r="D806">
        <v>50000</v>
      </c>
      <c r="E806">
        <v>0</v>
      </c>
      <c r="F806">
        <v>3105521.67</v>
      </c>
      <c r="G806" s="8" t="s">
        <v>1379</v>
      </c>
      <c r="I806" s="232">
        <v>42415</v>
      </c>
    </row>
    <row r="807" spans="1:9" hidden="1">
      <c r="A807" s="232">
        <v>42416</v>
      </c>
      <c r="B807" t="s">
        <v>1914</v>
      </c>
      <c r="C807" t="s">
        <v>5639</v>
      </c>
      <c r="D807">
        <v>59138</v>
      </c>
      <c r="E807">
        <v>0</v>
      </c>
      <c r="F807">
        <v>3046383.67</v>
      </c>
      <c r="G807" s="8" t="s">
        <v>1370</v>
      </c>
      <c r="I807" s="232">
        <v>42416</v>
      </c>
    </row>
    <row r="808" spans="1:9" hidden="1">
      <c r="A808" s="232">
        <v>42416</v>
      </c>
      <c r="B808" t="s">
        <v>1997</v>
      </c>
      <c r="C808" t="s">
        <v>5640</v>
      </c>
      <c r="D808">
        <v>200000</v>
      </c>
      <c r="E808">
        <v>0</v>
      </c>
      <c r="F808">
        <v>2846383.67</v>
      </c>
      <c r="I808" s="232">
        <v>42416</v>
      </c>
    </row>
    <row r="809" spans="1:9" hidden="1">
      <c r="A809" s="232">
        <v>42424</v>
      </c>
      <c r="B809" t="s">
        <v>1914</v>
      </c>
      <c r="C809" t="s">
        <v>5641</v>
      </c>
      <c r="D809">
        <v>3767.25</v>
      </c>
      <c r="E809">
        <v>0</v>
      </c>
      <c r="F809">
        <v>2842616.42</v>
      </c>
      <c r="I809" s="232">
        <v>42424</v>
      </c>
    </row>
    <row r="810" spans="1:9" hidden="1">
      <c r="A810" s="232">
        <v>42425</v>
      </c>
      <c r="B810" t="s">
        <v>2063</v>
      </c>
      <c r="C810" t="s">
        <v>5642</v>
      </c>
      <c r="D810">
        <v>5000</v>
      </c>
      <c r="E810">
        <v>0</v>
      </c>
      <c r="F810">
        <v>2837616.42</v>
      </c>
      <c r="G810" s="8" t="s">
        <v>1361</v>
      </c>
      <c r="I810" s="232">
        <v>42425</v>
      </c>
    </row>
    <row r="811" spans="1:9" hidden="1">
      <c r="A811" s="232">
        <v>42425</v>
      </c>
      <c r="B811" t="s">
        <v>2063</v>
      </c>
      <c r="C811" t="s">
        <v>5642</v>
      </c>
      <c r="D811">
        <v>5000</v>
      </c>
      <c r="E811">
        <v>0</v>
      </c>
      <c r="F811">
        <v>2832616.42</v>
      </c>
      <c r="G811" s="8" t="s">
        <v>1361</v>
      </c>
      <c r="I811" s="232">
        <v>42425</v>
      </c>
    </row>
    <row r="812" spans="1:9" hidden="1">
      <c r="A812" s="232">
        <v>42429</v>
      </c>
      <c r="B812" t="s">
        <v>1938</v>
      </c>
      <c r="C812" t="s">
        <v>5643</v>
      </c>
      <c r="D812">
        <v>0</v>
      </c>
      <c r="E812">
        <v>164985</v>
      </c>
      <c r="F812">
        <v>2997601.42</v>
      </c>
      <c r="G812" s="8" t="s">
        <v>1380</v>
      </c>
      <c r="I812" s="232">
        <v>42429</v>
      </c>
    </row>
    <row r="813" spans="1:9" hidden="1">
      <c r="A813" s="232">
        <v>42430</v>
      </c>
      <c r="B813" t="s">
        <v>1914</v>
      </c>
      <c r="C813" t="s">
        <v>5644</v>
      </c>
      <c r="D813">
        <v>26000</v>
      </c>
      <c r="E813">
        <v>0</v>
      </c>
      <c r="F813">
        <v>2971601.42</v>
      </c>
      <c r="G813" s="8" t="s">
        <v>1379</v>
      </c>
      <c r="I813" s="232">
        <v>42430</v>
      </c>
    </row>
    <row r="814" spans="1:9" hidden="1">
      <c r="A814" s="232">
        <v>42430</v>
      </c>
      <c r="B814" t="s">
        <v>1914</v>
      </c>
      <c r="C814" t="s">
        <v>5645</v>
      </c>
      <c r="D814">
        <v>50000</v>
      </c>
      <c r="E814">
        <v>0</v>
      </c>
      <c r="F814">
        <v>2921601.42</v>
      </c>
      <c r="G814" s="8" t="s">
        <v>1379</v>
      </c>
      <c r="I814" s="232">
        <v>42430</v>
      </c>
    </row>
    <row r="815" spans="1:9" hidden="1">
      <c r="A815" s="232">
        <v>42433</v>
      </c>
      <c r="B815" t="s">
        <v>1914</v>
      </c>
      <c r="C815" t="s">
        <v>5646</v>
      </c>
      <c r="D815">
        <v>837.95</v>
      </c>
      <c r="E815">
        <v>0</v>
      </c>
      <c r="F815">
        <v>2920763.47</v>
      </c>
      <c r="I815" s="232">
        <v>42433</v>
      </c>
    </row>
    <row r="816" spans="1:9" hidden="1">
      <c r="A816" s="232">
        <v>42433</v>
      </c>
      <c r="B816" t="s">
        <v>2063</v>
      </c>
      <c r="C816" t="s">
        <v>5647</v>
      </c>
      <c r="D816">
        <v>5000</v>
      </c>
      <c r="E816">
        <v>0</v>
      </c>
      <c r="F816">
        <v>2915763.47</v>
      </c>
      <c r="G816" s="8" t="s">
        <v>1361</v>
      </c>
      <c r="I816" s="232">
        <v>42433</v>
      </c>
    </row>
    <row r="817" spans="1:9" hidden="1">
      <c r="A817" s="232">
        <v>42433</v>
      </c>
      <c r="B817" t="s">
        <v>1938</v>
      </c>
      <c r="C817" t="s">
        <v>5648</v>
      </c>
      <c r="D817">
        <v>0</v>
      </c>
      <c r="E817">
        <v>1015</v>
      </c>
      <c r="F817">
        <v>2916778.47</v>
      </c>
      <c r="G817" s="8" t="s">
        <v>1380</v>
      </c>
      <c r="I817" s="232">
        <v>42433</v>
      </c>
    </row>
    <row r="818" spans="1:9" hidden="1">
      <c r="A818" s="232">
        <v>42434</v>
      </c>
      <c r="B818" t="s">
        <v>1914</v>
      </c>
      <c r="C818" t="s">
        <v>5649</v>
      </c>
      <c r="D818">
        <v>8735</v>
      </c>
      <c r="E818">
        <v>0</v>
      </c>
      <c r="F818">
        <v>2908043.47</v>
      </c>
      <c r="I818" s="232">
        <v>42434</v>
      </c>
    </row>
    <row r="819" spans="1:9" hidden="1">
      <c r="A819" s="232">
        <v>42434</v>
      </c>
      <c r="B819" t="s">
        <v>1997</v>
      </c>
      <c r="C819" t="s">
        <v>5650</v>
      </c>
      <c r="D819">
        <v>12000</v>
      </c>
      <c r="E819">
        <v>0</v>
      </c>
      <c r="F819">
        <v>2896043.47</v>
      </c>
      <c r="I819" s="232">
        <v>42434</v>
      </c>
    </row>
    <row r="820" spans="1:9" hidden="1">
      <c r="A820" s="232">
        <v>42434</v>
      </c>
      <c r="B820" t="s">
        <v>1914</v>
      </c>
      <c r="C820" t="s">
        <v>5651</v>
      </c>
      <c r="D820">
        <v>1202</v>
      </c>
      <c r="E820">
        <v>0</v>
      </c>
      <c r="F820">
        <v>2894841.47</v>
      </c>
      <c r="I820" s="232">
        <v>42434</v>
      </c>
    </row>
    <row r="821" spans="1:9" hidden="1">
      <c r="A821" s="232">
        <v>42436</v>
      </c>
      <c r="B821" t="s">
        <v>2737</v>
      </c>
      <c r="C821" t="s">
        <v>5413</v>
      </c>
      <c r="D821">
        <v>34893</v>
      </c>
      <c r="E821">
        <v>0</v>
      </c>
      <c r="F821">
        <v>2859948.47</v>
      </c>
      <c r="G821" s="8" t="s">
        <v>1362</v>
      </c>
      <c r="I821" s="232">
        <v>42436</v>
      </c>
    </row>
    <row r="822" spans="1:9" hidden="1">
      <c r="A822" s="232">
        <v>42437</v>
      </c>
      <c r="B822" t="s">
        <v>1914</v>
      </c>
      <c r="C822" t="s">
        <v>5652</v>
      </c>
      <c r="D822">
        <v>5012</v>
      </c>
      <c r="E822">
        <v>0</v>
      </c>
      <c r="F822">
        <v>2854936.47</v>
      </c>
      <c r="I822" s="232">
        <v>42437</v>
      </c>
    </row>
    <row r="823" spans="1:9" hidden="1">
      <c r="A823" s="232">
        <v>42439</v>
      </c>
      <c r="B823" t="s">
        <v>1938</v>
      </c>
      <c r="C823" t="s">
        <v>5653</v>
      </c>
      <c r="D823">
        <v>0</v>
      </c>
      <c r="E823">
        <v>410</v>
      </c>
      <c r="F823">
        <v>2855346.47</v>
      </c>
      <c r="G823" s="8" t="s">
        <v>1380</v>
      </c>
      <c r="I823" s="232">
        <v>42439</v>
      </c>
    </row>
    <row r="824" spans="1:9" hidden="1">
      <c r="A824" s="232">
        <v>42440</v>
      </c>
      <c r="B824" t="s">
        <v>1914</v>
      </c>
      <c r="C824" t="s">
        <v>5654</v>
      </c>
      <c r="D824">
        <v>510</v>
      </c>
      <c r="E824">
        <v>0</v>
      </c>
      <c r="F824">
        <v>2854836.47</v>
      </c>
      <c r="I824" s="232">
        <v>42440</v>
      </c>
    </row>
    <row r="825" spans="1:9" hidden="1">
      <c r="A825" s="232">
        <v>42443</v>
      </c>
      <c r="B825" t="s">
        <v>2063</v>
      </c>
      <c r="C825" t="s">
        <v>2303</v>
      </c>
      <c r="D825">
        <v>10000</v>
      </c>
      <c r="E825">
        <v>0</v>
      </c>
      <c r="F825">
        <v>2844836.47</v>
      </c>
      <c r="G825" s="8" t="s">
        <v>1361</v>
      </c>
      <c r="I825" s="232">
        <v>42443</v>
      </c>
    </row>
    <row r="826" spans="1:9" hidden="1">
      <c r="A826" s="232">
        <v>42444</v>
      </c>
      <c r="B826" t="s">
        <v>1914</v>
      </c>
      <c r="C826" t="s">
        <v>5655</v>
      </c>
      <c r="D826">
        <v>50000</v>
      </c>
      <c r="E826">
        <v>0</v>
      </c>
      <c r="F826">
        <v>2794836.47</v>
      </c>
      <c r="G826" s="8" t="s">
        <v>1379</v>
      </c>
      <c r="I826" s="232">
        <v>42444</v>
      </c>
    </row>
    <row r="827" spans="1:9" hidden="1">
      <c r="A827" s="232">
        <v>42448</v>
      </c>
      <c r="B827" t="s">
        <v>5656</v>
      </c>
      <c r="C827" t="s">
        <v>5657</v>
      </c>
      <c r="D827">
        <v>6250</v>
      </c>
      <c r="E827">
        <v>0</v>
      </c>
      <c r="F827">
        <v>2788586.47</v>
      </c>
      <c r="I827" s="232">
        <v>42448</v>
      </c>
    </row>
    <row r="828" spans="1:9" hidden="1">
      <c r="A828" s="232">
        <v>42451</v>
      </c>
      <c r="B828" t="s">
        <v>1914</v>
      </c>
      <c r="C828" t="s">
        <v>5658</v>
      </c>
      <c r="D828">
        <v>500000</v>
      </c>
      <c r="E828">
        <v>0</v>
      </c>
      <c r="F828">
        <v>2288586.4700000002</v>
      </c>
      <c r="G828" s="8" t="s">
        <v>1363</v>
      </c>
      <c r="I828" s="232">
        <v>42451</v>
      </c>
    </row>
    <row r="829" spans="1:9" hidden="1">
      <c r="A829" s="232">
        <v>42451</v>
      </c>
      <c r="B829" t="s">
        <v>1938</v>
      </c>
      <c r="C829" t="s">
        <v>5659</v>
      </c>
      <c r="D829">
        <v>0</v>
      </c>
      <c r="E829">
        <v>1015</v>
      </c>
      <c r="F829">
        <v>2289601.4700000002</v>
      </c>
      <c r="G829" s="8" t="s">
        <v>1380</v>
      </c>
      <c r="I829" s="232">
        <v>42451</v>
      </c>
    </row>
    <row r="830" spans="1:9" hidden="1">
      <c r="A830" s="232">
        <v>42459</v>
      </c>
      <c r="C830" t="s">
        <v>5660</v>
      </c>
      <c r="D830">
        <v>0</v>
      </c>
      <c r="E830">
        <v>21684</v>
      </c>
      <c r="F830">
        <v>2311285.4700000002</v>
      </c>
      <c r="G830" s="8" t="s">
        <v>1368</v>
      </c>
      <c r="I830" s="232">
        <v>42459</v>
      </c>
    </row>
    <row r="831" spans="1:9" hidden="1">
      <c r="A831" s="232">
        <v>42459</v>
      </c>
      <c r="B831" t="s">
        <v>2063</v>
      </c>
      <c r="C831" t="s">
        <v>5661</v>
      </c>
      <c r="D831">
        <v>10000</v>
      </c>
      <c r="E831">
        <v>0</v>
      </c>
      <c r="F831">
        <v>2301285.4700000002</v>
      </c>
      <c r="G831" s="8" t="s">
        <v>1361</v>
      </c>
      <c r="I831" s="232">
        <v>42459</v>
      </c>
    </row>
    <row r="832" spans="1:9" hidden="1">
      <c r="A832" s="232">
        <v>42460</v>
      </c>
      <c r="B832" t="s">
        <v>1938</v>
      </c>
      <c r="C832" t="s">
        <v>5662</v>
      </c>
      <c r="D832">
        <v>0</v>
      </c>
      <c r="E832">
        <v>319464</v>
      </c>
      <c r="F832">
        <v>2620749.4700000002</v>
      </c>
      <c r="G832" s="8" t="s">
        <v>1380</v>
      </c>
      <c r="I832" s="232">
        <v>42460</v>
      </c>
    </row>
    <row r="833" spans="1:9" hidden="1">
      <c r="A833" s="232">
        <v>42460</v>
      </c>
      <c r="B833" t="s">
        <v>1938</v>
      </c>
      <c r="C833" t="s">
        <v>5663</v>
      </c>
      <c r="D833">
        <v>0</v>
      </c>
      <c r="E833">
        <v>942</v>
      </c>
      <c r="F833">
        <v>2621691.4700000002</v>
      </c>
      <c r="G833" s="8" t="s">
        <v>1380</v>
      </c>
      <c r="I833" s="232">
        <v>42460</v>
      </c>
    </row>
    <row r="834" spans="1:9" hidden="1">
      <c r="A834" s="232">
        <v>42461</v>
      </c>
      <c r="C834" t="s">
        <v>1394</v>
      </c>
      <c r="D834">
        <v>0</v>
      </c>
      <c r="E834">
        <v>0</v>
      </c>
      <c r="F834">
        <v>2621691.4700000002</v>
      </c>
      <c r="I834" s="232">
        <v>42461</v>
      </c>
    </row>
    <row r="835" spans="1:9" hidden="1">
      <c r="A835" s="232">
        <v>42462</v>
      </c>
      <c r="B835" t="s">
        <v>1914</v>
      </c>
      <c r="C835" t="s">
        <v>5664</v>
      </c>
      <c r="D835">
        <v>50000</v>
      </c>
      <c r="E835">
        <v>0</v>
      </c>
      <c r="F835">
        <v>2571691.4700000002</v>
      </c>
      <c r="G835" s="8" t="s">
        <v>1379</v>
      </c>
      <c r="I835" s="232">
        <v>42462</v>
      </c>
    </row>
    <row r="836" spans="1:9" hidden="1">
      <c r="A836" s="232">
        <v>42462</v>
      </c>
      <c r="B836" t="s">
        <v>1914</v>
      </c>
      <c r="C836" t="s">
        <v>5665</v>
      </c>
      <c r="D836">
        <v>1521</v>
      </c>
      <c r="E836">
        <v>0</v>
      </c>
      <c r="F836">
        <v>2570170.4700000002</v>
      </c>
      <c r="I836" s="232">
        <v>42462</v>
      </c>
    </row>
    <row r="837" spans="1:9" hidden="1">
      <c r="A837" s="232">
        <v>42462</v>
      </c>
      <c r="B837" t="s">
        <v>1997</v>
      </c>
      <c r="C837" t="s">
        <v>5666</v>
      </c>
      <c r="D837">
        <v>40000</v>
      </c>
      <c r="E837">
        <v>0</v>
      </c>
      <c r="F837">
        <v>2530170.4700000002</v>
      </c>
      <c r="I837" s="232">
        <v>42462</v>
      </c>
    </row>
    <row r="838" spans="1:9" hidden="1">
      <c r="A838" s="232">
        <v>42462</v>
      </c>
      <c r="B838" t="s">
        <v>1914</v>
      </c>
      <c r="C838" t="s">
        <v>5667</v>
      </c>
      <c r="D838">
        <v>502.77</v>
      </c>
      <c r="E838">
        <v>0</v>
      </c>
      <c r="F838">
        <v>2529667.7000000002</v>
      </c>
      <c r="I838" s="232">
        <v>42462</v>
      </c>
    </row>
    <row r="839" spans="1:9" hidden="1">
      <c r="A839" s="232">
        <v>42464</v>
      </c>
      <c r="C839" t="s">
        <v>5668</v>
      </c>
      <c r="D839">
        <v>25000</v>
      </c>
      <c r="E839">
        <v>0</v>
      </c>
      <c r="F839">
        <v>2504667.7000000002</v>
      </c>
      <c r="G839" s="8" t="s">
        <v>1379</v>
      </c>
      <c r="I839" s="232">
        <v>42464</v>
      </c>
    </row>
    <row r="840" spans="1:9" hidden="1">
      <c r="A840" s="232">
        <v>42464</v>
      </c>
      <c r="B840" t="s">
        <v>2737</v>
      </c>
      <c r="C840" t="s">
        <v>5413</v>
      </c>
      <c r="D840">
        <v>5914.2</v>
      </c>
      <c r="E840">
        <v>0</v>
      </c>
      <c r="F840">
        <v>2498753.5</v>
      </c>
      <c r="G840" s="8" t="s">
        <v>1362</v>
      </c>
      <c r="I840" s="232">
        <v>42464</v>
      </c>
    </row>
    <row r="841" spans="1:9" hidden="1">
      <c r="A841" s="232">
        <v>42466</v>
      </c>
      <c r="B841" t="s">
        <v>5669</v>
      </c>
      <c r="C841" t="s">
        <v>5670</v>
      </c>
      <c r="D841">
        <v>9150</v>
      </c>
      <c r="E841">
        <v>0</v>
      </c>
      <c r="F841">
        <v>2489603.5</v>
      </c>
      <c r="I841" s="232">
        <v>42466</v>
      </c>
    </row>
    <row r="842" spans="1:9" hidden="1">
      <c r="A842" s="232">
        <v>42466</v>
      </c>
      <c r="B842" t="s">
        <v>1938</v>
      </c>
      <c r="C842" t="s">
        <v>5671</v>
      </c>
      <c r="D842">
        <v>0</v>
      </c>
      <c r="E842">
        <v>410</v>
      </c>
      <c r="F842">
        <v>2490013.5</v>
      </c>
      <c r="G842" s="8" t="s">
        <v>1380</v>
      </c>
      <c r="I842" s="232">
        <v>42466</v>
      </c>
    </row>
    <row r="843" spans="1:9" hidden="1">
      <c r="A843" s="232">
        <v>42467</v>
      </c>
      <c r="B843" t="s">
        <v>1997</v>
      </c>
      <c r="C843" t="s">
        <v>5672</v>
      </c>
      <c r="D843">
        <v>12000</v>
      </c>
      <c r="E843">
        <v>0</v>
      </c>
      <c r="F843">
        <v>2478013.5</v>
      </c>
      <c r="I843" s="232">
        <v>42467</v>
      </c>
    </row>
    <row r="844" spans="1:9" hidden="1">
      <c r="A844" s="232">
        <v>42471</v>
      </c>
      <c r="C844" t="s">
        <v>5673</v>
      </c>
      <c r="D844">
        <v>25000</v>
      </c>
      <c r="E844">
        <v>0</v>
      </c>
      <c r="F844">
        <v>2453013.5</v>
      </c>
      <c r="G844" s="8" t="s">
        <v>1379</v>
      </c>
      <c r="I844" s="232">
        <v>42471</v>
      </c>
    </row>
    <row r="845" spans="1:9" hidden="1">
      <c r="A845" s="232">
        <v>42471</v>
      </c>
      <c r="B845" t="s">
        <v>2063</v>
      </c>
      <c r="C845" t="s">
        <v>2317</v>
      </c>
      <c r="D845">
        <v>15000</v>
      </c>
      <c r="E845">
        <v>0</v>
      </c>
      <c r="F845">
        <v>2438013.5</v>
      </c>
      <c r="G845" s="8" t="s">
        <v>1361</v>
      </c>
      <c r="I845" s="232">
        <v>42471</v>
      </c>
    </row>
    <row r="846" spans="1:9" hidden="1">
      <c r="A846" s="232">
        <v>42472</v>
      </c>
      <c r="C846" t="s">
        <v>5674</v>
      </c>
      <c r="D846">
        <v>0</v>
      </c>
      <c r="E846">
        <v>1130.24</v>
      </c>
      <c r="F846">
        <v>2439143.7400000002</v>
      </c>
      <c r="I846" s="232">
        <v>42472</v>
      </c>
    </row>
    <row r="847" spans="1:9" hidden="1">
      <c r="A847" s="232">
        <v>42473</v>
      </c>
      <c r="C847" t="s">
        <v>5675</v>
      </c>
      <c r="D847">
        <v>0</v>
      </c>
      <c r="E847">
        <v>11946.01</v>
      </c>
      <c r="F847">
        <v>2451089.75</v>
      </c>
      <c r="G847" s="8" t="s">
        <v>1380</v>
      </c>
      <c r="I847" s="232">
        <v>42473</v>
      </c>
    </row>
    <row r="848" spans="1:9" hidden="1">
      <c r="A848" s="232">
        <v>42475</v>
      </c>
      <c r="B848" t="s">
        <v>1914</v>
      </c>
      <c r="C848" t="s">
        <v>5676</v>
      </c>
      <c r="D848">
        <v>47000</v>
      </c>
      <c r="E848">
        <v>0</v>
      </c>
      <c r="F848">
        <v>2404089.75</v>
      </c>
      <c r="G848" s="8" t="s">
        <v>1379</v>
      </c>
      <c r="I848" s="232">
        <v>42475</v>
      </c>
    </row>
    <row r="849" spans="1:9" hidden="1">
      <c r="A849" s="232">
        <v>42475</v>
      </c>
      <c r="B849" t="s">
        <v>1914</v>
      </c>
      <c r="C849" t="s">
        <v>5677</v>
      </c>
      <c r="D849">
        <v>50000</v>
      </c>
      <c r="E849">
        <v>0</v>
      </c>
      <c r="F849">
        <v>2354089.75</v>
      </c>
      <c r="G849" s="8" t="s">
        <v>1379</v>
      </c>
      <c r="I849" s="232">
        <v>42475</v>
      </c>
    </row>
    <row r="850" spans="1:9" hidden="1">
      <c r="A850" s="232">
        <v>42475</v>
      </c>
      <c r="B850" t="s">
        <v>1963</v>
      </c>
      <c r="C850" t="s">
        <v>5678</v>
      </c>
      <c r="D850">
        <v>10000</v>
      </c>
      <c r="E850">
        <v>0</v>
      </c>
      <c r="F850">
        <v>2344089.75</v>
      </c>
      <c r="G850" s="8" t="s">
        <v>1361</v>
      </c>
      <c r="I850" s="232">
        <v>42475</v>
      </c>
    </row>
    <row r="851" spans="1:9" hidden="1">
      <c r="A851" s="232">
        <v>42478</v>
      </c>
      <c r="B851" t="s">
        <v>1938</v>
      </c>
      <c r="C851" t="s">
        <v>5679</v>
      </c>
      <c r="D851">
        <v>0</v>
      </c>
      <c r="E851">
        <v>730.53</v>
      </c>
      <c r="F851">
        <v>2344820.2799999998</v>
      </c>
      <c r="G851" s="8" t="s">
        <v>1380</v>
      </c>
      <c r="I851" s="232">
        <v>42478</v>
      </c>
    </row>
    <row r="852" spans="1:9" hidden="1">
      <c r="A852" s="232">
        <v>42485</v>
      </c>
      <c r="C852" t="s">
        <v>5680</v>
      </c>
      <c r="D852">
        <v>0</v>
      </c>
      <c r="E852">
        <v>417300</v>
      </c>
      <c r="F852">
        <v>2762120.28</v>
      </c>
      <c r="G852" s="8" t="s">
        <v>1379</v>
      </c>
      <c r="I852" s="232">
        <v>42485</v>
      </c>
    </row>
    <row r="853" spans="1:9" hidden="1">
      <c r="A853" s="232">
        <v>42485</v>
      </c>
      <c r="B853" t="s">
        <v>1914</v>
      </c>
      <c r="C853" t="s">
        <v>5681</v>
      </c>
      <c r="D853">
        <v>248627</v>
      </c>
      <c r="E853">
        <v>0</v>
      </c>
      <c r="F853">
        <v>2513493.2799999998</v>
      </c>
      <c r="G853" s="8" t="s">
        <v>1370</v>
      </c>
      <c r="I853" s="232">
        <v>42485</v>
      </c>
    </row>
    <row r="854" spans="1:9" hidden="1">
      <c r="A854" s="232">
        <v>42487</v>
      </c>
      <c r="B854" t="s">
        <v>1914</v>
      </c>
      <c r="C854" t="s">
        <v>5682</v>
      </c>
      <c r="D854">
        <v>259317</v>
      </c>
      <c r="E854">
        <v>0</v>
      </c>
      <c r="F854">
        <v>2254176.2799999998</v>
      </c>
      <c r="I854" s="232">
        <v>42487</v>
      </c>
    </row>
    <row r="855" spans="1:9" hidden="1">
      <c r="A855" s="232">
        <v>42489</v>
      </c>
      <c r="B855" t="s">
        <v>1938</v>
      </c>
      <c r="C855" t="s">
        <v>5683</v>
      </c>
      <c r="D855">
        <v>0</v>
      </c>
      <c r="E855">
        <v>248709</v>
      </c>
      <c r="F855">
        <v>2502885.2799999998</v>
      </c>
      <c r="G855" s="8" t="s">
        <v>1380</v>
      </c>
      <c r="I855" s="232">
        <v>42489</v>
      </c>
    </row>
    <row r="856" spans="1:9" hidden="1">
      <c r="A856" s="232">
        <v>42489</v>
      </c>
      <c r="B856" t="s">
        <v>1997</v>
      </c>
      <c r="C856" t="s">
        <v>5684</v>
      </c>
      <c r="D856">
        <v>50000</v>
      </c>
      <c r="E856">
        <v>0</v>
      </c>
      <c r="F856">
        <v>2452885.2799999998</v>
      </c>
      <c r="I856" s="232">
        <v>42489</v>
      </c>
    </row>
    <row r="857" spans="1:9" hidden="1">
      <c r="A857" s="232">
        <v>42492</v>
      </c>
      <c r="B857" t="s">
        <v>1914</v>
      </c>
      <c r="C857" t="s">
        <v>5685</v>
      </c>
      <c r="D857">
        <v>50000</v>
      </c>
      <c r="E857">
        <v>0</v>
      </c>
      <c r="F857">
        <v>2402885.2799999998</v>
      </c>
      <c r="G857" s="8" t="s">
        <v>1379</v>
      </c>
      <c r="I857" s="232">
        <v>42492</v>
      </c>
    </row>
    <row r="858" spans="1:9" hidden="1">
      <c r="A858" s="232">
        <v>42493</v>
      </c>
      <c r="B858" t="s">
        <v>1938</v>
      </c>
      <c r="C858" t="s">
        <v>5686</v>
      </c>
      <c r="D858">
        <v>0</v>
      </c>
      <c r="E858">
        <v>410</v>
      </c>
      <c r="F858">
        <v>2403295.2799999998</v>
      </c>
      <c r="G858" s="8" t="s">
        <v>1380</v>
      </c>
      <c r="I858" s="232">
        <v>42493</v>
      </c>
    </row>
    <row r="859" spans="1:9" hidden="1">
      <c r="A859" s="232">
        <v>42494</v>
      </c>
      <c r="B859" t="s">
        <v>2737</v>
      </c>
      <c r="C859" t="s">
        <v>5413</v>
      </c>
      <c r="D859">
        <v>10827</v>
      </c>
      <c r="E859">
        <v>0</v>
      </c>
      <c r="F859">
        <v>2392468.2799999998</v>
      </c>
      <c r="G859" s="8" t="s">
        <v>1362</v>
      </c>
      <c r="I859" s="232">
        <v>42494</v>
      </c>
    </row>
    <row r="860" spans="1:9" hidden="1">
      <c r="A860" s="232">
        <v>42496</v>
      </c>
      <c r="B860" t="s">
        <v>1997</v>
      </c>
      <c r="C860" t="s">
        <v>5687</v>
      </c>
      <c r="D860">
        <v>50000</v>
      </c>
      <c r="E860">
        <v>0</v>
      </c>
      <c r="F860">
        <v>2342468.2799999998</v>
      </c>
      <c r="I860" s="232">
        <v>42496</v>
      </c>
    </row>
    <row r="861" spans="1:9" hidden="1">
      <c r="A861" s="232">
        <v>42501</v>
      </c>
      <c r="B861" t="s">
        <v>1938</v>
      </c>
      <c r="C861" t="s">
        <v>5688</v>
      </c>
      <c r="D861">
        <v>0</v>
      </c>
      <c r="E861">
        <v>1015</v>
      </c>
      <c r="F861">
        <v>2343483.2799999998</v>
      </c>
      <c r="G861" s="8" t="s">
        <v>1380</v>
      </c>
      <c r="I861" s="232">
        <v>42501</v>
      </c>
    </row>
    <row r="862" spans="1:9" hidden="1">
      <c r="A862" s="232">
        <v>42506</v>
      </c>
      <c r="B862" t="s">
        <v>1914</v>
      </c>
      <c r="C862" t="s">
        <v>5689</v>
      </c>
      <c r="D862">
        <v>47000</v>
      </c>
      <c r="E862">
        <v>0</v>
      </c>
      <c r="F862">
        <v>2296483.2799999998</v>
      </c>
      <c r="G862" s="8" t="s">
        <v>1379</v>
      </c>
      <c r="I862" s="232">
        <v>42506</v>
      </c>
    </row>
    <row r="863" spans="1:9" hidden="1">
      <c r="A863" s="232">
        <v>42506</v>
      </c>
      <c r="B863" t="s">
        <v>1914</v>
      </c>
      <c r="C863" t="s">
        <v>5690</v>
      </c>
      <c r="D863">
        <v>50000</v>
      </c>
      <c r="E863">
        <v>0</v>
      </c>
      <c r="F863">
        <v>2246483.2799999998</v>
      </c>
      <c r="G863" s="8" t="s">
        <v>1379</v>
      </c>
      <c r="I863" s="232">
        <v>42506</v>
      </c>
    </row>
    <row r="864" spans="1:9" hidden="1">
      <c r="A864" s="232">
        <v>42507</v>
      </c>
      <c r="C864" t="s">
        <v>5691</v>
      </c>
      <c r="D864">
        <v>0</v>
      </c>
      <c r="E864">
        <v>839890</v>
      </c>
      <c r="F864">
        <v>3086373.28</v>
      </c>
      <c r="G864" s="8" t="s">
        <v>1379</v>
      </c>
      <c r="I864" s="232">
        <v>42507</v>
      </c>
    </row>
    <row r="865" spans="1:9" hidden="1">
      <c r="A865" s="232">
        <v>42514</v>
      </c>
      <c r="B865" t="s">
        <v>1938</v>
      </c>
      <c r="C865" t="s">
        <v>5692</v>
      </c>
      <c r="D865">
        <v>0</v>
      </c>
      <c r="E865">
        <v>2259</v>
      </c>
      <c r="F865">
        <v>3088632.28</v>
      </c>
      <c r="G865" s="8" t="s">
        <v>1380</v>
      </c>
      <c r="I865" s="232">
        <v>42514</v>
      </c>
    </row>
    <row r="866" spans="1:9" hidden="1">
      <c r="A866" s="232">
        <v>42517</v>
      </c>
      <c r="C866" t="s">
        <v>5693</v>
      </c>
      <c r="D866">
        <v>25000</v>
      </c>
      <c r="E866">
        <v>0</v>
      </c>
      <c r="F866">
        <v>3063632.28</v>
      </c>
      <c r="G866" s="8" t="s">
        <v>1379</v>
      </c>
      <c r="I866" s="232">
        <v>42517</v>
      </c>
    </row>
    <row r="867" spans="1:9" hidden="1">
      <c r="A867" s="232">
        <v>42521</v>
      </c>
      <c r="B867" t="s">
        <v>1938</v>
      </c>
      <c r="C867" t="s">
        <v>5694</v>
      </c>
      <c r="D867">
        <v>0</v>
      </c>
      <c r="E867">
        <v>273929</v>
      </c>
      <c r="F867">
        <v>3337561.28</v>
      </c>
      <c r="G867" s="8" t="s">
        <v>1380</v>
      </c>
      <c r="I867" s="232">
        <v>42521</v>
      </c>
    </row>
    <row r="868" spans="1:9" hidden="1">
      <c r="A868" s="232">
        <v>42522</v>
      </c>
      <c r="B868" t="s">
        <v>1914</v>
      </c>
      <c r="C868" t="s">
        <v>5695</v>
      </c>
      <c r="D868">
        <v>50000</v>
      </c>
      <c r="E868">
        <v>0</v>
      </c>
      <c r="F868">
        <v>3287561.28</v>
      </c>
      <c r="G868" s="8" t="s">
        <v>1379</v>
      </c>
      <c r="I868" s="232">
        <v>42522</v>
      </c>
    </row>
    <row r="869" spans="1:9" hidden="1">
      <c r="A869" s="232">
        <v>42524</v>
      </c>
      <c r="B869" t="s">
        <v>2737</v>
      </c>
      <c r="C869" t="s">
        <v>5413</v>
      </c>
      <c r="D869">
        <v>14123.81</v>
      </c>
      <c r="E869">
        <v>0</v>
      </c>
      <c r="F869">
        <v>3273437.47</v>
      </c>
      <c r="G869" s="8" t="s">
        <v>1362</v>
      </c>
      <c r="I869" s="232">
        <v>42524</v>
      </c>
    </row>
    <row r="870" spans="1:9" hidden="1">
      <c r="A870" s="232">
        <v>42524</v>
      </c>
      <c r="B870" t="s">
        <v>1938</v>
      </c>
      <c r="C870" t="s">
        <v>5696</v>
      </c>
      <c r="D870">
        <v>0</v>
      </c>
      <c r="E870">
        <v>410</v>
      </c>
      <c r="F870">
        <v>3273847.47</v>
      </c>
      <c r="G870" s="8" t="s">
        <v>1380</v>
      </c>
      <c r="I870" s="232">
        <v>42524</v>
      </c>
    </row>
    <row r="871" spans="1:9" hidden="1">
      <c r="A871" s="232">
        <v>42524</v>
      </c>
      <c r="B871" t="s">
        <v>1963</v>
      </c>
      <c r="C871" t="s">
        <v>5697</v>
      </c>
      <c r="D871">
        <v>5000</v>
      </c>
      <c r="E871">
        <v>0</v>
      </c>
      <c r="F871">
        <v>3268847.47</v>
      </c>
      <c r="G871" s="8" t="s">
        <v>1361</v>
      </c>
      <c r="I871" s="232">
        <v>42524</v>
      </c>
    </row>
    <row r="872" spans="1:9" hidden="1">
      <c r="A872" s="232">
        <v>42528</v>
      </c>
      <c r="B872" t="s">
        <v>1914</v>
      </c>
      <c r="C872" t="s">
        <v>5698</v>
      </c>
      <c r="D872">
        <v>3210</v>
      </c>
      <c r="E872">
        <v>0</v>
      </c>
      <c r="F872">
        <v>3265637.47</v>
      </c>
      <c r="G872" s="8" t="s">
        <v>1370</v>
      </c>
      <c r="I872" s="232">
        <v>42528</v>
      </c>
    </row>
    <row r="873" spans="1:9" hidden="1">
      <c r="A873" s="232">
        <v>42530</v>
      </c>
      <c r="B873" t="s">
        <v>1997</v>
      </c>
      <c r="C873" t="s">
        <v>5699</v>
      </c>
      <c r="D873">
        <v>12000</v>
      </c>
      <c r="E873">
        <v>0</v>
      </c>
      <c r="F873">
        <v>3253637.47</v>
      </c>
      <c r="I873" s="232">
        <v>42530</v>
      </c>
    </row>
    <row r="874" spans="1:9" hidden="1">
      <c r="A874" s="232">
        <v>42530</v>
      </c>
      <c r="C874" t="s">
        <v>5700</v>
      </c>
      <c r="D874">
        <v>25000</v>
      </c>
      <c r="E874">
        <v>0</v>
      </c>
      <c r="F874">
        <v>3228637.47</v>
      </c>
      <c r="G874" s="8" t="s">
        <v>1379</v>
      </c>
      <c r="I874" s="232">
        <v>42530</v>
      </c>
    </row>
    <row r="875" spans="1:9" hidden="1">
      <c r="A875" s="232">
        <v>42534</v>
      </c>
      <c r="B875" t="s">
        <v>1963</v>
      </c>
      <c r="C875" t="s">
        <v>5701</v>
      </c>
      <c r="D875">
        <v>10000</v>
      </c>
      <c r="E875">
        <v>0</v>
      </c>
      <c r="F875">
        <v>3218637.47</v>
      </c>
      <c r="G875" s="8" t="s">
        <v>1361</v>
      </c>
      <c r="I875" s="232">
        <v>42534</v>
      </c>
    </row>
    <row r="876" spans="1:9" hidden="1">
      <c r="A876" s="232">
        <v>42534</v>
      </c>
      <c r="B876" t="s">
        <v>1963</v>
      </c>
      <c r="C876" t="s">
        <v>5701</v>
      </c>
      <c r="D876">
        <v>10000</v>
      </c>
      <c r="E876">
        <v>0</v>
      </c>
      <c r="F876">
        <v>3208637.47</v>
      </c>
      <c r="G876" s="8" t="s">
        <v>1361</v>
      </c>
      <c r="I876" s="232">
        <v>42534</v>
      </c>
    </row>
    <row r="877" spans="1:9" hidden="1">
      <c r="A877" s="232">
        <v>42535</v>
      </c>
      <c r="B877" t="s">
        <v>1938</v>
      </c>
      <c r="C877" t="s">
        <v>5702</v>
      </c>
      <c r="D877">
        <v>0</v>
      </c>
      <c r="E877">
        <v>1015</v>
      </c>
      <c r="F877">
        <v>3209652.47</v>
      </c>
      <c r="G877" s="8" t="s">
        <v>1380</v>
      </c>
      <c r="I877" s="232">
        <v>42535</v>
      </c>
    </row>
    <row r="878" spans="1:9" hidden="1">
      <c r="A878" s="232">
        <v>42536</v>
      </c>
      <c r="B878" t="s">
        <v>1914</v>
      </c>
      <c r="C878" t="s">
        <v>5703</v>
      </c>
      <c r="D878">
        <v>47000</v>
      </c>
      <c r="E878">
        <v>0</v>
      </c>
      <c r="F878">
        <v>3162652.47</v>
      </c>
      <c r="G878" s="8" t="s">
        <v>1379</v>
      </c>
      <c r="I878" s="232">
        <v>42536</v>
      </c>
    </row>
    <row r="879" spans="1:9" hidden="1">
      <c r="A879" s="232">
        <v>42543</v>
      </c>
      <c r="B879" t="s">
        <v>1914</v>
      </c>
      <c r="C879" t="s">
        <v>5704</v>
      </c>
      <c r="D879">
        <v>7650</v>
      </c>
      <c r="E879">
        <v>0</v>
      </c>
      <c r="F879">
        <v>3155002.47</v>
      </c>
      <c r="I879" s="232">
        <v>42543</v>
      </c>
    </row>
    <row r="880" spans="1:9" hidden="1">
      <c r="A880" s="232">
        <v>42548</v>
      </c>
      <c r="C880" t="s">
        <v>5693</v>
      </c>
      <c r="D880">
        <v>25000</v>
      </c>
      <c r="E880">
        <v>0</v>
      </c>
      <c r="F880">
        <v>3130002.47</v>
      </c>
      <c r="G880" s="8" t="s">
        <v>1379</v>
      </c>
      <c r="I880" s="232">
        <v>42548</v>
      </c>
    </row>
    <row r="881" spans="1:9" hidden="1">
      <c r="A881" s="232">
        <v>42550</v>
      </c>
      <c r="C881" t="s">
        <v>5705</v>
      </c>
      <c r="D881">
        <v>0</v>
      </c>
      <c r="E881">
        <v>27533</v>
      </c>
      <c r="F881">
        <v>3157535.47</v>
      </c>
      <c r="G881" s="8" t="s">
        <v>1368</v>
      </c>
      <c r="I881" s="232">
        <v>42550</v>
      </c>
    </row>
    <row r="882" spans="1:9" hidden="1">
      <c r="A882" s="232">
        <v>42550</v>
      </c>
      <c r="B882" t="s">
        <v>1938</v>
      </c>
      <c r="C882" t="s">
        <v>5706</v>
      </c>
      <c r="D882">
        <v>0</v>
      </c>
      <c r="E882">
        <v>410</v>
      </c>
      <c r="F882">
        <v>3157945.47</v>
      </c>
      <c r="G882" s="8" t="s">
        <v>1380</v>
      </c>
      <c r="I882" s="232">
        <v>42550</v>
      </c>
    </row>
    <row r="883" spans="1:9" hidden="1">
      <c r="A883" s="232">
        <v>42551</v>
      </c>
      <c r="B883" t="s">
        <v>1938</v>
      </c>
      <c r="C883" t="s">
        <v>5707</v>
      </c>
      <c r="D883">
        <v>0</v>
      </c>
      <c r="E883">
        <v>246979</v>
      </c>
      <c r="F883">
        <v>3404924.47</v>
      </c>
      <c r="G883" s="8" t="s">
        <v>1380</v>
      </c>
      <c r="I883" s="232">
        <v>42551</v>
      </c>
    </row>
    <row r="884" spans="1:9" hidden="1">
      <c r="A884" s="232">
        <v>42552</v>
      </c>
      <c r="B884" t="s">
        <v>1914</v>
      </c>
      <c r="C884" t="s">
        <v>5708</v>
      </c>
      <c r="D884">
        <v>28000</v>
      </c>
      <c r="E884">
        <v>0</v>
      </c>
      <c r="F884">
        <v>3376924.47</v>
      </c>
      <c r="G884" s="8" t="s">
        <v>1379</v>
      </c>
      <c r="I884" s="232">
        <v>42552</v>
      </c>
    </row>
    <row r="885" spans="1:9" hidden="1">
      <c r="A885" s="232">
        <v>42552</v>
      </c>
      <c r="B885" t="s">
        <v>1914</v>
      </c>
      <c r="C885" t="s">
        <v>5709</v>
      </c>
      <c r="D885">
        <v>50000</v>
      </c>
      <c r="E885">
        <v>0</v>
      </c>
      <c r="F885">
        <v>3326924.47</v>
      </c>
      <c r="G885" s="8" t="s">
        <v>1379</v>
      </c>
      <c r="I885" s="232">
        <v>42552</v>
      </c>
    </row>
    <row r="886" spans="1:9" hidden="1">
      <c r="A886" s="232">
        <v>42555</v>
      </c>
      <c r="B886" t="s">
        <v>2737</v>
      </c>
      <c r="C886" t="s">
        <v>5413</v>
      </c>
      <c r="D886">
        <v>483.65</v>
      </c>
      <c r="E886">
        <v>0</v>
      </c>
      <c r="F886">
        <v>3326440.82</v>
      </c>
      <c r="G886" s="8" t="s">
        <v>1362</v>
      </c>
      <c r="I886" s="232">
        <v>42555</v>
      </c>
    </row>
    <row r="887" spans="1:9" hidden="1">
      <c r="A887" s="232">
        <v>42555</v>
      </c>
      <c r="B887" t="s">
        <v>2063</v>
      </c>
      <c r="C887" t="s">
        <v>5710</v>
      </c>
      <c r="D887">
        <v>5000</v>
      </c>
      <c r="E887">
        <v>0</v>
      </c>
      <c r="F887">
        <v>3321440.82</v>
      </c>
      <c r="G887" s="8" t="s">
        <v>1361</v>
      </c>
      <c r="I887" s="232">
        <v>42555</v>
      </c>
    </row>
    <row r="888" spans="1:9" hidden="1">
      <c r="A888" s="232">
        <v>42555</v>
      </c>
      <c r="B888" t="s">
        <v>2063</v>
      </c>
      <c r="C888" t="s">
        <v>5711</v>
      </c>
      <c r="D888">
        <v>0</v>
      </c>
      <c r="E888">
        <v>5000</v>
      </c>
      <c r="F888">
        <v>3326440.82</v>
      </c>
      <c r="I888" s="232">
        <v>42555</v>
      </c>
    </row>
    <row r="889" spans="1:9" hidden="1">
      <c r="A889" s="232">
        <v>42562</v>
      </c>
      <c r="B889" t="s">
        <v>1997</v>
      </c>
      <c r="C889" t="s">
        <v>5712</v>
      </c>
      <c r="D889">
        <v>12000</v>
      </c>
      <c r="E889">
        <v>0</v>
      </c>
      <c r="F889">
        <v>3314440.82</v>
      </c>
      <c r="I889" s="232">
        <v>42562</v>
      </c>
    </row>
    <row r="890" spans="1:9" hidden="1">
      <c r="A890" s="232">
        <v>42562</v>
      </c>
      <c r="B890" t="s">
        <v>1997</v>
      </c>
      <c r="C890" t="s">
        <v>5712</v>
      </c>
      <c r="D890">
        <v>0</v>
      </c>
      <c r="E890">
        <v>12000</v>
      </c>
      <c r="F890">
        <v>3326440.82</v>
      </c>
      <c r="I890" s="232">
        <v>42562</v>
      </c>
    </row>
    <row r="891" spans="1:9" hidden="1">
      <c r="A891" s="232">
        <v>42562</v>
      </c>
      <c r="B891" t="s">
        <v>1997</v>
      </c>
      <c r="C891" t="s">
        <v>5713</v>
      </c>
      <c r="D891">
        <v>12000</v>
      </c>
      <c r="E891">
        <v>0</v>
      </c>
      <c r="F891">
        <v>3314440.82</v>
      </c>
      <c r="I891" s="232">
        <v>42562</v>
      </c>
    </row>
    <row r="892" spans="1:9" hidden="1">
      <c r="A892" s="232">
        <v>42562</v>
      </c>
      <c r="B892" t="s">
        <v>1997</v>
      </c>
      <c r="C892" t="s">
        <v>5713</v>
      </c>
      <c r="D892">
        <v>0</v>
      </c>
      <c r="E892">
        <v>12000</v>
      </c>
      <c r="F892">
        <v>3326440.82</v>
      </c>
      <c r="I892" s="232">
        <v>42562</v>
      </c>
    </row>
    <row r="893" spans="1:9" hidden="1">
      <c r="A893" s="232">
        <v>42562</v>
      </c>
      <c r="B893" t="s">
        <v>1997</v>
      </c>
      <c r="C893" t="s">
        <v>5714</v>
      </c>
      <c r="D893">
        <v>12000</v>
      </c>
      <c r="E893">
        <v>0</v>
      </c>
      <c r="F893">
        <v>3314440.82</v>
      </c>
      <c r="I893" s="232">
        <v>42562</v>
      </c>
    </row>
    <row r="894" spans="1:9" hidden="1">
      <c r="A894" s="232">
        <v>42562</v>
      </c>
      <c r="B894" t="s">
        <v>1997</v>
      </c>
      <c r="C894" t="s">
        <v>5714</v>
      </c>
      <c r="D894">
        <v>0</v>
      </c>
      <c r="E894">
        <v>12000</v>
      </c>
      <c r="F894">
        <v>3326440.82</v>
      </c>
      <c r="I894" s="232">
        <v>42562</v>
      </c>
    </row>
    <row r="895" spans="1:9" hidden="1">
      <c r="A895" s="232">
        <v>42562</v>
      </c>
      <c r="B895" t="s">
        <v>1963</v>
      </c>
      <c r="C895" t="s">
        <v>5715</v>
      </c>
      <c r="D895">
        <v>7500</v>
      </c>
      <c r="E895">
        <v>0</v>
      </c>
      <c r="F895">
        <v>3318940.82</v>
      </c>
      <c r="G895" s="8" t="s">
        <v>1361</v>
      </c>
      <c r="I895" s="232">
        <v>42562</v>
      </c>
    </row>
    <row r="896" spans="1:9" hidden="1">
      <c r="A896" s="232">
        <v>42562</v>
      </c>
      <c r="B896" t="s">
        <v>1914</v>
      </c>
      <c r="C896" t="s">
        <v>5716</v>
      </c>
      <c r="D896">
        <v>8810</v>
      </c>
      <c r="E896">
        <v>0</v>
      </c>
      <c r="F896">
        <v>3310130.82</v>
      </c>
      <c r="I896" s="232">
        <v>42562</v>
      </c>
    </row>
    <row r="897" spans="1:9" hidden="1">
      <c r="A897" s="232">
        <v>42565</v>
      </c>
      <c r="B897" t="s">
        <v>1997</v>
      </c>
      <c r="C897" t="s">
        <v>5717</v>
      </c>
      <c r="D897">
        <v>12000</v>
      </c>
      <c r="E897">
        <v>0</v>
      </c>
      <c r="F897">
        <v>3298130.82</v>
      </c>
      <c r="I897" s="232">
        <v>42565</v>
      </c>
    </row>
    <row r="898" spans="1:9" hidden="1">
      <c r="A898" s="232">
        <v>42566</v>
      </c>
      <c r="B898" t="s">
        <v>1914</v>
      </c>
      <c r="C898" t="s">
        <v>5718</v>
      </c>
      <c r="D898">
        <v>47000</v>
      </c>
      <c r="E898">
        <v>0</v>
      </c>
      <c r="F898">
        <v>3251130.82</v>
      </c>
      <c r="G898" s="8" t="s">
        <v>1379</v>
      </c>
      <c r="I898" s="232">
        <v>42566</v>
      </c>
    </row>
    <row r="899" spans="1:9" hidden="1">
      <c r="A899" s="232">
        <v>42571</v>
      </c>
      <c r="B899" t="s">
        <v>1938</v>
      </c>
      <c r="C899" t="s">
        <v>5719</v>
      </c>
      <c r="D899">
        <v>0</v>
      </c>
      <c r="E899">
        <v>1015</v>
      </c>
      <c r="F899">
        <v>3252145.82</v>
      </c>
      <c r="G899" s="8" t="s">
        <v>1380</v>
      </c>
      <c r="I899" s="232">
        <v>42571</v>
      </c>
    </row>
    <row r="900" spans="1:9" hidden="1">
      <c r="A900" s="232">
        <v>42572</v>
      </c>
      <c r="B900" t="s">
        <v>2063</v>
      </c>
      <c r="C900" t="s">
        <v>5720</v>
      </c>
      <c r="D900">
        <v>10000</v>
      </c>
      <c r="E900">
        <v>0</v>
      </c>
      <c r="F900">
        <v>3242145.82</v>
      </c>
      <c r="G900" s="8" t="s">
        <v>1361</v>
      </c>
      <c r="I900" s="232">
        <v>42572</v>
      </c>
    </row>
    <row r="901" spans="1:9" hidden="1">
      <c r="A901" s="232">
        <v>42577</v>
      </c>
      <c r="B901" t="s">
        <v>5721</v>
      </c>
      <c r="C901" t="s">
        <v>5722</v>
      </c>
      <c r="D901">
        <v>20000</v>
      </c>
      <c r="E901">
        <v>0</v>
      </c>
      <c r="F901">
        <v>3222145.82</v>
      </c>
      <c r="G901" s="8" t="s">
        <v>1358</v>
      </c>
      <c r="I901" s="232">
        <v>42577</v>
      </c>
    </row>
    <row r="902" spans="1:9" hidden="1">
      <c r="A902" s="232">
        <v>42578</v>
      </c>
      <c r="C902" t="s">
        <v>5693</v>
      </c>
      <c r="D902">
        <v>25000</v>
      </c>
      <c r="E902">
        <v>0</v>
      </c>
      <c r="F902">
        <v>3197145.82</v>
      </c>
      <c r="G902" s="8" t="s">
        <v>1379</v>
      </c>
      <c r="I902" s="232">
        <v>42578</v>
      </c>
    </row>
    <row r="903" spans="1:9" hidden="1">
      <c r="A903" s="232">
        <v>42580</v>
      </c>
      <c r="B903" t="s">
        <v>1938</v>
      </c>
      <c r="C903" t="s">
        <v>5723</v>
      </c>
      <c r="D903">
        <v>0</v>
      </c>
      <c r="E903">
        <v>247035</v>
      </c>
      <c r="F903">
        <v>3444180.82</v>
      </c>
      <c r="G903" s="8" t="s">
        <v>1380</v>
      </c>
      <c r="I903" s="232">
        <v>42580</v>
      </c>
    </row>
    <row r="904" spans="1:9" hidden="1">
      <c r="A904" s="232">
        <v>42583</v>
      </c>
      <c r="B904" t="s">
        <v>1914</v>
      </c>
      <c r="C904" t="s">
        <v>5724</v>
      </c>
      <c r="D904">
        <v>28000</v>
      </c>
      <c r="E904">
        <v>0</v>
      </c>
      <c r="F904">
        <v>3416180.82</v>
      </c>
      <c r="G904" s="8" t="s">
        <v>1379</v>
      </c>
      <c r="I904" s="232">
        <v>42583</v>
      </c>
    </row>
    <row r="905" spans="1:9" hidden="1">
      <c r="A905" s="232">
        <v>42583</v>
      </c>
      <c r="B905" t="s">
        <v>1914</v>
      </c>
      <c r="C905" t="s">
        <v>5725</v>
      </c>
      <c r="D905">
        <v>50000</v>
      </c>
      <c r="E905">
        <v>0</v>
      </c>
      <c r="F905">
        <v>3366180.82</v>
      </c>
      <c r="G905" s="8" t="s">
        <v>1379</v>
      </c>
      <c r="I905" s="232">
        <v>42583</v>
      </c>
    </row>
    <row r="906" spans="1:9" hidden="1">
      <c r="A906" s="232">
        <v>42585</v>
      </c>
      <c r="B906" t="s">
        <v>2737</v>
      </c>
      <c r="C906" t="s">
        <v>5413</v>
      </c>
      <c r="D906">
        <v>12382</v>
      </c>
      <c r="E906">
        <v>0</v>
      </c>
      <c r="F906">
        <v>3353798.82</v>
      </c>
      <c r="G906" s="8" t="s">
        <v>1362</v>
      </c>
      <c r="I906" s="232">
        <v>42585</v>
      </c>
    </row>
    <row r="907" spans="1:9" hidden="1">
      <c r="A907" s="232">
        <v>42587</v>
      </c>
      <c r="B907" t="s">
        <v>2063</v>
      </c>
      <c r="C907" t="s">
        <v>5726</v>
      </c>
      <c r="D907">
        <v>10000</v>
      </c>
      <c r="E907">
        <v>0</v>
      </c>
      <c r="F907">
        <v>3343798.82</v>
      </c>
      <c r="G907" s="8" t="s">
        <v>1361</v>
      </c>
      <c r="I907" s="232">
        <v>42587</v>
      </c>
    </row>
    <row r="908" spans="1:9" hidden="1">
      <c r="A908" s="232">
        <v>42588</v>
      </c>
      <c r="B908" t="s">
        <v>1997</v>
      </c>
      <c r="C908" t="s">
        <v>5727</v>
      </c>
      <c r="D908">
        <v>2400</v>
      </c>
      <c r="E908">
        <v>0</v>
      </c>
      <c r="F908">
        <v>3341398.82</v>
      </c>
      <c r="I908" s="232">
        <v>42588</v>
      </c>
    </row>
    <row r="909" spans="1:9" hidden="1">
      <c r="A909" s="232">
        <v>42593</v>
      </c>
      <c r="B909" t="s">
        <v>1938</v>
      </c>
      <c r="C909" t="s">
        <v>5728</v>
      </c>
      <c r="D909">
        <v>0</v>
      </c>
      <c r="E909">
        <v>1015</v>
      </c>
      <c r="F909">
        <v>3342413.82</v>
      </c>
      <c r="G909" s="8" t="s">
        <v>1380</v>
      </c>
      <c r="I909" s="232">
        <v>42593</v>
      </c>
    </row>
    <row r="910" spans="1:9" hidden="1">
      <c r="A910" s="232">
        <v>42593</v>
      </c>
      <c r="B910" t="s">
        <v>1938</v>
      </c>
      <c r="C910" t="s">
        <v>5729</v>
      </c>
      <c r="D910">
        <v>0</v>
      </c>
      <c r="E910">
        <v>410</v>
      </c>
      <c r="F910">
        <v>3342823.82</v>
      </c>
      <c r="G910" s="8" t="s">
        <v>1380</v>
      </c>
      <c r="I910" s="232">
        <v>42593</v>
      </c>
    </row>
    <row r="911" spans="1:9" hidden="1">
      <c r="A911" s="232">
        <v>42594</v>
      </c>
      <c r="B911" t="s">
        <v>1997</v>
      </c>
      <c r="C911" t="s">
        <v>5730</v>
      </c>
      <c r="D911">
        <v>20000</v>
      </c>
      <c r="E911">
        <v>0</v>
      </c>
      <c r="F911">
        <v>3322823.82</v>
      </c>
      <c r="G911" s="8" t="s">
        <v>1358</v>
      </c>
      <c r="I911" s="232">
        <v>42594</v>
      </c>
    </row>
    <row r="912" spans="1:9" hidden="1">
      <c r="A912" s="232">
        <v>42598</v>
      </c>
      <c r="B912" t="s">
        <v>1914</v>
      </c>
      <c r="C912" t="s">
        <v>5731</v>
      </c>
      <c r="D912">
        <v>47000</v>
      </c>
      <c r="E912">
        <v>0</v>
      </c>
      <c r="F912">
        <v>3275823.82</v>
      </c>
      <c r="G912" s="8" t="s">
        <v>1379</v>
      </c>
      <c r="I912" s="232">
        <v>42598</v>
      </c>
    </row>
    <row r="913" spans="1:9" hidden="1">
      <c r="A913" s="232">
        <v>42604</v>
      </c>
      <c r="B913" t="s">
        <v>1997</v>
      </c>
      <c r="C913" t="s">
        <v>5732</v>
      </c>
      <c r="D913">
        <v>5000</v>
      </c>
      <c r="E913">
        <v>0</v>
      </c>
      <c r="F913">
        <v>3270823.82</v>
      </c>
      <c r="I913" s="232">
        <v>42604</v>
      </c>
    </row>
    <row r="914" spans="1:9" hidden="1">
      <c r="A914" s="232">
        <v>42604</v>
      </c>
      <c r="B914" t="s">
        <v>1997</v>
      </c>
      <c r="C914" t="s">
        <v>5732</v>
      </c>
      <c r="D914">
        <v>0</v>
      </c>
      <c r="E914">
        <v>5000</v>
      </c>
      <c r="F914">
        <v>3275823.82</v>
      </c>
      <c r="I914" s="232">
        <v>42604</v>
      </c>
    </row>
    <row r="915" spans="1:9" hidden="1">
      <c r="A915" s="232">
        <v>42604</v>
      </c>
      <c r="B915" t="s">
        <v>1997</v>
      </c>
      <c r="C915" t="s">
        <v>5733</v>
      </c>
      <c r="D915">
        <v>5000</v>
      </c>
      <c r="E915">
        <v>0</v>
      </c>
      <c r="F915">
        <v>3270823.82</v>
      </c>
      <c r="I915" s="232">
        <v>42604</v>
      </c>
    </row>
    <row r="916" spans="1:9" hidden="1">
      <c r="A916" s="232">
        <v>42604</v>
      </c>
      <c r="B916" t="s">
        <v>1997</v>
      </c>
      <c r="C916" t="s">
        <v>5733</v>
      </c>
      <c r="D916">
        <v>0</v>
      </c>
      <c r="E916">
        <v>5000</v>
      </c>
      <c r="F916">
        <v>3275823.82</v>
      </c>
      <c r="I916" s="232">
        <v>42604</v>
      </c>
    </row>
    <row r="917" spans="1:9" hidden="1">
      <c r="A917" s="232">
        <v>42604</v>
      </c>
      <c r="B917" t="s">
        <v>1997</v>
      </c>
      <c r="C917" t="s">
        <v>5734</v>
      </c>
      <c r="D917">
        <v>5000</v>
      </c>
      <c r="E917">
        <v>0</v>
      </c>
      <c r="F917">
        <v>3270823.82</v>
      </c>
      <c r="I917" s="232">
        <v>42604</v>
      </c>
    </row>
    <row r="918" spans="1:9" hidden="1">
      <c r="A918" s="232">
        <v>42604</v>
      </c>
      <c r="B918" t="s">
        <v>1997</v>
      </c>
      <c r="C918" t="s">
        <v>5734</v>
      </c>
      <c r="D918">
        <v>0</v>
      </c>
      <c r="E918">
        <v>5000</v>
      </c>
      <c r="F918">
        <v>3275823.82</v>
      </c>
      <c r="I918" s="232">
        <v>42604</v>
      </c>
    </row>
    <row r="919" spans="1:9" hidden="1">
      <c r="A919" s="232">
        <v>42604</v>
      </c>
      <c r="B919" t="s">
        <v>1997</v>
      </c>
      <c r="C919" t="s">
        <v>5735</v>
      </c>
      <c r="D919">
        <v>12000</v>
      </c>
      <c r="E919">
        <v>0</v>
      </c>
      <c r="F919">
        <v>3263823.82</v>
      </c>
      <c r="I919" s="232">
        <v>42604</v>
      </c>
    </row>
    <row r="920" spans="1:9" hidden="1">
      <c r="A920" s="232">
        <v>42604</v>
      </c>
      <c r="B920" t="s">
        <v>1997</v>
      </c>
      <c r="C920" t="s">
        <v>5736</v>
      </c>
      <c r="D920">
        <v>5000</v>
      </c>
      <c r="E920">
        <v>0</v>
      </c>
      <c r="F920">
        <v>3258823.82</v>
      </c>
      <c r="I920" s="232">
        <v>42604</v>
      </c>
    </row>
    <row r="921" spans="1:9" hidden="1">
      <c r="A921" s="232">
        <v>42604</v>
      </c>
      <c r="B921" t="s">
        <v>1997</v>
      </c>
      <c r="C921" t="s">
        <v>5736</v>
      </c>
      <c r="D921">
        <v>0</v>
      </c>
      <c r="E921">
        <v>5000</v>
      </c>
      <c r="F921">
        <v>3263823.82</v>
      </c>
      <c r="I921" s="232">
        <v>42604</v>
      </c>
    </row>
    <row r="922" spans="1:9" hidden="1">
      <c r="A922" s="232">
        <v>42611</v>
      </c>
      <c r="B922" t="s">
        <v>1938</v>
      </c>
      <c r="C922" t="s">
        <v>5737</v>
      </c>
      <c r="D922">
        <v>0</v>
      </c>
      <c r="E922">
        <v>410</v>
      </c>
      <c r="F922">
        <v>3264233.82</v>
      </c>
      <c r="G922" s="8" t="s">
        <v>1380</v>
      </c>
      <c r="I922" s="232">
        <v>42611</v>
      </c>
    </row>
    <row r="923" spans="1:9" hidden="1">
      <c r="A923" s="232">
        <v>42611</v>
      </c>
      <c r="C923" t="s">
        <v>5693</v>
      </c>
      <c r="D923">
        <v>25000</v>
      </c>
      <c r="E923">
        <v>0</v>
      </c>
      <c r="F923">
        <v>3239233.82</v>
      </c>
      <c r="G923" s="8" t="s">
        <v>1379</v>
      </c>
      <c r="I923" s="232">
        <v>42611</v>
      </c>
    </row>
    <row r="924" spans="1:9" hidden="1">
      <c r="A924" s="232">
        <v>42613</v>
      </c>
      <c r="B924" t="s">
        <v>1938</v>
      </c>
      <c r="C924" t="s">
        <v>5738</v>
      </c>
      <c r="D924">
        <v>0</v>
      </c>
      <c r="E924">
        <v>273985</v>
      </c>
      <c r="F924">
        <v>3513218.82</v>
      </c>
      <c r="G924" s="8" t="s">
        <v>1380</v>
      </c>
      <c r="I924" s="232">
        <v>42613</v>
      </c>
    </row>
    <row r="925" spans="1:9" hidden="1">
      <c r="A925" s="232">
        <v>42614</v>
      </c>
      <c r="B925" t="s">
        <v>1914</v>
      </c>
      <c r="C925" t="s">
        <v>5739</v>
      </c>
      <c r="D925">
        <v>50000</v>
      </c>
      <c r="E925">
        <v>0</v>
      </c>
      <c r="F925">
        <v>3463218.82</v>
      </c>
      <c r="G925" s="8" t="s">
        <v>1379</v>
      </c>
      <c r="I925" s="232">
        <v>42614</v>
      </c>
    </row>
    <row r="926" spans="1:9" hidden="1">
      <c r="A926" s="232">
        <v>42614</v>
      </c>
      <c r="B926" t="s">
        <v>1914</v>
      </c>
      <c r="C926" t="s">
        <v>5740</v>
      </c>
      <c r="D926">
        <v>28000</v>
      </c>
      <c r="E926">
        <v>0</v>
      </c>
      <c r="F926">
        <v>3435218.82</v>
      </c>
      <c r="G926" s="8" t="s">
        <v>1379</v>
      </c>
      <c r="I926" s="232">
        <v>42614</v>
      </c>
    </row>
    <row r="927" spans="1:9" hidden="1">
      <c r="A927" s="232">
        <v>42615</v>
      </c>
      <c r="B927" t="s">
        <v>1963</v>
      </c>
      <c r="C927" t="s">
        <v>5741</v>
      </c>
      <c r="D927">
        <v>5000</v>
      </c>
      <c r="E927">
        <v>0</v>
      </c>
      <c r="F927">
        <v>3430218.82</v>
      </c>
      <c r="G927" s="8" t="s">
        <v>1361</v>
      </c>
      <c r="I927" s="232">
        <v>42615</v>
      </c>
    </row>
    <row r="928" spans="1:9" hidden="1">
      <c r="A928" s="232">
        <v>42615</v>
      </c>
      <c r="B928" t="s">
        <v>1963</v>
      </c>
      <c r="C928" t="s">
        <v>5741</v>
      </c>
      <c r="D928">
        <v>5000</v>
      </c>
      <c r="E928">
        <v>0</v>
      </c>
      <c r="F928">
        <v>3425218.82</v>
      </c>
      <c r="G928" s="8" t="s">
        <v>1361</v>
      </c>
      <c r="I928" s="232">
        <v>42615</v>
      </c>
    </row>
    <row r="929" spans="1:9" hidden="1">
      <c r="A929" s="232">
        <v>42625</v>
      </c>
      <c r="B929" t="s">
        <v>1963</v>
      </c>
      <c r="C929" t="s">
        <v>5742</v>
      </c>
      <c r="D929">
        <v>7500</v>
      </c>
      <c r="E929">
        <v>0</v>
      </c>
      <c r="F929">
        <v>3417718.82</v>
      </c>
      <c r="G929" s="8" t="s">
        <v>1361</v>
      </c>
      <c r="I929" s="232">
        <v>42625</v>
      </c>
    </row>
    <row r="930" spans="1:9" hidden="1">
      <c r="A930" s="232">
        <v>42625</v>
      </c>
      <c r="B930" t="s">
        <v>1963</v>
      </c>
      <c r="C930" t="s">
        <v>5742</v>
      </c>
      <c r="D930">
        <v>5000</v>
      </c>
      <c r="E930">
        <v>0</v>
      </c>
      <c r="F930">
        <v>3412718.82</v>
      </c>
      <c r="G930" s="8" t="s">
        <v>1361</v>
      </c>
      <c r="I930" s="232">
        <v>42625</v>
      </c>
    </row>
    <row r="931" spans="1:9" hidden="1">
      <c r="A931" s="232">
        <v>42627</v>
      </c>
      <c r="B931" t="s">
        <v>1938</v>
      </c>
      <c r="C931" t="s">
        <v>5743</v>
      </c>
      <c r="D931">
        <v>0</v>
      </c>
      <c r="E931">
        <v>1015</v>
      </c>
      <c r="F931">
        <v>3413733.82</v>
      </c>
      <c r="G931" s="8" t="s">
        <v>1380</v>
      </c>
      <c r="I931" s="232">
        <v>42627</v>
      </c>
    </row>
    <row r="932" spans="1:9" hidden="1">
      <c r="A932" s="232">
        <v>42628</v>
      </c>
      <c r="B932" t="s">
        <v>1914</v>
      </c>
      <c r="C932" t="s">
        <v>5744</v>
      </c>
      <c r="D932">
        <v>47000</v>
      </c>
      <c r="E932">
        <v>0</v>
      </c>
      <c r="F932">
        <v>3366733.82</v>
      </c>
      <c r="G932" s="8" t="s">
        <v>1379</v>
      </c>
      <c r="I932" s="232">
        <v>42628</v>
      </c>
    </row>
    <row r="933" spans="1:9" hidden="1">
      <c r="A933" s="232">
        <v>42634</v>
      </c>
      <c r="B933" t="s">
        <v>1914</v>
      </c>
      <c r="C933" t="s">
        <v>5745</v>
      </c>
      <c r="D933">
        <v>5612</v>
      </c>
      <c r="E933">
        <v>0</v>
      </c>
      <c r="F933">
        <v>3361121.82</v>
      </c>
      <c r="G933" s="8" t="s">
        <v>1370</v>
      </c>
      <c r="I933" s="232">
        <v>42634</v>
      </c>
    </row>
    <row r="934" spans="1:9" hidden="1">
      <c r="A934" s="232">
        <v>42640</v>
      </c>
      <c r="B934" t="s">
        <v>1938</v>
      </c>
      <c r="C934" t="s">
        <v>5746</v>
      </c>
      <c r="D934">
        <v>0</v>
      </c>
      <c r="E934">
        <v>410</v>
      </c>
      <c r="F934">
        <v>3361531.82</v>
      </c>
      <c r="G934" s="8" t="s">
        <v>1380</v>
      </c>
      <c r="I934" s="232">
        <v>42640</v>
      </c>
    </row>
    <row r="935" spans="1:9" hidden="1">
      <c r="A935" s="232">
        <v>42640</v>
      </c>
      <c r="C935" t="s">
        <v>5693</v>
      </c>
      <c r="D935">
        <v>25000</v>
      </c>
      <c r="E935">
        <v>0</v>
      </c>
      <c r="F935">
        <v>3336531.82</v>
      </c>
      <c r="G935" s="8" t="s">
        <v>1379</v>
      </c>
      <c r="I935" s="232">
        <v>42640</v>
      </c>
    </row>
    <row r="936" spans="1:9" hidden="1">
      <c r="A936" s="232">
        <v>42641</v>
      </c>
      <c r="B936" t="s">
        <v>1963</v>
      </c>
      <c r="C936" t="s">
        <v>5747</v>
      </c>
      <c r="D936">
        <v>7500</v>
      </c>
      <c r="E936">
        <v>0</v>
      </c>
      <c r="F936">
        <v>3329031.82</v>
      </c>
      <c r="G936" s="8" t="s">
        <v>1361</v>
      </c>
      <c r="I936" s="232">
        <v>42641</v>
      </c>
    </row>
    <row r="937" spans="1:9" hidden="1">
      <c r="A937" s="232">
        <v>42642</v>
      </c>
      <c r="C937" t="s">
        <v>5748</v>
      </c>
      <c r="D937">
        <v>0</v>
      </c>
      <c r="E937">
        <v>33556</v>
      </c>
      <c r="F937">
        <v>3362587.82</v>
      </c>
      <c r="G937" s="8" t="s">
        <v>1368</v>
      </c>
      <c r="I937" s="232">
        <v>42642</v>
      </c>
    </row>
    <row r="938" spans="1:9" hidden="1">
      <c r="A938" s="232">
        <v>42643</v>
      </c>
      <c r="B938" t="s">
        <v>1938</v>
      </c>
      <c r="C938" t="s">
        <v>5749</v>
      </c>
      <c r="D938">
        <v>0</v>
      </c>
      <c r="E938">
        <v>247036</v>
      </c>
      <c r="F938">
        <v>3609623.82</v>
      </c>
      <c r="G938" s="8" t="s">
        <v>1380</v>
      </c>
      <c r="I938" s="232">
        <v>42643</v>
      </c>
    </row>
    <row r="939" spans="1:9" hidden="1">
      <c r="A939" s="232">
        <v>42644</v>
      </c>
      <c r="B939" t="s">
        <v>1914</v>
      </c>
      <c r="C939" t="s">
        <v>5750</v>
      </c>
      <c r="D939">
        <v>28000</v>
      </c>
      <c r="E939">
        <v>0</v>
      </c>
      <c r="F939">
        <v>3581623.82</v>
      </c>
      <c r="G939" s="8" t="s">
        <v>1379</v>
      </c>
      <c r="I939" s="232">
        <v>42644</v>
      </c>
    </row>
    <row r="940" spans="1:9" hidden="1">
      <c r="A940" s="232">
        <v>42644</v>
      </c>
      <c r="B940" t="s">
        <v>1914</v>
      </c>
      <c r="C940" t="s">
        <v>5751</v>
      </c>
      <c r="D940">
        <v>50000</v>
      </c>
      <c r="E940">
        <v>0</v>
      </c>
      <c r="F940">
        <v>3531623.82</v>
      </c>
      <c r="G940" s="8" t="s">
        <v>1379</v>
      </c>
      <c r="I940" s="232">
        <v>42644</v>
      </c>
    </row>
    <row r="941" spans="1:9" hidden="1">
      <c r="A941" s="232">
        <v>42647</v>
      </c>
      <c r="B941" t="s">
        <v>2737</v>
      </c>
      <c r="C941" t="s">
        <v>5413</v>
      </c>
      <c r="D941">
        <v>7450</v>
      </c>
      <c r="E941">
        <v>0</v>
      </c>
      <c r="F941">
        <v>3524173.82</v>
      </c>
      <c r="G941" s="8" t="s">
        <v>1362</v>
      </c>
      <c r="I941" s="232">
        <v>42647</v>
      </c>
    </row>
    <row r="942" spans="1:9" hidden="1">
      <c r="A942" s="232">
        <v>42653</v>
      </c>
      <c r="B942" t="s">
        <v>1963</v>
      </c>
      <c r="C942" t="s">
        <v>5752</v>
      </c>
      <c r="D942">
        <v>10000</v>
      </c>
      <c r="E942">
        <v>0</v>
      </c>
      <c r="F942">
        <v>3514173.82</v>
      </c>
      <c r="G942" s="8" t="s">
        <v>1361</v>
      </c>
      <c r="I942" s="232">
        <v>42653</v>
      </c>
    </row>
    <row r="943" spans="1:9" hidden="1">
      <c r="A943" s="232">
        <v>42653</v>
      </c>
      <c r="B943" t="s">
        <v>1963</v>
      </c>
      <c r="C943" t="s">
        <v>5752</v>
      </c>
      <c r="D943">
        <v>10000</v>
      </c>
      <c r="E943">
        <v>0</v>
      </c>
      <c r="F943">
        <v>3504173.82</v>
      </c>
      <c r="G943" s="8" t="s">
        <v>1361</v>
      </c>
      <c r="I943" s="232">
        <v>42653</v>
      </c>
    </row>
    <row r="944" spans="1:9" hidden="1">
      <c r="A944" s="232">
        <v>42656</v>
      </c>
      <c r="C944" t="s">
        <v>5753</v>
      </c>
      <c r="D944">
        <v>0</v>
      </c>
      <c r="E944">
        <v>1015</v>
      </c>
      <c r="F944">
        <v>3505188.82</v>
      </c>
      <c r="G944" s="8" t="s">
        <v>1380</v>
      </c>
      <c r="I944" s="232">
        <v>42656</v>
      </c>
    </row>
    <row r="945" spans="1:9" hidden="1">
      <c r="A945" s="232">
        <v>42658</v>
      </c>
      <c r="B945" t="s">
        <v>1914</v>
      </c>
      <c r="C945" t="s">
        <v>5754</v>
      </c>
      <c r="D945">
        <v>47000</v>
      </c>
      <c r="E945">
        <v>0</v>
      </c>
      <c r="F945">
        <v>3458188.82</v>
      </c>
      <c r="G945" s="8" t="s">
        <v>1379</v>
      </c>
      <c r="I945" s="232">
        <v>42658</v>
      </c>
    </row>
    <row r="946" spans="1:9" hidden="1">
      <c r="A946" s="232">
        <v>42660</v>
      </c>
      <c r="B946" t="s">
        <v>2394</v>
      </c>
      <c r="C946" t="s">
        <v>5755</v>
      </c>
      <c r="D946">
        <v>25</v>
      </c>
      <c r="E946">
        <v>0</v>
      </c>
      <c r="F946">
        <v>3458163.82</v>
      </c>
      <c r="I946" s="232">
        <v>42660</v>
      </c>
    </row>
    <row r="947" spans="1:9" hidden="1">
      <c r="A947" s="232">
        <v>42660</v>
      </c>
      <c r="B947" t="s">
        <v>2394</v>
      </c>
      <c r="C947" t="s">
        <v>5756</v>
      </c>
      <c r="D947">
        <v>0</v>
      </c>
      <c r="E947">
        <v>25</v>
      </c>
      <c r="F947">
        <v>3458188.82</v>
      </c>
      <c r="I947" s="232">
        <v>42660</v>
      </c>
    </row>
    <row r="948" spans="1:9" hidden="1">
      <c r="A948" s="232">
        <v>42662</v>
      </c>
      <c r="B948" t="s">
        <v>2063</v>
      </c>
      <c r="C948" t="s">
        <v>5757</v>
      </c>
      <c r="D948">
        <v>10000</v>
      </c>
      <c r="E948">
        <v>0</v>
      </c>
      <c r="F948">
        <v>3448188.82</v>
      </c>
      <c r="G948" s="8" t="s">
        <v>1361</v>
      </c>
      <c r="I948" s="232">
        <v>42662</v>
      </c>
    </row>
    <row r="949" spans="1:9" hidden="1">
      <c r="A949" s="232">
        <v>42662</v>
      </c>
      <c r="B949" t="s">
        <v>2063</v>
      </c>
      <c r="C949" t="s">
        <v>5757</v>
      </c>
      <c r="D949">
        <v>10000</v>
      </c>
      <c r="E949">
        <v>0</v>
      </c>
      <c r="F949">
        <v>3438188.82</v>
      </c>
      <c r="G949" s="8" t="s">
        <v>1361</v>
      </c>
      <c r="I949" s="232">
        <v>42662</v>
      </c>
    </row>
    <row r="950" spans="1:9" hidden="1">
      <c r="A950" s="232">
        <v>42670</v>
      </c>
      <c r="C950" t="s">
        <v>5693</v>
      </c>
      <c r="D950">
        <v>25000</v>
      </c>
      <c r="E950">
        <v>0</v>
      </c>
      <c r="F950">
        <v>3413188.82</v>
      </c>
      <c r="G950" s="8" t="s">
        <v>1379</v>
      </c>
      <c r="I950" s="232">
        <v>42670</v>
      </c>
    </row>
    <row r="951" spans="1:9" hidden="1">
      <c r="A951" s="232">
        <v>42671</v>
      </c>
      <c r="B951" t="s">
        <v>1914</v>
      </c>
      <c r="C951" t="s">
        <v>5758</v>
      </c>
      <c r="D951">
        <v>40000</v>
      </c>
      <c r="E951">
        <v>0</v>
      </c>
      <c r="F951">
        <v>3373188.82</v>
      </c>
      <c r="G951" s="8" t="s">
        <v>1358</v>
      </c>
      <c r="I951" s="232">
        <v>42671</v>
      </c>
    </row>
    <row r="952" spans="1:9" hidden="1">
      <c r="A952" s="232">
        <v>42671</v>
      </c>
      <c r="B952" t="s">
        <v>1914</v>
      </c>
      <c r="C952" t="s">
        <v>5759</v>
      </c>
      <c r="D952">
        <v>2000</v>
      </c>
      <c r="E952">
        <v>0</v>
      </c>
      <c r="F952">
        <v>3371188.82</v>
      </c>
      <c r="I952" s="232">
        <v>42671</v>
      </c>
    </row>
    <row r="953" spans="1:9" hidden="1">
      <c r="A953" s="232">
        <v>42671</v>
      </c>
      <c r="B953" t="s">
        <v>1938</v>
      </c>
      <c r="C953" t="s">
        <v>5760</v>
      </c>
      <c r="D953">
        <v>0</v>
      </c>
      <c r="E953">
        <v>247036</v>
      </c>
      <c r="F953">
        <v>3618224.82</v>
      </c>
      <c r="G953" s="8" t="s">
        <v>1380</v>
      </c>
      <c r="I953" s="232">
        <v>42671</v>
      </c>
    </row>
    <row r="954" spans="1:9" hidden="1">
      <c r="A954" s="232">
        <v>42672</v>
      </c>
      <c r="B954" t="s">
        <v>1963</v>
      </c>
      <c r="C954" t="s">
        <v>5761</v>
      </c>
      <c r="D954">
        <v>5000</v>
      </c>
      <c r="E954">
        <v>0</v>
      </c>
      <c r="F954">
        <v>3613224.82</v>
      </c>
      <c r="G954" s="8" t="s">
        <v>1361</v>
      </c>
      <c r="I954" s="232">
        <v>42672</v>
      </c>
    </row>
    <row r="955" spans="1:9" hidden="1">
      <c r="A955" s="232">
        <v>42672</v>
      </c>
      <c r="B955" t="s">
        <v>1963</v>
      </c>
      <c r="C955" t="s">
        <v>5761</v>
      </c>
      <c r="D955">
        <v>5000</v>
      </c>
      <c r="E955">
        <v>0</v>
      </c>
      <c r="F955">
        <v>3608224.82</v>
      </c>
      <c r="G955" s="8" t="s">
        <v>1361</v>
      </c>
      <c r="I955" s="232">
        <v>42672</v>
      </c>
    </row>
    <row r="956" spans="1:9" hidden="1">
      <c r="A956" s="232">
        <v>42675</v>
      </c>
      <c r="B956" t="s">
        <v>1914</v>
      </c>
      <c r="C956" t="s">
        <v>5762</v>
      </c>
      <c r="D956">
        <v>28000</v>
      </c>
      <c r="E956">
        <v>0</v>
      </c>
      <c r="F956">
        <v>3580224.82</v>
      </c>
      <c r="G956" s="8" t="s">
        <v>1379</v>
      </c>
      <c r="I956" s="232">
        <v>42675</v>
      </c>
    </row>
    <row r="957" spans="1:9" hidden="1">
      <c r="A957" s="232">
        <v>42675</v>
      </c>
      <c r="B957" t="s">
        <v>1914</v>
      </c>
      <c r="C957" t="s">
        <v>5763</v>
      </c>
      <c r="D957">
        <v>50000</v>
      </c>
      <c r="E957">
        <v>0</v>
      </c>
      <c r="F957">
        <v>3530224.82</v>
      </c>
      <c r="G957" s="8" t="s">
        <v>1379</v>
      </c>
      <c r="I957" s="232">
        <v>42675</v>
      </c>
    </row>
    <row r="958" spans="1:9" hidden="1">
      <c r="A958" s="232">
        <v>42677</v>
      </c>
      <c r="B958" t="s">
        <v>2737</v>
      </c>
      <c r="C958" t="s">
        <v>5413</v>
      </c>
      <c r="D958">
        <v>11048</v>
      </c>
      <c r="E958">
        <v>0</v>
      </c>
      <c r="F958">
        <v>3519176.82</v>
      </c>
      <c r="G958" s="8" t="s">
        <v>1362</v>
      </c>
      <c r="I958" s="232">
        <v>42677</v>
      </c>
    </row>
    <row r="959" spans="1:9" hidden="1">
      <c r="A959" s="232">
        <v>42679</v>
      </c>
      <c r="B959" t="s">
        <v>1963</v>
      </c>
      <c r="C959" t="s">
        <v>5764</v>
      </c>
      <c r="D959">
        <v>5000</v>
      </c>
      <c r="E959">
        <v>0</v>
      </c>
      <c r="F959">
        <v>3514176.82</v>
      </c>
      <c r="G959" s="8" t="s">
        <v>1361</v>
      </c>
      <c r="I959" s="232">
        <v>42679</v>
      </c>
    </row>
    <row r="960" spans="1:9" hidden="1">
      <c r="A960" s="232">
        <v>42681</v>
      </c>
      <c r="C960" t="s">
        <v>5765</v>
      </c>
      <c r="D960">
        <v>0</v>
      </c>
      <c r="E960">
        <v>410</v>
      </c>
      <c r="F960">
        <v>3514586.82</v>
      </c>
      <c r="G960" s="8" t="s">
        <v>1380</v>
      </c>
      <c r="I960" s="232">
        <v>42681</v>
      </c>
    </row>
    <row r="961" spans="1:9" hidden="1">
      <c r="A961" s="232">
        <v>42683</v>
      </c>
      <c r="B961" t="s">
        <v>1997</v>
      </c>
      <c r="C961" t="s">
        <v>5766</v>
      </c>
      <c r="D961">
        <v>2000</v>
      </c>
      <c r="E961">
        <v>0</v>
      </c>
      <c r="F961">
        <v>3512586.82</v>
      </c>
      <c r="I961" s="232">
        <v>42683</v>
      </c>
    </row>
    <row r="962" spans="1:9" hidden="1">
      <c r="A962" s="232">
        <v>42684</v>
      </c>
      <c r="B962" t="s">
        <v>1938</v>
      </c>
      <c r="C962" t="s">
        <v>2272</v>
      </c>
      <c r="D962">
        <v>0</v>
      </c>
      <c r="E962">
        <v>89021.65</v>
      </c>
      <c r="F962">
        <v>3601608.47</v>
      </c>
      <c r="G962" s="8" t="s">
        <v>1375</v>
      </c>
      <c r="I962" s="232">
        <v>42684</v>
      </c>
    </row>
    <row r="963" spans="1:9" hidden="1">
      <c r="A963" s="232">
        <v>42684</v>
      </c>
      <c r="B963" t="s">
        <v>1938</v>
      </c>
      <c r="C963" t="s">
        <v>2272</v>
      </c>
      <c r="D963">
        <v>0</v>
      </c>
      <c r="E963">
        <v>24479.01</v>
      </c>
      <c r="F963">
        <v>3626087.48</v>
      </c>
      <c r="G963" s="8" t="s">
        <v>1375</v>
      </c>
      <c r="I963" s="232">
        <v>42684</v>
      </c>
    </row>
    <row r="964" spans="1:9" hidden="1">
      <c r="A964" s="232">
        <v>42684</v>
      </c>
      <c r="C964" t="s">
        <v>5767</v>
      </c>
      <c r="D964">
        <v>0</v>
      </c>
      <c r="E964">
        <v>1015</v>
      </c>
      <c r="F964">
        <v>3627102.48</v>
      </c>
      <c r="G964" s="8" t="s">
        <v>1380</v>
      </c>
      <c r="I964" s="232">
        <v>42684</v>
      </c>
    </row>
    <row r="965" spans="1:9" hidden="1">
      <c r="A965" s="232">
        <v>42689</v>
      </c>
      <c r="B965" t="s">
        <v>1914</v>
      </c>
      <c r="C965" t="s">
        <v>5768</v>
      </c>
      <c r="D965">
        <v>47000</v>
      </c>
      <c r="E965">
        <v>0</v>
      </c>
      <c r="F965">
        <v>3580102.48</v>
      </c>
      <c r="G965" s="8" t="s">
        <v>1379</v>
      </c>
      <c r="I965" s="232">
        <v>42689</v>
      </c>
    </row>
    <row r="966" spans="1:9" hidden="1">
      <c r="A966" s="232">
        <v>42691</v>
      </c>
      <c r="B966" t="s">
        <v>1997</v>
      </c>
      <c r="C966" t="s">
        <v>5769</v>
      </c>
      <c r="D966">
        <v>492</v>
      </c>
      <c r="E966">
        <v>0</v>
      </c>
      <c r="F966">
        <v>3579610.48</v>
      </c>
      <c r="I966" s="232">
        <v>42691</v>
      </c>
    </row>
    <row r="967" spans="1:9" hidden="1">
      <c r="A967" s="232">
        <v>42696</v>
      </c>
      <c r="C967" t="s">
        <v>5770</v>
      </c>
      <c r="D967">
        <v>49999</v>
      </c>
      <c r="E967">
        <v>0</v>
      </c>
      <c r="F967">
        <v>3529611.48</v>
      </c>
      <c r="G967" s="8" t="s">
        <v>1379</v>
      </c>
      <c r="I967" s="232">
        <v>42696</v>
      </c>
    </row>
    <row r="968" spans="1:9" hidden="1">
      <c r="A968" s="232">
        <v>42702</v>
      </c>
      <c r="C968" t="s">
        <v>5693</v>
      </c>
      <c r="D968">
        <v>25000</v>
      </c>
      <c r="E968">
        <v>0</v>
      </c>
      <c r="F968">
        <v>3504611.48</v>
      </c>
      <c r="G968" s="8" t="s">
        <v>1379</v>
      </c>
      <c r="I968" s="232">
        <v>42702</v>
      </c>
    </row>
    <row r="969" spans="1:9" hidden="1">
      <c r="A969" s="232">
        <v>42703</v>
      </c>
      <c r="C969" t="s">
        <v>5771</v>
      </c>
      <c r="D969">
        <v>0</v>
      </c>
      <c r="E969">
        <v>410</v>
      </c>
      <c r="F969">
        <v>3505021.48</v>
      </c>
      <c r="G969" s="8" t="s">
        <v>1380</v>
      </c>
      <c r="I969" s="232">
        <v>42703</v>
      </c>
    </row>
    <row r="970" spans="1:9" hidden="1">
      <c r="A970" s="232">
        <v>42704</v>
      </c>
      <c r="B970" t="s">
        <v>1938</v>
      </c>
      <c r="C970" t="s">
        <v>5772</v>
      </c>
      <c r="D970">
        <v>0</v>
      </c>
      <c r="E970">
        <v>279938</v>
      </c>
      <c r="F970">
        <v>3784959.48</v>
      </c>
      <c r="G970" s="8" t="s">
        <v>1380</v>
      </c>
      <c r="I970" s="232">
        <v>42704</v>
      </c>
    </row>
    <row r="971" spans="1:9" hidden="1">
      <c r="A971" s="232">
        <v>42705</v>
      </c>
      <c r="B971" t="s">
        <v>1914</v>
      </c>
      <c r="C971" t="s">
        <v>5773</v>
      </c>
      <c r="D971">
        <v>28000</v>
      </c>
      <c r="E971">
        <v>0</v>
      </c>
      <c r="F971">
        <v>3756959.48</v>
      </c>
      <c r="G971" s="8" t="s">
        <v>1379</v>
      </c>
      <c r="I971" s="232">
        <v>42705</v>
      </c>
    </row>
    <row r="972" spans="1:9" hidden="1">
      <c r="A972" s="232">
        <v>42705</v>
      </c>
      <c r="B972" t="s">
        <v>1914</v>
      </c>
      <c r="C972" t="s">
        <v>5774</v>
      </c>
      <c r="D972">
        <v>50000</v>
      </c>
      <c r="E972">
        <v>0</v>
      </c>
      <c r="F972">
        <v>3706959.48</v>
      </c>
      <c r="G972" s="8" t="s">
        <v>1379</v>
      </c>
      <c r="I972" s="232">
        <v>42705</v>
      </c>
    </row>
    <row r="973" spans="1:9" hidden="1">
      <c r="A973" s="232">
        <v>42705</v>
      </c>
      <c r="B973" t="s">
        <v>1914</v>
      </c>
      <c r="C973" t="s">
        <v>5775</v>
      </c>
      <c r="D973">
        <v>2500</v>
      </c>
      <c r="E973">
        <v>0</v>
      </c>
      <c r="F973">
        <v>3704459.48</v>
      </c>
      <c r="I973" s="232">
        <v>42705</v>
      </c>
    </row>
    <row r="974" spans="1:9" hidden="1">
      <c r="A974" s="232">
        <v>42705</v>
      </c>
      <c r="B974" t="s">
        <v>1914</v>
      </c>
      <c r="C974" t="s">
        <v>5776</v>
      </c>
      <c r="D974">
        <v>1800</v>
      </c>
      <c r="E974">
        <v>0</v>
      </c>
      <c r="F974">
        <v>3702659.48</v>
      </c>
      <c r="I974" s="232">
        <v>42705</v>
      </c>
    </row>
    <row r="975" spans="1:9" hidden="1">
      <c r="A975" s="232">
        <v>42705</v>
      </c>
      <c r="B975" t="s">
        <v>1914</v>
      </c>
      <c r="C975" t="s">
        <v>5777</v>
      </c>
      <c r="D975">
        <v>20000</v>
      </c>
      <c r="E975">
        <v>0</v>
      </c>
      <c r="F975">
        <v>3682659.48</v>
      </c>
      <c r="G975" s="8" t="s">
        <v>1358</v>
      </c>
      <c r="I975" s="232">
        <v>42705</v>
      </c>
    </row>
    <row r="976" spans="1:9" hidden="1">
      <c r="A976" s="232">
        <v>42705</v>
      </c>
      <c r="B976" t="s">
        <v>1914</v>
      </c>
      <c r="C976" t="s">
        <v>5778</v>
      </c>
      <c r="D976">
        <v>2000</v>
      </c>
      <c r="E976">
        <v>0</v>
      </c>
      <c r="F976">
        <v>3680659.48</v>
      </c>
      <c r="I976" s="232">
        <v>42705</v>
      </c>
    </row>
    <row r="977" spans="1:9" hidden="1">
      <c r="A977" s="232">
        <v>42706</v>
      </c>
      <c r="C977" t="s">
        <v>2415</v>
      </c>
      <c r="D977">
        <v>300000</v>
      </c>
      <c r="E977">
        <v>0</v>
      </c>
      <c r="F977">
        <v>3380659.48</v>
      </c>
      <c r="G977" s="8" t="s">
        <v>1381</v>
      </c>
      <c r="I977" s="232">
        <v>42706</v>
      </c>
    </row>
    <row r="978" spans="1:9" hidden="1">
      <c r="A978" s="232">
        <v>42707</v>
      </c>
      <c r="B978" t="s">
        <v>1914</v>
      </c>
      <c r="C978" t="s">
        <v>5779</v>
      </c>
      <c r="D978">
        <v>800</v>
      </c>
      <c r="E978">
        <v>0</v>
      </c>
      <c r="F978">
        <v>3379859.48</v>
      </c>
      <c r="I978" s="232">
        <v>42707</v>
      </c>
    </row>
    <row r="979" spans="1:9" hidden="1">
      <c r="A979" s="232">
        <v>42707</v>
      </c>
      <c r="B979" t="s">
        <v>1914</v>
      </c>
      <c r="C979" t="s">
        <v>5780</v>
      </c>
      <c r="D979">
        <v>6379</v>
      </c>
      <c r="E979">
        <v>0</v>
      </c>
      <c r="F979">
        <v>3373480.48</v>
      </c>
      <c r="I979" s="232">
        <v>42707</v>
      </c>
    </row>
    <row r="980" spans="1:9" hidden="1">
      <c r="A980" s="232">
        <v>42709</v>
      </c>
      <c r="B980" t="s">
        <v>1997</v>
      </c>
      <c r="C980" t="s">
        <v>5781</v>
      </c>
      <c r="D980">
        <v>650</v>
      </c>
      <c r="E980">
        <v>0</v>
      </c>
      <c r="F980">
        <v>3372830.48</v>
      </c>
      <c r="I980" s="232">
        <v>42709</v>
      </c>
    </row>
    <row r="981" spans="1:9" hidden="1">
      <c r="A981" s="232">
        <v>42709</v>
      </c>
      <c r="B981" t="s">
        <v>2737</v>
      </c>
      <c r="C981" t="s">
        <v>5413</v>
      </c>
      <c r="D981">
        <v>5434.99</v>
      </c>
      <c r="E981">
        <v>0</v>
      </c>
      <c r="F981">
        <v>3367395.49</v>
      </c>
      <c r="G981" s="8" t="s">
        <v>1362</v>
      </c>
      <c r="I981" s="232">
        <v>42709</v>
      </c>
    </row>
    <row r="982" spans="1:9" hidden="1">
      <c r="A982" s="232">
        <v>42713</v>
      </c>
      <c r="B982" t="s">
        <v>1914</v>
      </c>
      <c r="C982" t="s">
        <v>5782</v>
      </c>
      <c r="D982">
        <v>23640</v>
      </c>
      <c r="E982">
        <v>0</v>
      </c>
      <c r="F982">
        <v>3343755.49</v>
      </c>
      <c r="G982" s="8" t="s">
        <v>1370</v>
      </c>
      <c r="I982" s="232">
        <v>42713</v>
      </c>
    </row>
    <row r="983" spans="1:9" hidden="1">
      <c r="A983" s="232">
        <v>42716</v>
      </c>
      <c r="B983" t="s">
        <v>1914</v>
      </c>
      <c r="C983" t="s">
        <v>5783</v>
      </c>
      <c r="D983">
        <v>615</v>
      </c>
      <c r="E983">
        <v>0</v>
      </c>
      <c r="F983">
        <v>3343140.49</v>
      </c>
      <c r="I983" s="232">
        <v>42716</v>
      </c>
    </row>
    <row r="984" spans="1:9" hidden="1">
      <c r="A984" s="232">
        <v>42716</v>
      </c>
      <c r="B984" t="s">
        <v>1997</v>
      </c>
      <c r="C984" t="s">
        <v>5784</v>
      </c>
      <c r="D984">
        <v>100</v>
      </c>
      <c r="E984">
        <v>0</v>
      </c>
      <c r="F984">
        <v>3343040.49</v>
      </c>
      <c r="I984" s="232">
        <v>42716</v>
      </c>
    </row>
    <row r="985" spans="1:9" hidden="1">
      <c r="A985" s="232">
        <v>42717</v>
      </c>
      <c r="B985" t="s">
        <v>1997</v>
      </c>
      <c r="C985" t="s">
        <v>5785</v>
      </c>
      <c r="D985">
        <v>2200</v>
      </c>
      <c r="E985">
        <v>0</v>
      </c>
      <c r="F985">
        <v>3340840.49</v>
      </c>
      <c r="I985" s="232">
        <v>42717</v>
      </c>
    </row>
    <row r="986" spans="1:9" hidden="1">
      <c r="A986" s="232">
        <v>42719</v>
      </c>
      <c r="B986" t="s">
        <v>1914</v>
      </c>
      <c r="C986" t="s">
        <v>5786</v>
      </c>
      <c r="D986">
        <v>47000</v>
      </c>
      <c r="E986">
        <v>0</v>
      </c>
      <c r="F986">
        <v>3293840.49</v>
      </c>
      <c r="G986" s="8" t="s">
        <v>1379</v>
      </c>
      <c r="I986" s="232">
        <v>42719</v>
      </c>
    </row>
    <row r="987" spans="1:9" hidden="1">
      <c r="A987" s="232">
        <v>42719</v>
      </c>
      <c r="B987" t="s">
        <v>1914</v>
      </c>
      <c r="C987" t="s">
        <v>5787</v>
      </c>
      <c r="D987">
        <v>1000</v>
      </c>
      <c r="E987">
        <v>0</v>
      </c>
      <c r="F987">
        <v>3292840.49</v>
      </c>
      <c r="I987" s="232">
        <v>42719</v>
      </c>
    </row>
    <row r="988" spans="1:9" hidden="1">
      <c r="A988" s="232">
        <v>42719</v>
      </c>
      <c r="B988" t="s">
        <v>1997</v>
      </c>
      <c r="C988" t="s">
        <v>5788</v>
      </c>
      <c r="D988">
        <v>100</v>
      </c>
      <c r="E988">
        <v>0</v>
      </c>
      <c r="F988">
        <v>3292740.49</v>
      </c>
      <c r="I988" s="232">
        <v>42719</v>
      </c>
    </row>
    <row r="989" spans="1:9" hidden="1">
      <c r="A989" s="232">
        <v>42719</v>
      </c>
      <c r="B989" t="s">
        <v>1997</v>
      </c>
      <c r="C989" t="s">
        <v>5789</v>
      </c>
      <c r="D989">
        <v>900</v>
      </c>
      <c r="E989">
        <v>0</v>
      </c>
      <c r="F989">
        <v>3291840.49</v>
      </c>
      <c r="I989" s="232">
        <v>42719</v>
      </c>
    </row>
    <row r="990" spans="1:9" hidden="1">
      <c r="A990" s="232">
        <v>42721</v>
      </c>
      <c r="B990" t="s">
        <v>1963</v>
      </c>
      <c r="C990" t="s">
        <v>2422</v>
      </c>
      <c r="D990">
        <v>2000</v>
      </c>
      <c r="E990">
        <v>0</v>
      </c>
      <c r="F990">
        <v>3289840.49</v>
      </c>
      <c r="G990" s="8" t="s">
        <v>1361</v>
      </c>
      <c r="I990" s="232">
        <v>42721</v>
      </c>
    </row>
    <row r="991" spans="1:9" hidden="1">
      <c r="A991" s="232">
        <v>42723</v>
      </c>
      <c r="B991" t="s">
        <v>1914</v>
      </c>
      <c r="C991" t="s">
        <v>5790</v>
      </c>
      <c r="D991">
        <v>100</v>
      </c>
      <c r="E991">
        <v>0</v>
      </c>
      <c r="F991">
        <v>3289740.49</v>
      </c>
      <c r="I991" s="232">
        <v>42723</v>
      </c>
    </row>
    <row r="992" spans="1:9" hidden="1">
      <c r="A992" s="232">
        <v>42723</v>
      </c>
      <c r="B992" t="s">
        <v>1914</v>
      </c>
      <c r="C992" t="s">
        <v>5791</v>
      </c>
      <c r="D992">
        <v>9900</v>
      </c>
      <c r="E992">
        <v>0</v>
      </c>
      <c r="F992">
        <v>3279840.49</v>
      </c>
      <c r="I992" s="232">
        <v>42723</v>
      </c>
    </row>
    <row r="993" spans="1:9" hidden="1">
      <c r="A993" s="232">
        <v>42726</v>
      </c>
      <c r="B993" t="s">
        <v>1914</v>
      </c>
      <c r="C993" t="s">
        <v>5792</v>
      </c>
      <c r="D993">
        <v>50000</v>
      </c>
      <c r="E993">
        <v>0</v>
      </c>
      <c r="F993">
        <v>3229840.49</v>
      </c>
      <c r="G993" s="8" t="s">
        <v>1379</v>
      </c>
      <c r="I993" s="232">
        <v>42726</v>
      </c>
    </row>
    <row r="994" spans="1:9" hidden="1">
      <c r="A994" s="232">
        <v>42726</v>
      </c>
      <c r="C994" t="s">
        <v>5793</v>
      </c>
      <c r="D994">
        <v>0</v>
      </c>
      <c r="E994">
        <v>515</v>
      </c>
      <c r="F994">
        <v>3230355.49</v>
      </c>
      <c r="G994" s="8" t="s">
        <v>1380</v>
      </c>
      <c r="I994" s="232">
        <v>42726</v>
      </c>
    </row>
    <row r="995" spans="1:9" hidden="1">
      <c r="A995" s="232">
        <v>42727</v>
      </c>
      <c r="B995" t="s">
        <v>2394</v>
      </c>
      <c r="C995" t="s">
        <v>5794</v>
      </c>
      <c r="D995">
        <v>1027</v>
      </c>
      <c r="E995">
        <v>0</v>
      </c>
      <c r="F995">
        <v>3229328.49</v>
      </c>
      <c r="I995" s="232">
        <v>42727</v>
      </c>
    </row>
    <row r="996" spans="1:9" hidden="1">
      <c r="A996" s="232">
        <v>42730</v>
      </c>
      <c r="C996" t="s">
        <v>5795</v>
      </c>
      <c r="D996">
        <v>573.85</v>
      </c>
      <c r="E996">
        <v>0</v>
      </c>
      <c r="F996">
        <v>3228754.64</v>
      </c>
      <c r="G996" s="8" t="s">
        <v>1362</v>
      </c>
      <c r="I996" s="232">
        <v>42730</v>
      </c>
    </row>
    <row r="997" spans="1:9" hidden="1">
      <c r="A997" s="232">
        <v>42731</v>
      </c>
      <c r="C997" t="s">
        <v>5693</v>
      </c>
      <c r="D997">
        <v>25000</v>
      </c>
      <c r="E997">
        <v>0</v>
      </c>
      <c r="F997">
        <v>3203754.64</v>
      </c>
      <c r="G997" s="8" t="s">
        <v>1379</v>
      </c>
      <c r="I997" s="232">
        <v>42731</v>
      </c>
    </row>
    <row r="998" spans="1:9" hidden="1">
      <c r="A998" s="232">
        <v>42732</v>
      </c>
      <c r="C998" t="s">
        <v>5796</v>
      </c>
      <c r="D998">
        <v>0</v>
      </c>
      <c r="E998">
        <v>1027</v>
      </c>
      <c r="F998">
        <v>3204781.64</v>
      </c>
      <c r="G998" s="8" t="s">
        <v>1380</v>
      </c>
      <c r="I998" s="232">
        <v>42732</v>
      </c>
    </row>
    <row r="999" spans="1:9" hidden="1">
      <c r="A999" s="232">
        <v>42732</v>
      </c>
      <c r="B999" t="s">
        <v>1963</v>
      </c>
      <c r="C999" t="s">
        <v>2430</v>
      </c>
      <c r="D999">
        <v>2000</v>
      </c>
      <c r="E999">
        <v>0</v>
      </c>
      <c r="F999">
        <v>3202781.64</v>
      </c>
      <c r="G999" s="8" t="s">
        <v>1361</v>
      </c>
      <c r="I999" s="232">
        <v>42732</v>
      </c>
    </row>
    <row r="1000" spans="1:9" hidden="1">
      <c r="A1000" s="232">
        <v>42734</v>
      </c>
      <c r="C1000" t="s">
        <v>5797</v>
      </c>
      <c r="D1000">
        <v>0</v>
      </c>
      <c r="E1000">
        <v>34885</v>
      </c>
      <c r="F1000">
        <v>3237666.64</v>
      </c>
      <c r="G1000" s="8" t="s">
        <v>1368</v>
      </c>
      <c r="I1000" s="232">
        <v>42734</v>
      </c>
    </row>
    <row r="1001" spans="1:9" hidden="1">
      <c r="A1001" s="232">
        <v>42734</v>
      </c>
      <c r="B1001" t="s">
        <v>1938</v>
      </c>
      <c r="C1001" t="s">
        <v>5798</v>
      </c>
      <c r="D1001">
        <v>0</v>
      </c>
      <c r="E1001">
        <v>418388</v>
      </c>
      <c r="F1001">
        <v>3656054.64</v>
      </c>
      <c r="G1001" s="8" t="s">
        <v>1380</v>
      </c>
      <c r="I1001" s="232">
        <v>42734</v>
      </c>
    </row>
    <row r="1002" spans="1:9" hidden="1">
      <c r="A1002" s="232">
        <v>42735</v>
      </c>
      <c r="B1002" t="s">
        <v>1963</v>
      </c>
      <c r="C1002" t="s">
        <v>2432</v>
      </c>
      <c r="D1002">
        <v>2000</v>
      </c>
      <c r="E1002">
        <v>0</v>
      </c>
      <c r="F1002">
        <v>3654054.64</v>
      </c>
      <c r="G1002" s="8" t="s">
        <v>1361</v>
      </c>
      <c r="I1002" s="232">
        <v>42735</v>
      </c>
    </row>
    <row r="1003" spans="1:9" hidden="1">
      <c r="A1003" s="232">
        <v>42737</v>
      </c>
      <c r="B1003" t="s">
        <v>1914</v>
      </c>
      <c r="C1003" t="s">
        <v>5799</v>
      </c>
      <c r="D1003">
        <v>28000</v>
      </c>
      <c r="E1003">
        <v>0</v>
      </c>
      <c r="F1003">
        <v>3626054.64</v>
      </c>
      <c r="G1003" s="8" t="s">
        <v>1379</v>
      </c>
      <c r="I1003" s="232">
        <v>42737</v>
      </c>
    </row>
    <row r="1004" spans="1:9" hidden="1">
      <c r="A1004" s="232">
        <v>42737</v>
      </c>
      <c r="B1004" t="s">
        <v>1914</v>
      </c>
      <c r="C1004" t="s">
        <v>5800</v>
      </c>
      <c r="D1004">
        <v>50000</v>
      </c>
      <c r="E1004">
        <v>0</v>
      </c>
      <c r="F1004">
        <v>3576054.64</v>
      </c>
      <c r="G1004" s="8" t="s">
        <v>1379</v>
      </c>
      <c r="I1004" s="232">
        <v>42737</v>
      </c>
    </row>
    <row r="1005" spans="1:9" hidden="1">
      <c r="A1005" s="232">
        <v>42737</v>
      </c>
      <c r="B1005" t="s">
        <v>1997</v>
      </c>
      <c r="C1005" t="s">
        <v>5801</v>
      </c>
      <c r="D1005">
        <v>2500</v>
      </c>
      <c r="E1005">
        <v>0</v>
      </c>
      <c r="F1005">
        <v>3573554.64</v>
      </c>
      <c r="I1005" s="232">
        <v>42737</v>
      </c>
    </row>
    <row r="1006" spans="1:9" hidden="1">
      <c r="A1006" s="232">
        <v>42737</v>
      </c>
      <c r="B1006" t="s">
        <v>1997</v>
      </c>
      <c r="C1006" t="s">
        <v>5802</v>
      </c>
      <c r="D1006">
        <v>20000</v>
      </c>
      <c r="E1006">
        <v>0</v>
      </c>
      <c r="F1006">
        <v>3553554.64</v>
      </c>
      <c r="G1006" s="8" t="s">
        <v>1358</v>
      </c>
      <c r="I1006" s="232">
        <v>42737</v>
      </c>
    </row>
    <row r="1007" spans="1:9" hidden="1">
      <c r="A1007" s="232">
        <v>42737</v>
      </c>
      <c r="B1007" t="s">
        <v>1997</v>
      </c>
      <c r="C1007" t="s">
        <v>5803</v>
      </c>
      <c r="D1007">
        <v>800</v>
      </c>
      <c r="E1007">
        <v>0</v>
      </c>
      <c r="F1007">
        <v>3552754.64</v>
      </c>
      <c r="I1007" s="232">
        <v>42737</v>
      </c>
    </row>
    <row r="1008" spans="1:9" hidden="1">
      <c r="A1008" s="232">
        <v>42737</v>
      </c>
      <c r="B1008" t="s">
        <v>1997</v>
      </c>
      <c r="C1008" t="s">
        <v>5804</v>
      </c>
      <c r="D1008">
        <v>2000</v>
      </c>
      <c r="E1008">
        <v>0</v>
      </c>
      <c r="F1008">
        <v>3550754.64</v>
      </c>
      <c r="I1008" s="232">
        <v>42737</v>
      </c>
    </row>
    <row r="1009" spans="1:9" hidden="1">
      <c r="A1009" s="232">
        <v>42737</v>
      </c>
      <c r="B1009" t="s">
        <v>1997</v>
      </c>
      <c r="C1009" t="s">
        <v>5805</v>
      </c>
      <c r="D1009">
        <v>1255</v>
      </c>
      <c r="E1009">
        <v>0</v>
      </c>
      <c r="F1009">
        <v>3549499.64</v>
      </c>
      <c r="I1009" s="232">
        <v>42737</v>
      </c>
    </row>
    <row r="1010" spans="1:9" hidden="1">
      <c r="A1010" s="232">
        <v>42737</v>
      </c>
      <c r="B1010" t="s">
        <v>1997</v>
      </c>
      <c r="C1010" t="s">
        <v>5806</v>
      </c>
      <c r="D1010">
        <v>400</v>
      </c>
      <c r="E1010">
        <v>0</v>
      </c>
      <c r="F1010">
        <v>3549099.64</v>
      </c>
      <c r="I1010" s="232">
        <v>42737</v>
      </c>
    </row>
    <row r="1011" spans="1:9" hidden="1">
      <c r="A1011" s="232">
        <v>42738</v>
      </c>
      <c r="B1011" t="s">
        <v>2737</v>
      </c>
      <c r="C1011" t="s">
        <v>5413</v>
      </c>
      <c r="D1011">
        <v>5060.34</v>
      </c>
      <c r="E1011">
        <v>0</v>
      </c>
      <c r="F1011">
        <v>3544039.3</v>
      </c>
      <c r="G1011" s="8" t="s">
        <v>1362</v>
      </c>
      <c r="I1011" s="232">
        <v>42738</v>
      </c>
    </row>
    <row r="1012" spans="1:9" hidden="1">
      <c r="A1012" s="232">
        <v>42744</v>
      </c>
      <c r="B1012" t="s">
        <v>1997</v>
      </c>
      <c r="C1012" t="s">
        <v>5807</v>
      </c>
      <c r="D1012">
        <v>758</v>
      </c>
      <c r="E1012">
        <v>0</v>
      </c>
      <c r="F1012">
        <v>3543281.3</v>
      </c>
      <c r="I1012" s="232">
        <v>42744</v>
      </c>
    </row>
    <row r="1013" spans="1:9" hidden="1">
      <c r="A1013" s="232">
        <v>42744</v>
      </c>
      <c r="B1013" t="s">
        <v>1997</v>
      </c>
      <c r="C1013" t="s">
        <v>5808</v>
      </c>
      <c r="D1013">
        <v>2800</v>
      </c>
      <c r="E1013">
        <v>0</v>
      </c>
      <c r="F1013">
        <v>3540481.3</v>
      </c>
      <c r="I1013" s="232">
        <v>42744</v>
      </c>
    </row>
    <row r="1014" spans="1:9" hidden="1">
      <c r="A1014" s="232">
        <v>42744</v>
      </c>
      <c r="B1014" t="s">
        <v>1997</v>
      </c>
      <c r="C1014" t="s">
        <v>5809</v>
      </c>
      <c r="D1014">
        <v>3000</v>
      </c>
      <c r="E1014">
        <v>0</v>
      </c>
      <c r="F1014">
        <v>3537481.3</v>
      </c>
      <c r="I1014" s="232">
        <v>42744</v>
      </c>
    </row>
    <row r="1015" spans="1:9" hidden="1">
      <c r="A1015" s="232">
        <v>42744</v>
      </c>
      <c r="B1015" t="s">
        <v>1997</v>
      </c>
      <c r="C1015" t="s">
        <v>5809</v>
      </c>
      <c r="D1015">
        <v>0</v>
      </c>
      <c r="E1015">
        <v>3000</v>
      </c>
      <c r="F1015">
        <v>3540481.3</v>
      </c>
      <c r="I1015" s="232">
        <v>42744</v>
      </c>
    </row>
    <row r="1016" spans="1:9" hidden="1">
      <c r="A1016" s="232">
        <v>42744</v>
      </c>
      <c r="B1016" t="s">
        <v>1997</v>
      </c>
      <c r="C1016" t="s">
        <v>5810</v>
      </c>
      <c r="D1016">
        <v>3000</v>
      </c>
      <c r="E1016">
        <v>0</v>
      </c>
      <c r="F1016">
        <v>3537481.3</v>
      </c>
      <c r="I1016" s="232">
        <v>42744</v>
      </c>
    </row>
    <row r="1017" spans="1:9" hidden="1">
      <c r="A1017" s="232">
        <v>42744</v>
      </c>
      <c r="B1017" t="s">
        <v>1997</v>
      </c>
      <c r="C1017" t="s">
        <v>5810</v>
      </c>
      <c r="D1017">
        <v>0</v>
      </c>
      <c r="E1017">
        <v>3000</v>
      </c>
      <c r="F1017">
        <v>3540481.3</v>
      </c>
      <c r="I1017" s="232">
        <v>42744</v>
      </c>
    </row>
    <row r="1018" spans="1:9" hidden="1">
      <c r="A1018" s="232">
        <v>42744</v>
      </c>
      <c r="B1018" t="s">
        <v>1914</v>
      </c>
      <c r="C1018" t="s">
        <v>5811</v>
      </c>
      <c r="D1018">
        <v>3000</v>
      </c>
      <c r="E1018">
        <v>0</v>
      </c>
      <c r="F1018">
        <v>3537481.3</v>
      </c>
      <c r="I1018" s="232">
        <v>42744</v>
      </c>
    </row>
    <row r="1019" spans="1:9" hidden="1">
      <c r="A1019" s="232">
        <v>42746</v>
      </c>
      <c r="C1019" t="s">
        <v>5812</v>
      </c>
      <c r="D1019">
        <v>0</v>
      </c>
      <c r="E1019">
        <v>515</v>
      </c>
      <c r="F1019">
        <v>3537996.3</v>
      </c>
      <c r="G1019" s="8" t="s">
        <v>1380</v>
      </c>
      <c r="I1019" s="232">
        <v>42746</v>
      </c>
    </row>
    <row r="1020" spans="1:9" hidden="1">
      <c r="A1020" s="232">
        <v>42751</v>
      </c>
      <c r="B1020" t="s">
        <v>1914</v>
      </c>
      <c r="C1020" t="s">
        <v>5813</v>
      </c>
      <c r="D1020">
        <v>47000</v>
      </c>
      <c r="E1020">
        <v>0</v>
      </c>
      <c r="F1020">
        <v>3490996.3</v>
      </c>
      <c r="G1020" s="8" t="s">
        <v>1379</v>
      </c>
      <c r="I1020" s="232">
        <v>42751</v>
      </c>
    </row>
    <row r="1021" spans="1:9" hidden="1">
      <c r="A1021" s="232">
        <v>42751</v>
      </c>
      <c r="C1021" t="s">
        <v>5814</v>
      </c>
      <c r="D1021">
        <v>0</v>
      </c>
      <c r="E1021">
        <v>410</v>
      </c>
      <c r="F1021">
        <v>3491406.3</v>
      </c>
      <c r="G1021" s="8" t="s">
        <v>1380</v>
      </c>
      <c r="I1021" s="232">
        <v>42751</v>
      </c>
    </row>
    <row r="1022" spans="1:9" hidden="1">
      <c r="A1022" s="232">
        <v>42758</v>
      </c>
      <c r="B1022" t="s">
        <v>1914</v>
      </c>
      <c r="C1022" t="s">
        <v>5815</v>
      </c>
      <c r="D1022">
        <v>50000</v>
      </c>
      <c r="E1022">
        <v>0</v>
      </c>
      <c r="F1022">
        <v>3441406.3</v>
      </c>
      <c r="G1022" s="8" t="s">
        <v>1379</v>
      </c>
      <c r="I1022" s="232">
        <v>42758</v>
      </c>
    </row>
    <row r="1023" spans="1:9" hidden="1">
      <c r="A1023" s="232">
        <v>42762</v>
      </c>
      <c r="C1023" t="s">
        <v>5693</v>
      </c>
      <c r="D1023">
        <v>25000</v>
      </c>
      <c r="E1023">
        <v>0</v>
      </c>
      <c r="F1023">
        <v>3416406.3</v>
      </c>
      <c r="G1023" s="8" t="s">
        <v>1379</v>
      </c>
      <c r="I1023" s="232">
        <v>42762</v>
      </c>
    </row>
    <row r="1024" spans="1:9" hidden="1">
      <c r="A1024" s="232">
        <v>42765</v>
      </c>
      <c r="C1024" t="s">
        <v>5816</v>
      </c>
      <c r="D1024">
        <v>0</v>
      </c>
      <c r="E1024">
        <v>410</v>
      </c>
      <c r="F1024">
        <v>3416816.3</v>
      </c>
      <c r="G1024" s="8" t="s">
        <v>1380</v>
      </c>
      <c r="I1024" s="232">
        <v>42765</v>
      </c>
    </row>
    <row r="1025" spans="1:9" hidden="1">
      <c r="A1025" s="232">
        <v>42766</v>
      </c>
      <c r="B1025" t="s">
        <v>1938</v>
      </c>
      <c r="C1025" t="s">
        <v>5817</v>
      </c>
      <c r="D1025">
        <v>0</v>
      </c>
      <c r="E1025">
        <v>280685</v>
      </c>
      <c r="F1025">
        <v>3697501.3</v>
      </c>
      <c r="G1025" s="8" t="s">
        <v>1380</v>
      </c>
      <c r="I1025" s="232">
        <v>42766</v>
      </c>
    </row>
    <row r="1026" spans="1:9" hidden="1">
      <c r="A1026" s="232">
        <v>42767</v>
      </c>
      <c r="B1026" t="s">
        <v>1914</v>
      </c>
      <c r="C1026" t="s">
        <v>5818</v>
      </c>
      <c r="D1026">
        <v>2500</v>
      </c>
      <c r="E1026">
        <v>0</v>
      </c>
      <c r="F1026">
        <v>3695001.3</v>
      </c>
      <c r="I1026" s="232">
        <v>42767</v>
      </c>
    </row>
    <row r="1027" spans="1:9" hidden="1">
      <c r="A1027" s="232">
        <v>42767</v>
      </c>
      <c r="B1027" t="s">
        <v>1997</v>
      </c>
      <c r="C1027" t="s">
        <v>5819</v>
      </c>
      <c r="D1027">
        <v>2800</v>
      </c>
      <c r="E1027">
        <v>0</v>
      </c>
      <c r="F1027">
        <v>3692201.3</v>
      </c>
      <c r="I1027" s="232">
        <v>42767</v>
      </c>
    </row>
    <row r="1028" spans="1:9" hidden="1">
      <c r="A1028" s="232">
        <v>42767</v>
      </c>
      <c r="B1028" t="s">
        <v>1997</v>
      </c>
      <c r="C1028" t="s">
        <v>5820</v>
      </c>
      <c r="D1028">
        <v>800</v>
      </c>
      <c r="E1028">
        <v>0</v>
      </c>
      <c r="F1028">
        <v>3691401.3</v>
      </c>
      <c r="I1028" s="232">
        <v>42767</v>
      </c>
    </row>
    <row r="1029" spans="1:9" hidden="1">
      <c r="A1029" s="232">
        <v>42767</v>
      </c>
      <c r="B1029" t="s">
        <v>1997</v>
      </c>
      <c r="C1029" t="s">
        <v>5821</v>
      </c>
      <c r="D1029">
        <v>2000</v>
      </c>
      <c r="E1029">
        <v>0</v>
      </c>
      <c r="F1029">
        <v>3689401.3</v>
      </c>
      <c r="I1029" s="232">
        <v>42767</v>
      </c>
    </row>
    <row r="1030" spans="1:9" hidden="1">
      <c r="A1030" s="232">
        <v>42767</v>
      </c>
      <c r="B1030" t="s">
        <v>1997</v>
      </c>
      <c r="C1030" t="s">
        <v>5822</v>
      </c>
      <c r="D1030">
        <v>20000</v>
      </c>
      <c r="E1030">
        <v>0</v>
      </c>
      <c r="F1030">
        <v>3669401.3</v>
      </c>
      <c r="G1030" s="8" t="s">
        <v>1358</v>
      </c>
      <c r="I1030" s="232">
        <v>42767</v>
      </c>
    </row>
    <row r="1031" spans="1:9" hidden="1">
      <c r="A1031" s="232">
        <v>42767</v>
      </c>
      <c r="B1031" t="s">
        <v>1914</v>
      </c>
      <c r="C1031" t="s">
        <v>5823</v>
      </c>
      <c r="D1031">
        <v>50000</v>
      </c>
      <c r="E1031">
        <v>0</v>
      </c>
      <c r="F1031">
        <v>3619401.3</v>
      </c>
      <c r="G1031" s="8" t="s">
        <v>1379</v>
      </c>
      <c r="I1031" s="232">
        <v>42767</v>
      </c>
    </row>
    <row r="1032" spans="1:9" hidden="1">
      <c r="A1032" s="232">
        <v>42767</v>
      </c>
      <c r="B1032" t="s">
        <v>1914</v>
      </c>
      <c r="C1032" t="s">
        <v>5824</v>
      </c>
      <c r="D1032">
        <v>28000</v>
      </c>
      <c r="E1032">
        <v>0</v>
      </c>
      <c r="F1032">
        <v>3591401.3</v>
      </c>
      <c r="G1032" s="8" t="s">
        <v>1379</v>
      </c>
      <c r="I1032" s="232">
        <v>42767</v>
      </c>
    </row>
    <row r="1033" spans="1:9" hidden="1">
      <c r="A1033" s="232">
        <v>42768</v>
      </c>
      <c r="B1033" t="s">
        <v>1997</v>
      </c>
      <c r="C1033" t="s">
        <v>5825</v>
      </c>
      <c r="D1033">
        <v>2000</v>
      </c>
      <c r="E1033">
        <v>0</v>
      </c>
      <c r="F1033">
        <v>3589401.3</v>
      </c>
      <c r="I1033" s="232">
        <v>42768</v>
      </c>
    </row>
    <row r="1034" spans="1:9" hidden="1">
      <c r="A1034" s="232">
        <v>42769</v>
      </c>
      <c r="B1034" t="s">
        <v>2737</v>
      </c>
      <c r="C1034" t="s">
        <v>5413</v>
      </c>
      <c r="D1034">
        <v>1208</v>
      </c>
      <c r="E1034">
        <v>0</v>
      </c>
      <c r="F1034">
        <v>3588193.3</v>
      </c>
      <c r="G1034" s="8" t="s">
        <v>1362</v>
      </c>
      <c r="I1034" s="232">
        <v>42769</v>
      </c>
    </row>
    <row r="1035" spans="1:9" hidden="1">
      <c r="A1035" s="232">
        <v>42772</v>
      </c>
      <c r="B1035" t="s">
        <v>1963</v>
      </c>
      <c r="C1035" t="s">
        <v>2445</v>
      </c>
      <c r="D1035">
        <v>2500</v>
      </c>
      <c r="E1035">
        <v>0</v>
      </c>
      <c r="F1035">
        <v>3585693.3</v>
      </c>
      <c r="G1035" s="8" t="s">
        <v>1361</v>
      </c>
      <c r="I1035" s="232">
        <v>42772</v>
      </c>
    </row>
    <row r="1036" spans="1:9" hidden="1">
      <c r="A1036" s="232">
        <v>42772</v>
      </c>
      <c r="B1036" t="s">
        <v>1914</v>
      </c>
      <c r="C1036" t="s">
        <v>5826</v>
      </c>
      <c r="D1036" s="69">
        <v>200000</v>
      </c>
      <c r="E1036">
        <v>0</v>
      </c>
      <c r="F1036">
        <v>3385693.3</v>
      </c>
      <c r="G1036" s="8" t="s">
        <v>1372</v>
      </c>
      <c r="I1036" s="232">
        <v>42772</v>
      </c>
    </row>
    <row r="1037" spans="1:9" hidden="1">
      <c r="A1037" s="232">
        <v>42775</v>
      </c>
      <c r="B1037" t="s">
        <v>1997</v>
      </c>
      <c r="C1037" t="s">
        <v>5827</v>
      </c>
      <c r="D1037">
        <v>635.5</v>
      </c>
      <c r="E1037">
        <v>0</v>
      </c>
      <c r="F1037">
        <v>3385057.8</v>
      </c>
      <c r="I1037" s="232">
        <v>42775</v>
      </c>
    </row>
    <row r="1038" spans="1:9" hidden="1">
      <c r="A1038" s="232">
        <v>42776</v>
      </c>
      <c r="B1038" t="s">
        <v>1914</v>
      </c>
      <c r="C1038" t="s">
        <v>5828</v>
      </c>
      <c r="D1038" s="69">
        <v>300000</v>
      </c>
      <c r="E1038">
        <v>0</v>
      </c>
      <c r="F1038">
        <v>3085057.8</v>
      </c>
      <c r="G1038" s="8" t="s">
        <v>1372</v>
      </c>
      <c r="I1038" s="232">
        <v>42776</v>
      </c>
    </row>
    <row r="1039" spans="1:9" hidden="1">
      <c r="A1039" s="232">
        <v>42779</v>
      </c>
      <c r="C1039" t="s">
        <v>5829</v>
      </c>
      <c r="D1039">
        <v>0</v>
      </c>
      <c r="E1039">
        <v>515</v>
      </c>
      <c r="F1039">
        <v>3085572.8</v>
      </c>
      <c r="G1039" s="8" t="s">
        <v>1380</v>
      </c>
      <c r="I1039" s="232">
        <v>42779</v>
      </c>
    </row>
    <row r="1040" spans="1:9" hidden="1">
      <c r="A1040" s="232">
        <v>42780</v>
      </c>
      <c r="B1040" t="s">
        <v>1914</v>
      </c>
      <c r="C1040" t="s">
        <v>5830</v>
      </c>
      <c r="D1040">
        <v>59138</v>
      </c>
      <c r="E1040">
        <v>0</v>
      </c>
      <c r="F1040">
        <v>3026434.8</v>
      </c>
      <c r="G1040" s="8" t="s">
        <v>1370</v>
      </c>
      <c r="I1040" s="232">
        <v>42780</v>
      </c>
    </row>
    <row r="1041" spans="1:9" hidden="1">
      <c r="A1041" s="232">
        <v>42780</v>
      </c>
      <c r="C1041" t="s">
        <v>5831</v>
      </c>
      <c r="D1041">
        <v>0</v>
      </c>
      <c r="E1041">
        <v>500</v>
      </c>
      <c r="F1041">
        <v>3026934.8</v>
      </c>
      <c r="I1041" s="232">
        <v>42780</v>
      </c>
    </row>
    <row r="1042" spans="1:9" hidden="1">
      <c r="A1042" s="232">
        <v>42780</v>
      </c>
      <c r="C1042" t="s">
        <v>5832</v>
      </c>
      <c r="D1042">
        <v>0</v>
      </c>
      <c r="E1042">
        <v>1323</v>
      </c>
      <c r="F1042">
        <v>3028257.8</v>
      </c>
      <c r="I1042" s="232">
        <v>42780</v>
      </c>
    </row>
    <row r="1043" spans="1:9" hidden="1">
      <c r="A1043" s="232">
        <v>42781</v>
      </c>
      <c r="B1043" t="s">
        <v>1914</v>
      </c>
      <c r="C1043" t="s">
        <v>5833</v>
      </c>
      <c r="D1043">
        <v>47000</v>
      </c>
      <c r="E1043">
        <v>0</v>
      </c>
      <c r="F1043">
        <v>2981257.8</v>
      </c>
      <c r="G1043" s="8" t="s">
        <v>1379</v>
      </c>
      <c r="I1043" s="232">
        <v>42781</v>
      </c>
    </row>
    <row r="1044" spans="1:9" hidden="1">
      <c r="A1044" s="232">
        <v>42788</v>
      </c>
      <c r="B1044" t="s">
        <v>1914</v>
      </c>
      <c r="C1044" t="s">
        <v>5834</v>
      </c>
      <c r="D1044">
        <v>50000</v>
      </c>
      <c r="E1044">
        <v>0</v>
      </c>
      <c r="F1044">
        <v>2931257.8</v>
      </c>
      <c r="G1044" s="8" t="s">
        <v>1379</v>
      </c>
      <c r="I1044" s="232">
        <v>42788</v>
      </c>
    </row>
    <row r="1045" spans="1:9" hidden="1">
      <c r="A1045" s="232">
        <v>42793</v>
      </c>
      <c r="C1045" t="s">
        <v>5693</v>
      </c>
      <c r="D1045">
        <v>25000</v>
      </c>
      <c r="E1045">
        <v>0</v>
      </c>
      <c r="F1045">
        <v>2906257.8</v>
      </c>
      <c r="G1045" s="8" t="s">
        <v>1379</v>
      </c>
      <c r="I1045" s="232">
        <v>42793</v>
      </c>
    </row>
    <row r="1046" spans="1:9" hidden="1">
      <c r="A1046" s="232">
        <v>42794</v>
      </c>
      <c r="B1046" t="s">
        <v>1938</v>
      </c>
      <c r="C1046" t="s">
        <v>5835</v>
      </c>
      <c r="D1046">
        <v>0</v>
      </c>
      <c r="E1046">
        <v>282757</v>
      </c>
      <c r="F1046">
        <v>3189014.8</v>
      </c>
      <c r="G1046" s="8" t="s">
        <v>1380</v>
      </c>
      <c r="I1046" s="232">
        <v>42794</v>
      </c>
    </row>
    <row r="1047" spans="1:9" hidden="1">
      <c r="A1047" s="232">
        <v>42795</v>
      </c>
      <c r="B1047" t="s">
        <v>1914</v>
      </c>
      <c r="C1047" t="s">
        <v>5836</v>
      </c>
      <c r="D1047">
        <v>50000</v>
      </c>
      <c r="E1047">
        <v>0</v>
      </c>
      <c r="F1047">
        <v>3139014.8</v>
      </c>
      <c r="G1047" s="8" t="s">
        <v>1379</v>
      </c>
      <c r="I1047" s="232">
        <v>42795</v>
      </c>
    </row>
    <row r="1048" spans="1:9" hidden="1">
      <c r="A1048" s="232">
        <v>42795</v>
      </c>
      <c r="B1048" t="s">
        <v>1997</v>
      </c>
      <c r="C1048" t="s">
        <v>5837</v>
      </c>
      <c r="D1048">
        <v>2500</v>
      </c>
      <c r="E1048">
        <v>0</v>
      </c>
      <c r="F1048">
        <v>3136514.8</v>
      </c>
      <c r="I1048" s="232">
        <v>42795</v>
      </c>
    </row>
    <row r="1049" spans="1:9" hidden="1">
      <c r="A1049" s="232">
        <v>42795</v>
      </c>
      <c r="B1049" t="s">
        <v>1997</v>
      </c>
      <c r="C1049" t="s">
        <v>5838</v>
      </c>
      <c r="D1049">
        <v>3500</v>
      </c>
      <c r="E1049">
        <v>0</v>
      </c>
      <c r="F1049">
        <v>3133014.8</v>
      </c>
      <c r="I1049" s="232">
        <v>42795</v>
      </c>
    </row>
    <row r="1050" spans="1:9" hidden="1">
      <c r="A1050" s="232">
        <v>42795</v>
      </c>
      <c r="B1050" t="s">
        <v>1997</v>
      </c>
      <c r="C1050" t="s">
        <v>5839</v>
      </c>
      <c r="D1050">
        <v>800</v>
      </c>
      <c r="E1050">
        <v>0</v>
      </c>
      <c r="F1050">
        <v>3132214.8</v>
      </c>
      <c r="I1050" s="232">
        <v>42795</v>
      </c>
    </row>
    <row r="1051" spans="1:9" hidden="1">
      <c r="A1051" s="232">
        <v>42795</v>
      </c>
      <c r="B1051" t="s">
        <v>1914</v>
      </c>
      <c r="C1051" t="s">
        <v>5840</v>
      </c>
      <c r="D1051">
        <v>28000</v>
      </c>
      <c r="E1051">
        <v>0</v>
      </c>
      <c r="F1051">
        <v>3104214.8</v>
      </c>
      <c r="G1051" s="8" t="s">
        <v>1379</v>
      </c>
      <c r="I1051" s="232">
        <v>42795</v>
      </c>
    </row>
    <row r="1052" spans="1:9" hidden="1">
      <c r="A1052" s="232">
        <v>42795</v>
      </c>
      <c r="B1052" t="s">
        <v>1997</v>
      </c>
      <c r="C1052" t="s">
        <v>5841</v>
      </c>
      <c r="D1052">
        <v>2000</v>
      </c>
      <c r="E1052">
        <v>0</v>
      </c>
      <c r="F1052">
        <v>3102214.8</v>
      </c>
      <c r="I1052" s="232">
        <v>42795</v>
      </c>
    </row>
    <row r="1053" spans="1:9" hidden="1">
      <c r="A1053" s="232">
        <v>42795</v>
      </c>
      <c r="B1053" t="s">
        <v>1914</v>
      </c>
      <c r="C1053" t="s">
        <v>5842</v>
      </c>
      <c r="D1053">
        <v>20000</v>
      </c>
      <c r="E1053">
        <v>0</v>
      </c>
      <c r="F1053">
        <v>3082214.8</v>
      </c>
      <c r="G1053" s="8" t="s">
        <v>1358</v>
      </c>
      <c r="I1053" s="232">
        <v>42795</v>
      </c>
    </row>
    <row r="1054" spans="1:9" hidden="1">
      <c r="A1054" s="232">
        <v>42795</v>
      </c>
      <c r="B1054" t="s">
        <v>1997</v>
      </c>
      <c r="C1054" t="s">
        <v>5843</v>
      </c>
      <c r="D1054">
        <v>2800</v>
      </c>
      <c r="E1054">
        <v>0</v>
      </c>
      <c r="F1054">
        <v>3079414.8</v>
      </c>
      <c r="I1054" s="232">
        <v>42795</v>
      </c>
    </row>
    <row r="1055" spans="1:9" hidden="1">
      <c r="A1055" s="232">
        <v>42800</v>
      </c>
      <c r="B1055" t="s">
        <v>1997</v>
      </c>
      <c r="C1055" t="s">
        <v>5844</v>
      </c>
      <c r="D1055">
        <v>602</v>
      </c>
      <c r="E1055">
        <v>0</v>
      </c>
      <c r="F1055">
        <v>3078812.8</v>
      </c>
      <c r="I1055" s="232">
        <v>42800</v>
      </c>
    </row>
    <row r="1056" spans="1:9" hidden="1">
      <c r="A1056" s="232">
        <v>42800</v>
      </c>
      <c r="B1056" t="s">
        <v>1997</v>
      </c>
      <c r="C1056" t="s">
        <v>5844</v>
      </c>
      <c r="D1056">
        <v>0</v>
      </c>
      <c r="E1056">
        <v>602</v>
      </c>
      <c r="F1056">
        <v>3079414.8</v>
      </c>
      <c r="I1056" s="232">
        <v>42800</v>
      </c>
    </row>
    <row r="1057" spans="1:9" hidden="1">
      <c r="A1057" s="232">
        <v>42800</v>
      </c>
      <c r="B1057" t="s">
        <v>1914</v>
      </c>
      <c r="C1057" t="s">
        <v>5845</v>
      </c>
      <c r="D1057">
        <v>602</v>
      </c>
      <c r="E1057">
        <v>0</v>
      </c>
      <c r="F1057">
        <v>3078812.8</v>
      </c>
      <c r="I1057" s="232">
        <v>42800</v>
      </c>
    </row>
    <row r="1058" spans="1:9" hidden="1">
      <c r="A1058" s="232">
        <v>42803</v>
      </c>
      <c r="C1058" t="s">
        <v>5846</v>
      </c>
      <c r="D1058">
        <v>0</v>
      </c>
      <c r="E1058">
        <v>515</v>
      </c>
      <c r="F1058">
        <v>3079327.8</v>
      </c>
      <c r="G1058" s="8" t="s">
        <v>1380</v>
      </c>
      <c r="I1058" s="232">
        <v>42803</v>
      </c>
    </row>
    <row r="1059" spans="1:9" hidden="1">
      <c r="A1059" s="232">
        <v>42809</v>
      </c>
      <c r="B1059" t="s">
        <v>1914</v>
      </c>
      <c r="C1059" t="s">
        <v>5847</v>
      </c>
      <c r="D1059">
        <v>47000</v>
      </c>
      <c r="E1059">
        <v>0</v>
      </c>
      <c r="F1059">
        <v>3032327.8</v>
      </c>
      <c r="G1059" s="8" t="s">
        <v>1379</v>
      </c>
      <c r="I1059" s="232">
        <v>42809</v>
      </c>
    </row>
    <row r="1060" spans="1:9" hidden="1">
      <c r="A1060" s="232">
        <v>42810</v>
      </c>
      <c r="C1060" t="s">
        <v>5848</v>
      </c>
      <c r="D1060">
        <v>0</v>
      </c>
      <c r="E1060">
        <v>823.59</v>
      </c>
      <c r="F1060">
        <v>3033151.39</v>
      </c>
      <c r="G1060" s="8" t="s">
        <v>1380</v>
      </c>
      <c r="I1060" s="232">
        <v>42810</v>
      </c>
    </row>
    <row r="1061" spans="1:9" hidden="1">
      <c r="A1061" s="232">
        <v>42816</v>
      </c>
      <c r="B1061" t="s">
        <v>1914</v>
      </c>
      <c r="C1061" t="s">
        <v>5849</v>
      </c>
      <c r="D1061">
        <v>50000</v>
      </c>
      <c r="E1061">
        <v>0</v>
      </c>
      <c r="F1061">
        <v>2983151.39</v>
      </c>
      <c r="G1061" s="8" t="s">
        <v>1379</v>
      </c>
      <c r="I1061" s="232">
        <v>42816</v>
      </c>
    </row>
    <row r="1062" spans="1:9" hidden="1">
      <c r="A1062" s="232">
        <v>42821</v>
      </c>
      <c r="C1062" t="s">
        <v>5693</v>
      </c>
      <c r="D1062">
        <v>25000</v>
      </c>
      <c r="E1062">
        <v>0</v>
      </c>
      <c r="F1062">
        <v>2958151.39</v>
      </c>
      <c r="G1062" s="8" t="s">
        <v>1379</v>
      </c>
      <c r="I1062" s="232">
        <v>42821</v>
      </c>
    </row>
    <row r="1063" spans="1:9" hidden="1">
      <c r="A1063" s="232">
        <v>42823</v>
      </c>
      <c r="C1063" t="s">
        <v>5850</v>
      </c>
      <c r="D1063">
        <v>0</v>
      </c>
      <c r="E1063">
        <v>410</v>
      </c>
      <c r="F1063">
        <v>2958561.39</v>
      </c>
      <c r="G1063" s="8" t="s">
        <v>1380</v>
      </c>
      <c r="I1063" s="232">
        <v>42823</v>
      </c>
    </row>
    <row r="1064" spans="1:9" hidden="1">
      <c r="A1064" s="232">
        <v>42825</v>
      </c>
      <c r="B1064" t="s">
        <v>1938</v>
      </c>
      <c r="C1064" t="s">
        <v>5851</v>
      </c>
      <c r="D1064">
        <v>0</v>
      </c>
      <c r="E1064">
        <v>283209</v>
      </c>
      <c r="F1064">
        <v>3241770.39</v>
      </c>
      <c r="G1064" s="8" t="s">
        <v>1380</v>
      </c>
      <c r="I1064" s="232">
        <v>42825</v>
      </c>
    </row>
    <row r="1065" spans="1:9" hidden="1">
      <c r="A1065" s="232">
        <v>42825</v>
      </c>
      <c r="C1065" t="s">
        <v>5852</v>
      </c>
      <c r="D1065">
        <v>0</v>
      </c>
      <c r="E1065">
        <v>32381</v>
      </c>
      <c r="F1065">
        <v>3274151.39</v>
      </c>
      <c r="G1065" s="8" t="s">
        <v>1368</v>
      </c>
      <c r="I1065" s="232">
        <v>42825</v>
      </c>
    </row>
    <row r="1066" spans="1:9" hidden="1">
      <c r="A1066" s="232">
        <v>42826</v>
      </c>
      <c r="C1066" t="s">
        <v>1394</v>
      </c>
      <c r="D1066">
        <v>0</v>
      </c>
      <c r="E1066">
        <v>0</v>
      </c>
      <c r="F1066">
        <v>3274151.39</v>
      </c>
      <c r="I1066" s="232">
        <v>42826</v>
      </c>
    </row>
    <row r="1067" spans="1:9" hidden="1">
      <c r="A1067" s="232">
        <v>42828</v>
      </c>
      <c r="B1067" t="s">
        <v>1997</v>
      </c>
      <c r="C1067" t="s">
        <v>5853</v>
      </c>
      <c r="D1067">
        <v>800</v>
      </c>
      <c r="E1067">
        <v>0</v>
      </c>
      <c r="F1067">
        <v>3273351.39</v>
      </c>
      <c r="I1067" s="232">
        <v>42828</v>
      </c>
    </row>
    <row r="1068" spans="1:9" hidden="1">
      <c r="A1068" s="232">
        <v>42828</v>
      </c>
      <c r="B1068" t="s">
        <v>1997</v>
      </c>
      <c r="C1068" t="s">
        <v>5854</v>
      </c>
      <c r="D1068">
        <v>2000</v>
      </c>
      <c r="E1068">
        <v>0</v>
      </c>
      <c r="F1068">
        <v>3271351.39</v>
      </c>
      <c r="I1068" s="232">
        <v>42828</v>
      </c>
    </row>
    <row r="1069" spans="1:9" hidden="1">
      <c r="A1069" s="232">
        <v>42828</v>
      </c>
      <c r="B1069" t="s">
        <v>1997</v>
      </c>
      <c r="C1069" t="s">
        <v>5855</v>
      </c>
      <c r="D1069">
        <v>3500</v>
      </c>
      <c r="E1069">
        <v>0</v>
      </c>
      <c r="F1069">
        <v>3267851.39</v>
      </c>
      <c r="I1069" s="232">
        <v>42828</v>
      </c>
    </row>
    <row r="1070" spans="1:9" hidden="1">
      <c r="A1070" s="232">
        <v>42828</v>
      </c>
      <c r="B1070" t="s">
        <v>1997</v>
      </c>
      <c r="C1070" t="s">
        <v>5856</v>
      </c>
      <c r="D1070">
        <v>20000</v>
      </c>
      <c r="E1070">
        <v>0</v>
      </c>
      <c r="F1070">
        <v>3247851.39</v>
      </c>
      <c r="G1070" s="8" t="s">
        <v>1358</v>
      </c>
      <c r="I1070" s="232">
        <v>42828</v>
      </c>
    </row>
    <row r="1071" spans="1:9" hidden="1">
      <c r="A1071" s="232">
        <v>42828</v>
      </c>
      <c r="B1071" t="s">
        <v>1914</v>
      </c>
      <c r="C1071" t="s">
        <v>5857</v>
      </c>
      <c r="D1071">
        <v>50000</v>
      </c>
      <c r="E1071">
        <v>0</v>
      </c>
      <c r="F1071">
        <v>3197851.39</v>
      </c>
      <c r="G1071" s="8" t="s">
        <v>1379</v>
      </c>
      <c r="I1071" s="232">
        <v>42828</v>
      </c>
    </row>
    <row r="1072" spans="1:9" hidden="1">
      <c r="A1072" s="232">
        <v>42828</v>
      </c>
      <c r="B1072" t="s">
        <v>1914</v>
      </c>
      <c r="C1072" t="s">
        <v>5858</v>
      </c>
      <c r="D1072">
        <v>28000</v>
      </c>
      <c r="E1072">
        <v>0</v>
      </c>
      <c r="F1072">
        <v>3169851.39</v>
      </c>
      <c r="G1072" s="8" t="s">
        <v>1379</v>
      </c>
      <c r="I1072" s="232">
        <v>42828</v>
      </c>
    </row>
    <row r="1073" spans="1:9" hidden="1">
      <c r="A1073" s="232">
        <v>42829</v>
      </c>
      <c r="B1073" t="s">
        <v>1997</v>
      </c>
      <c r="C1073" t="s">
        <v>5859</v>
      </c>
      <c r="D1073">
        <v>817</v>
      </c>
      <c r="E1073">
        <v>0</v>
      </c>
      <c r="F1073">
        <v>3169034.39</v>
      </c>
      <c r="I1073" s="232">
        <v>42829</v>
      </c>
    </row>
    <row r="1074" spans="1:9" hidden="1">
      <c r="A1074" s="232">
        <v>42832</v>
      </c>
      <c r="B1074" t="s">
        <v>1914</v>
      </c>
      <c r="C1074" t="s">
        <v>5860</v>
      </c>
      <c r="D1074" s="69">
        <v>300000</v>
      </c>
      <c r="E1074">
        <v>0</v>
      </c>
      <c r="F1074">
        <v>2869034.39</v>
      </c>
      <c r="G1074" s="8" t="s">
        <v>1372</v>
      </c>
      <c r="I1074" s="232">
        <v>42832</v>
      </c>
    </row>
    <row r="1075" spans="1:9" hidden="1">
      <c r="A1075" s="232">
        <v>42836</v>
      </c>
      <c r="B1075" t="s">
        <v>1914</v>
      </c>
      <c r="C1075" t="s">
        <v>5861</v>
      </c>
      <c r="D1075">
        <v>5000</v>
      </c>
      <c r="E1075">
        <v>0</v>
      </c>
      <c r="F1075">
        <v>2864034.39</v>
      </c>
      <c r="G1075" s="8" t="s">
        <v>1361</v>
      </c>
      <c r="I1075" s="232">
        <v>42836</v>
      </c>
    </row>
    <row r="1076" spans="1:9" hidden="1">
      <c r="A1076" s="232">
        <v>42840</v>
      </c>
      <c r="B1076" t="s">
        <v>1914</v>
      </c>
      <c r="C1076" t="s">
        <v>5862</v>
      </c>
      <c r="D1076">
        <v>47000</v>
      </c>
      <c r="E1076">
        <v>0</v>
      </c>
      <c r="F1076">
        <v>2817034.39</v>
      </c>
      <c r="G1076" s="8" t="s">
        <v>1379</v>
      </c>
      <c r="I1076" s="232">
        <v>42840</v>
      </c>
    </row>
    <row r="1077" spans="1:9" hidden="1">
      <c r="A1077" s="232">
        <v>42842</v>
      </c>
      <c r="B1077" t="s">
        <v>1914</v>
      </c>
      <c r="C1077" t="s">
        <v>5863</v>
      </c>
      <c r="D1077">
        <v>1000</v>
      </c>
      <c r="E1077">
        <v>0</v>
      </c>
      <c r="F1077">
        <v>2816034.39</v>
      </c>
      <c r="I1077" s="232">
        <v>42842</v>
      </c>
    </row>
    <row r="1078" spans="1:9" hidden="1">
      <c r="A1078" s="232">
        <v>42845</v>
      </c>
      <c r="B1078" t="s">
        <v>1914</v>
      </c>
      <c r="C1078" t="s">
        <v>5864</v>
      </c>
      <c r="D1078">
        <v>3210</v>
      </c>
      <c r="E1078">
        <v>0</v>
      </c>
      <c r="F1078">
        <v>2812824.39</v>
      </c>
      <c r="G1078" s="8" t="s">
        <v>1370</v>
      </c>
      <c r="I1078" s="232">
        <v>42845</v>
      </c>
    </row>
    <row r="1079" spans="1:9" hidden="1">
      <c r="A1079" s="232">
        <v>42849</v>
      </c>
      <c r="B1079" t="s">
        <v>1914</v>
      </c>
      <c r="C1079" t="s">
        <v>5865</v>
      </c>
      <c r="D1079">
        <v>50000</v>
      </c>
      <c r="E1079">
        <v>0</v>
      </c>
      <c r="F1079">
        <v>2762824.39</v>
      </c>
      <c r="G1079" s="8" t="s">
        <v>1379</v>
      </c>
      <c r="I1079" s="232">
        <v>42849</v>
      </c>
    </row>
    <row r="1080" spans="1:9" hidden="1">
      <c r="A1080" s="232">
        <v>42849</v>
      </c>
      <c r="B1080" t="s">
        <v>1914</v>
      </c>
      <c r="C1080" t="s">
        <v>5866</v>
      </c>
      <c r="D1080" s="69">
        <v>200000</v>
      </c>
      <c r="E1080">
        <v>0</v>
      </c>
      <c r="F1080">
        <v>2562824.39</v>
      </c>
      <c r="G1080" s="8" t="s">
        <v>1372</v>
      </c>
      <c r="I1080" s="232">
        <v>42849</v>
      </c>
    </row>
    <row r="1081" spans="1:9" hidden="1">
      <c r="A1081" s="232">
        <v>42852</v>
      </c>
      <c r="C1081" t="s">
        <v>5693</v>
      </c>
      <c r="D1081">
        <v>25000</v>
      </c>
      <c r="E1081">
        <v>0</v>
      </c>
      <c r="F1081">
        <v>2537824.39</v>
      </c>
      <c r="G1081" s="8" t="s">
        <v>1379</v>
      </c>
      <c r="I1081" s="232">
        <v>42852</v>
      </c>
    </row>
    <row r="1082" spans="1:9" hidden="1">
      <c r="A1082" s="232">
        <v>42853</v>
      </c>
      <c r="B1082" t="s">
        <v>1938</v>
      </c>
      <c r="C1082" t="s">
        <v>5867</v>
      </c>
      <c r="D1082">
        <v>0</v>
      </c>
      <c r="E1082">
        <v>276607</v>
      </c>
      <c r="F1082">
        <v>2814431.39</v>
      </c>
      <c r="G1082" s="8" t="s">
        <v>1380</v>
      </c>
      <c r="I1082" s="232">
        <v>42853</v>
      </c>
    </row>
    <row r="1083" spans="1:9" hidden="1">
      <c r="A1083" s="232">
        <v>42856</v>
      </c>
      <c r="B1083" t="s">
        <v>1914</v>
      </c>
      <c r="C1083" t="s">
        <v>5868</v>
      </c>
      <c r="D1083">
        <v>28000</v>
      </c>
      <c r="E1083">
        <v>0</v>
      </c>
      <c r="F1083">
        <v>2786431.39</v>
      </c>
      <c r="G1083" s="8" t="s">
        <v>1379</v>
      </c>
      <c r="I1083" s="232">
        <v>42856</v>
      </c>
    </row>
    <row r="1084" spans="1:9" hidden="1">
      <c r="A1084" s="232">
        <v>42856</v>
      </c>
      <c r="B1084" t="s">
        <v>1914</v>
      </c>
      <c r="C1084" t="s">
        <v>5869</v>
      </c>
      <c r="D1084">
        <v>3500</v>
      </c>
      <c r="E1084">
        <v>0</v>
      </c>
      <c r="F1084">
        <v>2782931.39</v>
      </c>
      <c r="I1084" s="232">
        <v>42856</v>
      </c>
    </row>
    <row r="1085" spans="1:9" hidden="1">
      <c r="A1085" s="232">
        <v>42856</v>
      </c>
      <c r="B1085" t="s">
        <v>1997</v>
      </c>
      <c r="C1085" t="s">
        <v>5870</v>
      </c>
      <c r="D1085">
        <v>30000</v>
      </c>
      <c r="E1085">
        <v>0</v>
      </c>
      <c r="F1085">
        <v>2752931.39</v>
      </c>
      <c r="I1085" s="232">
        <v>42856</v>
      </c>
    </row>
    <row r="1086" spans="1:9" hidden="1">
      <c r="A1086" s="232">
        <v>42856</v>
      </c>
      <c r="B1086" t="s">
        <v>2394</v>
      </c>
      <c r="C1086" t="s">
        <v>5871</v>
      </c>
      <c r="D1086">
        <v>25</v>
      </c>
      <c r="E1086">
        <v>0</v>
      </c>
      <c r="F1086">
        <v>2752906.39</v>
      </c>
      <c r="I1086" s="232">
        <v>42856</v>
      </c>
    </row>
    <row r="1087" spans="1:9" hidden="1">
      <c r="A1087" s="232">
        <v>42857</v>
      </c>
      <c r="B1087" t="s">
        <v>2394</v>
      </c>
      <c r="C1087" t="s">
        <v>5872</v>
      </c>
      <c r="D1087">
        <v>0</v>
      </c>
      <c r="E1087">
        <v>25</v>
      </c>
      <c r="F1087">
        <v>2752931.39</v>
      </c>
      <c r="I1087" s="232">
        <v>42857</v>
      </c>
    </row>
    <row r="1088" spans="1:9" hidden="1">
      <c r="A1088" s="232">
        <v>42859</v>
      </c>
      <c r="B1088" t="s">
        <v>1914</v>
      </c>
      <c r="C1088" t="s">
        <v>5873</v>
      </c>
      <c r="D1088">
        <v>245417</v>
      </c>
      <c r="E1088">
        <v>0</v>
      </c>
      <c r="F1088">
        <v>2507514.39</v>
      </c>
      <c r="G1088" s="8" t="s">
        <v>1370</v>
      </c>
      <c r="I1088" s="232">
        <v>42859</v>
      </c>
    </row>
    <row r="1089" spans="1:9" hidden="1">
      <c r="A1089" s="232">
        <v>42860</v>
      </c>
      <c r="C1089" t="s">
        <v>5874</v>
      </c>
      <c r="D1089">
        <v>0</v>
      </c>
      <c r="E1089">
        <v>410</v>
      </c>
      <c r="F1089">
        <v>2507924.39</v>
      </c>
      <c r="G1089" s="8" t="s">
        <v>1380</v>
      </c>
      <c r="I1089" s="232">
        <v>42860</v>
      </c>
    </row>
    <row r="1090" spans="1:9" hidden="1">
      <c r="A1090" s="232">
        <v>42860</v>
      </c>
      <c r="C1090" t="s">
        <v>5875</v>
      </c>
      <c r="D1090">
        <v>0</v>
      </c>
      <c r="E1090">
        <v>515</v>
      </c>
      <c r="F1090">
        <v>2508439.39</v>
      </c>
      <c r="G1090" s="8" t="s">
        <v>1380</v>
      </c>
      <c r="I1090" s="232">
        <v>42860</v>
      </c>
    </row>
    <row r="1091" spans="1:9" hidden="1">
      <c r="A1091" s="232">
        <v>42861</v>
      </c>
      <c r="B1091" t="s">
        <v>1914</v>
      </c>
      <c r="C1091" t="s">
        <v>5876</v>
      </c>
      <c r="D1091">
        <v>700</v>
      </c>
      <c r="E1091">
        <v>0</v>
      </c>
      <c r="F1091">
        <v>2507739.39</v>
      </c>
      <c r="I1091" s="232">
        <v>42861</v>
      </c>
    </row>
    <row r="1092" spans="1:9" hidden="1">
      <c r="A1092" s="232">
        <v>42861</v>
      </c>
      <c r="B1092" t="s">
        <v>1997</v>
      </c>
      <c r="C1092" t="s">
        <v>5877</v>
      </c>
      <c r="D1092">
        <v>580.5</v>
      </c>
      <c r="E1092">
        <v>0</v>
      </c>
      <c r="F1092">
        <v>2507158.89</v>
      </c>
      <c r="I1092" s="232">
        <v>42861</v>
      </c>
    </row>
    <row r="1093" spans="1:9" hidden="1">
      <c r="A1093" s="232">
        <v>42864</v>
      </c>
      <c r="C1093" t="s">
        <v>5878</v>
      </c>
      <c r="D1093">
        <v>0</v>
      </c>
      <c r="E1093">
        <v>515</v>
      </c>
      <c r="F1093">
        <v>2507673.89</v>
      </c>
      <c r="G1093" s="8" t="s">
        <v>1380</v>
      </c>
      <c r="I1093" s="232">
        <v>42864</v>
      </c>
    </row>
    <row r="1094" spans="1:9" hidden="1">
      <c r="A1094" s="232">
        <v>42870</v>
      </c>
      <c r="B1094" t="s">
        <v>1914</v>
      </c>
      <c r="C1094" t="s">
        <v>5879</v>
      </c>
      <c r="D1094">
        <v>47000</v>
      </c>
      <c r="E1094">
        <v>0</v>
      </c>
      <c r="F1094">
        <v>2460673.89</v>
      </c>
      <c r="G1094" s="8" t="s">
        <v>1379</v>
      </c>
      <c r="I1094" s="232">
        <v>42870</v>
      </c>
    </row>
    <row r="1095" spans="1:9" hidden="1">
      <c r="A1095" s="232">
        <v>42877</v>
      </c>
      <c r="B1095" t="s">
        <v>1914</v>
      </c>
      <c r="C1095" t="s">
        <v>5880</v>
      </c>
      <c r="D1095">
        <v>50000</v>
      </c>
      <c r="E1095">
        <v>0</v>
      </c>
      <c r="F1095">
        <v>2410673.89</v>
      </c>
      <c r="G1095" s="8" t="s">
        <v>1379</v>
      </c>
      <c r="I1095" s="232">
        <v>42877</v>
      </c>
    </row>
    <row r="1096" spans="1:9" hidden="1">
      <c r="A1096" s="232">
        <v>42884</v>
      </c>
      <c r="C1096" t="s">
        <v>5693</v>
      </c>
      <c r="D1096">
        <v>25000</v>
      </c>
      <c r="E1096">
        <v>0</v>
      </c>
      <c r="F1096">
        <v>2385673.89</v>
      </c>
      <c r="G1096" s="8" t="s">
        <v>1379</v>
      </c>
      <c r="I1096" s="232">
        <v>42884</v>
      </c>
    </row>
    <row r="1097" spans="1:9" hidden="1">
      <c r="A1097" s="232">
        <v>42886</v>
      </c>
      <c r="B1097" t="s">
        <v>1938</v>
      </c>
      <c r="C1097" t="s">
        <v>5881</v>
      </c>
      <c r="D1097">
        <v>0</v>
      </c>
      <c r="E1097">
        <v>274100</v>
      </c>
      <c r="F1097">
        <v>2659773.89</v>
      </c>
      <c r="G1097" s="8" t="s">
        <v>1380</v>
      </c>
      <c r="I1097" s="232">
        <v>42886</v>
      </c>
    </row>
    <row r="1098" spans="1:9" hidden="1">
      <c r="A1098" s="232">
        <v>42887</v>
      </c>
      <c r="B1098" t="s">
        <v>1914</v>
      </c>
      <c r="C1098" t="s">
        <v>5882</v>
      </c>
      <c r="D1098">
        <v>28000</v>
      </c>
      <c r="E1098">
        <v>0</v>
      </c>
      <c r="F1098">
        <v>2631773.89</v>
      </c>
      <c r="G1098" s="8" t="s">
        <v>1379</v>
      </c>
      <c r="I1098" s="232">
        <v>42887</v>
      </c>
    </row>
    <row r="1099" spans="1:9" hidden="1">
      <c r="A1099" s="232">
        <v>42889</v>
      </c>
      <c r="B1099" t="s">
        <v>1914</v>
      </c>
      <c r="C1099" t="s">
        <v>5883</v>
      </c>
      <c r="D1099">
        <v>20000</v>
      </c>
      <c r="E1099">
        <v>0</v>
      </c>
      <c r="F1099">
        <v>2611773.89</v>
      </c>
      <c r="G1099" s="8" t="s">
        <v>1358</v>
      </c>
      <c r="I1099" s="232">
        <v>42889</v>
      </c>
    </row>
    <row r="1100" spans="1:9" hidden="1">
      <c r="A1100" s="232">
        <v>42889</v>
      </c>
      <c r="B1100" t="s">
        <v>1914</v>
      </c>
      <c r="C1100" t="s">
        <v>5884</v>
      </c>
      <c r="D1100">
        <v>2000</v>
      </c>
      <c r="E1100">
        <v>0</v>
      </c>
      <c r="F1100">
        <v>2609773.89</v>
      </c>
      <c r="I1100" s="232">
        <v>42889</v>
      </c>
    </row>
    <row r="1101" spans="1:9" hidden="1">
      <c r="A1101" s="232">
        <v>42889</v>
      </c>
      <c r="B1101" t="s">
        <v>1914</v>
      </c>
      <c r="C1101" t="s">
        <v>5885</v>
      </c>
      <c r="D1101">
        <v>800</v>
      </c>
      <c r="E1101">
        <v>0</v>
      </c>
      <c r="F1101">
        <v>2608973.89</v>
      </c>
      <c r="I1101" s="232">
        <v>42889</v>
      </c>
    </row>
    <row r="1102" spans="1:9" hidden="1">
      <c r="A1102" s="232">
        <v>42889</v>
      </c>
      <c r="B1102" t="s">
        <v>1914</v>
      </c>
      <c r="C1102" t="s">
        <v>5886</v>
      </c>
      <c r="D1102">
        <v>3500</v>
      </c>
      <c r="E1102">
        <v>0</v>
      </c>
      <c r="F1102">
        <v>2605473.89</v>
      </c>
      <c r="I1102" s="232">
        <v>42889</v>
      </c>
    </row>
    <row r="1103" spans="1:9" hidden="1">
      <c r="A1103" s="232">
        <v>42889</v>
      </c>
      <c r="B1103" t="s">
        <v>1914</v>
      </c>
      <c r="C1103" t="s">
        <v>5887</v>
      </c>
      <c r="D1103">
        <v>2800</v>
      </c>
      <c r="E1103">
        <v>0</v>
      </c>
      <c r="F1103">
        <v>2602673.89</v>
      </c>
      <c r="I1103" s="232">
        <v>42889</v>
      </c>
    </row>
    <row r="1104" spans="1:9" hidden="1">
      <c r="A1104" s="232">
        <v>42889</v>
      </c>
      <c r="C1104" t="s">
        <v>5888</v>
      </c>
      <c r="D1104">
        <v>0</v>
      </c>
      <c r="E1104">
        <v>841213</v>
      </c>
      <c r="F1104">
        <v>3443886.89</v>
      </c>
      <c r="G1104" s="8" t="s">
        <v>1379</v>
      </c>
      <c r="I1104" s="232">
        <v>42889</v>
      </c>
    </row>
    <row r="1105" spans="1:9" hidden="1">
      <c r="A1105" s="232">
        <v>42889</v>
      </c>
      <c r="C1105" t="s">
        <v>5889</v>
      </c>
      <c r="D1105">
        <v>50000</v>
      </c>
      <c r="E1105">
        <v>0</v>
      </c>
      <c r="F1105">
        <v>3393886.89</v>
      </c>
      <c r="G1105" s="8" t="s">
        <v>1379</v>
      </c>
      <c r="I1105" s="232">
        <v>42889</v>
      </c>
    </row>
    <row r="1106" spans="1:9" hidden="1">
      <c r="A1106" s="232">
        <v>42889</v>
      </c>
      <c r="B1106" t="s">
        <v>1963</v>
      </c>
      <c r="C1106" t="s">
        <v>2501</v>
      </c>
      <c r="D1106">
        <v>5000</v>
      </c>
      <c r="E1106">
        <v>0</v>
      </c>
      <c r="F1106">
        <v>3388886.89</v>
      </c>
      <c r="G1106" s="8" t="s">
        <v>1361</v>
      </c>
      <c r="I1106" s="232">
        <v>42889</v>
      </c>
    </row>
    <row r="1107" spans="1:9" hidden="1">
      <c r="A1107" s="232">
        <v>42891</v>
      </c>
      <c r="B1107" t="s">
        <v>2737</v>
      </c>
      <c r="C1107" t="s">
        <v>5413</v>
      </c>
      <c r="D1107">
        <v>7467</v>
      </c>
      <c r="E1107">
        <v>0</v>
      </c>
      <c r="F1107">
        <v>3381419.89</v>
      </c>
      <c r="G1107" s="8" t="s">
        <v>1362</v>
      </c>
      <c r="I1107" s="232">
        <v>42891</v>
      </c>
    </row>
    <row r="1108" spans="1:9" hidden="1">
      <c r="A1108" s="232">
        <v>42892</v>
      </c>
      <c r="B1108" t="s">
        <v>1914</v>
      </c>
      <c r="C1108" t="s">
        <v>5890</v>
      </c>
      <c r="D1108">
        <v>8883.6200000000008</v>
      </c>
      <c r="E1108">
        <v>0</v>
      </c>
      <c r="F1108">
        <v>3372536.27</v>
      </c>
      <c r="G1108" s="8" t="s">
        <v>1362</v>
      </c>
      <c r="I1108" s="232">
        <v>42892</v>
      </c>
    </row>
    <row r="1109" spans="1:9" hidden="1">
      <c r="A1109" s="232">
        <v>42894</v>
      </c>
      <c r="C1109" t="s">
        <v>5891</v>
      </c>
      <c r="D1109">
        <v>0</v>
      </c>
      <c r="E1109">
        <v>410</v>
      </c>
      <c r="F1109">
        <v>3372946.27</v>
      </c>
      <c r="G1109" s="8" t="s">
        <v>1380</v>
      </c>
      <c r="I1109" s="232">
        <v>42894</v>
      </c>
    </row>
    <row r="1110" spans="1:9" hidden="1">
      <c r="A1110" s="232">
        <v>42901</v>
      </c>
      <c r="B1110" t="s">
        <v>1914</v>
      </c>
      <c r="C1110" t="s">
        <v>5892</v>
      </c>
      <c r="D1110">
        <v>47000</v>
      </c>
      <c r="E1110">
        <v>0</v>
      </c>
      <c r="F1110">
        <v>3325946.27</v>
      </c>
      <c r="G1110" s="8" t="s">
        <v>1379</v>
      </c>
      <c r="I1110" s="232">
        <v>42901</v>
      </c>
    </row>
    <row r="1111" spans="1:9" hidden="1">
      <c r="A1111" s="232">
        <v>42905</v>
      </c>
      <c r="B1111" t="s">
        <v>1914</v>
      </c>
      <c r="C1111" t="s">
        <v>5893</v>
      </c>
      <c r="D1111">
        <v>365.5</v>
      </c>
      <c r="E1111">
        <v>0</v>
      </c>
      <c r="F1111">
        <v>3325580.77</v>
      </c>
      <c r="I1111" s="232">
        <v>42905</v>
      </c>
    </row>
    <row r="1112" spans="1:9" hidden="1">
      <c r="A1112" s="232">
        <v>42908</v>
      </c>
      <c r="B1112" t="s">
        <v>1914</v>
      </c>
      <c r="C1112" t="s">
        <v>5894</v>
      </c>
      <c r="D1112">
        <v>50000</v>
      </c>
      <c r="E1112">
        <v>0</v>
      </c>
      <c r="F1112">
        <v>3275580.77</v>
      </c>
      <c r="G1112" s="8" t="s">
        <v>1379</v>
      </c>
      <c r="I1112" s="232">
        <v>42908</v>
      </c>
    </row>
    <row r="1113" spans="1:9" hidden="1">
      <c r="A1113" s="232">
        <v>42908</v>
      </c>
      <c r="C1113" t="s">
        <v>5895</v>
      </c>
      <c r="D1113">
        <v>0</v>
      </c>
      <c r="E1113">
        <v>515</v>
      </c>
      <c r="F1113">
        <v>3276095.77</v>
      </c>
      <c r="G1113" s="8" t="s">
        <v>1380</v>
      </c>
      <c r="I1113" s="232">
        <v>42908</v>
      </c>
    </row>
    <row r="1114" spans="1:9" hidden="1">
      <c r="A1114" s="232">
        <v>42909</v>
      </c>
      <c r="C1114" t="s">
        <v>5896</v>
      </c>
      <c r="D1114">
        <v>0</v>
      </c>
      <c r="E1114">
        <v>4360</v>
      </c>
      <c r="F1114">
        <v>3280455.77</v>
      </c>
      <c r="I1114" s="232">
        <v>42909</v>
      </c>
    </row>
    <row r="1115" spans="1:9" hidden="1">
      <c r="A1115" s="232">
        <v>42909</v>
      </c>
      <c r="C1115" t="s">
        <v>5897</v>
      </c>
      <c r="D1115">
        <v>0</v>
      </c>
      <c r="E1115">
        <v>4860</v>
      </c>
      <c r="F1115">
        <v>3285315.77</v>
      </c>
      <c r="I1115" s="232">
        <v>42909</v>
      </c>
    </row>
    <row r="1116" spans="1:9" hidden="1">
      <c r="A1116" s="232">
        <v>42913</v>
      </c>
      <c r="C1116" t="s">
        <v>2415</v>
      </c>
      <c r="D1116">
        <v>300000</v>
      </c>
      <c r="E1116">
        <v>0</v>
      </c>
      <c r="F1116">
        <v>2985315.77</v>
      </c>
      <c r="G1116" s="8" t="s">
        <v>1381</v>
      </c>
      <c r="I1116" s="232">
        <v>42913</v>
      </c>
    </row>
    <row r="1117" spans="1:9" hidden="1">
      <c r="A1117" s="232">
        <v>42913</v>
      </c>
      <c r="B1117" t="s">
        <v>1914</v>
      </c>
      <c r="C1117" t="s">
        <v>5898</v>
      </c>
      <c r="D1117" s="69">
        <v>700000</v>
      </c>
      <c r="E1117">
        <v>0</v>
      </c>
      <c r="F1117">
        <v>2285315.77</v>
      </c>
      <c r="G1117" s="8" t="s">
        <v>1372</v>
      </c>
      <c r="I1117" s="232">
        <v>42913</v>
      </c>
    </row>
    <row r="1118" spans="1:9" hidden="1">
      <c r="A1118" s="232">
        <v>42913</v>
      </c>
      <c r="C1118" t="s">
        <v>5693</v>
      </c>
      <c r="D1118">
        <v>25000</v>
      </c>
      <c r="E1118">
        <v>0</v>
      </c>
      <c r="F1118">
        <v>2260315.77</v>
      </c>
      <c r="G1118" s="8" t="s">
        <v>1379</v>
      </c>
      <c r="I1118" s="232">
        <v>42913</v>
      </c>
    </row>
    <row r="1119" spans="1:9" hidden="1">
      <c r="A1119" s="232">
        <v>42915</v>
      </c>
      <c r="C1119" t="s">
        <v>5899</v>
      </c>
      <c r="D1119">
        <v>0</v>
      </c>
      <c r="E1119">
        <v>28109</v>
      </c>
      <c r="F1119">
        <v>2288424.77</v>
      </c>
      <c r="G1119" s="8" t="s">
        <v>1368</v>
      </c>
      <c r="I1119" s="232">
        <v>42915</v>
      </c>
    </row>
    <row r="1120" spans="1:9" hidden="1">
      <c r="A1120" s="232">
        <v>42916</v>
      </c>
      <c r="B1120" t="s">
        <v>1938</v>
      </c>
      <c r="C1120" t="s">
        <v>5900</v>
      </c>
      <c r="D1120">
        <v>0</v>
      </c>
      <c r="E1120">
        <v>274100</v>
      </c>
      <c r="F1120">
        <v>2562524.77</v>
      </c>
      <c r="G1120" s="8" t="s">
        <v>1380</v>
      </c>
      <c r="I1120" s="232">
        <v>42916</v>
      </c>
    </row>
    <row r="1121" spans="1:9" hidden="1">
      <c r="A1121" s="232">
        <v>42917</v>
      </c>
      <c r="B1121" t="s">
        <v>1914</v>
      </c>
      <c r="C1121" t="s">
        <v>5901</v>
      </c>
      <c r="D1121">
        <v>28000</v>
      </c>
      <c r="E1121">
        <v>0</v>
      </c>
      <c r="F1121">
        <v>2534524.77</v>
      </c>
      <c r="G1121" s="8" t="s">
        <v>1379</v>
      </c>
      <c r="I1121" s="232">
        <v>42917</v>
      </c>
    </row>
    <row r="1122" spans="1:9" hidden="1">
      <c r="A1122" s="232">
        <v>42917</v>
      </c>
      <c r="C1122" t="s">
        <v>5902</v>
      </c>
      <c r="D1122">
        <v>50000</v>
      </c>
      <c r="E1122">
        <v>0</v>
      </c>
      <c r="F1122">
        <v>2484524.77</v>
      </c>
      <c r="G1122" s="8" t="s">
        <v>1379</v>
      </c>
      <c r="I1122" s="232">
        <v>42917</v>
      </c>
    </row>
    <row r="1123" spans="1:9" hidden="1">
      <c r="A1123" s="232">
        <v>42919</v>
      </c>
      <c r="B1123" t="s">
        <v>1997</v>
      </c>
      <c r="C1123" t="s">
        <v>5903</v>
      </c>
      <c r="D1123">
        <v>3500</v>
      </c>
      <c r="E1123">
        <v>0</v>
      </c>
      <c r="F1123">
        <v>2481024.77</v>
      </c>
      <c r="I1123" s="232">
        <v>42919</v>
      </c>
    </row>
    <row r="1124" spans="1:9" hidden="1">
      <c r="A1124" s="232">
        <v>42919</v>
      </c>
      <c r="B1124" t="s">
        <v>1997</v>
      </c>
      <c r="C1124" t="s">
        <v>5904</v>
      </c>
      <c r="D1124">
        <v>2500</v>
      </c>
      <c r="E1124">
        <v>0</v>
      </c>
      <c r="F1124">
        <v>2478524.77</v>
      </c>
      <c r="I1124" s="232">
        <v>42919</v>
      </c>
    </row>
    <row r="1125" spans="1:9" hidden="1">
      <c r="A1125" s="232">
        <v>42919</v>
      </c>
      <c r="B1125" t="s">
        <v>1997</v>
      </c>
      <c r="C1125" t="s">
        <v>5905</v>
      </c>
      <c r="D1125">
        <v>800</v>
      </c>
      <c r="E1125">
        <v>0</v>
      </c>
      <c r="F1125">
        <v>2477724.77</v>
      </c>
      <c r="I1125" s="232">
        <v>42919</v>
      </c>
    </row>
    <row r="1126" spans="1:9" hidden="1">
      <c r="A1126" s="232">
        <v>42919</v>
      </c>
      <c r="B1126" t="s">
        <v>1997</v>
      </c>
      <c r="C1126" t="s">
        <v>5906</v>
      </c>
      <c r="D1126">
        <v>30000</v>
      </c>
      <c r="E1126">
        <v>0</v>
      </c>
      <c r="F1126">
        <v>2447724.77</v>
      </c>
      <c r="I1126" s="232">
        <v>42919</v>
      </c>
    </row>
    <row r="1127" spans="1:9" hidden="1">
      <c r="A1127" s="232">
        <v>42920</v>
      </c>
      <c r="B1127" t="s">
        <v>2737</v>
      </c>
      <c r="C1127" t="s">
        <v>5413</v>
      </c>
      <c r="D1127">
        <v>7367.35</v>
      </c>
      <c r="E1127">
        <v>0</v>
      </c>
      <c r="F1127">
        <v>2440357.42</v>
      </c>
      <c r="G1127" s="8" t="s">
        <v>1362</v>
      </c>
      <c r="I1127" s="232">
        <v>42920</v>
      </c>
    </row>
    <row r="1128" spans="1:9" hidden="1">
      <c r="A1128" s="232">
        <v>42921</v>
      </c>
      <c r="B1128" t="s">
        <v>1914</v>
      </c>
      <c r="C1128" t="s">
        <v>5907</v>
      </c>
      <c r="D1128">
        <v>10659</v>
      </c>
      <c r="E1128">
        <v>0</v>
      </c>
      <c r="F1128">
        <v>2429698.42</v>
      </c>
      <c r="G1128" s="8" t="s">
        <v>1362</v>
      </c>
      <c r="I1128" s="232">
        <v>42921</v>
      </c>
    </row>
    <row r="1129" spans="1:9" hidden="1">
      <c r="A1129" s="232">
        <v>42923</v>
      </c>
      <c r="C1129" t="s">
        <v>5908</v>
      </c>
      <c r="D1129">
        <v>0</v>
      </c>
      <c r="E1129">
        <v>410</v>
      </c>
      <c r="F1129">
        <v>2430108.42</v>
      </c>
      <c r="G1129" s="8" t="s">
        <v>1380</v>
      </c>
      <c r="I1129" s="232">
        <v>42923</v>
      </c>
    </row>
    <row r="1130" spans="1:9" hidden="1">
      <c r="A1130" s="232">
        <v>42927</v>
      </c>
      <c r="C1130" t="s">
        <v>5909</v>
      </c>
      <c r="D1130">
        <v>0</v>
      </c>
      <c r="E1130">
        <v>947</v>
      </c>
      <c r="F1130">
        <v>2431055.42</v>
      </c>
      <c r="I1130" s="232">
        <v>42927</v>
      </c>
    </row>
    <row r="1131" spans="1:9" hidden="1">
      <c r="A1131" s="232">
        <v>42927</v>
      </c>
      <c r="C1131" t="s">
        <v>5910</v>
      </c>
      <c r="D1131">
        <v>0</v>
      </c>
      <c r="E1131">
        <v>862</v>
      </c>
      <c r="F1131">
        <v>2431917.42</v>
      </c>
      <c r="I1131" s="232">
        <v>42927</v>
      </c>
    </row>
    <row r="1132" spans="1:9" hidden="1">
      <c r="A1132" s="232">
        <v>42927</v>
      </c>
      <c r="C1132" t="s">
        <v>5911</v>
      </c>
      <c r="D1132">
        <v>0</v>
      </c>
      <c r="E1132">
        <v>515</v>
      </c>
      <c r="F1132">
        <v>2432432.42</v>
      </c>
      <c r="G1132" s="8" t="s">
        <v>1380</v>
      </c>
      <c r="I1132" s="232">
        <v>42927</v>
      </c>
    </row>
    <row r="1133" spans="1:9" hidden="1">
      <c r="A1133" s="232">
        <v>42930</v>
      </c>
      <c r="B1133" t="s">
        <v>1914</v>
      </c>
      <c r="C1133" t="s">
        <v>5912</v>
      </c>
      <c r="D1133">
        <v>602</v>
      </c>
      <c r="E1133">
        <v>0</v>
      </c>
      <c r="F1133">
        <v>2431830.42</v>
      </c>
      <c r="I1133" s="232">
        <v>42930</v>
      </c>
    </row>
    <row r="1134" spans="1:9" hidden="1">
      <c r="A1134" s="232">
        <v>42931</v>
      </c>
      <c r="B1134" t="s">
        <v>1914</v>
      </c>
      <c r="C1134" t="s">
        <v>5913</v>
      </c>
      <c r="D1134">
        <v>47000</v>
      </c>
      <c r="E1134">
        <v>0</v>
      </c>
      <c r="F1134">
        <v>2384830.42</v>
      </c>
      <c r="G1134" s="8" t="s">
        <v>1379</v>
      </c>
      <c r="I1134" s="232">
        <v>42931</v>
      </c>
    </row>
    <row r="1135" spans="1:9" hidden="1">
      <c r="A1135" s="232">
        <v>42931</v>
      </c>
      <c r="B1135" t="s">
        <v>1914</v>
      </c>
      <c r="C1135" t="s">
        <v>5914</v>
      </c>
      <c r="D1135">
        <v>24680</v>
      </c>
      <c r="E1135">
        <v>0</v>
      </c>
      <c r="F1135">
        <v>2360150.42</v>
      </c>
      <c r="I1135" s="232">
        <v>42931</v>
      </c>
    </row>
    <row r="1136" spans="1:9" hidden="1">
      <c r="A1136" s="232">
        <v>42933</v>
      </c>
      <c r="B1136" t="s">
        <v>1938</v>
      </c>
      <c r="C1136" t="s">
        <v>2521</v>
      </c>
      <c r="D1136">
        <v>0</v>
      </c>
      <c r="E1136">
        <v>6843.18</v>
      </c>
      <c r="F1136">
        <v>2366993.6</v>
      </c>
      <c r="G1136" s="8" t="s">
        <v>1375</v>
      </c>
      <c r="I1136" s="232">
        <v>42933</v>
      </c>
    </row>
    <row r="1137" spans="1:9" hidden="1">
      <c r="A1137" s="232">
        <v>42940</v>
      </c>
      <c r="B1137" t="s">
        <v>1914</v>
      </c>
      <c r="C1137" t="s">
        <v>5915</v>
      </c>
      <c r="D1137">
        <v>50000</v>
      </c>
      <c r="E1137">
        <v>0</v>
      </c>
      <c r="F1137">
        <v>2316993.6</v>
      </c>
      <c r="G1137" s="8" t="s">
        <v>1379</v>
      </c>
      <c r="I1137" s="232">
        <v>42940</v>
      </c>
    </row>
    <row r="1138" spans="1:9" hidden="1">
      <c r="A1138" s="232">
        <v>42943</v>
      </c>
      <c r="B1138" t="s">
        <v>1914</v>
      </c>
      <c r="C1138" t="s">
        <v>5916</v>
      </c>
      <c r="D1138" s="69">
        <v>400000</v>
      </c>
      <c r="E1138">
        <v>0</v>
      </c>
      <c r="F1138">
        <v>1916993.6</v>
      </c>
      <c r="G1138" s="8" t="s">
        <v>1372</v>
      </c>
      <c r="I1138" s="232">
        <v>42943</v>
      </c>
    </row>
    <row r="1139" spans="1:9" hidden="1">
      <c r="A1139" s="232">
        <v>42943</v>
      </c>
      <c r="C1139" t="s">
        <v>5693</v>
      </c>
      <c r="D1139">
        <v>25000</v>
      </c>
      <c r="E1139">
        <v>0</v>
      </c>
      <c r="F1139">
        <v>1891993.6000000001</v>
      </c>
      <c r="G1139" s="8" t="s">
        <v>1379</v>
      </c>
      <c r="I1139" s="232">
        <v>42943</v>
      </c>
    </row>
    <row r="1140" spans="1:9" hidden="1">
      <c r="A1140" s="232">
        <v>42947</v>
      </c>
      <c r="B1140" t="s">
        <v>1914</v>
      </c>
      <c r="C1140" t="s">
        <v>5917</v>
      </c>
      <c r="D1140">
        <v>89</v>
      </c>
      <c r="E1140">
        <v>0</v>
      </c>
      <c r="F1140">
        <v>1891904.6</v>
      </c>
      <c r="I1140" s="232">
        <v>42947</v>
      </c>
    </row>
    <row r="1141" spans="1:9" hidden="1">
      <c r="A1141" s="232">
        <v>42947</v>
      </c>
      <c r="B1141" t="s">
        <v>1914</v>
      </c>
      <c r="C1141" t="s">
        <v>5918</v>
      </c>
      <c r="D1141">
        <v>2406</v>
      </c>
      <c r="E1141">
        <v>0</v>
      </c>
      <c r="F1141">
        <v>1889498.6</v>
      </c>
      <c r="G1141" s="8" t="s">
        <v>1362</v>
      </c>
      <c r="I1141" s="232">
        <v>42947</v>
      </c>
    </row>
    <row r="1142" spans="1:9" hidden="1">
      <c r="A1142" s="232">
        <v>42947</v>
      </c>
      <c r="B1142" t="s">
        <v>1914</v>
      </c>
      <c r="C1142" t="s">
        <v>5919</v>
      </c>
      <c r="D1142">
        <v>3236.45</v>
      </c>
      <c r="E1142">
        <v>0</v>
      </c>
      <c r="F1142">
        <v>1886262.15</v>
      </c>
      <c r="G1142" s="8" t="s">
        <v>1370</v>
      </c>
      <c r="I1142" s="232">
        <v>42947</v>
      </c>
    </row>
    <row r="1143" spans="1:9" hidden="1">
      <c r="A1143" s="232">
        <v>42947</v>
      </c>
      <c r="B1143" t="s">
        <v>1938</v>
      </c>
      <c r="C1143" t="s">
        <v>5920</v>
      </c>
      <c r="D1143">
        <v>0</v>
      </c>
      <c r="E1143">
        <v>250652</v>
      </c>
      <c r="F1143">
        <v>2136914.15</v>
      </c>
      <c r="G1143" s="8" t="s">
        <v>1380</v>
      </c>
      <c r="I1143" s="232">
        <v>42947</v>
      </c>
    </row>
    <row r="1144" spans="1:9" hidden="1">
      <c r="A1144" s="232">
        <v>42948</v>
      </c>
      <c r="B1144" t="s">
        <v>1914</v>
      </c>
      <c r="C1144" t="s">
        <v>5921</v>
      </c>
      <c r="D1144">
        <v>28000</v>
      </c>
      <c r="E1144">
        <v>0</v>
      </c>
      <c r="F1144">
        <v>2108914.15</v>
      </c>
      <c r="G1144" s="8" t="s">
        <v>1379</v>
      </c>
      <c r="I1144" s="232">
        <v>42948</v>
      </c>
    </row>
    <row r="1145" spans="1:9" hidden="1">
      <c r="A1145" s="232">
        <v>42948</v>
      </c>
      <c r="C1145" t="s">
        <v>5902</v>
      </c>
      <c r="D1145">
        <v>50000</v>
      </c>
      <c r="E1145">
        <v>0</v>
      </c>
      <c r="F1145">
        <v>2058914.15</v>
      </c>
      <c r="G1145" s="8" t="s">
        <v>1379</v>
      </c>
      <c r="I1145" s="232">
        <v>42948</v>
      </c>
    </row>
    <row r="1146" spans="1:9" hidden="1">
      <c r="A1146" s="232">
        <v>42949</v>
      </c>
      <c r="B1146" t="s">
        <v>1914</v>
      </c>
      <c r="C1146" t="s">
        <v>5922</v>
      </c>
      <c r="D1146">
        <v>800</v>
      </c>
      <c r="E1146">
        <v>0</v>
      </c>
      <c r="F1146">
        <v>2058114.15</v>
      </c>
      <c r="I1146" s="232">
        <v>42949</v>
      </c>
    </row>
    <row r="1147" spans="1:9" hidden="1">
      <c r="A1147" s="232">
        <v>42949</v>
      </c>
      <c r="B1147" t="s">
        <v>1914</v>
      </c>
      <c r="C1147" t="s">
        <v>5923</v>
      </c>
      <c r="D1147">
        <v>2500</v>
      </c>
      <c r="E1147">
        <v>0</v>
      </c>
      <c r="F1147">
        <v>2055614.15</v>
      </c>
      <c r="I1147" s="232">
        <v>42949</v>
      </c>
    </row>
    <row r="1148" spans="1:9" hidden="1">
      <c r="A1148" s="232">
        <v>42949</v>
      </c>
      <c r="B1148" t="s">
        <v>1914</v>
      </c>
      <c r="C1148" t="s">
        <v>5924</v>
      </c>
      <c r="D1148">
        <v>3500</v>
      </c>
      <c r="E1148">
        <v>0</v>
      </c>
      <c r="F1148">
        <v>2052114.15</v>
      </c>
      <c r="I1148" s="232">
        <v>42949</v>
      </c>
    </row>
    <row r="1149" spans="1:9" hidden="1">
      <c r="A1149" s="232">
        <v>42949</v>
      </c>
      <c r="B1149" t="s">
        <v>1914</v>
      </c>
      <c r="C1149" t="s">
        <v>5925</v>
      </c>
      <c r="D1149">
        <v>20000</v>
      </c>
      <c r="E1149">
        <v>0</v>
      </c>
      <c r="F1149">
        <v>2032114.15</v>
      </c>
      <c r="G1149" s="8" t="s">
        <v>1358</v>
      </c>
      <c r="I1149" s="232">
        <v>42949</v>
      </c>
    </row>
    <row r="1150" spans="1:9" hidden="1">
      <c r="A1150" s="232">
        <v>42949</v>
      </c>
      <c r="C1150" t="s">
        <v>5888</v>
      </c>
      <c r="D1150">
        <v>0</v>
      </c>
      <c r="E1150">
        <v>808537</v>
      </c>
      <c r="F1150">
        <v>2840651.15</v>
      </c>
      <c r="G1150" s="8" t="s">
        <v>1379</v>
      </c>
      <c r="I1150" s="232">
        <v>42949</v>
      </c>
    </row>
    <row r="1151" spans="1:9" hidden="1">
      <c r="A1151" s="232">
        <v>42950</v>
      </c>
      <c r="B1151" t="s">
        <v>2737</v>
      </c>
      <c r="C1151" t="s">
        <v>5413</v>
      </c>
      <c r="D1151">
        <v>565</v>
      </c>
      <c r="E1151">
        <v>0</v>
      </c>
      <c r="F1151">
        <v>2840086.15</v>
      </c>
      <c r="G1151" s="8" t="s">
        <v>1362</v>
      </c>
      <c r="I1151" s="232">
        <v>42950</v>
      </c>
    </row>
    <row r="1152" spans="1:9" hidden="1">
      <c r="A1152" s="232">
        <v>42956</v>
      </c>
      <c r="B1152" t="s">
        <v>1938</v>
      </c>
      <c r="C1152" t="s">
        <v>2521</v>
      </c>
      <c r="D1152">
        <v>0</v>
      </c>
      <c r="E1152">
        <v>6843.18</v>
      </c>
      <c r="F1152">
        <v>2846929.33</v>
      </c>
      <c r="G1152" s="8" t="s">
        <v>1375</v>
      </c>
      <c r="I1152" s="232">
        <v>42956</v>
      </c>
    </row>
    <row r="1153" spans="1:9" hidden="1">
      <c r="A1153" s="232">
        <v>42961</v>
      </c>
      <c r="B1153" t="s">
        <v>1997</v>
      </c>
      <c r="C1153" t="s">
        <v>5926</v>
      </c>
      <c r="D1153">
        <v>666.5</v>
      </c>
      <c r="E1153">
        <v>0</v>
      </c>
      <c r="F1153">
        <v>2846262.83</v>
      </c>
      <c r="I1153" s="232">
        <v>42961</v>
      </c>
    </row>
    <row r="1154" spans="1:9" hidden="1">
      <c r="A1154" s="232">
        <v>42963</v>
      </c>
      <c r="B1154" t="s">
        <v>1963</v>
      </c>
      <c r="C1154" t="s">
        <v>5927</v>
      </c>
      <c r="D1154">
        <v>10000</v>
      </c>
      <c r="E1154">
        <v>0</v>
      </c>
      <c r="F1154">
        <v>2836262.83</v>
      </c>
      <c r="G1154" s="8" t="s">
        <v>1361</v>
      </c>
      <c r="I1154" s="232">
        <v>42963</v>
      </c>
    </row>
    <row r="1155" spans="1:9" hidden="1">
      <c r="A1155" s="232">
        <v>42969</v>
      </c>
      <c r="B1155" t="s">
        <v>1914</v>
      </c>
      <c r="C1155" t="s">
        <v>5928</v>
      </c>
      <c r="D1155">
        <v>50000</v>
      </c>
      <c r="E1155">
        <v>0</v>
      </c>
      <c r="F1155">
        <v>2786262.83</v>
      </c>
      <c r="G1155" s="8" t="s">
        <v>1379</v>
      </c>
      <c r="I1155" s="232">
        <v>42969</v>
      </c>
    </row>
    <row r="1156" spans="1:9" hidden="1">
      <c r="A1156" s="232">
        <v>42971</v>
      </c>
      <c r="C1156" t="s">
        <v>5929</v>
      </c>
      <c r="D1156">
        <v>0</v>
      </c>
      <c r="E1156">
        <v>515</v>
      </c>
      <c r="F1156">
        <v>2786777.83</v>
      </c>
      <c r="G1156" s="8" t="s">
        <v>1380</v>
      </c>
      <c r="I1156" s="232">
        <v>42971</v>
      </c>
    </row>
    <row r="1157" spans="1:9" hidden="1">
      <c r="A1157" s="232">
        <v>42971</v>
      </c>
      <c r="C1157" t="s">
        <v>5930</v>
      </c>
      <c r="D1157">
        <v>0</v>
      </c>
      <c r="E1157">
        <v>410</v>
      </c>
      <c r="F1157">
        <v>2787187.83</v>
      </c>
      <c r="G1157" s="8" t="s">
        <v>1380</v>
      </c>
      <c r="I1157" s="232">
        <v>42971</v>
      </c>
    </row>
    <row r="1158" spans="1:9" hidden="1">
      <c r="A1158" s="232">
        <v>42975</v>
      </c>
      <c r="C1158" t="s">
        <v>5693</v>
      </c>
      <c r="D1158">
        <v>25000</v>
      </c>
      <c r="E1158">
        <v>0</v>
      </c>
      <c r="F1158">
        <v>2762187.83</v>
      </c>
      <c r="G1158" s="8" t="s">
        <v>1379</v>
      </c>
      <c r="I1158" s="232">
        <v>42975</v>
      </c>
    </row>
    <row r="1159" spans="1:9" hidden="1">
      <c r="A1159" s="232">
        <v>42976</v>
      </c>
      <c r="C1159" t="s">
        <v>5931</v>
      </c>
      <c r="D1159">
        <v>0</v>
      </c>
      <c r="E1159">
        <v>410</v>
      </c>
      <c r="F1159">
        <v>2762597.83</v>
      </c>
      <c r="G1159" s="8" t="s">
        <v>1380</v>
      </c>
      <c r="I1159" s="232">
        <v>42976</v>
      </c>
    </row>
    <row r="1160" spans="1:9" hidden="1">
      <c r="A1160" s="232">
        <v>42978</v>
      </c>
      <c r="B1160" t="s">
        <v>1938</v>
      </c>
      <c r="C1160" t="s">
        <v>5932</v>
      </c>
      <c r="D1160">
        <v>0</v>
      </c>
      <c r="E1160">
        <v>318801</v>
      </c>
      <c r="F1160">
        <v>3081398.83</v>
      </c>
      <c r="G1160" s="8" t="s">
        <v>1380</v>
      </c>
      <c r="I1160" s="232">
        <v>42978</v>
      </c>
    </row>
    <row r="1161" spans="1:9" hidden="1">
      <c r="A1161" s="232">
        <v>42978</v>
      </c>
      <c r="B1161" t="s">
        <v>1914</v>
      </c>
      <c r="C1161" t="s">
        <v>5933</v>
      </c>
      <c r="D1161" s="69">
        <v>500000</v>
      </c>
      <c r="E1161">
        <v>0</v>
      </c>
      <c r="F1161">
        <v>2581398.83</v>
      </c>
      <c r="G1161" s="8" t="s">
        <v>1372</v>
      </c>
      <c r="I1161" s="232">
        <v>42978</v>
      </c>
    </row>
    <row r="1162" spans="1:9" hidden="1">
      <c r="A1162" s="232">
        <v>42979</v>
      </c>
      <c r="B1162" t="s">
        <v>1914</v>
      </c>
      <c r="C1162" t="s">
        <v>5934</v>
      </c>
      <c r="D1162">
        <v>28000</v>
      </c>
      <c r="E1162">
        <v>0</v>
      </c>
      <c r="F1162">
        <v>2553398.83</v>
      </c>
      <c r="G1162" s="8" t="s">
        <v>1379</v>
      </c>
      <c r="I1162" s="232">
        <v>42979</v>
      </c>
    </row>
    <row r="1163" spans="1:9" hidden="1">
      <c r="A1163" s="232">
        <v>42979</v>
      </c>
      <c r="B1163" t="s">
        <v>1997</v>
      </c>
      <c r="C1163" t="s">
        <v>5935</v>
      </c>
      <c r="D1163">
        <v>800</v>
      </c>
      <c r="E1163">
        <v>0</v>
      </c>
      <c r="F1163">
        <v>2552598.83</v>
      </c>
      <c r="I1163" s="232">
        <v>42979</v>
      </c>
    </row>
    <row r="1164" spans="1:9" hidden="1">
      <c r="A1164" s="232">
        <v>42979</v>
      </c>
      <c r="B1164" t="s">
        <v>1997</v>
      </c>
      <c r="C1164" t="s">
        <v>5936</v>
      </c>
      <c r="D1164">
        <v>2000</v>
      </c>
      <c r="E1164">
        <v>0</v>
      </c>
      <c r="F1164">
        <v>2550598.83</v>
      </c>
      <c r="I1164" s="232">
        <v>42979</v>
      </c>
    </row>
    <row r="1165" spans="1:9" hidden="1">
      <c r="A1165" s="232">
        <v>42979</v>
      </c>
      <c r="B1165" t="s">
        <v>1997</v>
      </c>
      <c r="C1165" t="s">
        <v>5937</v>
      </c>
      <c r="D1165">
        <v>20000</v>
      </c>
      <c r="E1165">
        <v>0</v>
      </c>
      <c r="F1165">
        <v>2530598.83</v>
      </c>
      <c r="G1165" s="8" t="s">
        <v>1358</v>
      </c>
      <c r="I1165" s="232">
        <v>42979</v>
      </c>
    </row>
    <row r="1166" spans="1:9" hidden="1">
      <c r="A1166" s="232">
        <v>42979</v>
      </c>
      <c r="C1166" t="s">
        <v>5902</v>
      </c>
      <c r="D1166">
        <v>50000</v>
      </c>
      <c r="E1166">
        <v>0</v>
      </c>
      <c r="F1166">
        <v>2480598.83</v>
      </c>
      <c r="G1166" s="8" t="s">
        <v>1379</v>
      </c>
      <c r="I1166" s="232">
        <v>42979</v>
      </c>
    </row>
    <row r="1167" spans="1:9" hidden="1">
      <c r="A1167" s="232">
        <v>42980</v>
      </c>
      <c r="B1167" t="s">
        <v>1914</v>
      </c>
      <c r="C1167" t="s">
        <v>5938</v>
      </c>
      <c r="D1167">
        <v>3540</v>
      </c>
      <c r="E1167">
        <v>0</v>
      </c>
      <c r="F1167">
        <v>2477058.83</v>
      </c>
      <c r="I1167" s="232">
        <v>42980</v>
      </c>
    </row>
    <row r="1168" spans="1:9" hidden="1">
      <c r="A1168" s="232">
        <v>42983</v>
      </c>
      <c r="B1168" t="s">
        <v>1938</v>
      </c>
      <c r="C1168" t="s">
        <v>2521</v>
      </c>
      <c r="D1168">
        <v>0</v>
      </c>
      <c r="E1168">
        <v>11672.15</v>
      </c>
      <c r="F1168">
        <v>2488730.98</v>
      </c>
      <c r="G1168" s="8" t="s">
        <v>1375</v>
      </c>
      <c r="I1168" s="232">
        <v>42983</v>
      </c>
    </row>
    <row r="1169" spans="1:9" hidden="1">
      <c r="A1169" s="232">
        <v>42984</v>
      </c>
      <c r="C1169" t="s">
        <v>5939</v>
      </c>
      <c r="D1169">
        <v>0</v>
      </c>
      <c r="E1169">
        <v>5937</v>
      </c>
      <c r="F1169">
        <v>2494667.98</v>
      </c>
      <c r="I1169" s="232">
        <v>42984</v>
      </c>
    </row>
    <row r="1170" spans="1:9" hidden="1">
      <c r="A1170" s="232">
        <v>42989</v>
      </c>
      <c r="B1170" t="s">
        <v>1997</v>
      </c>
      <c r="C1170" t="s">
        <v>5940</v>
      </c>
      <c r="D1170">
        <v>559</v>
      </c>
      <c r="E1170">
        <v>0</v>
      </c>
      <c r="F1170">
        <v>2494108.98</v>
      </c>
      <c r="I1170" s="232">
        <v>42989</v>
      </c>
    </row>
    <row r="1171" spans="1:9" hidden="1">
      <c r="A1171" s="232">
        <v>42989</v>
      </c>
      <c r="B1171" t="s">
        <v>1997</v>
      </c>
      <c r="C1171" t="s">
        <v>5941</v>
      </c>
      <c r="D1171">
        <v>3500</v>
      </c>
      <c r="E1171">
        <v>0</v>
      </c>
      <c r="F1171">
        <v>2490608.98</v>
      </c>
      <c r="I1171" s="232">
        <v>42989</v>
      </c>
    </row>
    <row r="1172" spans="1:9" hidden="1">
      <c r="A1172" s="232">
        <v>42989</v>
      </c>
      <c r="C1172" t="s">
        <v>5942</v>
      </c>
      <c r="D1172">
        <v>0</v>
      </c>
      <c r="E1172">
        <v>464910</v>
      </c>
      <c r="F1172">
        <v>2955518.98</v>
      </c>
      <c r="G1172" s="8" t="s">
        <v>1379</v>
      </c>
      <c r="I1172" s="232">
        <v>42989</v>
      </c>
    </row>
    <row r="1173" spans="1:9" hidden="1">
      <c r="A1173" s="232">
        <v>42993</v>
      </c>
      <c r="C1173" t="s">
        <v>5943</v>
      </c>
      <c r="D1173">
        <v>0</v>
      </c>
      <c r="E1173">
        <v>43816.17</v>
      </c>
      <c r="F1173">
        <v>2999335.15</v>
      </c>
      <c r="G1173" s="8" t="s">
        <v>1380</v>
      </c>
      <c r="I1173" s="232">
        <v>42993</v>
      </c>
    </row>
    <row r="1174" spans="1:9" hidden="1">
      <c r="A1174" s="232">
        <v>42999</v>
      </c>
      <c r="C1174" t="s">
        <v>5944</v>
      </c>
      <c r="D1174">
        <v>0</v>
      </c>
      <c r="E1174">
        <v>515</v>
      </c>
      <c r="F1174">
        <v>2999850.15</v>
      </c>
      <c r="G1174" s="8" t="s">
        <v>1380</v>
      </c>
      <c r="I1174" s="232">
        <v>42999</v>
      </c>
    </row>
    <row r="1175" spans="1:9" hidden="1">
      <c r="A1175" s="232">
        <v>43000</v>
      </c>
      <c r="B1175" t="s">
        <v>1914</v>
      </c>
      <c r="C1175" t="s">
        <v>5945</v>
      </c>
      <c r="D1175">
        <v>50000</v>
      </c>
      <c r="E1175">
        <v>0</v>
      </c>
      <c r="F1175">
        <v>2949850.15</v>
      </c>
      <c r="G1175" s="8" t="s">
        <v>1379</v>
      </c>
      <c r="I1175" s="232">
        <v>43000</v>
      </c>
    </row>
    <row r="1176" spans="1:9" hidden="1">
      <c r="A1176" s="232">
        <v>43005</v>
      </c>
      <c r="C1176" t="s">
        <v>5693</v>
      </c>
      <c r="D1176">
        <v>25000</v>
      </c>
      <c r="E1176">
        <v>0</v>
      </c>
      <c r="F1176">
        <v>2924850.15</v>
      </c>
      <c r="G1176" s="8" t="s">
        <v>1379</v>
      </c>
      <c r="I1176" s="232">
        <v>43005</v>
      </c>
    </row>
    <row r="1177" spans="1:9" hidden="1">
      <c r="A1177" s="232">
        <v>43007</v>
      </c>
      <c r="B1177" t="s">
        <v>1938</v>
      </c>
      <c r="C1177" t="s">
        <v>5946</v>
      </c>
      <c r="D1177">
        <v>0</v>
      </c>
      <c r="E1177">
        <v>272042</v>
      </c>
      <c r="F1177">
        <v>3196892.15</v>
      </c>
      <c r="G1177" s="8" t="s">
        <v>1380</v>
      </c>
      <c r="I1177" s="232">
        <v>43007</v>
      </c>
    </row>
    <row r="1178" spans="1:9" hidden="1">
      <c r="A1178" s="232">
        <v>43008</v>
      </c>
      <c r="C1178" t="s">
        <v>5947</v>
      </c>
      <c r="D1178">
        <v>0</v>
      </c>
      <c r="E1178">
        <v>25213</v>
      </c>
      <c r="F1178">
        <v>3222105.15</v>
      </c>
      <c r="G1178" s="8" t="s">
        <v>1368</v>
      </c>
      <c r="I1178" s="232">
        <v>43008</v>
      </c>
    </row>
    <row r="1179" spans="1:9" hidden="1">
      <c r="A1179" s="232">
        <v>43011</v>
      </c>
      <c r="B1179" t="s">
        <v>1997</v>
      </c>
      <c r="C1179" t="s">
        <v>5948</v>
      </c>
      <c r="D1179">
        <v>6800</v>
      </c>
      <c r="E1179">
        <v>0</v>
      </c>
      <c r="F1179">
        <v>3215305.15</v>
      </c>
      <c r="I1179" s="232">
        <v>43011</v>
      </c>
    </row>
    <row r="1180" spans="1:9" hidden="1">
      <c r="A1180" s="232">
        <v>43011</v>
      </c>
      <c r="C1180" t="s">
        <v>5902</v>
      </c>
      <c r="D1180">
        <v>50000</v>
      </c>
      <c r="E1180">
        <v>0</v>
      </c>
      <c r="F1180">
        <v>3165305.15</v>
      </c>
      <c r="G1180" s="8" t="s">
        <v>1379</v>
      </c>
      <c r="I1180" s="232">
        <v>43011</v>
      </c>
    </row>
    <row r="1181" spans="1:9" hidden="1">
      <c r="A1181" s="232">
        <v>43012</v>
      </c>
      <c r="B1181" t="s">
        <v>2737</v>
      </c>
      <c r="C1181" t="s">
        <v>5413</v>
      </c>
      <c r="D1181">
        <v>1440</v>
      </c>
      <c r="E1181">
        <v>0</v>
      </c>
      <c r="F1181">
        <v>3163865.15</v>
      </c>
      <c r="G1181" s="8" t="s">
        <v>1362</v>
      </c>
      <c r="I1181" s="232">
        <v>43012</v>
      </c>
    </row>
    <row r="1182" spans="1:9" hidden="1">
      <c r="A1182" s="232">
        <v>43012</v>
      </c>
      <c r="B1182" t="s">
        <v>1997</v>
      </c>
      <c r="C1182" t="s">
        <v>5949</v>
      </c>
      <c r="D1182">
        <v>800</v>
      </c>
      <c r="E1182">
        <v>0</v>
      </c>
      <c r="F1182">
        <v>3163065.15</v>
      </c>
      <c r="I1182" s="232">
        <v>43012</v>
      </c>
    </row>
    <row r="1183" spans="1:9" hidden="1">
      <c r="A1183" s="232">
        <v>43012</v>
      </c>
      <c r="B1183" t="s">
        <v>1997</v>
      </c>
      <c r="C1183" t="s">
        <v>5950</v>
      </c>
      <c r="D1183">
        <v>2000</v>
      </c>
      <c r="E1183">
        <v>0</v>
      </c>
      <c r="F1183">
        <v>3161065.15</v>
      </c>
      <c r="I1183" s="232">
        <v>43012</v>
      </c>
    </row>
    <row r="1184" spans="1:9" hidden="1">
      <c r="A1184" s="232">
        <v>43012</v>
      </c>
      <c r="B1184" t="s">
        <v>1997</v>
      </c>
      <c r="C1184" t="s">
        <v>5951</v>
      </c>
      <c r="D1184">
        <v>20000</v>
      </c>
      <c r="E1184">
        <v>0</v>
      </c>
      <c r="F1184">
        <v>3141065.15</v>
      </c>
      <c r="G1184" s="8" t="s">
        <v>1358</v>
      </c>
      <c r="I1184" s="232">
        <v>43012</v>
      </c>
    </row>
    <row r="1185" spans="1:9" hidden="1">
      <c r="A1185" s="232">
        <v>43012</v>
      </c>
      <c r="B1185" t="s">
        <v>1914</v>
      </c>
      <c r="C1185" t="s">
        <v>5952</v>
      </c>
      <c r="D1185">
        <v>782</v>
      </c>
      <c r="E1185">
        <v>0</v>
      </c>
      <c r="F1185">
        <v>3140283.15</v>
      </c>
      <c r="I1185" s="232">
        <v>43012</v>
      </c>
    </row>
    <row r="1186" spans="1:9" hidden="1">
      <c r="A1186" s="232">
        <v>43014</v>
      </c>
      <c r="C1186" t="s">
        <v>5953</v>
      </c>
      <c r="D1186">
        <v>0</v>
      </c>
      <c r="E1186">
        <v>11508.84</v>
      </c>
      <c r="F1186">
        <v>3151791.99</v>
      </c>
      <c r="G1186" s="8" t="s">
        <v>1380</v>
      </c>
      <c r="I1186" s="232">
        <v>43014</v>
      </c>
    </row>
    <row r="1187" spans="1:9" hidden="1">
      <c r="A1187" s="232">
        <v>43014</v>
      </c>
      <c r="B1187" t="s">
        <v>1914</v>
      </c>
      <c r="C1187" t="s">
        <v>5954</v>
      </c>
      <c r="D1187">
        <v>3210</v>
      </c>
      <c r="E1187">
        <v>0</v>
      </c>
      <c r="F1187">
        <v>3148581.99</v>
      </c>
      <c r="G1187" s="8" t="s">
        <v>1370</v>
      </c>
      <c r="I1187" s="232">
        <v>43014</v>
      </c>
    </row>
    <row r="1188" spans="1:9" hidden="1">
      <c r="A1188" s="232">
        <v>43015</v>
      </c>
      <c r="B1188" t="s">
        <v>1914</v>
      </c>
      <c r="C1188" t="s">
        <v>5955</v>
      </c>
      <c r="D1188">
        <v>1239</v>
      </c>
      <c r="E1188">
        <v>0</v>
      </c>
      <c r="F1188">
        <v>3147342.99</v>
      </c>
      <c r="I1188" s="232">
        <v>43015</v>
      </c>
    </row>
    <row r="1189" spans="1:9" hidden="1">
      <c r="A1189" s="232">
        <v>43015</v>
      </c>
      <c r="B1189" t="s">
        <v>1914</v>
      </c>
      <c r="C1189" t="s">
        <v>5956</v>
      </c>
      <c r="D1189">
        <v>3100.57</v>
      </c>
      <c r="E1189">
        <v>0</v>
      </c>
      <c r="F1189">
        <v>3144242.42</v>
      </c>
      <c r="G1189" s="8" t="s">
        <v>1362</v>
      </c>
      <c r="I1189" s="232">
        <v>43015</v>
      </c>
    </row>
    <row r="1190" spans="1:9" hidden="1">
      <c r="A1190" s="232">
        <v>43017</v>
      </c>
      <c r="B1190" t="s">
        <v>1914</v>
      </c>
      <c r="C1190" t="s">
        <v>5957</v>
      </c>
      <c r="D1190">
        <v>708</v>
      </c>
      <c r="E1190">
        <v>0</v>
      </c>
      <c r="F1190">
        <v>3143534.42</v>
      </c>
      <c r="I1190" s="232">
        <v>43017</v>
      </c>
    </row>
    <row r="1191" spans="1:9" hidden="1">
      <c r="A1191" s="232">
        <v>43017</v>
      </c>
      <c r="B1191" t="s">
        <v>1914</v>
      </c>
      <c r="C1191" t="s">
        <v>5958</v>
      </c>
      <c r="D1191">
        <v>189</v>
      </c>
      <c r="E1191">
        <v>0</v>
      </c>
      <c r="F1191">
        <v>3143345.42</v>
      </c>
      <c r="I1191" s="232">
        <v>43017</v>
      </c>
    </row>
    <row r="1192" spans="1:9" hidden="1">
      <c r="A1192" s="232">
        <v>43017</v>
      </c>
      <c r="B1192" t="s">
        <v>1938</v>
      </c>
      <c r="C1192" t="s">
        <v>2521</v>
      </c>
      <c r="D1192">
        <v>0</v>
      </c>
      <c r="E1192">
        <v>11672.15</v>
      </c>
      <c r="F1192">
        <v>3155017.57</v>
      </c>
      <c r="G1192" s="8" t="s">
        <v>1375</v>
      </c>
      <c r="I1192" s="232">
        <v>43017</v>
      </c>
    </row>
    <row r="1193" spans="1:9" hidden="1">
      <c r="A1193" s="232">
        <v>43020</v>
      </c>
      <c r="C1193" t="s">
        <v>5959</v>
      </c>
      <c r="D1193">
        <v>0</v>
      </c>
      <c r="E1193">
        <v>925</v>
      </c>
      <c r="F1193">
        <v>3155942.57</v>
      </c>
      <c r="G1193" s="8" t="s">
        <v>1380</v>
      </c>
      <c r="I1193" s="232">
        <v>43020</v>
      </c>
    </row>
    <row r="1194" spans="1:9" hidden="1">
      <c r="A1194" s="232">
        <v>43024</v>
      </c>
      <c r="B1194" t="s">
        <v>1963</v>
      </c>
      <c r="C1194" t="s">
        <v>5960</v>
      </c>
      <c r="D1194">
        <v>5000</v>
      </c>
      <c r="E1194">
        <v>0</v>
      </c>
      <c r="F1194">
        <v>3150942.57</v>
      </c>
      <c r="G1194" s="8" t="s">
        <v>1361</v>
      </c>
      <c r="I1194" s="232">
        <v>43024</v>
      </c>
    </row>
    <row r="1195" spans="1:9" hidden="1">
      <c r="A1195" s="232">
        <v>43024</v>
      </c>
      <c r="B1195" t="s">
        <v>1997</v>
      </c>
      <c r="C1195" t="s">
        <v>5961</v>
      </c>
      <c r="D1195">
        <v>709.5</v>
      </c>
      <c r="E1195">
        <v>0</v>
      </c>
      <c r="F1195">
        <v>3150233.07</v>
      </c>
      <c r="I1195" s="232">
        <v>43024</v>
      </c>
    </row>
    <row r="1196" spans="1:9" hidden="1">
      <c r="A1196" s="232">
        <v>43026</v>
      </c>
      <c r="B1196" t="s">
        <v>5962</v>
      </c>
      <c r="C1196" t="s">
        <v>2427</v>
      </c>
      <c r="D1196">
        <v>15000</v>
      </c>
      <c r="E1196">
        <v>0</v>
      </c>
      <c r="F1196">
        <v>3135233.07</v>
      </c>
      <c r="I1196" s="232">
        <v>43026</v>
      </c>
    </row>
    <row r="1197" spans="1:9" hidden="1">
      <c r="A1197" s="232">
        <v>43031</v>
      </c>
      <c r="B1197" t="s">
        <v>1914</v>
      </c>
      <c r="C1197" t="s">
        <v>5963</v>
      </c>
      <c r="D1197">
        <v>50000</v>
      </c>
      <c r="E1197">
        <v>0</v>
      </c>
      <c r="F1197">
        <v>3085233.07</v>
      </c>
      <c r="G1197" s="8" t="s">
        <v>1379</v>
      </c>
      <c r="I1197" s="232">
        <v>43031</v>
      </c>
    </row>
    <row r="1198" spans="1:9" hidden="1">
      <c r="A1198" s="232">
        <v>43035</v>
      </c>
      <c r="B1198" t="s">
        <v>1914</v>
      </c>
      <c r="C1198" t="s">
        <v>5964</v>
      </c>
      <c r="D1198" s="69">
        <v>500000</v>
      </c>
      <c r="E1198">
        <v>0</v>
      </c>
      <c r="F1198">
        <v>2585233.0699999998</v>
      </c>
      <c r="G1198" s="8" t="s">
        <v>1372</v>
      </c>
      <c r="I1198" s="232">
        <v>43035</v>
      </c>
    </row>
    <row r="1199" spans="1:9" hidden="1">
      <c r="A1199" s="232">
        <v>43035</v>
      </c>
      <c r="C1199" t="s">
        <v>5693</v>
      </c>
      <c r="D1199">
        <v>25000</v>
      </c>
      <c r="E1199">
        <v>0</v>
      </c>
      <c r="F1199">
        <v>2560233.0699999998</v>
      </c>
      <c r="G1199" s="8" t="s">
        <v>1379</v>
      </c>
      <c r="I1199" s="232">
        <v>43035</v>
      </c>
    </row>
    <row r="1200" spans="1:9" hidden="1">
      <c r="A1200" s="232">
        <v>43039</v>
      </c>
      <c r="B1200" t="s">
        <v>1938</v>
      </c>
      <c r="C1200" t="s">
        <v>5965</v>
      </c>
      <c r="D1200">
        <v>0</v>
      </c>
      <c r="E1200">
        <v>272217</v>
      </c>
      <c r="F1200">
        <v>2832450.07</v>
      </c>
      <c r="G1200" s="8" t="s">
        <v>1380</v>
      </c>
      <c r="I1200" s="232">
        <v>43039</v>
      </c>
    </row>
    <row r="1201" spans="1:9" hidden="1">
      <c r="A1201" s="232">
        <v>43040</v>
      </c>
      <c r="C1201" t="s">
        <v>5902</v>
      </c>
      <c r="D1201">
        <v>50000</v>
      </c>
      <c r="E1201">
        <v>0</v>
      </c>
      <c r="F1201">
        <v>2782450.07</v>
      </c>
      <c r="G1201" s="8" t="s">
        <v>1379</v>
      </c>
      <c r="I1201" s="232">
        <v>43040</v>
      </c>
    </row>
    <row r="1202" spans="1:9" hidden="1">
      <c r="A1202" s="232">
        <v>43042</v>
      </c>
      <c r="B1202" t="s">
        <v>2737</v>
      </c>
      <c r="C1202" t="s">
        <v>5413</v>
      </c>
      <c r="D1202">
        <v>400</v>
      </c>
      <c r="E1202">
        <v>0</v>
      </c>
      <c r="F1202">
        <v>2782050.07</v>
      </c>
      <c r="G1202" s="8" t="s">
        <v>1362</v>
      </c>
      <c r="I1202" s="232">
        <v>43042</v>
      </c>
    </row>
    <row r="1203" spans="1:9" hidden="1">
      <c r="A1203" s="232">
        <v>43043</v>
      </c>
      <c r="B1203" t="s">
        <v>5966</v>
      </c>
      <c r="C1203" t="s">
        <v>2427</v>
      </c>
      <c r="D1203">
        <v>750</v>
      </c>
      <c r="E1203">
        <v>0</v>
      </c>
      <c r="F1203">
        <v>2781300.07</v>
      </c>
      <c r="I1203" s="232">
        <v>43043</v>
      </c>
    </row>
    <row r="1204" spans="1:9" hidden="1">
      <c r="A1204" s="232">
        <v>43043</v>
      </c>
      <c r="B1204" t="s">
        <v>1997</v>
      </c>
      <c r="C1204" t="s">
        <v>5967</v>
      </c>
      <c r="D1204">
        <v>800</v>
      </c>
      <c r="E1204">
        <v>0</v>
      </c>
      <c r="F1204">
        <v>2780500.07</v>
      </c>
      <c r="I1204" s="232">
        <v>43043</v>
      </c>
    </row>
    <row r="1205" spans="1:9" hidden="1">
      <c r="A1205" s="232">
        <v>43043</v>
      </c>
      <c r="B1205" t="s">
        <v>1997</v>
      </c>
      <c r="C1205" t="s">
        <v>5968</v>
      </c>
      <c r="D1205">
        <v>3500</v>
      </c>
      <c r="E1205">
        <v>0</v>
      </c>
      <c r="F1205">
        <v>2777000.07</v>
      </c>
      <c r="I1205" s="232">
        <v>43043</v>
      </c>
    </row>
    <row r="1206" spans="1:9" hidden="1">
      <c r="A1206" s="232">
        <v>43043</v>
      </c>
      <c r="B1206" t="s">
        <v>1997</v>
      </c>
      <c r="C1206" t="s">
        <v>5969</v>
      </c>
      <c r="D1206">
        <v>2000</v>
      </c>
      <c r="E1206">
        <v>0</v>
      </c>
      <c r="F1206">
        <v>2775000.07</v>
      </c>
      <c r="I1206" s="232">
        <v>43043</v>
      </c>
    </row>
    <row r="1207" spans="1:9" hidden="1">
      <c r="A1207" s="232">
        <v>43043</v>
      </c>
      <c r="B1207" t="s">
        <v>1997</v>
      </c>
      <c r="C1207" t="s">
        <v>5970</v>
      </c>
      <c r="D1207">
        <v>20000</v>
      </c>
      <c r="E1207">
        <v>0</v>
      </c>
      <c r="F1207">
        <v>2755000.07</v>
      </c>
      <c r="G1207" s="8" t="s">
        <v>1358</v>
      </c>
      <c r="I1207" s="232">
        <v>43043</v>
      </c>
    </row>
    <row r="1208" spans="1:9" hidden="1">
      <c r="A1208" s="232">
        <v>43046</v>
      </c>
      <c r="B1208" t="s">
        <v>1938</v>
      </c>
      <c r="C1208" t="s">
        <v>2521</v>
      </c>
      <c r="D1208">
        <v>0</v>
      </c>
      <c r="E1208">
        <v>16287.54</v>
      </c>
      <c r="F1208">
        <v>2771287.61</v>
      </c>
      <c r="G1208" s="8" t="s">
        <v>1375</v>
      </c>
      <c r="I1208" s="232">
        <v>43046</v>
      </c>
    </row>
    <row r="1209" spans="1:9" hidden="1">
      <c r="A1209" s="232">
        <v>43046</v>
      </c>
      <c r="B1209" t="s">
        <v>1997</v>
      </c>
      <c r="C1209" t="s">
        <v>5971</v>
      </c>
      <c r="D1209">
        <v>504</v>
      </c>
      <c r="E1209">
        <v>0</v>
      </c>
      <c r="F1209">
        <v>2770783.61</v>
      </c>
      <c r="I1209" s="232">
        <v>43046</v>
      </c>
    </row>
    <row r="1210" spans="1:9" hidden="1">
      <c r="A1210" s="232">
        <v>43054</v>
      </c>
      <c r="C1210" t="s">
        <v>5972</v>
      </c>
      <c r="D1210">
        <v>0</v>
      </c>
      <c r="E1210">
        <v>755</v>
      </c>
      <c r="F1210">
        <v>2771538.61</v>
      </c>
      <c r="G1210" s="8" t="s">
        <v>1380</v>
      </c>
      <c r="I1210" s="232">
        <v>43054</v>
      </c>
    </row>
    <row r="1211" spans="1:9" hidden="1">
      <c r="A1211" s="232">
        <v>43060</v>
      </c>
      <c r="C1211" t="s">
        <v>5973</v>
      </c>
      <c r="D1211">
        <v>0</v>
      </c>
      <c r="E1211">
        <v>1060</v>
      </c>
      <c r="F1211">
        <v>2772598.61</v>
      </c>
      <c r="I1211" s="232">
        <v>43060</v>
      </c>
    </row>
    <row r="1212" spans="1:9" hidden="1">
      <c r="A1212" s="232">
        <v>43061</v>
      </c>
      <c r="B1212" t="s">
        <v>1914</v>
      </c>
      <c r="C1212" t="s">
        <v>5974</v>
      </c>
      <c r="D1212">
        <v>50000</v>
      </c>
      <c r="E1212">
        <v>0</v>
      </c>
      <c r="F1212">
        <v>2722598.61</v>
      </c>
      <c r="G1212" s="8" t="s">
        <v>1379</v>
      </c>
      <c r="I1212" s="232">
        <v>43061</v>
      </c>
    </row>
    <row r="1213" spans="1:9" hidden="1">
      <c r="A1213" s="232">
        <v>43066</v>
      </c>
      <c r="C1213" t="s">
        <v>5693</v>
      </c>
      <c r="D1213">
        <v>25000</v>
      </c>
      <c r="E1213">
        <v>0</v>
      </c>
      <c r="F1213">
        <v>2697598.61</v>
      </c>
      <c r="G1213" s="8" t="s">
        <v>1379</v>
      </c>
      <c r="I1213" s="232">
        <v>43066</v>
      </c>
    </row>
    <row r="1214" spans="1:9" hidden="1">
      <c r="A1214" s="232">
        <v>43069</v>
      </c>
      <c r="B1214" t="s">
        <v>1938</v>
      </c>
      <c r="C1214" t="s">
        <v>5965</v>
      </c>
      <c r="D1214">
        <v>0</v>
      </c>
      <c r="E1214">
        <v>325912</v>
      </c>
      <c r="F1214">
        <v>3023510.61</v>
      </c>
      <c r="G1214" s="8" t="s">
        <v>1380</v>
      </c>
      <c r="I1214" s="232">
        <v>43069</v>
      </c>
    </row>
    <row r="1215" spans="1:9" hidden="1">
      <c r="A1215" s="232">
        <v>43069</v>
      </c>
      <c r="B1215" t="s">
        <v>1914</v>
      </c>
      <c r="C1215" t="s">
        <v>5975</v>
      </c>
      <c r="D1215" s="69">
        <v>300000</v>
      </c>
      <c r="E1215">
        <v>0</v>
      </c>
      <c r="F1215">
        <v>2723510.61</v>
      </c>
      <c r="G1215" s="8" t="s">
        <v>1372</v>
      </c>
      <c r="I1215" s="232">
        <v>43069</v>
      </c>
    </row>
    <row r="1216" spans="1:9" hidden="1">
      <c r="A1216" s="232">
        <v>43070</v>
      </c>
      <c r="B1216" t="s">
        <v>1997</v>
      </c>
      <c r="C1216" t="s">
        <v>5976</v>
      </c>
      <c r="D1216">
        <v>800</v>
      </c>
      <c r="E1216">
        <v>0</v>
      </c>
      <c r="F1216">
        <v>2722710.61</v>
      </c>
      <c r="I1216" s="232">
        <v>43070</v>
      </c>
    </row>
    <row r="1217" spans="1:9" hidden="1">
      <c r="A1217" s="232">
        <v>43070</v>
      </c>
      <c r="B1217" t="s">
        <v>1997</v>
      </c>
      <c r="C1217" t="s">
        <v>5977</v>
      </c>
      <c r="D1217">
        <v>3500</v>
      </c>
      <c r="E1217">
        <v>0</v>
      </c>
      <c r="F1217">
        <v>2719210.61</v>
      </c>
      <c r="I1217" s="232">
        <v>43070</v>
      </c>
    </row>
    <row r="1218" spans="1:9" hidden="1">
      <c r="A1218" s="232">
        <v>43070</v>
      </c>
      <c r="B1218" t="s">
        <v>1997</v>
      </c>
      <c r="C1218" t="s">
        <v>5978</v>
      </c>
      <c r="D1218">
        <v>2000</v>
      </c>
      <c r="E1218">
        <v>0</v>
      </c>
      <c r="F1218">
        <v>2717210.61</v>
      </c>
      <c r="I1218" s="232">
        <v>43070</v>
      </c>
    </row>
    <row r="1219" spans="1:9" hidden="1">
      <c r="A1219" s="232">
        <v>43070</v>
      </c>
      <c r="B1219" t="s">
        <v>1997</v>
      </c>
      <c r="C1219" t="s">
        <v>5979</v>
      </c>
      <c r="D1219">
        <v>20000</v>
      </c>
      <c r="E1219">
        <v>0</v>
      </c>
      <c r="F1219">
        <v>2697210.61</v>
      </c>
      <c r="G1219" s="8" t="s">
        <v>1358</v>
      </c>
      <c r="I1219" s="232">
        <v>43070</v>
      </c>
    </row>
    <row r="1220" spans="1:9" hidden="1">
      <c r="A1220" s="232">
        <v>43071</v>
      </c>
      <c r="C1220" t="s">
        <v>5902</v>
      </c>
      <c r="D1220">
        <v>50000</v>
      </c>
      <c r="E1220">
        <v>0</v>
      </c>
      <c r="F1220">
        <v>2647210.61</v>
      </c>
      <c r="G1220" s="8" t="s">
        <v>1379</v>
      </c>
      <c r="I1220" s="232">
        <v>43071</v>
      </c>
    </row>
    <row r="1221" spans="1:9" hidden="1">
      <c r="A1221" s="232">
        <v>43073</v>
      </c>
      <c r="B1221" t="s">
        <v>2737</v>
      </c>
      <c r="C1221" t="s">
        <v>5413</v>
      </c>
      <c r="D1221">
        <v>26063.48</v>
      </c>
      <c r="E1221">
        <v>0</v>
      </c>
      <c r="F1221">
        <v>2621147.13</v>
      </c>
      <c r="G1221" s="8" t="s">
        <v>1362</v>
      </c>
      <c r="I1221" s="232">
        <v>43073</v>
      </c>
    </row>
    <row r="1222" spans="1:9" hidden="1">
      <c r="A1222" s="232">
        <v>43073</v>
      </c>
      <c r="B1222" t="s">
        <v>1938</v>
      </c>
      <c r="C1222" t="s">
        <v>5980</v>
      </c>
      <c r="D1222">
        <v>300000</v>
      </c>
      <c r="E1222">
        <v>0</v>
      </c>
      <c r="F1222">
        <v>2321147.13</v>
      </c>
      <c r="G1222" s="8" t="s">
        <v>1381</v>
      </c>
      <c r="I1222" s="232">
        <v>43073</v>
      </c>
    </row>
    <row r="1223" spans="1:9" hidden="1">
      <c r="A1223" s="232">
        <v>43074</v>
      </c>
      <c r="C1223" t="s">
        <v>5981</v>
      </c>
      <c r="D1223">
        <v>0</v>
      </c>
      <c r="E1223">
        <v>719</v>
      </c>
      <c r="F1223">
        <v>2321866.13</v>
      </c>
      <c r="G1223" s="8" t="s">
        <v>1380</v>
      </c>
      <c r="I1223" s="232">
        <v>43074</v>
      </c>
    </row>
    <row r="1224" spans="1:9" hidden="1">
      <c r="A1224" s="232">
        <v>43074</v>
      </c>
      <c r="C1224" t="s">
        <v>5982</v>
      </c>
      <c r="D1224">
        <v>0</v>
      </c>
      <c r="E1224">
        <v>1335</v>
      </c>
      <c r="F1224">
        <v>2323201.13</v>
      </c>
      <c r="G1224" s="8" t="s">
        <v>1380</v>
      </c>
      <c r="I1224" s="232">
        <v>43074</v>
      </c>
    </row>
    <row r="1225" spans="1:9" hidden="1">
      <c r="A1225" s="232">
        <v>43080</v>
      </c>
      <c r="B1225" t="s">
        <v>1938</v>
      </c>
      <c r="C1225" t="s">
        <v>2521</v>
      </c>
      <c r="D1225">
        <v>0</v>
      </c>
      <c r="E1225">
        <v>16287.54</v>
      </c>
      <c r="F1225">
        <v>2339488.67</v>
      </c>
      <c r="G1225" s="8" t="s">
        <v>1375</v>
      </c>
      <c r="I1225" s="232">
        <v>43080</v>
      </c>
    </row>
    <row r="1226" spans="1:9" hidden="1">
      <c r="A1226" s="232">
        <v>43087</v>
      </c>
      <c r="C1226" t="s">
        <v>5983</v>
      </c>
      <c r="D1226">
        <v>0</v>
      </c>
      <c r="E1226">
        <v>83750</v>
      </c>
      <c r="F1226">
        <v>2423238.67</v>
      </c>
      <c r="G1226" s="8" t="s">
        <v>1369</v>
      </c>
      <c r="I1226" s="232">
        <v>43087</v>
      </c>
    </row>
    <row r="1227" spans="1:9" hidden="1">
      <c r="A1227" s="232">
        <v>43087</v>
      </c>
      <c r="C1227" t="s">
        <v>5984</v>
      </c>
      <c r="D1227">
        <v>0</v>
      </c>
      <c r="E1227">
        <v>83750</v>
      </c>
      <c r="F1227">
        <v>2506988.67</v>
      </c>
      <c r="G1227" s="8" t="s">
        <v>1369</v>
      </c>
      <c r="I1227" s="232">
        <v>43087</v>
      </c>
    </row>
    <row r="1228" spans="1:9" hidden="1">
      <c r="A1228" s="232">
        <v>43087</v>
      </c>
      <c r="C1228" t="s">
        <v>5985</v>
      </c>
      <c r="D1228">
        <v>0</v>
      </c>
      <c r="E1228">
        <v>20000</v>
      </c>
      <c r="F1228">
        <v>2526988.67</v>
      </c>
      <c r="G1228" s="8" t="s">
        <v>1369</v>
      </c>
      <c r="I1228" s="232">
        <v>43087</v>
      </c>
    </row>
    <row r="1229" spans="1:9" hidden="1">
      <c r="A1229" s="232">
        <v>43091</v>
      </c>
      <c r="B1229" t="s">
        <v>1914</v>
      </c>
      <c r="C1229" t="s">
        <v>5986</v>
      </c>
      <c r="D1229">
        <v>50000</v>
      </c>
      <c r="E1229">
        <v>0</v>
      </c>
      <c r="F1229">
        <v>2476988.67</v>
      </c>
      <c r="G1229" s="8" t="s">
        <v>1379</v>
      </c>
      <c r="I1229" s="232">
        <v>43091</v>
      </c>
    </row>
    <row r="1230" spans="1:9" hidden="1">
      <c r="A1230" s="232">
        <v>43096</v>
      </c>
      <c r="C1230" t="s">
        <v>5987</v>
      </c>
      <c r="D1230">
        <v>588.82000000000005</v>
      </c>
      <c r="E1230">
        <v>0</v>
      </c>
      <c r="F1230">
        <v>2476399.85</v>
      </c>
      <c r="G1230" s="8" t="s">
        <v>1362</v>
      </c>
      <c r="I1230" s="232">
        <v>43096</v>
      </c>
    </row>
    <row r="1231" spans="1:9" hidden="1">
      <c r="A1231" s="232">
        <v>43096</v>
      </c>
      <c r="C1231" t="s">
        <v>5693</v>
      </c>
      <c r="D1231">
        <v>25000</v>
      </c>
      <c r="E1231">
        <v>0</v>
      </c>
      <c r="F1231">
        <v>2451399.85</v>
      </c>
      <c r="G1231" s="8" t="s">
        <v>1379</v>
      </c>
      <c r="I1231" s="232">
        <v>43096</v>
      </c>
    </row>
    <row r="1232" spans="1:9" hidden="1">
      <c r="A1232" s="232">
        <v>43098</v>
      </c>
      <c r="B1232" t="s">
        <v>1938</v>
      </c>
      <c r="C1232" t="s">
        <v>5965</v>
      </c>
      <c r="D1232">
        <v>0</v>
      </c>
      <c r="E1232">
        <v>389853</v>
      </c>
      <c r="F1232">
        <v>2841252.85</v>
      </c>
      <c r="G1232" s="8" t="s">
        <v>1380</v>
      </c>
      <c r="I1232" s="232">
        <v>43098</v>
      </c>
    </row>
    <row r="1233" spans="1:9" hidden="1">
      <c r="A1233" s="232">
        <v>43099</v>
      </c>
      <c r="C1233" t="s">
        <v>5988</v>
      </c>
      <c r="D1233">
        <v>0</v>
      </c>
      <c r="E1233">
        <v>24110</v>
      </c>
      <c r="F1233">
        <v>2865362.85</v>
      </c>
      <c r="G1233" s="8" t="s">
        <v>1368</v>
      </c>
      <c r="I1233" s="232">
        <v>43099</v>
      </c>
    </row>
    <row r="1234" spans="1:9" hidden="1">
      <c r="A1234" s="232">
        <v>43101</v>
      </c>
      <c r="C1234" t="s">
        <v>5902</v>
      </c>
      <c r="D1234">
        <v>50000</v>
      </c>
      <c r="E1234">
        <v>0</v>
      </c>
      <c r="F1234">
        <v>2815362.85</v>
      </c>
      <c r="G1234" s="8" t="s">
        <v>1379</v>
      </c>
      <c r="I1234" s="232">
        <v>43101</v>
      </c>
    </row>
    <row r="1235" spans="1:9" hidden="1">
      <c r="A1235" s="232">
        <v>43103</v>
      </c>
      <c r="B1235" t="s">
        <v>1997</v>
      </c>
      <c r="C1235" t="s">
        <v>5989</v>
      </c>
      <c r="D1235">
        <v>4000</v>
      </c>
      <c r="E1235">
        <v>0</v>
      </c>
      <c r="F1235">
        <v>2811362.85</v>
      </c>
      <c r="I1235" s="232">
        <v>43103</v>
      </c>
    </row>
    <row r="1236" spans="1:9" hidden="1">
      <c r="A1236" s="232">
        <v>43103</v>
      </c>
      <c r="B1236" t="s">
        <v>1997</v>
      </c>
      <c r="C1236" t="s">
        <v>5990</v>
      </c>
      <c r="D1236">
        <v>800</v>
      </c>
      <c r="E1236">
        <v>0</v>
      </c>
      <c r="F1236">
        <v>2810562.85</v>
      </c>
      <c r="I1236" s="232">
        <v>43103</v>
      </c>
    </row>
    <row r="1237" spans="1:9" hidden="1">
      <c r="A1237" s="232">
        <v>43103</v>
      </c>
      <c r="B1237" t="s">
        <v>1997</v>
      </c>
      <c r="C1237" t="s">
        <v>5991</v>
      </c>
      <c r="D1237">
        <v>2000</v>
      </c>
      <c r="E1237">
        <v>0</v>
      </c>
      <c r="F1237">
        <v>2808562.85</v>
      </c>
      <c r="I1237" s="232">
        <v>43103</v>
      </c>
    </row>
    <row r="1238" spans="1:9" hidden="1">
      <c r="A1238" s="232">
        <v>43103</v>
      </c>
      <c r="B1238" t="s">
        <v>1997</v>
      </c>
      <c r="C1238" t="s">
        <v>5992</v>
      </c>
      <c r="D1238">
        <v>20000</v>
      </c>
      <c r="E1238">
        <v>0</v>
      </c>
      <c r="F1238">
        <v>2788562.85</v>
      </c>
      <c r="G1238" s="8" t="s">
        <v>1358</v>
      </c>
      <c r="I1238" s="232">
        <v>43103</v>
      </c>
    </row>
    <row r="1239" spans="1:9" hidden="1">
      <c r="A1239" s="232">
        <v>43103</v>
      </c>
      <c r="B1239" t="s">
        <v>1997</v>
      </c>
      <c r="C1239" t="s">
        <v>5993</v>
      </c>
      <c r="D1239">
        <v>2900</v>
      </c>
      <c r="E1239">
        <v>0</v>
      </c>
      <c r="F1239">
        <v>2785662.85</v>
      </c>
      <c r="I1239" s="232">
        <v>43103</v>
      </c>
    </row>
    <row r="1240" spans="1:9" hidden="1">
      <c r="A1240" s="232">
        <v>43103</v>
      </c>
      <c r="B1240" t="s">
        <v>2737</v>
      </c>
      <c r="C1240" t="s">
        <v>5413</v>
      </c>
      <c r="D1240">
        <v>2350</v>
      </c>
      <c r="E1240">
        <v>0</v>
      </c>
      <c r="F1240">
        <v>2783312.85</v>
      </c>
      <c r="G1240" s="8" t="s">
        <v>1362</v>
      </c>
      <c r="I1240" s="232">
        <v>43103</v>
      </c>
    </row>
    <row r="1241" spans="1:9" hidden="1">
      <c r="A1241" s="232">
        <v>43103</v>
      </c>
      <c r="B1241" t="s">
        <v>1963</v>
      </c>
      <c r="C1241" t="s">
        <v>5994</v>
      </c>
      <c r="D1241">
        <v>10000</v>
      </c>
      <c r="E1241">
        <v>0</v>
      </c>
      <c r="F1241">
        <v>2773312.85</v>
      </c>
      <c r="G1241" s="8" t="s">
        <v>1361</v>
      </c>
      <c r="I1241" s="232">
        <v>43103</v>
      </c>
    </row>
    <row r="1242" spans="1:9" hidden="1">
      <c r="A1242" s="232">
        <v>43103</v>
      </c>
      <c r="B1242" t="s">
        <v>1914</v>
      </c>
      <c r="C1242" t="s">
        <v>5995</v>
      </c>
      <c r="D1242">
        <v>3210</v>
      </c>
      <c r="E1242">
        <v>0</v>
      </c>
      <c r="F1242">
        <v>2770102.85</v>
      </c>
      <c r="G1242" s="8" t="s">
        <v>1370</v>
      </c>
      <c r="I1242" s="232">
        <v>43103</v>
      </c>
    </row>
    <row r="1243" spans="1:9" hidden="1">
      <c r="A1243" s="232">
        <v>43108</v>
      </c>
      <c r="B1243" t="s">
        <v>1997</v>
      </c>
      <c r="C1243" t="s">
        <v>5996</v>
      </c>
      <c r="D1243">
        <v>3050</v>
      </c>
      <c r="E1243">
        <v>0</v>
      </c>
      <c r="F1243">
        <v>2767052.85</v>
      </c>
      <c r="I1243" s="232">
        <v>43108</v>
      </c>
    </row>
    <row r="1244" spans="1:9" hidden="1">
      <c r="A1244" s="232">
        <v>43109</v>
      </c>
      <c r="B1244" t="s">
        <v>1938</v>
      </c>
      <c r="C1244" t="s">
        <v>2521</v>
      </c>
      <c r="D1244">
        <v>0</v>
      </c>
      <c r="E1244">
        <v>16287.54</v>
      </c>
      <c r="F1244">
        <v>2783340.39</v>
      </c>
      <c r="G1244" s="8" t="s">
        <v>1375</v>
      </c>
      <c r="I1244" s="232">
        <v>43109</v>
      </c>
    </row>
    <row r="1245" spans="1:9" hidden="1">
      <c r="A1245" s="232">
        <v>43112</v>
      </c>
      <c r="B1245" t="s">
        <v>1997</v>
      </c>
      <c r="C1245" t="s">
        <v>5997</v>
      </c>
      <c r="D1245">
        <v>52500</v>
      </c>
      <c r="E1245">
        <v>0</v>
      </c>
      <c r="F1245">
        <v>2730840.39</v>
      </c>
      <c r="I1245" s="232">
        <v>43112</v>
      </c>
    </row>
    <row r="1246" spans="1:9" hidden="1">
      <c r="A1246" s="232">
        <v>43115</v>
      </c>
      <c r="B1246" t="s">
        <v>1997</v>
      </c>
      <c r="C1246" t="s">
        <v>5998</v>
      </c>
      <c r="D1246">
        <v>989</v>
      </c>
      <c r="E1246">
        <v>0</v>
      </c>
      <c r="F1246">
        <v>2729851.39</v>
      </c>
      <c r="I1246" s="232">
        <v>43115</v>
      </c>
    </row>
    <row r="1247" spans="1:9" hidden="1">
      <c r="A1247" s="232">
        <v>43116</v>
      </c>
      <c r="B1247" t="s">
        <v>1914</v>
      </c>
      <c r="C1247" t="s">
        <v>5999</v>
      </c>
      <c r="D1247" s="69">
        <v>250000</v>
      </c>
      <c r="E1247">
        <v>0</v>
      </c>
      <c r="F1247">
        <v>2479851.39</v>
      </c>
      <c r="G1247" s="8" t="s">
        <v>1372</v>
      </c>
      <c r="I1247" s="232">
        <v>43116</v>
      </c>
    </row>
    <row r="1248" spans="1:9" hidden="1">
      <c r="A1248" s="232">
        <v>43116</v>
      </c>
      <c r="B1248" t="s">
        <v>1914</v>
      </c>
      <c r="C1248" t="s">
        <v>6000</v>
      </c>
      <c r="D1248" s="69">
        <v>250000</v>
      </c>
      <c r="E1248">
        <v>0</v>
      </c>
      <c r="F1248">
        <v>2229851.39</v>
      </c>
      <c r="G1248" s="8" t="s">
        <v>1372</v>
      </c>
      <c r="I1248" s="232">
        <v>43116</v>
      </c>
    </row>
    <row r="1249" spans="1:9" hidden="1">
      <c r="A1249" s="232">
        <v>43116</v>
      </c>
      <c r="C1249" t="s">
        <v>6001</v>
      </c>
      <c r="D1249">
        <v>0</v>
      </c>
      <c r="E1249">
        <v>1440</v>
      </c>
      <c r="F1249">
        <v>2231291.39</v>
      </c>
      <c r="G1249" s="8" t="s">
        <v>1380</v>
      </c>
      <c r="I1249" s="232">
        <v>43116</v>
      </c>
    </row>
    <row r="1250" spans="1:9" hidden="1">
      <c r="A1250" s="232">
        <v>43119</v>
      </c>
      <c r="B1250" t="s">
        <v>1938</v>
      </c>
      <c r="C1250" t="s">
        <v>2521</v>
      </c>
      <c r="D1250">
        <v>0</v>
      </c>
      <c r="E1250">
        <v>22500</v>
      </c>
      <c r="F1250">
        <v>2253791.39</v>
      </c>
      <c r="G1250" s="8" t="s">
        <v>1375</v>
      </c>
      <c r="I1250" s="232">
        <v>43119</v>
      </c>
    </row>
    <row r="1251" spans="1:9" hidden="1">
      <c r="A1251" s="232">
        <v>43122</v>
      </c>
      <c r="B1251" t="s">
        <v>1997</v>
      </c>
      <c r="C1251" t="s">
        <v>6002</v>
      </c>
      <c r="D1251">
        <v>9020</v>
      </c>
      <c r="E1251">
        <v>0</v>
      </c>
      <c r="F1251">
        <v>2244771.39</v>
      </c>
      <c r="I1251" s="232">
        <v>43122</v>
      </c>
    </row>
    <row r="1252" spans="1:9" hidden="1">
      <c r="A1252" s="232">
        <v>43122</v>
      </c>
      <c r="B1252" t="s">
        <v>1914</v>
      </c>
      <c r="C1252" t="s">
        <v>6003</v>
      </c>
      <c r="D1252">
        <v>50000</v>
      </c>
      <c r="E1252">
        <v>0</v>
      </c>
      <c r="F1252">
        <v>2194771.39</v>
      </c>
      <c r="G1252" s="8" t="s">
        <v>1379</v>
      </c>
      <c r="I1252" s="232">
        <v>43122</v>
      </c>
    </row>
    <row r="1253" spans="1:9" hidden="1">
      <c r="A1253" s="232">
        <v>43129</v>
      </c>
      <c r="B1253" t="s">
        <v>1914</v>
      </c>
      <c r="C1253" t="s">
        <v>6004</v>
      </c>
      <c r="D1253">
        <v>26396</v>
      </c>
      <c r="E1253">
        <v>0</v>
      </c>
      <c r="F1253">
        <v>2168375.39</v>
      </c>
      <c r="G1253" s="8" t="s">
        <v>1362</v>
      </c>
      <c r="I1253" s="232">
        <v>43129</v>
      </c>
    </row>
    <row r="1254" spans="1:9" hidden="1">
      <c r="A1254" s="232">
        <v>43129</v>
      </c>
      <c r="C1254" t="s">
        <v>5693</v>
      </c>
      <c r="D1254">
        <v>25000</v>
      </c>
      <c r="E1254">
        <v>0</v>
      </c>
      <c r="F1254">
        <v>2143375.39</v>
      </c>
      <c r="G1254" s="8" t="s">
        <v>1379</v>
      </c>
      <c r="I1254" s="232">
        <v>43129</v>
      </c>
    </row>
    <row r="1255" spans="1:9" hidden="1">
      <c r="A1255" s="232">
        <v>43131</v>
      </c>
      <c r="B1255" t="s">
        <v>1938</v>
      </c>
      <c r="C1255" t="s">
        <v>5965</v>
      </c>
      <c r="D1255">
        <v>0</v>
      </c>
      <c r="E1255">
        <v>346729</v>
      </c>
      <c r="F1255">
        <v>2490104.39</v>
      </c>
      <c r="G1255" s="8" t="s">
        <v>1380</v>
      </c>
      <c r="I1255" s="232">
        <v>43131</v>
      </c>
    </row>
    <row r="1256" spans="1:9" hidden="1">
      <c r="A1256" s="232">
        <v>43131</v>
      </c>
      <c r="C1256" t="s">
        <v>6005</v>
      </c>
      <c r="D1256">
        <v>25</v>
      </c>
      <c r="E1256">
        <v>0</v>
      </c>
      <c r="F1256">
        <v>2490079.39</v>
      </c>
      <c r="I1256" s="232">
        <v>43131</v>
      </c>
    </row>
    <row r="1257" spans="1:9" hidden="1">
      <c r="A1257" s="232">
        <v>43131</v>
      </c>
      <c r="C1257" t="s">
        <v>6006</v>
      </c>
      <c r="D1257">
        <v>4.5</v>
      </c>
      <c r="E1257">
        <v>0</v>
      </c>
      <c r="F1257">
        <v>2490074.89</v>
      </c>
      <c r="I1257" s="232">
        <v>43131</v>
      </c>
    </row>
    <row r="1258" spans="1:9" hidden="1">
      <c r="A1258" s="232">
        <v>43132</v>
      </c>
      <c r="B1258" t="s">
        <v>1997</v>
      </c>
      <c r="C1258" t="s">
        <v>6007</v>
      </c>
      <c r="D1258">
        <v>4000</v>
      </c>
      <c r="E1258">
        <v>0</v>
      </c>
      <c r="F1258">
        <v>2486074.89</v>
      </c>
      <c r="I1258" s="232">
        <v>43132</v>
      </c>
    </row>
    <row r="1259" spans="1:9" hidden="1">
      <c r="A1259" s="232">
        <v>43132</v>
      </c>
      <c r="B1259" t="s">
        <v>1997</v>
      </c>
      <c r="C1259" t="s">
        <v>6008</v>
      </c>
      <c r="D1259">
        <v>800</v>
      </c>
      <c r="E1259">
        <v>0</v>
      </c>
      <c r="F1259">
        <v>2485274.89</v>
      </c>
      <c r="I1259" s="232">
        <v>43132</v>
      </c>
    </row>
    <row r="1260" spans="1:9" hidden="1">
      <c r="A1260" s="232">
        <v>43132</v>
      </c>
      <c r="B1260" t="s">
        <v>1997</v>
      </c>
      <c r="C1260" t="s">
        <v>6009</v>
      </c>
      <c r="D1260">
        <v>2000</v>
      </c>
      <c r="E1260">
        <v>0</v>
      </c>
      <c r="F1260">
        <v>2483274.89</v>
      </c>
      <c r="I1260" s="232">
        <v>43132</v>
      </c>
    </row>
    <row r="1261" spans="1:9" hidden="1">
      <c r="A1261" s="232">
        <v>43132</v>
      </c>
      <c r="B1261" t="s">
        <v>1997</v>
      </c>
      <c r="C1261" t="s">
        <v>6010</v>
      </c>
      <c r="D1261">
        <v>20000</v>
      </c>
      <c r="E1261">
        <v>0</v>
      </c>
      <c r="F1261">
        <v>2463274.89</v>
      </c>
      <c r="G1261" s="8" t="s">
        <v>1358</v>
      </c>
      <c r="I1261" s="232">
        <v>43132</v>
      </c>
    </row>
    <row r="1262" spans="1:9" hidden="1">
      <c r="A1262" s="232">
        <v>43132</v>
      </c>
      <c r="C1262" t="s">
        <v>5902</v>
      </c>
      <c r="D1262">
        <v>50000</v>
      </c>
      <c r="E1262">
        <v>0</v>
      </c>
      <c r="F1262">
        <v>2413274.89</v>
      </c>
      <c r="G1262" s="8" t="s">
        <v>1379</v>
      </c>
      <c r="I1262" s="232">
        <v>43132</v>
      </c>
    </row>
    <row r="1263" spans="1:9" hidden="1">
      <c r="A1263" s="232">
        <v>43136</v>
      </c>
      <c r="B1263" t="s">
        <v>2737</v>
      </c>
      <c r="C1263" t="s">
        <v>5413</v>
      </c>
      <c r="D1263">
        <v>28122.75</v>
      </c>
      <c r="E1263">
        <v>0</v>
      </c>
      <c r="F1263">
        <v>2385152.14</v>
      </c>
      <c r="G1263" s="8" t="s">
        <v>1362</v>
      </c>
      <c r="I1263" s="232">
        <v>43136</v>
      </c>
    </row>
    <row r="1264" spans="1:9" hidden="1">
      <c r="A1264" s="232">
        <v>43143</v>
      </c>
      <c r="B1264" t="s">
        <v>1938</v>
      </c>
      <c r="C1264" t="s">
        <v>6011</v>
      </c>
      <c r="D1264">
        <v>0</v>
      </c>
      <c r="E1264">
        <v>16287.54</v>
      </c>
      <c r="F1264">
        <v>2401439.6800000002</v>
      </c>
      <c r="G1264" s="8" t="s">
        <v>1375</v>
      </c>
      <c r="I1264" s="232">
        <v>43143</v>
      </c>
    </row>
    <row r="1265" spans="1:9" hidden="1">
      <c r="A1265" s="232">
        <v>43146</v>
      </c>
      <c r="B1265" t="s">
        <v>1997</v>
      </c>
      <c r="C1265" t="s">
        <v>6012</v>
      </c>
      <c r="D1265">
        <v>494.5</v>
      </c>
      <c r="E1265">
        <v>0</v>
      </c>
      <c r="F1265">
        <v>2400945.1800000002</v>
      </c>
      <c r="I1265" s="232">
        <v>43146</v>
      </c>
    </row>
    <row r="1266" spans="1:9" hidden="1">
      <c r="A1266" s="232">
        <v>43148</v>
      </c>
      <c r="B1266" t="s">
        <v>1914</v>
      </c>
      <c r="C1266" t="s">
        <v>6013</v>
      </c>
      <c r="D1266">
        <v>35907</v>
      </c>
      <c r="E1266">
        <v>0</v>
      </c>
      <c r="F1266">
        <v>2365038.1800000002</v>
      </c>
      <c r="G1266" s="8" t="s">
        <v>1370</v>
      </c>
      <c r="I1266" s="232">
        <v>43148</v>
      </c>
    </row>
    <row r="1267" spans="1:9" hidden="1">
      <c r="A1267" s="232">
        <v>43148</v>
      </c>
      <c r="B1267" t="s">
        <v>1914</v>
      </c>
      <c r="C1267" t="s">
        <v>6014</v>
      </c>
      <c r="D1267">
        <v>23231</v>
      </c>
      <c r="E1267">
        <v>0</v>
      </c>
      <c r="F1267">
        <v>2341807.1800000002</v>
      </c>
      <c r="G1267" s="8" t="s">
        <v>1370</v>
      </c>
      <c r="I1267" s="232">
        <v>43148</v>
      </c>
    </row>
    <row r="1268" spans="1:9" hidden="1">
      <c r="A1268" s="232">
        <v>43153</v>
      </c>
      <c r="B1268" t="s">
        <v>1914</v>
      </c>
      <c r="C1268" t="s">
        <v>6015</v>
      </c>
      <c r="D1268">
        <v>50000</v>
      </c>
      <c r="E1268">
        <v>0</v>
      </c>
      <c r="F1268">
        <v>2291807.1800000002</v>
      </c>
      <c r="G1268" s="8" t="s">
        <v>1379</v>
      </c>
      <c r="I1268" s="232">
        <v>43153</v>
      </c>
    </row>
    <row r="1269" spans="1:9" hidden="1">
      <c r="A1269" s="232">
        <v>43158</v>
      </c>
      <c r="C1269" t="s">
        <v>5693</v>
      </c>
      <c r="D1269">
        <v>25000</v>
      </c>
      <c r="E1269">
        <v>0</v>
      </c>
      <c r="F1269">
        <v>2266807.1800000002</v>
      </c>
      <c r="G1269" s="8" t="s">
        <v>1379</v>
      </c>
      <c r="I1269" s="232">
        <v>43158</v>
      </c>
    </row>
    <row r="1270" spans="1:9" hidden="1">
      <c r="A1270" s="232">
        <v>43159</v>
      </c>
      <c r="B1270" t="s">
        <v>1938</v>
      </c>
      <c r="C1270" t="s">
        <v>6016</v>
      </c>
      <c r="D1270">
        <v>0</v>
      </c>
      <c r="E1270">
        <v>257696</v>
      </c>
      <c r="F1270">
        <v>2524503.1800000002</v>
      </c>
      <c r="G1270" s="8" t="s">
        <v>1380</v>
      </c>
      <c r="I1270" s="232">
        <v>43159</v>
      </c>
    </row>
    <row r="1271" spans="1:9" hidden="1">
      <c r="A1271" s="232">
        <v>43160</v>
      </c>
      <c r="C1271" t="s">
        <v>5902</v>
      </c>
      <c r="D1271">
        <v>50000</v>
      </c>
      <c r="E1271">
        <v>0</v>
      </c>
      <c r="F1271">
        <v>2474503.1800000002</v>
      </c>
      <c r="G1271" s="8" t="s">
        <v>1379</v>
      </c>
      <c r="I1271" s="232">
        <v>43160</v>
      </c>
    </row>
    <row r="1272" spans="1:9" hidden="1">
      <c r="A1272" s="232">
        <v>43161</v>
      </c>
      <c r="B1272" t="s">
        <v>1997</v>
      </c>
      <c r="C1272" t="s">
        <v>6017</v>
      </c>
      <c r="D1272">
        <v>2000</v>
      </c>
      <c r="E1272">
        <v>0</v>
      </c>
      <c r="F1272">
        <v>2472503.1800000002</v>
      </c>
      <c r="I1272" s="232">
        <v>43161</v>
      </c>
    </row>
    <row r="1273" spans="1:9" hidden="1">
      <c r="A1273" s="232">
        <v>43161</v>
      </c>
      <c r="B1273" t="s">
        <v>1997</v>
      </c>
      <c r="C1273" t="s">
        <v>6018</v>
      </c>
      <c r="D1273">
        <v>800</v>
      </c>
      <c r="E1273">
        <v>0</v>
      </c>
      <c r="F1273">
        <v>2471703.1800000002</v>
      </c>
      <c r="I1273" s="232">
        <v>43161</v>
      </c>
    </row>
    <row r="1274" spans="1:9" hidden="1">
      <c r="A1274" s="232">
        <v>43161</v>
      </c>
      <c r="B1274" t="s">
        <v>1997</v>
      </c>
      <c r="C1274" t="s">
        <v>6019</v>
      </c>
      <c r="D1274">
        <v>4000</v>
      </c>
      <c r="E1274">
        <v>0</v>
      </c>
      <c r="F1274">
        <v>2467703.1800000002</v>
      </c>
      <c r="I1274" s="232">
        <v>43161</v>
      </c>
    </row>
    <row r="1275" spans="1:9" hidden="1">
      <c r="A1275" s="232">
        <v>43161</v>
      </c>
      <c r="B1275" t="s">
        <v>1997</v>
      </c>
      <c r="C1275" t="s">
        <v>6020</v>
      </c>
      <c r="D1275">
        <v>22600</v>
      </c>
      <c r="E1275">
        <v>0</v>
      </c>
      <c r="F1275">
        <v>2445103.1800000002</v>
      </c>
      <c r="I1275" s="232">
        <v>43161</v>
      </c>
    </row>
    <row r="1276" spans="1:9" hidden="1">
      <c r="A1276" s="232">
        <v>43162</v>
      </c>
      <c r="B1276" t="s">
        <v>1914</v>
      </c>
      <c r="C1276" t="s">
        <v>6021</v>
      </c>
      <c r="D1276">
        <v>1215</v>
      </c>
      <c r="E1276">
        <v>0</v>
      </c>
      <c r="F1276">
        <v>2443888.1800000002</v>
      </c>
      <c r="G1276" s="8" t="s">
        <v>1362</v>
      </c>
      <c r="I1276" s="232">
        <v>43162</v>
      </c>
    </row>
    <row r="1277" spans="1:9" hidden="1">
      <c r="A1277" s="232">
        <v>43165</v>
      </c>
      <c r="B1277" t="s">
        <v>2737</v>
      </c>
      <c r="C1277" t="s">
        <v>5413</v>
      </c>
      <c r="D1277">
        <v>16942</v>
      </c>
      <c r="E1277">
        <v>0</v>
      </c>
      <c r="F1277">
        <v>2426946.1800000002</v>
      </c>
      <c r="G1277" s="8" t="s">
        <v>1362</v>
      </c>
      <c r="I1277" s="232">
        <v>43165</v>
      </c>
    </row>
    <row r="1278" spans="1:9" hidden="1">
      <c r="A1278" s="232">
        <v>43171</v>
      </c>
      <c r="B1278" t="s">
        <v>1938</v>
      </c>
      <c r="C1278" t="s">
        <v>6022</v>
      </c>
      <c r="D1278">
        <v>0</v>
      </c>
      <c r="E1278">
        <v>16287.54</v>
      </c>
      <c r="F1278">
        <v>2443233.7200000002</v>
      </c>
      <c r="G1278" s="8" t="s">
        <v>1375</v>
      </c>
      <c r="I1278" s="232">
        <v>43171</v>
      </c>
    </row>
    <row r="1279" spans="1:9" hidden="1">
      <c r="A1279" s="232">
        <v>43181</v>
      </c>
      <c r="B1279" t="s">
        <v>1914</v>
      </c>
      <c r="C1279" t="s">
        <v>6023</v>
      </c>
      <c r="D1279">
        <v>50000</v>
      </c>
      <c r="E1279">
        <v>0</v>
      </c>
      <c r="F1279">
        <v>2393233.7200000002</v>
      </c>
      <c r="G1279" s="8" t="s">
        <v>1379</v>
      </c>
      <c r="I1279" s="232">
        <v>43181</v>
      </c>
    </row>
    <row r="1280" spans="1:9" hidden="1">
      <c r="A1280" s="232">
        <v>43181</v>
      </c>
      <c r="B1280" t="s">
        <v>1938</v>
      </c>
      <c r="C1280" t="s">
        <v>6024</v>
      </c>
      <c r="D1280">
        <v>0</v>
      </c>
      <c r="E1280">
        <v>15900</v>
      </c>
      <c r="F1280">
        <v>2409133.7200000002</v>
      </c>
      <c r="G1280" s="8" t="s">
        <v>1375</v>
      </c>
      <c r="I1280" s="232">
        <v>43181</v>
      </c>
    </row>
    <row r="1281" spans="1:9" hidden="1">
      <c r="A1281" s="232">
        <v>43185</v>
      </c>
      <c r="B1281" t="s">
        <v>1963</v>
      </c>
      <c r="C1281" t="s">
        <v>6025</v>
      </c>
      <c r="D1281">
        <v>10000</v>
      </c>
      <c r="E1281">
        <v>0</v>
      </c>
      <c r="F1281">
        <v>2399133.7200000002</v>
      </c>
      <c r="G1281" s="8" t="s">
        <v>1361</v>
      </c>
      <c r="I1281" s="232">
        <v>43185</v>
      </c>
    </row>
    <row r="1282" spans="1:9" hidden="1">
      <c r="A1282" s="232">
        <v>43185</v>
      </c>
      <c r="C1282" t="s">
        <v>6026</v>
      </c>
      <c r="D1282">
        <v>0</v>
      </c>
      <c r="E1282">
        <v>7730.77</v>
      </c>
      <c r="F1282">
        <v>2406864.4900000002</v>
      </c>
      <c r="G1282" s="8" t="s">
        <v>1380</v>
      </c>
      <c r="I1282" s="232">
        <v>43185</v>
      </c>
    </row>
    <row r="1283" spans="1:9" hidden="1">
      <c r="A1283" s="232">
        <v>43186</v>
      </c>
      <c r="C1283" t="s">
        <v>5693</v>
      </c>
      <c r="D1283">
        <v>25000</v>
      </c>
      <c r="E1283">
        <v>0</v>
      </c>
      <c r="F1283">
        <v>2381864.4900000002</v>
      </c>
      <c r="G1283" s="8" t="s">
        <v>1379</v>
      </c>
      <c r="I1283" s="232">
        <v>43186</v>
      </c>
    </row>
    <row r="1284" spans="1:9" hidden="1">
      <c r="A1284" s="232">
        <v>43187</v>
      </c>
      <c r="B1284" t="s">
        <v>1938</v>
      </c>
      <c r="C1284" t="s">
        <v>6027</v>
      </c>
      <c r="D1284">
        <v>0</v>
      </c>
      <c r="E1284">
        <v>261983</v>
      </c>
      <c r="F1284">
        <v>2643847.4900000002</v>
      </c>
      <c r="G1284" s="8" t="s">
        <v>1380</v>
      </c>
      <c r="I1284" s="232">
        <v>43187</v>
      </c>
    </row>
    <row r="1285" spans="1:9" hidden="1">
      <c r="A1285" s="232">
        <v>43187</v>
      </c>
      <c r="C1285" t="s">
        <v>6028</v>
      </c>
      <c r="D1285">
        <v>0</v>
      </c>
      <c r="E1285">
        <v>353200</v>
      </c>
      <c r="F1285">
        <v>2997047.49</v>
      </c>
      <c r="G1285" s="8" t="s">
        <v>1369</v>
      </c>
      <c r="I1285" s="232">
        <v>43187</v>
      </c>
    </row>
    <row r="1286" spans="1:9" hidden="1">
      <c r="A1286" s="232">
        <v>43189</v>
      </c>
      <c r="C1286" t="s">
        <v>6029</v>
      </c>
      <c r="D1286">
        <v>0</v>
      </c>
      <c r="E1286">
        <v>21172</v>
      </c>
      <c r="F1286">
        <v>3018219.49</v>
      </c>
      <c r="G1286" s="8" t="s">
        <v>1368</v>
      </c>
      <c r="I1286" s="232">
        <v>43189</v>
      </c>
    </row>
    <row r="1287" spans="1:9" hidden="1">
      <c r="A1287" s="232">
        <v>43191</v>
      </c>
      <c r="C1287" t="s">
        <v>1394</v>
      </c>
      <c r="D1287">
        <v>0</v>
      </c>
      <c r="E1287">
        <v>0</v>
      </c>
      <c r="F1287">
        <v>3018219.49</v>
      </c>
      <c r="I1287" s="232">
        <v>43191</v>
      </c>
    </row>
    <row r="1288" spans="1:9" hidden="1">
      <c r="A1288" s="232">
        <v>43193</v>
      </c>
      <c r="B1288" t="s">
        <v>1997</v>
      </c>
      <c r="C1288" t="s">
        <v>6030</v>
      </c>
      <c r="D1288">
        <v>2000</v>
      </c>
      <c r="E1288">
        <v>0</v>
      </c>
      <c r="F1288">
        <v>3016219.49</v>
      </c>
      <c r="I1288" s="232">
        <v>43193</v>
      </c>
    </row>
    <row r="1289" spans="1:9" hidden="1">
      <c r="A1289" s="232">
        <v>43193</v>
      </c>
      <c r="B1289" t="s">
        <v>1997</v>
      </c>
      <c r="C1289" t="s">
        <v>6031</v>
      </c>
      <c r="D1289">
        <v>1200</v>
      </c>
      <c r="E1289">
        <v>0</v>
      </c>
      <c r="F1289">
        <v>3015019.49</v>
      </c>
      <c r="I1289" s="232">
        <v>43193</v>
      </c>
    </row>
    <row r="1290" spans="1:9" hidden="1">
      <c r="A1290" s="232">
        <v>43193</v>
      </c>
      <c r="B1290" t="s">
        <v>1997</v>
      </c>
      <c r="C1290" t="s">
        <v>6032</v>
      </c>
      <c r="D1290">
        <v>30000</v>
      </c>
      <c r="E1290">
        <v>0</v>
      </c>
      <c r="F1290">
        <v>2985019.49</v>
      </c>
      <c r="I1290" s="232">
        <v>43193</v>
      </c>
    </row>
    <row r="1291" spans="1:9" hidden="1">
      <c r="A1291" s="232">
        <v>43193</v>
      </c>
      <c r="B1291" t="s">
        <v>1997</v>
      </c>
      <c r="C1291" t="s">
        <v>6033</v>
      </c>
      <c r="D1291">
        <v>4000</v>
      </c>
      <c r="E1291">
        <v>0</v>
      </c>
      <c r="F1291">
        <v>2981019.49</v>
      </c>
      <c r="I1291" s="232">
        <v>43193</v>
      </c>
    </row>
    <row r="1292" spans="1:9" hidden="1">
      <c r="A1292" s="232">
        <v>43193</v>
      </c>
      <c r="B1292" t="s">
        <v>2737</v>
      </c>
      <c r="C1292" t="s">
        <v>5413</v>
      </c>
      <c r="D1292">
        <v>2150</v>
      </c>
      <c r="E1292">
        <v>0</v>
      </c>
      <c r="F1292">
        <v>2978869.49</v>
      </c>
      <c r="G1292" s="8" t="s">
        <v>1362</v>
      </c>
      <c r="I1292" s="232">
        <v>43193</v>
      </c>
    </row>
    <row r="1293" spans="1:9" hidden="1">
      <c r="A1293" s="232">
        <v>43193</v>
      </c>
      <c r="C1293" t="s">
        <v>5902</v>
      </c>
      <c r="D1293">
        <v>50000</v>
      </c>
      <c r="E1293">
        <v>0</v>
      </c>
      <c r="F1293">
        <v>2928869.49</v>
      </c>
      <c r="G1293" s="8" t="s">
        <v>1379</v>
      </c>
      <c r="I1293" s="232">
        <v>43193</v>
      </c>
    </row>
    <row r="1294" spans="1:9" hidden="1">
      <c r="A1294" s="232">
        <v>43197</v>
      </c>
      <c r="B1294" t="s">
        <v>1963</v>
      </c>
      <c r="C1294" t="s">
        <v>2627</v>
      </c>
      <c r="D1294">
        <v>10000</v>
      </c>
      <c r="E1294">
        <v>0</v>
      </c>
      <c r="F1294">
        <v>2918869.49</v>
      </c>
      <c r="G1294" s="8" t="s">
        <v>1361</v>
      </c>
      <c r="I1294" s="232">
        <v>43197</v>
      </c>
    </row>
    <row r="1295" spans="1:9" hidden="1">
      <c r="A1295" s="232">
        <v>43199</v>
      </c>
      <c r="B1295" t="s">
        <v>1938</v>
      </c>
      <c r="C1295" t="s">
        <v>6034</v>
      </c>
      <c r="D1295">
        <v>0</v>
      </c>
      <c r="E1295">
        <v>14421.26</v>
      </c>
      <c r="F1295">
        <v>2933290.75</v>
      </c>
      <c r="G1295" s="8" t="s">
        <v>1375</v>
      </c>
      <c r="I1295" s="232">
        <v>43199</v>
      </c>
    </row>
    <row r="1296" spans="1:9" hidden="1">
      <c r="A1296" s="232">
        <v>43200</v>
      </c>
      <c r="C1296" t="s">
        <v>6035</v>
      </c>
      <c r="D1296">
        <v>0</v>
      </c>
      <c r="E1296">
        <v>2153.42</v>
      </c>
      <c r="F1296">
        <v>2935444.17</v>
      </c>
      <c r="G1296" s="8" t="s">
        <v>1380</v>
      </c>
      <c r="I1296" s="232">
        <v>43200</v>
      </c>
    </row>
    <row r="1297" spans="1:9" hidden="1">
      <c r="A1297" s="232">
        <v>43201</v>
      </c>
      <c r="C1297" t="s">
        <v>6036</v>
      </c>
      <c r="D1297">
        <v>0</v>
      </c>
      <c r="E1297">
        <v>515</v>
      </c>
      <c r="F1297">
        <v>2935959.17</v>
      </c>
      <c r="G1297" s="8" t="s">
        <v>1380</v>
      </c>
      <c r="I1297" s="232">
        <v>43201</v>
      </c>
    </row>
    <row r="1298" spans="1:9" hidden="1">
      <c r="A1298" s="232">
        <v>43203</v>
      </c>
      <c r="B1298" t="s">
        <v>1997</v>
      </c>
      <c r="C1298" t="s">
        <v>6037</v>
      </c>
      <c r="D1298">
        <v>795.5</v>
      </c>
      <c r="E1298">
        <v>0</v>
      </c>
      <c r="F1298">
        <v>2935163.67</v>
      </c>
      <c r="I1298" s="232">
        <v>43203</v>
      </c>
    </row>
    <row r="1299" spans="1:9" hidden="1">
      <c r="A1299" s="232">
        <v>43206</v>
      </c>
      <c r="B1299" t="s">
        <v>1914</v>
      </c>
      <c r="C1299" t="s">
        <v>6038</v>
      </c>
      <c r="D1299">
        <v>2000</v>
      </c>
      <c r="E1299">
        <v>0</v>
      </c>
      <c r="F1299">
        <v>2933163.67</v>
      </c>
      <c r="I1299" s="232">
        <v>43206</v>
      </c>
    </row>
    <row r="1300" spans="1:9" hidden="1">
      <c r="A1300" s="232">
        <v>43206</v>
      </c>
      <c r="B1300" t="s">
        <v>1914</v>
      </c>
      <c r="C1300" t="s">
        <v>6039</v>
      </c>
      <c r="D1300">
        <v>1000</v>
      </c>
      <c r="E1300">
        <v>0</v>
      </c>
      <c r="F1300">
        <v>2932163.67</v>
      </c>
      <c r="I1300" s="232">
        <v>43206</v>
      </c>
    </row>
    <row r="1301" spans="1:9" hidden="1">
      <c r="A1301" s="232">
        <v>43208</v>
      </c>
      <c r="B1301" t="s">
        <v>6040</v>
      </c>
      <c r="C1301" t="s">
        <v>6041</v>
      </c>
      <c r="D1301">
        <v>17000</v>
      </c>
      <c r="E1301">
        <v>0</v>
      </c>
      <c r="F1301">
        <v>2915163.67</v>
      </c>
      <c r="I1301" s="232">
        <v>43208</v>
      </c>
    </row>
    <row r="1302" spans="1:9" hidden="1">
      <c r="A1302" s="232">
        <v>43213</v>
      </c>
      <c r="B1302" t="s">
        <v>1914</v>
      </c>
      <c r="C1302" t="s">
        <v>6042</v>
      </c>
      <c r="D1302">
        <v>50000</v>
      </c>
      <c r="E1302">
        <v>0</v>
      </c>
      <c r="F1302">
        <v>2865163.67</v>
      </c>
      <c r="G1302" s="8" t="s">
        <v>1379</v>
      </c>
      <c r="I1302" s="232">
        <v>43213</v>
      </c>
    </row>
    <row r="1303" spans="1:9" hidden="1">
      <c r="A1303" s="232">
        <v>43217</v>
      </c>
      <c r="C1303" t="s">
        <v>6043</v>
      </c>
      <c r="D1303">
        <v>0</v>
      </c>
      <c r="E1303">
        <v>643979</v>
      </c>
      <c r="F1303">
        <v>3509142.67</v>
      </c>
      <c r="G1303" s="8" t="s">
        <v>1379</v>
      </c>
      <c r="I1303" s="232">
        <v>43217</v>
      </c>
    </row>
    <row r="1304" spans="1:9" hidden="1">
      <c r="A1304" s="232">
        <v>43217</v>
      </c>
      <c r="B1304" t="s">
        <v>1938</v>
      </c>
      <c r="C1304" t="s">
        <v>6044</v>
      </c>
      <c r="D1304">
        <v>0</v>
      </c>
      <c r="E1304">
        <v>375218</v>
      </c>
      <c r="F1304">
        <v>3884360.67</v>
      </c>
      <c r="G1304" s="8" t="s">
        <v>1380</v>
      </c>
      <c r="I1304" s="232">
        <v>43217</v>
      </c>
    </row>
    <row r="1305" spans="1:9" hidden="1">
      <c r="A1305" s="232">
        <v>43222</v>
      </c>
      <c r="B1305" t="s">
        <v>1997</v>
      </c>
      <c r="C1305" t="s">
        <v>6045</v>
      </c>
      <c r="D1305">
        <v>2000</v>
      </c>
      <c r="E1305">
        <v>0</v>
      </c>
      <c r="F1305">
        <v>3882360.67</v>
      </c>
      <c r="I1305" s="232">
        <v>43222</v>
      </c>
    </row>
    <row r="1306" spans="1:9" hidden="1">
      <c r="A1306" s="232">
        <v>43222</v>
      </c>
      <c r="B1306" t="s">
        <v>1997</v>
      </c>
      <c r="C1306" t="s">
        <v>6046</v>
      </c>
      <c r="D1306">
        <v>20000</v>
      </c>
      <c r="E1306">
        <v>0</v>
      </c>
      <c r="F1306">
        <v>3862360.67</v>
      </c>
      <c r="G1306" s="8" t="s">
        <v>1358</v>
      </c>
      <c r="I1306" s="232">
        <v>43222</v>
      </c>
    </row>
    <row r="1307" spans="1:9" hidden="1">
      <c r="A1307" s="232">
        <v>43222</v>
      </c>
      <c r="C1307" t="s">
        <v>5902</v>
      </c>
      <c r="D1307">
        <v>50000</v>
      </c>
      <c r="E1307">
        <v>0</v>
      </c>
      <c r="F1307">
        <v>3812360.67</v>
      </c>
      <c r="G1307" s="8" t="s">
        <v>1379</v>
      </c>
      <c r="I1307" s="232">
        <v>43222</v>
      </c>
    </row>
    <row r="1308" spans="1:9" hidden="1">
      <c r="A1308" s="232">
        <v>43224</v>
      </c>
      <c r="B1308" t="s">
        <v>2737</v>
      </c>
      <c r="C1308" t="s">
        <v>5413</v>
      </c>
      <c r="D1308">
        <v>6669</v>
      </c>
      <c r="E1308">
        <v>0</v>
      </c>
      <c r="F1308">
        <v>3805691.67</v>
      </c>
      <c r="G1308" s="8" t="s">
        <v>1362</v>
      </c>
      <c r="I1308" s="232">
        <v>43224</v>
      </c>
    </row>
    <row r="1309" spans="1:9" hidden="1">
      <c r="A1309" s="232">
        <v>43229</v>
      </c>
      <c r="C1309" t="s">
        <v>6047</v>
      </c>
      <c r="D1309">
        <v>0</v>
      </c>
      <c r="E1309">
        <v>515</v>
      </c>
      <c r="F1309">
        <v>3806206.67</v>
      </c>
      <c r="G1309" s="8" t="s">
        <v>1380</v>
      </c>
      <c r="I1309" s="232">
        <v>43229</v>
      </c>
    </row>
    <row r="1310" spans="1:9" hidden="1">
      <c r="A1310" s="232">
        <v>43229</v>
      </c>
      <c r="B1310" t="s">
        <v>1938</v>
      </c>
      <c r="C1310" t="s">
        <v>6048</v>
      </c>
      <c r="D1310">
        <v>0</v>
      </c>
      <c r="E1310">
        <v>13817.26</v>
      </c>
      <c r="F1310">
        <v>3820023.93</v>
      </c>
      <c r="G1310" s="8" t="s">
        <v>1375</v>
      </c>
      <c r="I1310" s="232">
        <v>43229</v>
      </c>
    </row>
    <row r="1311" spans="1:9" hidden="1">
      <c r="A1311" s="232">
        <v>43236</v>
      </c>
      <c r="B1311" t="s">
        <v>1914</v>
      </c>
      <c r="C1311" t="s">
        <v>6049</v>
      </c>
      <c r="D1311">
        <v>245417</v>
      </c>
      <c r="E1311">
        <v>0</v>
      </c>
      <c r="F1311">
        <v>3574606.93</v>
      </c>
      <c r="G1311" s="8" t="s">
        <v>1370</v>
      </c>
      <c r="I1311" s="232">
        <v>43236</v>
      </c>
    </row>
    <row r="1312" spans="1:9" hidden="1">
      <c r="A1312" s="232">
        <v>43242</v>
      </c>
      <c r="B1312" t="s">
        <v>1914</v>
      </c>
      <c r="C1312" t="s">
        <v>6050</v>
      </c>
      <c r="D1312">
        <v>50000</v>
      </c>
      <c r="E1312">
        <v>0</v>
      </c>
      <c r="F1312">
        <v>3524606.93</v>
      </c>
      <c r="G1312" s="8" t="s">
        <v>1379</v>
      </c>
      <c r="I1312" s="232">
        <v>43242</v>
      </c>
    </row>
    <row r="1313" spans="1:9" hidden="1">
      <c r="A1313" s="232">
        <v>43244</v>
      </c>
      <c r="B1313" t="s">
        <v>1914</v>
      </c>
      <c r="C1313" t="s">
        <v>6051</v>
      </c>
      <c r="D1313" s="69">
        <v>500000</v>
      </c>
      <c r="E1313">
        <v>0</v>
      </c>
      <c r="F1313">
        <v>3024606.93</v>
      </c>
      <c r="G1313" s="8" t="s">
        <v>1372</v>
      </c>
      <c r="I1313" s="232">
        <v>43244</v>
      </c>
    </row>
    <row r="1314" spans="1:9" hidden="1">
      <c r="A1314" s="232">
        <v>43244</v>
      </c>
      <c r="B1314" t="s">
        <v>1914</v>
      </c>
      <c r="C1314" t="s">
        <v>6052</v>
      </c>
      <c r="D1314" s="69">
        <v>500000</v>
      </c>
      <c r="E1314">
        <v>0</v>
      </c>
      <c r="F1314">
        <v>2524606.9300000002</v>
      </c>
      <c r="G1314" s="8" t="s">
        <v>1372</v>
      </c>
      <c r="I1314" s="232">
        <v>43244</v>
      </c>
    </row>
    <row r="1315" spans="1:9" hidden="1">
      <c r="A1315" s="232">
        <v>43251</v>
      </c>
      <c r="B1315" t="s">
        <v>1938</v>
      </c>
      <c r="C1315" t="s">
        <v>6053</v>
      </c>
      <c r="D1315">
        <v>0</v>
      </c>
      <c r="E1315">
        <v>266335</v>
      </c>
      <c r="F1315">
        <v>2790941.93</v>
      </c>
      <c r="G1315" s="8" t="s">
        <v>1380</v>
      </c>
      <c r="I1315" s="232">
        <v>43251</v>
      </c>
    </row>
    <row r="1316" spans="1:9" hidden="1">
      <c r="A1316" s="232">
        <v>43252</v>
      </c>
      <c r="C1316" t="s">
        <v>6054</v>
      </c>
      <c r="D1316">
        <v>0</v>
      </c>
      <c r="E1316">
        <v>2838</v>
      </c>
      <c r="F1316">
        <v>2793779.93</v>
      </c>
      <c r="I1316" s="232">
        <v>43252</v>
      </c>
    </row>
    <row r="1317" spans="1:9" hidden="1">
      <c r="A1317" s="232">
        <v>43252</v>
      </c>
      <c r="C1317" t="s">
        <v>6055</v>
      </c>
      <c r="D1317">
        <v>0</v>
      </c>
      <c r="E1317">
        <v>500</v>
      </c>
      <c r="F1317">
        <v>2794279.93</v>
      </c>
      <c r="I1317" s="232">
        <v>43252</v>
      </c>
    </row>
    <row r="1318" spans="1:9" hidden="1">
      <c r="A1318" s="232">
        <v>43252</v>
      </c>
      <c r="C1318" t="s">
        <v>6056</v>
      </c>
      <c r="D1318">
        <v>0</v>
      </c>
      <c r="E1318">
        <v>1300</v>
      </c>
      <c r="F1318">
        <v>2795579.93</v>
      </c>
      <c r="I1318" s="232">
        <v>43252</v>
      </c>
    </row>
    <row r="1319" spans="1:9" hidden="1">
      <c r="A1319" s="232">
        <v>43252</v>
      </c>
      <c r="C1319" t="s">
        <v>5902</v>
      </c>
      <c r="D1319">
        <v>50000</v>
      </c>
      <c r="E1319">
        <v>0</v>
      </c>
      <c r="F1319">
        <v>2745579.93</v>
      </c>
      <c r="G1319" s="8" t="s">
        <v>1379</v>
      </c>
      <c r="I1319" s="232">
        <v>43252</v>
      </c>
    </row>
    <row r="1320" spans="1:9" hidden="1">
      <c r="A1320" s="232">
        <v>43253</v>
      </c>
      <c r="B1320" t="s">
        <v>1997</v>
      </c>
      <c r="C1320" t="s">
        <v>6057</v>
      </c>
      <c r="D1320">
        <v>4000</v>
      </c>
      <c r="E1320">
        <v>0</v>
      </c>
      <c r="F1320">
        <v>2741579.93</v>
      </c>
      <c r="I1320" s="232">
        <v>43253</v>
      </c>
    </row>
    <row r="1321" spans="1:9" hidden="1">
      <c r="A1321" s="232">
        <v>43253</v>
      </c>
      <c r="B1321" t="s">
        <v>1997</v>
      </c>
      <c r="C1321" t="s">
        <v>6058</v>
      </c>
      <c r="D1321">
        <v>2000</v>
      </c>
      <c r="E1321">
        <v>0</v>
      </c>
      <c r="F1321">
        <v>2739579.93</v>
      </c>
      <c r="I1321" s="232">
        <v>43253</v>
      </c>
    </row>
    <row r="1322" spans="1:9" hidden="1">
      <c r="A1322" s="232">
        <v>43253</v>
      </c>
      <c r="B1322" t="s">
        <v>1997</v>
      </c>
      <c r="C1322" t="s">
        <v>6059</v>
      </c>
      <c r="D1322">
        <v>20000</v>
      </c>
      <c r="E1322">
        <v>0</v>
      </c>
      <c r="F1322">
        <v>2719579.93</v>
      </c>
      <c r="G1322" s="8" t="s">
        <v>1358</v>
      </c>
      <c r="I1322" s="232">
        <v>43253</v>
      </c>
    </row>
    <row r="1323" spans="1:9" hidden="1">
      <c r="A1323" s="232">
        <v>43255</v>
      </c>
      <c r="B1323" t="s">
        <v>2737</v>
      </c>
      <c r="C1323" t="s">
        <v>5413</v>
      </c>
      <c r="D1323">
        <v>12675</v>
      </c>
      <c r="E1323">
        <v>0</v>
      </c>
      <c r="F1323">
        <v>2706904.93</v>
      </c>
      <c r="G1323" s="8" t="s">
        <v>1362</v>
      </c>
      <c r="I1323" s="232">
        <v>43255</v>
      </c>
    </row>
    <row r="1324" spans="1:9" hidden="1">
      <c r="A1324" s="232">
        <v>43262</v>
      </c>
      <c r="B1324" t="s">
        <v>1938</v>
      </c>
      <c r="C1324" t="s">
        <v>6060</v>
      </c>
      <c r="D1324">
        <v>0</v>
      </c>
      <c r="E1324">
        <v>13817.26</v>
      </c>
      <c r="F1324">
        <v>2720722.19</v>
      </c>
      <c r="G1324" s="8" t="s">
        <v>1375</v>
      </c>
      <c r="I1324" s="232">
        <v>43262</v>
      </c>
    </row>
    <row r="1325" spans="1:9" hidden="1">
      <c r="A1325" s="232">
        <v>43263</v>
      </c>
      <c r="C1325" t="s">
        <v>6061</v>
      </c>
      <c r="D1325">
        <v>0</v>
      </c>
      <c r="E1325">
        <v>515</v>
      </c>
      <c r="F1325">
        <v>2721237.19</v>
      </c>
      <c r="G1325" s="8" t="s">
        <v>1380</v>
      </c>
      <c r="I1325" s="232">
        <v>43263</v>
      </c>
    </row>
    <row r="1326" spans="1:9" hidden="1">
      <c r="A1326" s="232">
        <v>43273</v>
      </c>
      <c r="B1326" t="s">
        <v>1914</v>
      </c>
      <c r="C1326" t="s">
        <v>6062</v>
      </c>
      <c r="D1326">
        <v>50000</v>
      </c>
      <c r="E1326">
        <v>0</v>
      </c>
      <c r="F1326">
        <v>2671237.19</v>
      </c>
      <c r="G1326" s="8" t="s">
        <v>1379</v>
      </c>
      <c r="I1326" s="232">
        <v>43273</v>
      </c>
    </row>
    <row r="1327" spans="1:9" hidden="1">
      <c r="A1327" s="232">
        <v>43279</v>
      </c>
      <c r="B1327" t="s">
        <v>1938</v>
      </c>
      <c r="C1327" t="s">
        <v>6063</v>
      </c>
      <c r="D1327">
        <v>300000</v>
      </c>
      <c r="E1327">
        <v>0</v>
      </c>
      <c r="F1327">
        <v>2371237.19</v>
      </c>
      <c r="G1327" s="8" t="s">
        <v>1381</v>
      </c>
      <c r="I1327" s="232">
        <v>43279</v>
      </c>
    </row>
    <row r="1328" spans="1:9" hidden="1">
      <c r="A1328" s="232">
        <v>43280</v>
      </c>
      <c r="B1328" t="s">
        <v>1938</v>
      </c>
      <c r="C1328" t="s">
        <v>6064</v>
      </c>
      <c r="D1328">
        <v>0</v>
      </c>
      <c r="E1328">
        <v>266335</v>
      </c>
      <c r="F1328">
        <v>2637572.19</v>
      </c>
      <c r="G1328" s="8" t="s">
        <v>1380</v>
      </c>
      <c r="I1328" s="232">
        <v>43280</v>
      </c>
    </row>
    <row r="1329" spans="1:9" hidden="1">
      <c r="A1329" s="232">
        <v>43281</v>
      </c>
      <c r="C1329" t="s">
        <v>6065</v>
      </c>
      <c r="D1329">
        <v>0</v>
      </c>
      <c r="E1329">
        <v>27028</v>
      </c>
      <c r="F1329">
        <v>2664600.19</v>
      </c>
      <c r="G1329" s="8" t="s">
        <v>1368</v>
      </c>
      <c r="I1329" s="232">
        <v>43281</v>
      </c>
    </row>
    <row r="1330" spans="1:9" hidden="1">
      <c r="A1330" s="232">
        <v>43281</v>
      </c>
      <c r="B1330" t="s">
        <v>2394</v>
      </c>
      <c r="C1330" t="s">
        <v>6066</v>
      </c>
      <c r="D1330">
        <v>1090</v>
      </c>
      <c r="E1330">
        <v>0</v>
      </c>
      <c r="F1330">
        <v>2663510.19</v>
      </c>
      <c r="I1330" s="232">
        <v>43281</v>
      </c>
    </row>
    <row r="1331" spans="1:9" hidden="1">
      <c r="A1331" s="232">
        <v>43283</v>
      </c>
      <c r="B1331" t="s">
        <v>1997</v>
      </c>
      <c r="C1331" t="s">
        <v>6067</v>
      </c>
      <c r="D1331">
        <v>4000</v>
      </c>
      <c r="E1331">
        <v>0</v>
      </c>
      <c r="F1331">
        <v>2659510.19</v>
      </c>
      <c r="I1331" s="232">
        <v>43283</v>
      </c>
    </row>
    <row r="1332" spans="1:9" hidden="1">
      <c r="A1332" s="232">
        <v>43283</v>
      </c>
      <c r="B1332" t="s">
        <v>1997</v>
      </c>
      <c r="C1332" t="s">
        <v>6068</v>
      </c>
      <c r="D1332">
        <v>2000</v>
      </c>
      <c r="E1332">
        <v>0</v>
      </c>
      <c r="F1332">
        <v>2657510.19</v>
      </c>
      <c r="I1332" s="232">
        <v>43283</v>
      </c>
    </row>
    <row r="1333" spans="1:9" hidden="1">
      <c r="A1333" s="232">
        <v>43283</v>
      </c>
      <c r="B1333" t="s">
        <v>1997</v>
      </c>
      <c r="C1333" t="s">
        <v>6069</v>
      </c>
      <c r="D1333">
        <v>20000</v>
      </c>
      <c r="E1333">
        <v>0</v>
      </c>
      <c r="F1333">
        <v>2637510.19</v>
      </c>
      <c r="G1333" s="8" t="s">
        <v>1358</v>
      </c>
      <c r="I1333" s="232">
        <v>43283</v>
      </c>
    </row>
    <row r="1334" spans="1:9" hidden="1">
      <c r="A1334" s="232">
        <v>43283</v>
      </c>
      <c r="C1334" t="s">
        <v>5902</v>
      </c>
      <c r="D1334">
        <v>50000</v>
      </c>
      <c r="E1334">
        <v>0</v>
      </c>
      <c r="F1334">
        <v>2587510.19</v>
      </c>
      <c r="G1334" s="8" t="s">
        <v>1379</v>
      </c>
      <c r="I1334" s="232">
        <v>43283</v>
      </c>
    </row>
    <row r="1335" spans="1:9" hidden="1">
      <c r="A1335" s="232">
        <v>43285</v>
      </c>
      <c r="B1335" t="s">
        <v>2737</v>
      </c>
      <c r="C1335" t="s">
        <v>5413</v>
      </c>
      <c r="D1335">
        <v>6746.5</v>
      </c>
      <c r="E1335">
        <v>0</v>
      </c>
      <c r="F1335">
        <v>2580763.69</v>
      </c>
      <c r="G1335" s="8" t="s">
        <v>1362</v>
      </c>
      <c r="I1335" s="232">
        <v>43285</v>
      </c>
    </row>
    <row r="1336" spans="1:9" hidden="1">
      <c r="A1336" s="232">
        <v>43286</v>
      </c>
      <c r="B1336" t="s">
        <v>1997</v>
      </c>
      <c r="C1336" t="s">
        <v>6070</v>
      </c>
      <c r="D1336">
        <v>645</v>
      </c>
      <c r="E1336">
        <v>0</v>
      </c>
      <c r="F1336">
        <v>2580118.69</v>
      </c>
      <c r="I1336" s="232">
        <v>43286</v>
      </c>
    </row>
    <row r="1337" spans="1:9" hidden="1">
      <c r="A1337" s="232">
        <v>43290</v>
      </c>
      <c r="B1337" t="s">
        <v>1914</v>
      </c>
      <c r="C1337" t="s">
        <v>6071</v>
      </c>
      <c r="D1337" s="69">
        <v>300000</v>
      </c>
      <c r="E1337">
        <v>0</v>
      </c>
      <c r="F1337">
        <v>2280118.69</v>
      </c>
      <c r="G1337" s="8" t="s">
        <v>1372</v>
      </c>
      <c r="I1337" s="232">
        <v>43290</v>
      </c>
    </row>
    <row r="1338" spans="1:9" hidden="1">
      <c r="A1338" s="232">
        <v>43290</v>
      </c>
      <c r="B1338" t="s">
        <v>1938</v>
      </c>
      <c r="C1338" t="s">
        <v>6072</v>
      </c>
      <c r="D1338">
        <v>0</v>
      </c>
      <c r="E1338">
        <v>13817.26</v>
      </c>
      <c r="F1338">
        <v>2293935.9500000002</v>
      </c>
      <c r="G1338" s="8" t="s">
        <v>1375</v>
      </c>
      <c r="I1338" s="232">
        <v>43290</v>
      </c>
    </row>
    <row r="1339" spans="1:9" hidden="1">
      <c r="A1339" s="232">
        <v>43291</v>
      </c>
      <c r="B1339" t="s">
        <v>6073</v>
      </c>
      <c r="C1339" t="s">
        <v>6074</v>
      </c>
      <c r="D1339">
        <v>18000</v>
      </c>
      <c r="E1339">
        <v>0</v>
      </c>
      <c r="F1339">
        <v>2275935.9500000002</v>
      </c>
      <c r="I1339" s="232">
        <v>43291</v>
      </c>
    </row>
    <row r="1340" spans="1:9" hidden="1">
      <c r="A1340" s="232">
        <v>43293</v>
      </c>
      <c r="B1340" t="s">
        <v>1914</v>
      </c>
      <c r="C1340" t="s">
        <v>6075</v>
      </c>
      <c r="D1340">
        <v>67780</v>
      </c>
      <c r="E1340">
        <v>0</v>
      </c>
      <c r="F1340">
        <v>2208155.9500000002</v>
      </c>
      <c r="I1340" s="232">
        <v>43293</v>
      </c>
    </row>
    <row r="1341" spans="1:9" hidden="1">
      <c r="A1341" s="232">
        <v>43301</v>
      </c>
      <c r="C1341" t="s">
        <v>2670</v>
      </c>
      <c r="D1341">
        <v>500000</v>
      </c>
      <c r="E1341">
        <v>0</v>
      </c>
      <c r="F1341">
        <v>1708155.95</v>
      </c>
      <c r="G1341" s="8" t="s">
        <v>1381</v>
      </c>
      <c r="I1341" s="232">
        <v>43301</v>
      </c>
    </row>
    <row r="1342" spans="1:9" hidden="1">
      <c r="A1342" s="232">
        <v>43304</v>
      </c>
      <c r="C1342" t="s">
        <v>5888</v>
      </c>
      <c r="D1342">
        <v>0</v>
      </c>
      <c r="E1342">
        <v>1047848</v>
      </c>
      <c r="F1342">
        <v>2756003.95</v>
      </c>
      <c r="G1342" s="8" t="s">
        <v>1379</v>
      </c>
      <c r="I1342" s="232">
        <v>43304</v>
      </c>
    </row>
    <row r="1343" spans="1:9" hidden="1">
      <c r="A1343" s="232">
        <v>43305</v>
      </c>
      <c r="B1343" t="s">
        <v>2394</v>
      </c>
      <c r="C1343" t="s">
        <v>6076</v>
      </c>
      <c r="D1343">
        <v>185</v>
      </c>
      <c r="E1343">
        <v>0</v>
      </c>
      <c r="F1343">
        <v>2755818.95</v>
      </c>
      <c r="I1343" s="232">
        <v>43305</v>
      </c>
    </row>
    <row r="1344" spans="1:9" hidden="1">
      <c r="A1344" s="232">
        <v>43312</v>
      </c>
      <c r="B1344" t="s">
        <v>1938</v>
      </c>
      <c r="C1344" t="s">
        <v>6077</v>
      </c>
      <c r="D1344">
        <v>0</v>
      </c>
      <c r="E1344">
        <v>335242</v>
      </c>
      <c r="F1344">
        <v>3091060.95</v>
      </c>
      <c r="G1344" s="8" t="s">
        <v>1380</v>
      </c>
      <c r="I1344" s="232">
        <v>43312</v>
      </c>
    </row>
    <row r="1345" spans="1:9" hidden="1">
      <c r="A1345" s="232">
        <v>43313</v>
      </c>
      <c r="C1345" t="s">
        <v>5902</v>
      </c>
      <c r="D1345">
        <v>50000</v>
      </c>
      <c r="E1345">
        <v>0</v>
      </c>
      <c r="F1345">
        <v>3041060.95</v>
      </c>
      <c r="G1345" s="8" t="s">
        <v>1379</v>
      </c>
      <c r="I1345" s="232">
        <v>43313</v>
      </c>
    </row>
    <row r="1346" spans="1:9" hidden="1">
      <c r="A1346" s="232">
        <v>43314</v>
      </c>
      <c r="B1346" t="s">
        <v>1997</v>
      </c>
      <c r="C1346" t="s">
        <v>6078</v>
      </c>
      <c r="D1346">
        <v>3000</v>
      </c>
      <c r="E1346">
        <v>0</v>
      </c>
      <c r="F1346">
        <v>3038060.95</v>
      </c>
      <c r="I1346" s="232">
        <v>43314</v>
      </c>
    </row>
    <row r="1347" spans="1:9" hidden="1">
      <c r="A1347" s="232">
        <v>43314</v>
      </c>
      <c r="B1347" t="s">
        <v>1997</v>
      </c>
      <c r="C1347" t="s">
        <v>6079</v>
      </c>
      <c r="D1347">
        <v>2000</v>
      </c>
      <c r="E1347">
        <v>0</v>
      </c>
      <c r="F1347">
        <v>3036060.95</v>
      </c>
      <c r="I1347" s="232">
        <v>43314</v>
      </c>
    </row>
    <row r="1348" spans="1:9" hidden="1">
      <c r="A1348" s="232">
        <v>43314</v>
      </c>
      <c r="B1348" t="s">
        <v>1997</v>
      </c>
      <c r="C1348" t="s">
        <v>6080</v>
      </c>
      <c r="D1348">
        <v>20000</v>
      </c>
      <c r="E1348">
        <v>0</v>
      </c>
      <c r="F1348">
        <v>3016060.95</v>
      </c>
      <c r="G1348" s="8" t="s">
        <v>1358</v>
      </c>
      <c r="I1348" s="232">
        <v>43314</v>
      </c>
    </row>
    <row r="1349" spans="1:9" hidden="1">
      <c r="A1349" s="232">
        <v>43315</v>
      </c>
      <c r="B1349" t="s">
        <v>2737</v>
      </c>
      <c r="C1349" t="s">
        <v>5413</v>
      </c>
      <c r="D1349">
        <v>18237</v>
      </c>
      <c r="E1349">
        <v>0</v>
      </c>
      <c r="F1349">
        <v>2997823.95</v>
      </c>
      <c r="G1349" s="8" t="s">
        <v>1362</v>
      </c>
      <c r="I1349" s="232">
        <v>43315</v>
      </c>
    </row>
    <row r="1350" spans="1:9" hidden="1">
      <c r="A1350" s="232">
        <v>43321</v>
      </c>
      <c r="C1350" t="s">
        <v>6081</v>
      </c>
      <c r="D1350">
        <v>0</v>
      </c>
      <c r="E1350">
        <v>515</v>
      </c>
      <c r="F1350">
        <v>2998338.95</v>
      </c>
      <c r="G1350" s="8" t="s">
        <v>1380</v>
      </c>
      <c r="I1350" s="232">
        <v>43321</v>
      </c>
    </row>
    <row r="1351" spans="1:9" hidden="1">
      <c r="A1351" s="232">
        <v>43321</v>
      </c>
      <c r="C1351" t="s">
        <v>6082</v>
      </c>
      <c r="D1351">
        <v>0</v>
      </c>
      <c r="E1351">
        <v>515</v>
      </c>
      <c r="F1351">
        <v>2998853.95</v>
      </c>
      <c r="G1351" s="8" t="s">
        <v>1380</v>
      </c>
      <c r="I1351" s="232">
        <v>43321</v>
      </c>
    </row>
    <row r="1352" spans="1:9" hidden="1">
      <c r="A1352" s="232">
        <v>43325</v>
      </c>
      <c r="B1352" t="s">
        <v>1938</v>
      </c>
      <c r="C1352" t="s">
        <v>6083</v>
      </c>
      <c r="D1352">
        <v>0</v>
      </c>
      <c r="E1352">
        <v>13817.26</v>
      </c>
      <c r="F1352">
        <v>3012671.21</v>
      </c>
      <c r="G1352" s="8" t="s">
        <v>1375</v>
      </c>
      <c r="I1352" s="232">
        <v>43325</v>
      </c>
    </row>
    <row r="1353" spans="1:9" hidden="1">
      <c r="A1353" s="232">
        <v>43333</v>
      </c>
      <c r="C1353" t="s">
        <v>6084</v>
      </c>
      <c r="D1353">
        <v>0</v>
      </c>
      <c r="E1353">
        <v>630</v>
      </c>
      <c r="F1353">
        <v>3013301.21</v>
      </c>
      <c r="I1353" s="232">
        <v>43333</v>
      </c>
    </row>
    <row r="1354" spans="1:9" hidden="1">
      <c r="A1354" s="232">
        <v>43333</v>
      </c>
      <c r="C1354" t="s">
        <v>6085</v>
      </c>
      <c r="D1354">
        <v>0</v>
      </c>
      <c r="E1354">
        <v>5500</v>
      </c>
      <c r="F1354">
        <v>3018801.21</v>
      </c>
      <c r="I1354" s="232">
        <v>43333</v>
      </c>
    </row>
    <row r="1355" spans="1:9" hidden="1">
      <c r="A1355" s="232">
        <v>43343</v>
      </c>
      <c r="B1355" t="s">
        <v>1938</v>
      </c>
      <c r="C1355" t="s">
        <v>6086</v>
      </c>
      <c r="D1355">
        <v>0</v>
      </c>
      <c r="E1355">
        <v>379133</v>
      </c>
      <c r="F1355">
        <v>3397934.21</v>
      </c>
      <c r="G1355" s="8" t="s">
        <v>1380</v>
      </c>
      <c r="I1355" s="232">
        <v>43343</v>
      </c>
    </row>
    <row r="1356" spans="1:9" hidden="1">
      <c r="A1356" s="232">
        <v>43346</v>
      </c>
      <c r="C1356" t="s">
        <v>6087</v>
      </c>
      <c r="D1356">
        <v>0</v>
      </c>
      <c r="E1356">
        <v>781670</v>
      </c>
      <c r="F1356">
        <v>4179604.21</v>
      </c>
      <c r="G1356" s="8" t="s">
        <v>1379</v>
      </c>
      <c r="I1356" s="232">
        <v>43346</v>
      </c>
    </row>
    <row r="1357" spans="1:9" hidden="1">
      <c r="A1357" s="232">
        <v>43346</v>
      </c>
      <c r="B1357" t="s">
        <v>2737</v>
      </c>
      <c r="C1357" t="s">
        <v>5413</v>
      </c>
      <c r="D1357">
        <v>3348</v>
      </c>
      <c r="E1357">
        <v>0</v>
      </c>
      <c r="F1357">
        <v>4176256.21</v>
      </c>
      <c r="G1357" s="8" t="s">
        <v>1362</v>
      </c>
      <c r="I1357" s="232">
        <v>43346</v>
      </c>
    </row>
    <row r="1358" spans="1:9" hidden="1">
      <c r="A1358" s="232">
        <v>43347</v>
      </c>
      <c r="B1358" t="s">
        <v>1997</v>
      </c>
      <c r="C1358" t="s">
        <v>6088</v>
      </c>
      <c r="D1358">
        <v>2000</v>
      </c>
      <c r="E1358">
        <v>0</v>
      </c>
      <c r="F1358">
        <v>4174256.21</v>
      </c>
      <c r="I1358" s="232">
        <v>43347</v>
      </c>
    </row>
    <row r="1359" spans="1:9" hidden="1">
      <c r="A1359" s="232">
        <v>43347</v>
      </c>
      <c r="B1359" t="s">
        <v>1997</v>
      </c>
      <c r="C1359" t="s">
        <v>6089</v>
      </c>
      <c r="D1359">
        <v>3000</v>
      </c>
      <c r="E1359">
        <v>0</v>
      </c>
      <c r="F1359">
        <v>4171256.21</v>
      </c>
      <c r="I1359" s="232">
        <v>43347</v>
      </c>
    </row>
    <row r="1360" spans="1:9" hidden="1">
      <c r="A1360" s="232">
        <v>43347</v>
      </c>
      <c r="B1360" t="s">
        <v>1997</v>
      </c>
      <c r="C1360" t="s">
        <v>6090</v>
      </c>
      <c r="D1360">
        <v>20000</v>
      </c>
      <c r="E1360">
        <v>0</v>
      </c>
      <c r="F1360">
        <v>4151256.21</v>
      </c>
      <c r="G1360" s="8" t="s">
        <v>1358</v>
      </c>
      <c r="I1360" s="232">
        <v>43347</v>
      </c>
    </row>
    <row r="1361" spans="1:9" hidden="1">
      <c r="A1361" s="232">
        <v>43353</v>
      </c>
      <c r="B1361" t="s">
        <v>1938</v>
      </c>
      <c r="C1361" t="s">
        <v>6091</v>
      </c>
      <c r="D1361">
        <v>0</v>
      </c>
      <c r="E1361">
        <v>13817.26</v>
      </c>
      <c r="F1361">
        <v>4165073.47</v>
      </c>
      <c r="G1361" s="8" t="s">
        <v>1375</v>
      </c>
      <c r="I1361" s="232">
        <v>43353</v>
      </c>
    </row>
    <row r="1362" spans="1:9" hidden="1">
      <c r="A1362" s="232">
        <v>43367</v>
      </c>
      <c r="C1362" t="s">
        <v>6092</v>
      </c>
      <c r="D1362">
        <v>2402</v>
      </c>
      <c r="E1362">
        <v>0</v>
      </c>
      <c r="F1362">
        <v>4162671.47</v>
      </c>
      <c r="G1362" s="8" t="s">
        <v>1370</v>
      </c>
      <c r="I1362" s="232">
        <v>43367</v>
      </c>
    </row>
    <row r="1363" spans="1:9" hidden="1">
      <c r="A1363" s="232">
        <v>43371</v>
      </c>
      <c r="B1363" t="s">
        <v>1938</v>
      </c>
      <c r="C1363" t="s">
        <v>6093</v>
      </c>
      <c r="D1363">
        <v>0</v>
      </c>
      <c r="E1363">
        <v>276081</v>
      </c>
      <c r="F1363">
        <v>4438752.47</v>
      </c>
      <c r="G1363" s="8" t="s">
        <v>1380</v>
      </c>
      <c r="I1363" s="232">
        <v>43371</v>
      </c>
    </row>
    <row r="1364" spans="1:9" hidden="1">
      <c r="A1364" s="232">
        <v>43372</v>
      </c>
      <c r="C1364" t="s">
        <v>6094</v>
      </c>
      <c r="D1364">
        <v>0</v>
      </c>
      <c r="E1364">
        <v>27536</v>
      </c>
      <c r="F1364">
        <v>4466288.47</v>
      </c>
      <c r="G1364" s="8" t="s">
        <v>1368</v>
      </c>
      <c r="I1364" s="232">
        <v>43372</v>
      </c>
    </row>
    <row r="1365" spans="1:9" hidden="1">
      <c r="A1365" s="232">
        <v>43372</v>
      </c>
      <c r="C1365" t="s">
        <v>6095</v>
      </c>
      <c r="D1365">
        <v>1030</v>
      </c>
      <c r="E1365">
        <v>0</v>
      </c>
      <c r="F1365">
        <v>4465258.47</v>
      </c>
      <c r="I1365" s="232">
        <v>43372</v>
      </c>
    </row>
    <row r="1366" spans="1:9" hidden="1">
      <c r="A1366" s="232">
        <v>43376</v>
      </c>
      <c r="B1366" t="s">
        <v>1997</v>
      </c>
      <c r="C1366" t="s">
        <v>6096</v>
      </c>
      <c r="D1366">
        <v>2000</v>
      </c>
      <c r="E1366">
        <v>0</v>
      </c>
      <c r="F1366">
        <v>4463258.47</v>
      </c>
      <c r="I1366" s="232">
        <v>43376</v>
      </c>
    </row>
    <row r="1367" spans="1:9" hidden="1">
      <c r="A1367" s="232">
        <v>43376</v>
      </c>
      <c r="B1367" t="s">
        <v>1997</v>
      </c>
      <c r="C1367" t="s">
        <v>6097</v>
      </c>
      <c r="D1367">
        <v>20000</v>
      </c>
      <c r="E1367">
        <v>0</v>
      </c>
      <c r="F1367">
        <v>4443258.47</v>
      </c>
      <c r="G1367" s="8" t="s">
        <v>1358</v>
      </c>
      <c r="I1367" s="232">
        <v>43376</v>
      </c>
    </row>
    <row r="1368" spans="1:9" hidden="1">
      <c r="A1368" s="232">
        <v>43377</v>
      </c>
      <c r="B1368" t="s">
        <v>2737</v>
      </c>
      <c r="C1368" t="s">
        <v>5413</v>
      </c>
      <c r="D1368">
        <v>8229</v>
      </c>
      <c r="E1368">
        <v>0</v>
      </c>
      <c r="F1368">
        <v>4435029.47</v>
      </c>
      <c r="G1368" s="8" t="s">
        <v>1362</v>
      </c>
      <c r="I1368" s="232">
        <v>43377</v>
      </c>
    </row>
    <row r="1369" spans="1:9" hidden="1">
      <c r="A1369" s="232">
        <v>43377</v>
      </c>
      <c r="B1369" t="s">
        <v>1914</v>
      </c>
      <c r="C1369" t="s">
        <v>6098</v>
      </c>
      <c r="D1369" s="69">
        <v>300000</v>
      </c>
      <c r="E1369">
        <v>0</v>
      </c>
      <c r="F1369">
        <v>4135029.47</v>
      </c>
      <c r="G1369" s="8" t="s">
        <v>1372</v>
      </c>
      <c r="I1369" s="232">
        <v>43377</v>
      </c>
    </row>
    <row r="1370" spans="1:9" hidden="1">
      <c r="A1370" s="232">
        <v>43381</v>
      </c>
      <c r="B1370" t="s">
        <v>1938</v>
      </c>
      <c r="C1370" t="s">
        <v>6099</v>
      </c>
      <c r="D1370">
        <v>0</v>
      </c>
      <c r="E1370">
        <v>13817.26</v>
      </c>
      <c r="F1370">
        <v>4148846.73</v>
      </c>
      <c r="G1370" s="8" t="s">
        <v>1375</v>
      </c>
      <c r="I1370" s="232">
        <v>43381</v>
      </c>
    </row>
    <row r="1371" spans="1:9" hidden="1">
      <c r="A1371" s="232">
        <v>43382</v>
      </c>
      <c r="B1371" t="s">
        <v>1963</v>
      </c>
      <c r="C1371" t="s">
        <v>6100</v>
      </c>
      <c r="D1371">
        <v>10000</v>
      </c>
      <c r="E1371">
        <v>0</v>
      </c>
      <c r="F1371">
        <v>4138846.73</v>
      </c>
      <c r="G1371" s="8" t="s">
        <v>1361</v>
      </c>
      <c r="I1371" s="232">
        <v>43382</v>
      </c>
    </row>
    <row r="1372" spans="1:9" hidden="1">
      <c r="A1372" s="232">
        <v>43404</v>
      </c>
      <c r="B1372" t="s">
        <v>1938</v>
      </c>
      <c r="C1372" t="s">
        <v>6101</v>
      </c>
      <c r="D1372">
        <v>0</v>
      </c>
      <c r="E1372">
        <v>276081</v>
      </c>
      <c r="F1372">
        <v>4414927.7300000004</v>
      </c>
      <c r="G1372" s="8" t="s">
        <v>1380</v>
      </c>
      <c r="I1372" s="232">
        <v>43404</v>
      </c>
    </row>
    <row r="1373" spans="1:9" hidden="1">
      <c r="A1373" s="232">
        <v>43409</v>
      </c>
      <c r="B1373" t="s">
        <v>1997</v>
      </c>
      <c r="C1373" t="s">
        <v>6102</v>
      </c>
      <c r="D1373">
        <v>2000</v>
      </c>
      <c r="E1373">
        <v>0</v>
      </c>
      <c r="F1373">
        <v>4412927.7300000004</v>
      </c>
      <c r="I1373" s="232">
        <v>43409</v>
      </c>
    </row>
    <row r="1374" spans="1:9" hidden="1">
      <c r="A1374" s="232">
        <v>43409</v>
      </c>
      <c r="B1374" t="s">
        <v>1997</v>
      </c>
      <c r="C1374" t="s">
        <v>6103</v>
      </c>
      <c r="D1374">
        <v>20000</v>
      </c>
      <c r="E1374">
        <v>0</v>
      </c>
      <c r="F1374">
        <v>4392927.7300000004</v>
      </c>
      <c r="G1374" s="8" t="s">
        <v>1358</v>
      </c>
      <c r="I1374" s="232">
        <v>43409</v>
      </c>
    </row>
    <row r="1375" spans="1:9" hidden="1">
      <c r="A1375" s="232">
        <v>43409</v>
      </c>
      <c r="B1375" t="s">
        <v>2737</v>
      </c>
      <c r="C1375" t="s">
        <v>5413</v>
      </c>
      <c r="D1375">
        <v>8121</v>
      </c>
      <c r="E1375">
        <v>0</v>
      </c>
      <c r="F1375">
        <v>4384806.7300000004</v>
      </c>
      <c r="G1375" s="8" t="s">
        <v>1362</v>
      </c>
      <c r="I1375" s="232">
        <v>43409</v>
      </c>
    </row>
    <row r="1376" spans="1:9" hidden="1">
      <c r="A1376" s="232">
        <v>43416</v>
      </c>
      <c r="B1376" t="s">
        <v>1914</v>
      </c>
      <c r="C1376" t="s">
        <v>6104</v>
      </c>
      <c r="D1376" s="69">
        <v>500000</v>
      </c>
      <c r="E1376">
        <v>0</v>
      </c>
      <c r="F1376">
        <v>3884806.73</v>
      </c>
      <c r="G1376" s="8" t="s">
        <v>1372</v>
      </c>
      <c r="I1376" s="232">
        <v>43416</v>
      </c>
    </row>
    <row r="1377" spans="1:9" hidden="1">
      <c r="A1377" s="232">
        <v>43416</v>
      </c>
      <c r="B1377" t="s">
        <v>1914</v>
      </c>
      <c r="C1377" t="s">
        <v>6105</v>
      </c>
      <c r="D1377" s="69">
        <v>500000</v>
      </c>
      <c r="E1377">
        <v>0</v>
      </c>
      <c r="F1377">
        <v>3384806.73</v>
      </c>
      <c r="G1377" s="8" t="s">
        <v>1372</v>
      </c>
      <c r="I1377" s="232">
        <v>43416</v>
      </c>
    </row>
    <row r="1378" spans="1:9" hidden="1">
      <c r="A1378" s="232">
        <v>43417</v>
      </c>
      <c r="B1378" t="s">
        <v>1938</v>
      </c>
      <c r="C1378" t="s">
        <v>6106</v>
      </c>
      <c r="D1378">
        <v>0</v>
      </c>
      <c r="E1378">
        <v>13817.26</v>
      </c>
      <c r="F1378">
        <v>3398623.99</v>
      </c>
      <c r="G1378" s="8" t="s">
        <v>1375</v>
      </c>
      <c r="I1378" s="232">
        <v>43417</v>
      </c>
    </row>
    <row r="1379" spans="1:9" hidden="1">
      <c r="A1379" s="232">
        <v>43423</v>
      </c>
      <c r="B1379" t="s">
        <v>1914</v>
      </c>
      <c r="C1379" t="s">
        <v>6107</v>
      </c>
      <c r="D1379" s="69">
        <v>500000</v>
      </c>
      <c r="E1379">
        <v>0</v>
      </c>
      <c r="F1379">
        <v>2898623.99</v>
      </c>
      <c r="G1379" s="8" t="s">
        <v>1372</v>
      </c>
      <c r="I1379" s="232">
        <v>43423</v>
      </c>
    </row>
    <row r="1380" spans="1:9" hidden="1">
      <c r="A1380" s="232">
        <v>43434</v>
      </c>
      <c r="B1380" t="s">
        <v>1938</v>
      </c>
      <c r="C1380" t="s">
        <v>6108</v>
      </c>
      <c r="D1380">
        <v>0</v>
      </c>
      <c r="E1380">
        <v>384286</v>
      </c>
      <c r="F1380">
        <v>3282909.99</v>
      </c>
      <c r="G1380" s="8" t="s">
        <v>1380</v>
      </c>
      <c r="I1380" s="232">
        <v>43434</v>
      </c>
    </row>
    <row r="1381" spans="1:9" hidden="1">
      <c r="A1381" s="232">
        <v>43437</v>
      </c>
      <c r="B1381" t="s">
        <v>1997</v>
      </c>
      <c r="C1381" t="s">
        <v>6109</v>
      </c>
      <c r="D1381">
        <v>3000</v>
      </c>
      <c r="E1381">
        <v>0</v>
      </c>
      <c r="F1381">
        <v>3279909.99</v>
      </c>
      <c r="I1381" s="232">
        <v>43437</v>
      </c>
    </row>
    <row r="1382" spans="1:9" hidden="1">
      <c r="A1382" s="232">
        <v>43437</v>
      </c>
      <c r="B1382" t="s">
        <v>1997</v>
      </c>
      <c r="C1382" t="s">
        <v>6110</v>
      </c>
      <c r="D1382">
        <v>2000</v>
      </c>
      <c r="E1382">
        <v>0</v>
      </c>
      <c r="F1382">
        <v>3277909.99</v>
      </c>
      <c r="I1382" s="232">
        <v>43437</v>
      </c>
    </row>
    <row r="1383" spans="1:9" hidden="1">
      <c r="A1383" s="232">
        <v>43437</v>
      </c>
      <c r="B1383" t="s">
        <v>1997</v>
      </c>
      <c r="C1383" t="s">
        <v>6111</v>
      </c>
      <c r="D1383">
        <v>20000</v>
      </c>
      <c r="E1383">
        <v>0</v>
      </c>
      <c r="F1383">
        <v>3257909.99</v>
      </c>
      <c r="G1383" s="8" t="s">
        <v>1358</v>
      </c>
      <c r="I1383" s="232">
        <v>43437</v>
      </c>
    </row>
    <row r="1384" spans="1:9" hidden="1">
      <c r="A1384" s="232">
        <v>43438</v>
      </c>
      <c r="B1384" t="s">
        <v>2737</v>
      </c>
      <c r="C1384" t="s">
        <v>5413</v>
      </c>
      <c r="D1384">
        <v>6116</v>
      </c>
      <c r="E1384">
        <v>0</v>
      </c>
      <c r="F1384">
        <v>3251793.99</v>
      </c>
      <c r="G1384" s="8" t="s">
        <v>1362</v>
      </c>
      <c r="I1384" s="232">
        <v>43438</v>
      </c>
    </row>
    <row r="1385" spans="1:9" hidden="1">
      <c r="A1385" s="232">
        <v>43438</v>
      </c>
      <c r="B1385" t="s">
        <v>1938</v>
      </c>
      <c r="C1385" t="s">
        <v>6112</v>
      </c>
      <c r="D1385">
        <v>300000</v>
      </c>
      <c r="E1385">
        <v>0</v>
      </c>
      <c r="F1385">
        <v>2951793.99</v>
      </c>
      <c r="G1385" s="8" t="s">
        <v>1381</v>
      </c>
      <c r="I1385" s="232">
        <v>43438</v>
      </c>
    </row>
    <row r="1386" spans="1:9" hidden="1">
      <c r="A1386" s="232">
        <v>43440</v>
      </c>
      <c r="C1386" t="s">
        <v>6113</v>
      </c>
      <c r="D1386">
        <v>0</v>
      </c>
      <c r="E1386">
        <v>4070</v>
      </c>
      <c r="F1386">
        <v>2955863.99</v>
      </c>
      <c r="I1386" s="232">
        <v>43440</v>
      </c>
    </row>
    <row r="1387" spans="1:9" hidden="1">
      <c r="A1387" s="232">
        <v>43440</v>
      </c>
      <c r="C1387" t="s">
        <v>6114</v>
      </c>
      <c r="D1387">
        <v>0</v>
      </c>
      <c r="E1387">
        <v>1061</v>
      </c>
      <c r="F1387">
        <v>2956924.99</v>
      </c>
      <c r="I1387" s="232">
        <v>43440</v>
      </c>
    </row>
    <row r="1388" spans="1:9" hidden="1">
      <c r="A1388" s="232">
        <v>43441</v>
      </c>
      <c r="B1388" t="s">
        <v>1938</v>
      </c>
      <c r="C1388" t="s">
        <v>6115</v>
      </c>
      <c r="D1388">
        <v>0</v>
      </c>
      <c r="E1388">
        <v>2565.2199999999998</v>
      </c>
      <c r="F1388">
        <v>2959490.21</v>
      </c>
      <c r="G1388" s="8" t="s">
        <v>1375</v>
      </c>
      <c r="I1388" s="232">
        <v>43441</v>
      </c>
    </row>
    <row r="1389" spans="1:9" hidden="1">
      <c r="A1389" s="232">
        <v>43444</v>
      </c>
      <c r="C1389" t="s">
        <v>6116</v>
      </c>
      <c r="D1389">
        <v>0</v>
      </c>
      <c r="E1389">
        <v>1460</v>
      </c>
      <c r="F1389">
        <v>2960950.21</v>
      </c>
      <c r="G1389" s="8" t="s">
        <v>1380</v>
      </c>
      <c r="I1389" s="232">
        <v>43444</v>
      </c>
    </row>
    <row r="1390" spans="1:9" hidden="1">
      <c r="A1390" s="232">
        <v>43446</v>
      </c>
      <c r="B1390" t="s">
        <v>1938</v>
      </c>
      <c r="C1390" t="s">
        <v>6117</v>
      </c>
      <c r="D1390">
        <v>0</v>
      </c>
      <c r="E1390">
        <v>15622.46</v>
      </c>
      <c r="F1390">
        <v>2976572.67</v>
      </c>
      <c r="G1390" s="8" t="s">
        <v>1375</v>
      </c>
      <c r="I1390" s="232">
        <v>43446</v>
      </c>
    </row>
    <row r="1391" spans="1:9" hidden="1">
      <c r="A1391" s="232">
        <v>43447</v>
      </c>
      <c r="C1391" t="s">
        <v>6118</v>
      </c>
      <c r="D1391">
        <v>0</v>
      </c>
      <c r="E1391">
        <v>42348</v>
      </c>
      <c r="F1391">
        <v>3018920.67</v>
      </c>
      <c r="I1391" s="232">
        <v>43447</v>
      </c>
    </row>
    <row r="1392" spans="1:9" hidden="1">
      <c r="A1392" s="232">
        <v>43452</v>
      </c>
      <c r="C1392" t="s">
        <v>6119</v>
      </c>
      <c r="D1392">
        <v>0</v>
      </c>
      <c r="E1392">
        <v>1285</v>
      </c>
      <c r="F1392">
        <v>3020205.67</v>
      </c>
      <c r="G1392" s="8" t="s">
        <v>1380</v>
      </c>
      <c r="I1392" s="232">
        <v>43452</v>
      </c>
    </row>
    <row r="1393" spans="1:9" hidden="1">
      <c r="A1393" s="232">
        <v>43462</v>
      </c>
      <c r="C1393" t="s">
        <v>6120</v>
      </c>
      <c r="D1393">
        <v>588.82000000000005</v>
      </c>
      <c r="E1393">
        <v>0</v>
      </c>
      <c r="F1393">
        <v>3019616.85</v>
      </c>
      <c r="G1393" s="8" t="s">
        <v>1362</v>
      </c>
      <c r="I1393" s="232">
        <v>43462</v>
      </c>
    </row>
    <row r="1394" spans="1:9" hidden="1">
      <c r="A1394" s="232">
        <v>43465</v>
      </c>
      <c r="B1394" t="s">
        <v>1997</v>
      </c>
      <c r="C1394" t="s">
        <v>6121</v>
      </c>
      <c r="D1394">
        <v>6030</v>
      </c>
      <c r="E1394">
        <v>0</v>
      </c>
      <c r="F1394">
        <v>3013586.85</v>
      </c>
      <c r="I1394" s="232">
        <v>43465</v>
      </c>
    </row>
    <row r="1395" spans="1:9" hidden="1">
      <c r="A1395" s="232">
        <v>43465</v>
      </c>
      <c r="C1395" t="s">
        <v>6122</v>
      </c>
      <c r="D1395">
        <v>0</v>
      </c>
      <c r="E1395">
        <v>32267</v>
      </c>
      <c r="F1395">
        <v>3045853.85</v>
      </c>
      <c r="G1395" s="8" t="s">
        <v>1368</v>
      </c>
      <c r="I1395" s="232">
        <v>43465</v>
      </c>
    </row>
    <row r="1396" spans="1:9" hidden="1">
      <c r="A1396" s="232">
        <v>43465</v>
      </c>
      <c r="B1396" t="s">
        <v>1938</v>
      </c>
      <c r="C1396" t="s">
        <v>6123</v>
      </c>
      <c r="D1396">
        <v>0</v>
      </c>
      <c r="E1396">
        <v>407442</v>
      </c>
      <c r="F1396">
        <v>3453295.85</v>
      </c>
      <c r="G1396" s="8" t="s">
        <v>1380</v>
      </c>
      <c r="I1396" s="232">
        <v>43465</v>
      </c>
    </row>
    <row r="1397" spans="1:9" hidden="1">
      <c r="A1397" s="232">
        <v>43465</v>
      </c>
      <c r="C1397" t="s">
        <v>6124</v>
      </c>
      <c r="D1397">
        <v>19806</v>
      </c>
      <c r="E1397">
        <v>0</v>
      </c>
      <c r="F1397">
        <v>3433489.85</v>
      </c>
      <c r="G1397" s="8" t="s">
        <v>1362</v>
      </c>
      <c r="I1397" s="232">
        <v>43465</v>
      </c>
    </row>
    <row r="1398" spans="1:9" hidden="1">
      <c r="A1398" s="232">
        <v>43465</v>
      </c>
      <c r="C1398" t="s">
        <v>6125</v>
      </c>
      <c r="D1398">
        <v>9500</v>
      </c>
      <c r="E1398">
        <v>0</v>
      </c>
      <c r="F1398">
        <v>3423989.85</v>
      </c>
      <c r="G1398" s="8" t="s">
        <v>1379</v>
      </c>
      <c r="I1398" s="232">
        <v>43465</v>
      </c>
    </row>
    <row r="1399" spans="1:9" hidden="1">
      <c r="A1399" s="232">
        <v>43466</v>
      </c>
      <c r="B1399" t="s">
        <v>1914</v>
      </c>
      <c r="C1399" t="s">
        <v>6062</v>
      </c>
      <c r="D1399">
        <v>10000</v>
      </c>
      <c r="E1399">
        <v>0</v>
      </c>
      <c r="F1399">
        <v>3413989.85</v>
      </c>
      <c r="G1399" s="8" t="s">
        <v>1379</v>
      </c>
      <c r="I1399" s="232">
        <v>43466</v>
      </c>
    </row>
    <row r="1400" spans="1:9" hidden="1">
      <c r="A1400" s="232">
        <v>43466</v>
      </c>
      <c r="B1400" t="s">
        <v>1997</v>
      </c>
      <c r="C1400" t="s">
        <v>6126</v>
      </c>
      <c r="D1400">
        <v>2000</v>
      </c>
      <c r="E1400">
        <v>0</v>
      </c>
      <c r="F1400">
        <v>3411989.85</v>
      </c>
      <c r="I1400" s="232">
        <v>43466</v>
      </c>
    </row>
    <row r="1401" spans="1:9" hidden="1">
      <c r="A1401" s="232">
        <v>43466</v>
      </c>
      <c r="B1401" t="s">
        <v>1997</v>
      </c>
      <c r="C1401" t="s">
        <v>6127</v>
      </c>
      <c r="D1401">
        <v>20000</v>
      </c>
      <c r="E1401">
        <v>0</v>
      </c>
      <c r="F1401">
        <v>3391989.85</v>
      </c>
      <c r="G1401" s="8" t="s">
        <v>1358</v>
      </c>
      <c r="I1401" s="232">
        <v>43466</v>
      </c>
    </row>
    <row r="1402" spans="1:9" hidden="1">
      <c r="A1402" s="232">
        <v>43466</v>
      </c>
      <c r="B1402" t="s">
        <v>1997</v>
      </c>
      <c r="C1402" t="s">
        <v>6128</v>
      </c>
      <c r="D1402">
        <v>1000</v>
      </c>
      <c r="E1402">
        <v>0</v>
      </c>
      <c r="F1402">
        <v>3390989.85</v>
      </c>
      <c r="I1402" s="232">
        <v>43466</v>
      </c>
    </row>
    <row r="1403" spans="1:9" hidden="1">
      <c r="A1403" s="232">
        <v>43466</v>
      </c>
      <c r="B1403" t="s">
        <v>1997</v>
      </c>
      <c r="C1403" t="s">
        <v>6129</v>
      </c>
      <c r="D1403">
        <v>3000</v>
      </c>
      <c r="E1403">
        <v>0</v>
      </c>
      <c r="F1403">
        <v>3387989.85</v>
      </c>
      <c r="I1403" s="232">
        <v>43466</v>
      </c>
    </row>
    <row r="1404" spans="1:9" hidden="1">
      <c r="A1404" s="232">
        <v>43468</v>
      </c>
      <c r="B1404" t="s">
        <v>2737</v>
      </c>
      <c r="C1404" t="s">
        <v>5413</v>
      </c>
      <c r="D1404">
        <v>4505.5</v>
      </c>
      <c r="E1404">
        <v>0</v>
      </c>
      <c r="F1404">
        <v>3383484.35</v>
      </c>
      <c r="G1404" s="8" t="s">
        <v>1362</v>
      </c>
      <c r="I1404" s="232">
        <v>43468</v>
      </c>
    </row>
    <row r="1405" spans="1:9" hidden="1">
      <c r="A1405" s="232">
        <v>43468</v>
      </c>
      <c r="B1405" t="s">
        <v>1938</v>
      </c>
      <c r="C1405" t="s">
        <v>6130</v>
      </c>
      <c r="D1405">
        <v>0</v>
      </c>
      <c r="E1405">
        <v>2246.38</v>
      </c>
      <c r="F1405">
        <v>3385730.73</v>
      </c>
      <c r="G1405" s="8" t="s">
        <v>1375</v>
      </c>
      <c r="I1405" s="232">
        <v>43468</v>
      </c>
    </row>
    <row r="1406" spans="1:9" hidden="1">
      <c r="A1406" s="232">
        <v>43472</v>
      </c>
      <c r="B1406" t="s">
        <v>1914</v>
      </c>
      <c r="C1406" t="s">
        <v>6131</v>
      </c>
      <c r="D1406">
        <v>5200</v>
      </c>
      <c r="E1406">
        <v>0</v>
      </c>
      <c r="F1406">
        <v>3380530.73</v>
      </c>
      <c r="I1406" s="232">
        <v>43472</v>
      </c>
    </row>
    <row r="1407" spans="1:9" hidden="1">
      <c r="A1407" s="232">
        <v>43474</v>
      </c>
      <c r="C1407" t="s">
        <v>6132</v>
      </c>
      <c r="D1407">
        <v>0</v>
      </c>
      <c r="E1407">
        <v>453</v>
      </c>
      <c r="F1407">
        <v>3380983.73</v>
      </c>
      <c r="G1407" s="8" t="s">
        <v>1380</v>
      </c>
      <c r="I1407" s="232">
        <v>43474</v>
      </c>
    </row>
    <row r="1408" spans="1:9" hidden="1">
      <c r="A1408" s="232">
        <v>43475</v>
      </c>
      <c r="C1408" t="s">
        <v>6133</v>
      </c>
      <c r="D1408">
        <v>10278</v>
      </c>
      <c r="E1408">
        <v>0</v>
      </c>
      <c r="F1408">
        <v>3370705.73</v>
      </c>
      <c r="I1408" s="232">
        <v>43475</v>
      </c>
    </row>
    <row r="1409" spans="1:9" hidden="1">
      <c r="A1409" s="232">
        <v>43476</v>
      </c>
      <c r="C1409" t="s">
        <v>2670</v>
      </c>
      <c r="D1409">
        <v>174348</v>
      </c>
      <c r="E1409">
        <v>0</v>
      </c>
      <c r="F1409">
        <v>3196357.73</v>
      </c>
      <c r="G1409" s="8" t="s">
        <v>1382</v>
      </c>
      <c r="I1409" s="232">
        <v>43476</v>
      </c>
    </row>
    <row r="1410" spans="1:9" hidden="1">
      <c r="A1410" s="232">
        <v>43479</v>
      </c>
      <c r="B1410" t="s">
        <v>1938</v>
      </c>
      <c r="C1410" t="s">
        <v>6134</v>
      </c>
      <c r="D1410">
        <v>0</v>
      </c>
      <c r="E1410">
        <v>13817.26</v>
      </c>
      <c r="F1410">
        <v>3210174.99</v>
      </c>
      <c r="G1410" s="8" t="s">
        <v>1375</v>
      </c>
      <c r="I1410" s="232">
        <v>43479</v>
      </c>
    </row>
    <row r="1411" spans="1:9" hidden="1">
      <c r="A1411" s="232">
        <v>43480</v>
      </c>
      <c r="C1411" t="s">
        <v>6135</v>
      </c>
      <c r="D1411">
        <v>0</v>
      </c>
      <c r="E1411">
        <v>3044</v>
      </c>
      <c r="F1411">
        <v>3213218.99</v>
      </c>
      <c r="I1411" s="232">
        <v>43480</v>
      </c>
    </row>
    <row r="1412" spans="1:9" hidden="1">
      <c r="A1412" s="232">
        <v>43484</v>
      </c>
      <c r="B1412" t="s">
        <v>1997</v>
      </c>
      <c r="C1412" t="s">
        <v>6136</v>
      </c>
      <c r="D1412">
        <v>10000</v>
      </c>
      <c r="E1412">
        <v>0</v>
      </c>
      <c r="F1412">
        <v>3203218.99</v>
      </c>
      <c r="I1412" s="232">
        <v>43484</v>
      </c>
    </row>
    <row r="1413" spans="1:9" hidden="1">
      <c r="A1413" s="232">
        <v>43494</v>
      </c>
      <c r="C1413" t="s">
        <v>6137</v>
      </c>
      <c r="D1413">
        <v>139.72</v>
      </c>
      <c r="E1413">
        <v>0</v>
      </c>
      <c r="F1413">
        <v>3203079.27</v>
      </c>
      <c r="I1413" s="232">
        <v>43494</v>
      </c>
    </row>
    <row r="1414" spans="1:9" hidden="1">
      <c r="A1414" s="232">
        <v>43496</v>
      </c>
      <c r="B1414" t="s">
        <v>1938</v>
      </c>
      <c r="C1414" t="s">
        <v>6138</v>
      </c>
      <c r="D1414">
        <v>0</v>
      </c>
      <c r="E1414">
        <v>276082</v>
      </c>
      <c r="F1414">
        <v>3479161.27</v>
      </c>
      <c r="G1414" s="8" t="s">
        <v>1380</v>
      </c>
      <c r="I1414" s="232">
        <v>43496</v>
      </c>
    </row>
    <row r="1415" spans="1:9" hidden="1">
      <c r="A1415" s="232">
        <v>43497</v>
      </c>
      <c r="B1415" t="s">
        <v>1914</v>
      </c>
      <c r="C1415" t="s">
        <v>6062</v>
      </c>
      <c r="D1415">
        <v>10000</v>
      </c>
      <c r="E1415">
        <v>0</v>
      </c>
      <c r="F1415">
        <v>3469161.27</v>
      </c>
      <c r="G1415" s="8" t="s">
        <v>1379</v>
      </c>
      <c r="I1415" s="232">
        <v>43497</v>
      </c>
    </row>
    <row r="1416" spans="1:9" hidden="1">
      <c r="A1416" s="232">
        <v>43498</v>
      </c>
      <c r="B1416" t="s">
        <v>1997</v>
      </c>
      <c r="C1416" t="s">
        <v>6139</v>
      </c>
      <c r="D1416">
        <v>2000</v>
      </c>
      <c r="E1416">
        <v>0</v>
      </c>
      <c r="F1416">
        <v>3467161.27</v>
      </c>
      <c r="I1416" s="232">
        <v>43498</v>
      </c>
    </row>
    <row r="1417" spans="1:9" hidden="1">
      <c r="A1417" s="232">
        <v>43498</v>
      </c>
      <c r="B1417" t="s">
        <v>1997</v>
      </c>
      <c r="C1417" t="s">
        <v>6140</v>
      </c>
      <c r="D1417">
        <v>1000</v>
      </c>
      <c r="E1417">
        <v>0</v>
      </c>
      <c r="F1417">
        <v>3466161.27</v>
      </c>
      <c r="I1417" s="232">
        <v>43498</v>
      </c>
    </row>
    <row r="1418" spans="1:9" hidden="1">
      <c r="A1418" s="232">
        <v>43498</v>
      </c>
      <c r="B1418" t="s">
        <v>1997</v>
      </c>
      <c r="C1418" t="s">
        <v>6141</v>
      </c>
      <c r="D1418">
        <v>20000</v>
      </c>
      <c r="E1418">
        <v>0</v>
      </c>
      <c r="F1418">
        <v>3446161.27</v>
      </c>
      <c r="G1418" s="8" t="s">
        <v>1358</v>
      </c>
      <c r="I1418" s="232">
        <v>43498</v>
      </c>
    </row>
    <row r="1419" spans="1:9" hidden="1">
      <c r="A1419" s="232">
        <v>43500</v>
      </c>
      <c r="B1419" t="s">
        <v>2737</v>
      </c>
      <c r="C1419" t="s">
        <v>5413</v>
      </c>
      <c r="D1419">
        <v>13196</v>
      </c>
      <c r="E1419">
        <v>0</v>
      </c>
      <c r="F1419">
        <v>3432965.27</v>
      </c>
      <c r="G1419" s="8" t="s">
        <v>1362</v>
      </c>
      <c r="I1419" s="232">
        <v>43500</v>
      </c>
    </row>
    <row r="1420" spans="1:9" hidden="1">
      <c r="A1420" s="232">
        <v>43501</v>
      </c>
      <c r="C1420" t="s">
        <v>6142</v>
      </c>
      <c r="D1420">
        <v>0</v>
      </c>
      <c r="E1420">
        <v>1217</v>
      </c>
      <c r="F1420">
        <v>3434182.27</v>
      </c>
      <c r="G1420" s="8" t="s">
        <v>1380</v>
      </c>
      <c r="I1420" s="232">
        <v>43501</v>
      </c>
    </row>
    <row r="1421" spans="1:9" hidden="1">
      <c r="A1421" s="232">
        <v>43502</v>
      </c>
      <c r="B1421" t="s">
        <v>1914</v>
      </c>
      <c r="C1421" t="s">
        <v>6143</v>
      </c>
      <c r="D1421">
        <v>416.5</v>
      </c>
      <c r="E1421">
        <v>0</v>
      </c>
      <c r="F1421">
        <v>3433765.77</v>
      </c>
      <c r="I1421" s="232">
        <v>43502</v>
      </c>
    </row>
    <row r="1422" spans="1:9" hidden="1">
      <c r="A1422" s="232">
        <v>43503</v>
      </c>
      <c r="B1422" t="s">
        <v>1938</v>
      </c>
      <c r="C1422" t="s">
        <v>6144</v>
      </c>
      <c r="D1422">
        <v>0</v>
      </c>
      <c r="E1422">
        <v>2246.38</v>
      </c>
      <c r="F1422">
        <v>3436012.15</v>
      </c>
      <c r="G1422" s="8" t="s">
        <v>1375</v>
      </c>
      <c r="I1422" s="232">
        <v>43503</v>
      </c>
    </row>
    <row r="1423" spans="1:9" hidden="1">
      <c r="A1423" s="232">
        <v>43507</v>
      </c>
      <c r="B1423" t="s">
        <v>2737</v>
      </c>
      <c r="C1423" t="s">
        <v>6145</v>
      </c>
      <c r="D1423">
        <v>22223</v>
      </c>
      <c r="E1423">
        <v>0</v>
      </c>
      <c r="F1423">
        <v>3413789.15</v>
      </c>
      <c r="G1423" s="8" t="s">
        <v>1362</v>
      </c>
      <c r="I1423" s="232">
        <v>43507</v>
      </c>
    </row>
    <row r="1424" spans="1:9" hidden="1">
      <c r="A1424" s="232">
        <v>43507</v>
      </c>
      <c r="B1424" t="s">
        <v>1938</v>
      </c>
      <c r="C1424" t="s">
        <v>6146</v>
      </c>
      <c r="D1424">
        <v>0</v>
      </c>
      <c r="E1424">
        <v>13817.26</v>
      </c>
      <c r="F1424">
        <v>3427606.41</v>
      </c>
      <c r="G1424" s="8" t="s">
        <v>1375</v>
      </c>
      <c r="I1424" s="232">
        <v>43507</v>
      </c>
    </row>
    <row r="1425" spans="1:9" hidden="1">
      <c r="A1425" s="232">
        <v>43508</v>
      </c>
      <c r="B1425" t="s">
        <v>1997</v>
      </c>
      <c r="C1425" t="s">
        <v>6147</v>
      </c>
      <c r="D1425">
        <v>602</v>
      </c>
      <c r="E1425">
        <v>0</v>
      </c>
      <c r="F1425">
        <v>3427004.41</v>
      </c>
      <c r="I1425" s="232">
        <v>43508</v>
      </c>
    </row>
    <row r="1426" spans="1:9" hidden="1">
      <c r="A1426" s="232">
        <v>43514</v>
      </c>
      <c r="B1426" t="s">
        <v>1938</v>
      </c>
      <c r="C1426" t="s">
        <v>6148</v>
      </c>
      <c r="D1426">
        <v>0</v>
      </c>
      <c r="E1426">
        <v>200481.78</v>
      </c>
      <c r="F1426">
        <v>3627486.19</v>
      </c>
      <c r="G1426" s="8" t="s">
        <v>1375</v>
      </c>
      <c r="I1426" s="232">
        <v>43514</v>
      </c>
    </row>
    <row r="1427" spans="1:9" hidden="1">
      <c r="A1427" s="232">
        <v>43515</v>
      </c>
      <c r="C1427" t="s">
        <v>6149</v>
      </c>
      <c r="D1427">
        <v>59138</v>
      </c>
      <c r="E1427">
        <v>0</v>
      </c>
      <c r="F1427">
        <v>3568348.19</v>
      </c>
      <c r="G1427" s="8" t="s">
        <v>1370</v>
      </c>
      <c r="I1427" s="232">
        <v>43515</v>
      </c>
    </row>
    <row r="1428" spans="1:9" hidden="1">
      <c r="A1428" s="232">
        <v>43517</v>
      </c>
      <c r="C1428" t="s">
        <v>6150</v>
      </c>
      <c r="D1428">
        <v>0</v>
      </c>
      <c r="E1428">
        <v>474</v>
      </c>
      <c r="F1428">
        <v>3568822.19</v>
      </c>
      <c r="G1428" s="8" t="s">
        <v>1380</v>
      </c>
      <c r="I1428" s="232">
        <v>43517</v>
      </c>
    </row>
    <row r="1429" spans="1:9" hidden="1">
      <c r="A1429" s="232">
        <v>43517</v>
      </c>
      <c r="B1429" t="s">
        <v>1914</v>
      </c>
      <c r="C1429" t="s">
        <v>6151</v>
      </c>
      <c r="D1429" s="69">
        <v>250000</v>
      </c>
      <c r="E1429">
        <v>0</v>
      </c>
      <c r="F1429">
        <v>3318822.19</v>
      </c>
      <c r="G1429" s="8" t="s">
        <v>1372</v>
      </c>
      <c r="I1429" s="232">
        <v>43517</v>
      </c>
    </row>
    <row r="1430" spans="1:9" hidden="1">
      <c r="A1430" s="232">
        <v>43518</v>
      </c>
      <c r="C1430" t="s">
        <v>6152</v>
      </c>
      <c r="D1430">
        <v>960</v>
      </c>
      <c r="E1430">
        <v>0</v>
      </c>
      <c r="F1430">
        <v>3317862.19</v>
      </c>
      <c r="I1430" s="232">
        <v>43518</v>
      </c>
    </row>
    <row r="1431" spans="1:9" hidden="1">
      <c r="A1431" s="232">
        <v>43521</v>
      </c>
      <c r="B1431" t="s">
        <v>1997</v>
      </c>
      <c r="C1431" t="s">
        <v>6153</v>
      </c>
      <c r="D1431">
        <v>10000</v>
      </c>
      <c r="E1431">
        <v>0</v>
      </c>
      <c r="F1431">
        <v>3307862.19</v>
      </c>
      <c r="I1431" s="232">
        <v>43521</v>
      </c>
    </row>
    <row r="1432" spans="1:9" hidden="1">
      <c r="A1432" s="232">
        <v>43524</v>
      </c>
      <c r="B1432" t="s">
        <v>1938</v>
      </c>
      <c r="C1432" t="s">
        <v>6154</v>
      </c>
      <c r="D1432">
        <v>0</v>
      </c>
      <c r="E1432">
        <v>384286</v>
      </c>
      <c r="F1432">
        <v>3692148.19</v>
      </c>
      <c r="G1432" s="8" t="s">
        <v>1380</v>
      </c>
      <c r="I1432" s="232">
        <v>43524</v>
      </c>
    </row>
    <row r="1433" spans="1:9" hidden="1">
      <c r="A1433" s="232">
        <v>43525</v>
      </c>
      <c r="B1433" t="s">
        <v>1914</v>
      </c>
      <c r="C1433" t="s">
        <v>6062</v>
      </c>
      <c r="D1433">
        <v>10000</v>
      </c>
      <c r="E1433">
        <v>0</v>
      </c>
      <c r="F1433">
        <v>3682148.19</v>
      </c>
      <c r="G1433" s="8" t="s">
        <v>1379</v>
      </c>
      <c r="I1433" s="232">
        <v>43525</v>
      </c>
    </row>
    <row r="1434" spans="1:9" hidden="1">
      <c r="A1434" s="232">
        <v>43528</v>
      </c>
      <c r="B1434" t="s">
        <v>1997</v>
      </c>
      <c r="C1434" t="s">
        <v>6155</v>
      </c>
      <c r="D1434">
        <v>2000</v>
      </c>
      <c r="E1434">
        <v>0</v>
      </c>
      <c r="F1434">
        <v>3680148.19</v>
      </c>
      <c r="I1434" s="232">
        <v>43528</v>
      </c>
    </row>
    <row r="1435" spans="1:9" hidden="1">
      <c r="A1435" s="232">
        <v>43528</v>
      </c>
      <c r="B1435" t="s">
        <v>1997</v>
      </c>
      <c r="C1435" t="s">
        <v>6156</v>
      </c>
      <c r="D1435">
        <v>1000</v>
      </c>
      <c r="E1435">
        <v>0</v>
      </c>
      <c r="F1435">
        <v>3679148.19</v>
      </c>
      <c r="I1435" s="232">
        <v>43528</v>
      </c>
    </row>
    <row r="1436" spans="1:9" hidden="1">
      <c r="A1436" s="232">
        <v>43528</v>
      </c>
      <c r="B1436" t="s">
        <v>1997</v>
      </c>
      <c r="C1436" t="s">
        <v>6157</v>
      </c>
      <c r="D1436">
        <v>3500</v>
      </c>
      <c r="E1436">
        <v>0</v>
      </c>
      <c r="F1436">
        <v>3675648.19</v>
      </c>
      <c r="I1436" s="232">
        <v>43528</v>
      </c>
    </row>
    <row r="1437" spans="1:9" hidden="1">
      <c r="A1437" s="232">
        <v>43528</v>
      </c>
      <c r="B1437" t="s">
        <v>1997</v>
      </c>
      <c r="C1437" t="s">
        <v>6158</v>
      </c>
      <c r="D1437">
        <v>20000</v>
      </c>
      <c r="E1437">
        <v>0</v>
      </c>
      <c r="F1437">
        <v>3655648.19</v>
      </c>
      <c r="G1437" s="8" t="s">
        <v>1358</v>
      </c>
      <c r="I1437" s="232">
        <v>43528</v>
      </c>
    </row>
    <row r="1438" spans="1:9" hidden="1">
      <c r="A1438" s="232">
        <v>43531</v>
      </c>
      <c r="B1438" t="s">
        <v>1938</v>
      </c>
      <c r="C1438" t="s">
        <v>6159</v>
      </c>
      <c r="D1438">
        <v>0</v>
      </c>
      <c r="E1438">
        <v>2246.38</v>
      </c>
      <c r="F1438">
        <v>3657894.57</v>
      </c>
      <c r="G1438" s="8" t="s">
        <v>1375</v>
      </c>
      <c r="I1438" s="232">
        <v>43531</v>
      </c>
    </row>
    <row r="1439" spans="1:9" hidden="1">
      <c r="A1439" s="232">
        <v>43532</v>
      </c>
      <c r="B1439" t="s">
        <v>1997</v>
      </c>
      <c r="C1439" t="s">
        <v>6160</v>
      </c>
      <c r="D1439">
        <v>5150</v>
      </c>
      <c r="E1439">
        <v>0</v>
      </c>
      <c r="F1439">
        <v>3652744.57</v>
      </c>
      <c r="I1439" s="232">
        <v>43532</v>
      </c>
    </row>
    <row r="1440" spans="1:9" hidden="1">
      <c r="A1440" s="232">
        <v>43535</v>
      </c>
      <c r="B1440" t="s">
        <v>1997</v>
      </c>
      <c r="C1440" t="s">
        <v>6161</v>
      </c>
      <c r="D1440">
        <v>602</v>
      </c>
      <c r="E1440">
        <v>0</v>
      </c>
      <c r="F1440">
        <v>3652142.57</v>
      </c>
      <c r="I1440" s="232">
        <v>43535</v>
      </c>
    </row>
    <row r="1441" spans="1:9" hidden="1">
      <c r="A1441" s="232">
        <v>43535</v>
      </c>
      <c r="B1441" t="s">
        <v>1938</v>
      </c>
      <c r="C1441" t="s">
        <v>6162</v>
      </c>
      <c r="D1441">
        <v>0</v>
      </c>
      <c r="E1441">
        <v>13817.26</v>
      </c>
      <c r="F1441">
        <v>3665959.83</v>
      </c>
      <c r="G1441" s="8" t="s">
        <v>1375</v>
      </c>
      <c r="I1441" s="232">
        <v>43535</v>
      </c>
    </row>
    <row r="1442" spans="1:9" hidden="1">
      <c r="A1442" s="232">
        <v>43537</v>
      </c>
      <c r="C1442" t="s">
        <v>6163</v>
      </c>
      <c r="D1442">
        <v>0</v>
      </c>
      <c r="E1442">
        <v>477</v>
      </c>
      <c r="F1442">
        <v>3666436.83</v>
      </c>
      <c r="G1442" s="8" t="s">
        <v>1380</v>
      </c>
      <c r="I1442" s="232">
        <v>43537</v>
      </c>
    </row>
    <row r="1443" spans="1:9" hidden="1">
      <c r="A1443" s="232">
        <v>43538</v>
      </c>
      <c r="B1443" t="s">
        <v>1997</v>
      </c>
      <c r="C1443" t="s">
        <v>6164</v>
      </c>
      <c r="D1443">
        <v>250</v>
      </c>
      <c r="E1443">
        <v>0</v>
      </c>
      <c r="F1443">
        <v>3666186.83</v>
      </c>
      <c r="I1443" s="232">
        <v>43538</v>
      </c>
    </row>
    <row r="1444" spans="1:9" hidden="1">
      <c r="A1444" s="232">
        <v>43542</v>
      </c>
      <c r="B1444" t="s">
        <v>1914</v>
      </c>
      <c r="C1444" t="s">
        <v>6165</v>
      </c>
      <c r="D1444" s="69">
        <v>500000</v>
      </c>
      <c r="E1444">
        <v>0</v>
      </c>
      <c r="F1444">
        <v>3166186.83</v>
      </c>
      <c r="G1444" s="8" t="s">
        <v>1372</v>
      </c>
      <c r="I1444" s="232">
        <v>43542</v>
      </c>
    </row>
    <row r="1445" spans="1:9" hidden="1">
      <c r="A1445" s="232">
        <v>43542</v>
      </c>
      <c r="B1445" t="s">
        <v>1914</v>
      </c>
      <c r="C1445" t="s">
        <v>6166</v>
      </c>
      <c r="D1445" s="69">
        <v>500000</v>
      </c>
      <c r="E1445">
        <v>0</v>
      </c>
      <c r="F1445">
        <v>2666186.83</v>
      </c>
      <c r="G1445" s="8" t="s">
        <v>1372</v>
      </c>
      <c r="I1445" s="232">
        <v>43542</v>
      </c>
    </row>
    <row r="1446" spans="1:9" hidden="1">
      <c r="A1446" s="232">
        <v>43553</v>
      </c>
      <c r="B1446" t="s">
        <v>1938</v>
      </c>
      <c r="C1446" t="s">
        <v>6167</v>
      </c>
      <c r="D1446">
        <v>0</v>
      </c>
      <c r="E1446">
        <v>279209</v>
      </c>
      <c r="F1446">
        <v>2945395.83</v>
      </c>
      <c r="G1446" s="8" t="s">
        <v>1380</v>
      </c>
      <c r="I1446" s="232">
        <v>43553</v>
      </c>
    </row>
    <row r="1447" spans="1:9" hidden="1">
      <c r="A1447" s="232">
        <v>43555</v>
      </c>
      <c r="C1447" t="s">
        <v>6168</v>
      </c>
      <c r="D1447">
        <v>0</v>
      </c>
      <c r="E1447">
        <v>28609</v>
      </c>
      <c r="F1447">
        <v>2974004.83</v>
      </c>
      <c r="G1447" s="8" t="s">
        <v>1368</v>
      </c>
      <c r="I1447" s="232">
        <v>43555</v>
      </c>
    </row>
    <row r="1448" spans="1:9" hidden="1">
      <c r="A1448" s="232">
        <v>43556</v>
      </c>
      <c r="C1448" t="s">
        <v>1394</v>
      </c>
      <c r="D1448">
        <v>0</v>
      </c>
      <c r="E1448">
        <v>0</v>
      </c>
      <c r="F1448">
        <v>2974004.83</v>
      </c>
      <c r="I1448" s="232">
        <v>43556</v>
      </c>
    </row>
    <row r="1449" spans="1:9" hidden="1">
      <c r="A1449" s="232">
        <v>43557</v>
      </c>
      <c r="B1449" t="s">
        <v>1914</v>
      </c>
      <c r="C1449" t="s">
        <v>6062</v>
      </c>
      <c r="D1449">
        <v>10000</v>
      </c>
      <c r="E1449">
        <v>0</v>
      </c>
      <c r="F1449">
        <v>2964004.83</v>
      </c>
      <c r="G1449" s="8" t="s">
        <v>1379</v>
      </c>
      <c r="I1449" s="232">
        <v>43557</v>
      </c>
    </row>
    <row r="1450" spans="1:9" hidden="1">
      <c r="A1450" s="232">
        <v>43557</v>
      </c>
      <c r="B1450" t="s">
        <v>1997</v>
      </c>
      <c r="C1450" t="s">
        <v>6169</v>
      </c>
      <c r="D1450">
        <v>3500</v>
      </c>
      <c r="E1450">
        <v>0</v>
      </c>
      <c r="F1450">
        <v>2960504.83</v>
      </c>
      <c r="I1450" s="232">
        <v>43557</v>
      </c>
    </row>
    <row r="1451" spans="1:9" hidden="1">
      <c r="A1451" s="232">
        <v>43557</v>
      </c>
      <c r="B1451" t="s">
        <v>1997</v>
      </c>
      <c r="C1451" t="s">
        <v>6170</v>
      </c>
      <c r="D1451">
        <v>20000</v>
      </c>
      <c r="E1451">
        <v>0</v>
      </c>
      <c r="F1451">
        <v>2940504.83</v>
      </c>
      <c r="G1451" s="8" t="s">
        <v>1358</v>
      </c>
      <c r="I1451" s="232">
        <v>43557</v>
      </c>
    </row>
    <row r="1452" spans="1:9" hidden="1">
      <c r="A1452" s="232">
        <v>43558</v>
      </c>
      <c r="B1452" t="s">
        <v>2737</v>
      </c>
      <c r="C1452" t="s">
        <v>5413</v>
      </c>
      <c r="D1452">
        <v>51818.720000000001</v>
      </c>
      <c r="E1452">
        <v>0</v>
      </c>
      <c r="F1452">
        <v>2888686.11</v>
      </c>
      <c r="G1452" s="8" t="s">
        <v>1362</v>
      </c>
      <c r="I1452" s="232">
        <v>43558</v>
      </c>
    </row>
    <row r="1453" spans="1:9" hidden="1">
      <c r="A1453" s="232">
        <v>43558</v>
      </c>
      <c r="B1453" t="s">
        <v>1997</v>
      </c>
      <c r="C1453" t="s">
        <v>6171</v>
      </c>
      <c r="D1453">
        <v>0</v>
      </c>
      <c r="E1453">
        <v>1</v>
      </c>
      <c r="F1453">
        <v>2888687.11</v>
      </c>
      <c r="G1453" s="8" t="s">
        <v>1375</v>
      </c>
      <c r="I1453" s="232">
        <v>43558</v>
      </c>
    </row>
    <row r="1454" spans="1:9" hidden="1">
      <c r="A1454" s="232">
        <v>43560</v>
      </c>
      <c r="B1454" t="s">
        <v>1938</v>
      </c>
      <c r="C1454" t="s">
        <v>6172</v>
      </c>
      <c r="D1454">
        <v>0</v>
      </c>
      <c r="E1454">
        <v>174348</v>
      </c>
      <c r="F1454">
        <v>3063035.11</v>
      </c>
      <c r="G1454" s="8" t="s">
        <v>1382</v>
      </c>
      <c r="I1454" s="232">
        <v>43560</v>
      </c>
    </row>
    <row r="1455" spans="1:9" hidden="1">
      <c r="A1455" s="232">
        <v>43563</v>
      </c>
      <c r="B1455" t="s">
        <v>1938</v>
      </c>
      <c r="C1455" t="s">
        <v>6173</v>
      </c>
      <c r="D1455">
        <v>0</v>
      </c>
      <c r="E1455">
        <v>13817.26</v>
      </c>
      <c r="F1455">
        <v>3076852.37</v>
      </c>
      <c r="G1455" s="8" t="s">
        <v>1375</v>
      </c>
      <c r="I1455" s="232">
        <v>43563</v>
      </c>
    </row>
    <row r="1456" spans="1:9" hidden="1">
      <c r="A1456" s="232">
        <v>43565</v>
      </c>
      <c r="B1456" t="s">
        <v>2737</v>
      </c>
      <c r="C1456" t="s">
        <v>6145</v>
      </c>
      <c r="D1456">
        <v>20261.22</v>
      </c>
      <c r="E1456">
        <v>0</v>
      </c>
      <c r="F1456">
        <v>3056591.15</v>
      </c>
      <c r="G1456" s="8" t="s">
        <v>1362</v>
      </c>
      <c r="I1456" s="232">
        <v>43565</v>
      </c>
    </row>
    <row r="1457" spans="1:9" hidden="1">
      <c r="A1457" s="232">
        <v>43565</v>
      </c>
      <c r="B1457" t="s">
        <v>1938</v>
      </c>
      <c r="C1457" t="s">
        <v>6174</v>
      </c>
      <c r="D1457">
        <v>0</v>
      </c>
      <c r="E1457">
        <v>2246.38</v>
      </c>
      <c r="F1457">
        <v>3058837.53</v>
      </c>
      <c r="G1457" s="8" t="s">
        <v>1375</v>
      </c>
      <c r="I1457" s="232">
        <v>43565</v>
      </c>
    </row>
    <row r="1458" spans="1:9" hidden="1">
      <c r="A1458" s="232">
        <v>43565</v>
      </c>
      <c r="C1458" t="s">
        <v>6175</v>
      </c>
      <c r="D1458">
        <v>0</v>
      </c>
      <c r="E1458">
        <v>9388</v>
      </c>
      <c r="F1458">
        <v>3068225.53</v>
      </c>
      <c r="I1458" s="232">
        <v>43565</v>
      </c>
    </row>
    <row r="1459" spans="1:9" hidden="1">
      <c r="A1459" s="232">
        <v>43565</v>
      </c>
      <c r="C1459" t="s">
        <v>6176</v>
      </c>
      <c r="D1459">
        <v>0</v>
      </c>
      <c r="E1459">
        <v>9167</v>
      </c>
      <c r="F1459">
        <v>3077392.53</v>
      </c>
      <c r="I1459" s="232">
        <v>43565</v>
      </c>
    </row>
    <row r="1460" spans="1:9" hidden="1">
      <c r="A1460" s="232">
        <v>43566</v>
      </c>
      <c r="C1460" t="s">
        <v>6177</v>
      </c>
      <c r="D1460">
        <v>0</v>
      </c>
      <c r="E1460">
        <v>9189</v>
      </c>
      <c r="F1460">
        <v>3086581.53</v>
      </c>
      <c r="I1460" s="232">
        <v>43566</v>
      </c>
    </row>
    <row r="1461" spans="1:9" hidden="1">
      <c r="A1461" s="232">
        <v>43570</v>
      </c>
      <c r="C1461" t="s">
        <v>6178</v>
      </c>
      <c r="D1461">
        <v>0</v>
      </c>
      <c r="E1461">
        <v>7930</v>
      </c>
      <c r="F1461">
        <v>3094511.53</v>
      </c>
      <c r="G1461" s="8" t="s">
        <v>1380</v>
      </c>
      <c r="I1461" s="232">
        <v>43570</v>
      </c>
    </row>
    <row r="1462" spans="1:9" hidden="1">
      <c r="A1462" s="232">
        <v>43577</v>
      </c>
      <c r="B1462" t="s">
        <v>1997</v>
      </c>
      <c r="C1462" t="s">
        <v>6179</v>
      </c>
      <c r="D1462">
        <v>120</v>
      </c>
      <c r="E1462">
        <v>0</v>
      </c>
      <c r="F1462">
        <v>3094391.53</v>
      </c>
      <c r="I1462" s="232">
        <v>43577</v>
      </c>
    </row>
    <row r="1463" spans="1:9" hidden="1">
      <c r="A1463" s="232">
        <v>43577</v>
      </c>
      <c r="B1463" t="s">
        <v>1997</v>
      </c>
      <c r="C1463" t="s">
        <v>6180</v>
      </c>
      <c r="D1463">
        <v>3430</v>
      </c>
      <c r="E1463">
        <v>0</v>
      </c>
      <c r="F1463">
        <v>3090961.53</v>
      </c>
      <c r="I1463" s="232">
        <v>43577</v>
      </c>
    </row>
    <row r="1464" spans="1:9" hidden="1">
      <c r="A1464" s="232">
        <v>43584</v>
      </c>
      <c r="B1464" t="s">
        <v>1997</v>
      </c>
      <c r="C1464" t="s">
        <v>6181</v>
      </c>
      <c r="D1464">
        <v>8010</v>
      </c>
      <c r="E1464">
        <v>0</v>
      </c>
      <c r="F1464">
        <v>3082951.53</v>
      </c>
      <c r="I1464" s="232">
        <v>43584</v>
      </c>
    </row>
    <row r="1465" spans="1:9" hidden="1">
      <c r="A1465" s="232">
        <v>43586</v>
      </c>
      <c r="B1465" t="s">
        <v>1914</v>
      </c>
      <c r="C1465" t="s">
        <v>6062</v>
      </c>
      <c r="D1465">
        <v>10000</v>
      </c>
      <c r="E1465">
        <v>0</v>
      </c>
      <c r="F1465">
        <v>3072951.53</v>
      </c>
      <c r="G1465" s="8" t="s">
        <v>1379</v>
      </c>
      <c r="I1465" s="232">
        <v>43586</v>
      </c>
    </row>
    <row r="1466" spans="1:9" hidden="1">
      <c r="A1466" s="232">
        <v>43586</v>
      </c>
      <c r="C1466" t="s">
        <v>6182</v>
      </c>
      <c r="D1466">
        <v>0</v>
      </c>
      <c r="E1466">
        <v>291460</v>
      </c>
      <c r="F1466">
        <v>3364411.53</v>
      </c>
      <c r="G1466" s="8" t="s">
        <v>1380</v>
      </c>
      <c r="I1466" s="232">
        <v>43586</v>
      </c>
    </row>
    <row r="1467" spans="1:9" hidden="1">
      <c r="A1467" s="232">
        <v>43587</v>
      </c>
      <c r="B1467" t="s">
        <v>1997</v>
      </c>
      <c r="C1467" t="s">
        <v>6183</v>
      </c>
      <c r="D1467">
        <v>3500</v>
      </c>
      <c r="E1467">
        <v>0</v>
      </c>
      <c r="F1467">
        <v>3360911.53</v>
      </c>
      <c r="I1467" s="232">
        <v>43587</v>
      </c>
    </row>
    <row r="1468" spans="1:9" hidden="1">
      <c r="A1468" s="232">
        <v>43588</v>
      </c>
      <c r="B1468" t="s">
        <v>1997</v>
      </c>
      <c r="C1468" t="s">
        <v>6184</v>
      </c>
      <c r="D1468">
        <v>20000</v>
      </c>
      <c r="E1468">
        <v>0</v>
      </c>
      <c r="F1468">
        <v>3340911.53</v>
      </c>
      <c r="G1468" s="8" t="s">
        <v>1358</v>
      </c>
      <c r="I1468" s="232">
        <v>43588</v>
      </c>
    </row>
    <row r="1469" spans="1:9" hidden="1">
      <c r="A1469" s="232">
        <v>43588</v>
      </c>
      <c r="C1469" t="s">
        <v>6185</v>
      </c>
      <c r="D1469">
        <v>500000</v>
      </c>
      <c r="E1469">
        <v>0</v>
      </c>
      <c r="F1469">
        <v>2840911.53</v>
      </c>
      <c r="G1469" s="8" t="s">
        <v>1370</v>
      </c>
      <c r="I1469" s="232">
        <v>43588</v>
      </c>
    </row>
    <row r="1470" spans="1:9" hidden="1">
      <c r="A1470" s="232">
        <v>43591</v>
      </c>
      <c r="B1470" t="s">
        <v>2737</v>
      </c>
      <c r="C1470" t="s">
        <v>5413</v>
      </c>
      <c r="D1470">
        <v>25926.75</v>
      </c>
      <c r="E1470">
        <v>0</v>
      </c>
      <c r="F1470">
        <v>2814984.78</v>
      </c>
      <c r="G1470" s="8" t="s">
        <v>1362</v>
      </c>
      <c r="I1470" s="232">
        <v>43591</v>
      </c>
    </row>
    <row r="1471" spans="1:9" hidden="1">
      <c r="A1471" s="232">
        <v>43591</v>
      </c>
      <c r="C1471" t="s">
        <v>6186</v>
      </c>
      <c r="D1471">
        <v>600000</v>
      </c>
      <c r="E1471">
        <v>0</v>
      </c>
      <c r="F1471">
        <v>2214984.7799999998</v>
      </c>
      <c r="G1471" s="8" t="s">
        <v>1379</v>
      </c>
      <c r="I1471" s="232">
        <v>43591</v>
      </c>
    </row>
    <row r="1472" spans="1:9" hidden="1">
      <c r="A1472" s="232">
        <v>43591</v>
      </c>
      <c r="C1472" t="s">
        <v>6187</v>
      </c>
      <c r="D1472">
        <v>150000</v>
      </c>
      <c r="E1472">
        <v>0</v>
      </c>
      <c r="F1472">
        <v>2064984.78</v>
      </c>
      <c r="G1472" s="8" t="s">
        <v>1378</v>
      </c>
      <c r="I1472" s="232">
        <v>43591</v>
      </c>
    </row>
    <row r="1473" spans="1:9" hidden="1">
      <c r="A1473" s="232">
        <v>43591</v>
      </c>
      <c r="B1473" t="s">
        <v>1914</v>
      </c>
      <c r="C1473" t="s">
        <v>6188</v>
      </c>
      <c r="D1473">
        <v>0</v>
      </c>
      <c r="E1473">
        <v>12621</v>
      </c>
      <c r="F1473">
        <v>2077605.78</v>
      </c>
      <c r="G1473" s="8" t="s">
        <v>1380</v>
      </c>
      <c r="I1473" s="232">
        <v>43591</v>
      </c>
    </row>
    <row r="1474" spans="1:9" hidden="1">
      <c r="A1474" s="232">
        <v>43592</v>
      </c>
      <c r="B1474" t="s">
        <v>1938</v>
      </c>
      <c r="C1474" t="s">
        <v>6189</v>
      </c>
      <c r="D1474">
        <v>0</v>
      </c>
      <c r="E1474">
        <v>13817.26</v>
      </c>
      <c r="F1474">
        <v>2091423.04</v>
      </c>
      <c r="G1474" s="8" t="s">
        <v>1375</v>
      </c>
      <c r="I1474" s="232">
        <v>43592</v>
      </c>
    </row>
    <row r="1475" spans="1:9" hidden="1">
      <c r="A1475" s="232">
        <v>43593</v>
      </c>
      <c r="C1475" t="s">
        <v>6190</v>
      </c>
      <c r="D1475">
        <v>600000</v>
      </c>
      <c r="E1475">
        <v>0</v>
      </c>
      <c r="F1475">
        <v>1491423.04</v>
      </c>
      <c r="G1475" s="8" t="s">
        <v>1379</v>
      </c>
      <c r="I1475" s="232">
        <v>43593</v>
      </c>
    </row>
    <row r="1476" spans="1:9" hidden="1">
      <c r="A1476" s="232">
        <v>43593</v>
      </c>
      <c r="C1476" t="s">
        <v>6191</v>
      </c>
      <c r="D1476">
        <v>600000</v>
      </c>
      <c r="E1476">
        <v>0</v>
      </c>
      <c r="F1476">
        <v>891423.04</v>
      </c>
      <c r="G1476" s="8" t="s">
        <v>1379</v>
      </c>
      <c r="I1476" s="232">
        <v>43593</v>
      </c>
    </row>
    <row r="1477" spans="1:9" hidden="1">
      <c r="A1477" s="232">
        <v>43595</v>
      </c>
      <c r="B1477" t="s">
        <v>1938</v>
      </c>
      <c r="C1477" t="s">
        <v>6192</v>
      </c>
      <c r="D1477">
        <v>0</v>
      </c>
      <c r="E1477">
        <v>744366.23</v>
      </c>
      <c r="F1477">
        <v>1635789.27</v>
      </c>
      <c r="G1477" s="8" t="s">
        <v>1375</v>
      </c>
      <c r="I1477" s="232">
        <v>43595</v>
      </c>
    </row>
    <row r="1478" spans="1:9" hidden="1">
      <c r="A1478" s="232">
        <v>43595</v>
      </c>
      <c r="B1478" t="s">
        <v>1938</v>
      </c>
      <c r="C1478" t="s">
        <v>6193</v>
      </c>
      <c r="D1478">
        <v>0</v>
      </c>
      <c r="E1478">
        <v>320306.25</v>
      </c>
      <c r="F1478">
        <v>1956095.52</v>
      </c>
      <c r="G1478" s="8" t="s">
        <v>1375</v>
      </c>
      <c r="I1478" s="232">
        <v>43595</v>
      </c>
    </row>
    <row r="1479" spans="1:9" hidden="1">
      <c r="A1479" s="232">
        <v>43598</v>
      </c>
      <c r="B1479" t="s">
        <v>2737</v>
      </c>
      <c r="C1479" t="s">
        <v>6145</v>
      </c>
      <c r="D1479">
        <v>104799.1</v>
      </c>
      <c r="E1479">
        <v>0</v>
      </c>
      <c r="F1479">
        <v>1851296.42</v>
      </c>
      <c r="G1479" s="8" t="s">
        <v>1362</v>
      </c>
      <c r="I1479" s="232">
        <v>43598</v>
      </c>
    </row>
    <row r="1480" spans="1:9" hidden="1">
      <c r="A1480" s="232">
        <v>43598</v>
      </c>
      <c r="B1480" t="s">
        <v>1938</v>
      </c>
      <c r="C1480" t="s">
        <v>6194</v>
      </c>
      <c r="D1480">
        <v>0</v>
      </c>
      <c r="E1480">
        <v>2246.38</v>
      </c>
      <c r="F1480">
        <v>1853542.8</v>
      </c>
      <c r="G1480" s="8" t="s">
        <v>1375</v>
      </c>
      <c r="I1480" s="232">
        <v>43598</v>
      </c>
    </row>
    <row r="1481" spans="1:9" hidden="1">
      <c r="A1481" s="232">
        <v>43600</v>
      </c>
      <c r="B1481" t="s">
        <v>1997</v>
      </c>
      <c r="C1481" t="s">
        <v>6195</v>
      </c>
      <c r="D1481">
        <v>382.5</v>
      </c>
      <c r="E1481">
        <v>0</v>
      </c>
      <c r="F1481">
        <v>1853160.3</v>
      </c>
      <c r="I1481" s="232">
        <v>43600</v>
      </c>
    </row>
    <row r="1482" spans="1:9" hidden="1">
      <c r="A1482" s="232">
        <v>43602</v>
      </c>
      <c r="B1482" t="s">
        <v>1914</v>
      </c>
      <c r="C1482" t="s">
        <v>6196</v>
      </c>
      <c r="D1482">
        <v>0</v>
      </c>
      <c r="E1482">
        <v>13641</v>
      </c>
      <c r="F1482">
        <v>1866801.3</v>
      </c>
      <c r="G1482" s="8" t="s">
        <v>1380</v>
      </c>
      <c r="I1482" s="232">
        <v>43602</v>
      </c>
    </row>
    <row r="1483" spans="1:9" hidden="1">
      <c r="A1483" s="232">
        <v>43614</v>
      </c>
      <c r="C1483" t="s">
        <v>6197</v>
      </c>
      <c r="D1483">
        <v>245417</v>
      </c>
      <c r="E1483">
        <v>0</v>
      </c>
      <c r="F1483">
        <v>1621384.3</v>
      </c>
      <c r="G1483" s="8" t="s">
        <v>1370</v>
      </c>
      <c r="I1483" s="232">
        <v>43614</v>
      </c>
    </row>
    <row r="1484" spans="1:9" hidden="1">
      <c r="A1484" s="232">
        <v>43616</v>
      </c>
      <c r="C1484" t="s">
        <v>6198</v>
      </c>
      <c r="D1484">
        <v>224180</v>
      </c>
      <c r="E1484">
        <v>0</v>
      </c>
      <c r="F1484">
        <v>1397204.3</v>
      </c>
      <c r="G1484" s="8" t="s">
        <v>1370</v>
      </c>
      <c r="I1484" s="232">
        <v>43616</v>
      </c>
    </row>
    <row r="1485" spans="1:9" hidden="1">
      <c r="A1485" s="232">
        <v>43617</v>
      </c>
      <c r="B1485" t="s">
        <v>1914</v>
      </c>
      <c r="C1485" t="s">
        <v>6062</v>
      </c>
      <c r="D1485">
        <v>10000</v>
      </c>
      <c r="E1485">
        <v>0</v>
      </c>
      <c r="F1485">
        <v>1387204.3</v>
      </c>
      <c r="G1485" s="8" t="s">
        <v>1379</v>
      </c>
      <c r="I1485" s="232">
        <v>43617</v>
      </c>
    </row>
    <row r="1486" spans="1:9" hidden="1">
      <c r="A1486" s="232">
        <v>43617</v>
      </c>
      <c r="C1486" t="s">
        <v>6199</v>
      </c>
      <c r="D1486">
        <v>0</v>
      </c>
      <c r="E1486">
        <v>254443</v>
      </c>
      <c r="F1486">
        <v>1641647.3</v>
      </c>
      <c r="G1486" s="8" t="s">
        <v>1380</v>
      </c>
      <c r="I1486" s="232">
        <v>43617</v>
      </c>
    </row>
    <row r="1487" spans="1:9" hidden="1">
      <c r="A1487" s="232">
        <v>43619</v>
      </c>
      <c r="B1487" t="s">
        <v>2737</v>
      </c>
      <c r="C1487" t="s">
        <v>5413</v>
      </c>
      <c r="D1487">
        <v>11274</v>
      </c>
      <c r="E1487">
        <v>0</v>
      </c>
      <c r="F1487">
        <v>1630373.3</v>
      </c>
      <c r="G1487" s="8" t="s">
        <v>1362</v>
      </c>
      <c r="I1487" s="232">
        <v>43619</v>
      </c>
    </row>
    <row r="1488" spans="1:9" hidden="1">
      <c r="A1488" s="232">
        <v>43619</v>
      </c>
      <c r="B1488" t="s">
        <v>1997</v>
      </c>
      <c r="C1488" t="s">
        <v>6200</v>
      </c>
      <c r="D1488">
        <v>3500</v>
      </c>
      <c r="E1488">
        <v>0</v>
      </c>
      <c r="F1488">
        <v>1626873.3</v>
      </c>
      <c r="I1488" s="232">
        <v>43619</v>
      </c>
    </row>
    <row r="1489" spans="1:9" hidden="1">
      <c r="A1489" s="232">
        <v>43619</v>
      </c>
      <c r="B1489" t="s">
        <v>1997</v>
      </c>
      <c r="C1489" t="s">
        <v>6201</v>
      </c>
      <c r="D1489">
        <v>20000</v>
      </c>
      <c r="E1489">
        <v>0</v>
      </c>
      <c r="F1489">
        <v>1606873.3</v>
      </c>
      <c r="G1489" s="8" t="s">
        <v>1358</v>
      </c>
      <c r="I1489" s="232">
        <v>43619</v>
      </c>
    </row>
    <row r="1490" spans="1:9" hidden="1">
      <c r="A1490" s="232">
        <v>43622</v>
      </c>
      <c r="B1490" t="s">
        <v>1938</v>
      </c>
      <c r="C1490" t="s">
        <v>6202</v>
      </c>
      <c r="D1490">
        <v>0</v>
      </c>
      <c r="E1490">
        <v>2246.38</v>
      </c>
      <c r="F1490">
        <v>1609119.68</v>
      </c>
      <c r="G1490" s="8" t="s">
        <v>1375</v>
      </c>
      <c r="I1490" s="232">
        <v>43622</v>
      </c>
    </row>
    <row r="1491" spans="1:9" hidden="1">
      <c r="A1491" s="232">
        <v>43623</v>
      </c>
      <c r="B1491" t="s">
        <v>1938</v>
      </c>
      <c r="C1491" t="s">
        <v>6203</v>
      </c>
      <c r="D1491">
        <v>0</v>
      </c>
      <c r="E1491">
        <v>13817.26</v>
      </c>
      <c r="F1491">
        <v>1622936.94</v>
      </c>
      <c r="G1491" s="8" t="s">
        <v>1375</v>
      </c>
      <c r="I1491" s="232">
        <v>43623</v>
      </c>
    </row>
    <row r="1492" spans="1:9" hidden="1">
      <c r="A1492" s="232">
        <v>43623</v>
      </c>
      <c r="B1492" t="s">
        <v>1914</v>
      </c>
      <c r="C1492" t="s">
        <v>6204</v>
      </c>
      <c r="D1492">
        <v>0</v>
      </c>
      <c r="E1492">
        <v>18746</v>
      </c>
      <c r="F1492">
        <v>1641682.94</v>
      </c>
      <c r="G1492" s="8" t="s">
        <v>1380</v>
      </c>
      <c r="I1492" s="232">
        <v>43623</v>
      </c>
    </row>
    <row r="1493" spans="1:9" hidden="1">
      <c r="A1493" s="232">
        <v>43626</v>
      </c>
      <c r="B1493" t="s">
        <v>2737</v>
      </c>
      <c r="C1493" t="s">
        <v>6145</v>
      </c>
      <c r="D1493">
        <v>20455.12</v>
      </c>
      <c r="E1493">
        <v>0</v>
      </c>
      <c r="F1493">
        <v>1621227.82</v>
      </c>
      <c r="G1493" s="8" t="s">
        <v>1362</v>
      </c>
      <c r="I1493" s="232">
        <v>43626</v>
      </c>
    </row>
    <row r="1494" spans="1:9" hidden="1">
      <c r="A1494" s="232">
        <v>43633</v>
      </c>
      <c r="B1494" t="s">
        <v>1997</v>
      </c>
      <c r="C1494" t="s">
        <v>6205</v>
      </c>
      <c r="D1494">
        <v>472.5</v>
      </c>
      <c r="E1494">
        <v>0</v>
      </c>
      <c r="F1494">
        <v>1620755.32</v>
      </c>
      <c r="I1494" s="232">
        <v>43633</v>
      </c>
    </row>
    <row r="1495" spans="1:9" hidden="1">
      <c r="A1495" s="232">
        <v>43636</v>
      </c>
      <c r="B1495" t="s">
        <v>1997</v>
      </c>
      <c r="C1495" t="s">
        <v>6206</v>
      </c>
      <c r="D1495">
        <v>0</v>
      </c>
      <c r="E1495">
        <v>1</v>
      </c>
      <c r="F1495">
        <v>1620756.32</v>
      </c>
      <c r="G1495" s="8" t="s">
        <v>1375</v>
      </c>
      <c r="I1495" s="232">
        <v>43636</v>
      </c>
    </row>
    <row r="1496" spans="1:9" hidden="1">
      <c r="A1496" s="232">
        <v>43640</v>
      </c>
      <c r="C1496" t="s">
        <v>6207</v>
      </c>
      <c r="D1496">
        <v>0</v>
      </c>
      <c r="E1496">
        <v>300000</v>
      </c>
      <c r="F1496">
        <v>1920756.32</v>
      </c>
      <c r="G1496" s="8" t="s">
        <v>1375</v>
      </c>
      <c r="I1496" s="232">
        <v>43640</v>
      </c>
    </row>
    <row r="1497" spans="1:9" hidden="1">
      <c r="A1497" s="232">
        <v>43644</v>
      </c>
      <c r="B1497" t="s">
        <v>1938</v>
      </c>
      <c r="C1497" t="s">
        <v>6208</v>
      </c>
      <c r="D1497">
        <v>300000</v>
      </c>
      <c r="E1497">
        <v>0</v>
      </c>
      <c r="F1497">
        <v>1620756.32</v>
      </c>
      <c r="G1497" s="8" t="s">
        <v>1381</v>
      </c>
      <c r="I1497" s="232">
        <v>43644</v>
      </c>
    </row>
    <row r="1498" spans="1:9" hidden="1">
      <c r="A1498" s="232">
        <v>43645</v>
      </c>
      <c r="C1498" t="s">
        <v>6209</v>
      </c>
      <c r="D1498">
        <v>0</v>
      </c>
      <c r="E1498">
        <v>19470</v>
      </c>
      <c r="F1498">
        <v>1640226.32</v>
      </c>
      <c r="G1498" s="8" t="s">
        <v>1368</v>
      </c>
      <c r="I1498" s="232">
        <v>43645</v>
      </c>
    </row>
    <row r="1499" spans="1:9" hidden="1">
      <c r="A1499" s="232">
        <v>43647</v>
      </c>
      <c r="B1499" t="s">
        <v>1914</v>
      </c>
      <c r="C1499" t="s">
        <v>6062</v>
      </c>
      <c r="D1499">
        <v>10000</v>
      </c>
      <c r="E1499">
        <v>0</v>
      </c>
      <c r="F1499">
        <v>1630226.32</v>
      </c>
      <c r="G1499" s="8" t="s">
        <v>1379</v>
      </c>
      <c r="I1499" s="232">
        <v>43647</v>
      </c>
    </row>
    <row r="1500" spans="1:9" hidden="1">
      <c r="A1500" s="232">
        <v>43647</v>
      </c>
      <c r="C1500" t="s">
        <v>6210</v>
      </c>
      <c r="D1500">
        <v>0</v>
      </c>
      <c r="E1500">
        <v>317856</v>
      </c>
      <c r="F1500">
        <v>1948082.32</v>
      </c>
      <c r="G1500" s="8" t="s">
        <v>1380</v>
      </c>
      <c r="I1500" s="232">
        <v>43647</v>
      </c>
    </row>
    <row r="1501" spans="1:9" hidden="1">
      <c r="A1501" s="232">
        <v>43650</v>
      </c>
      <c r="B1501" t="s">
        <v>1938</v>
      </c>
      <c r="C1501" t="s">
        <v>6211</v>
      </c>
      <c r="D1501">
        <v>0</v>
      </c>
      <c r="E1501">
        <v>2246.38</v>
      </c>
      <c r="F1501">
        <v>1950328.7</v>
      </c>
      <c r="G1501" s="8" t="s">
        <v>1375</v>
      </c>
      <c r="I1501" s="232">
        <v>43650</v>
      </c>
    </row>
    <row r="1502" spans="1:9" hidden="1">
      <c r="A1502" s="232">
        <v>43651</v>
      </c>
      <c r="B1502" t="s">
        <v>1997</v>
      </c>
      <c r="C1502" t="s">
        <v>6212</v>
      </c>
      <c r="D1502">
        <v>25000</v>
      </c>
      <c r="E1502">
        <v>0</v>
      </c>
      <c r="F1502">
        <v>1925328.7</v>
      </c>
      <c r="G1502" s="8" t="s">
        <v>1358</v>
      </c>
      <c r="I1502" s="232">
        <v>43651</v>
      </c>
    </row>
    <row r="1503" spans="1:9" hidden="1">
      <c r="A1503" s="232">
        <v>43651</v>
      </c>
      <c r="C1503" t="s">
        <v>6213</v>
      </c>
      <c r="D1503">
        <v>0</v>
      </c>
      <c r="E1503">
        <v>6496</v>
      </c>
      <c r="F1503">
        <v>1931824.7</v>
      </c>
      <c r="G1503" s="8" t="s">
        <v>1369</v>
      </c>
      <c r="I1503" s="232">
        <v>43651</v>
      </c>
    </row>
    <row r="1504" spans="1:9" hidden="1">
      <c r="A1504" s="232">
        <v>43651</v>
      </c>
      <c r="B1504" t="s">
        <v>1938</v>
      </c>
      <c r="C1504" t="s">
        <v>6214</v>
      </c>
      <c r="D1504">
        <v>0</v>
      </c>
      <c r="E1504">
        <v>13817.26</v>
      </c>
      <c r="F1504">
        <v>1945641.96</v>
      </c>
      <c r="G1504" s="8" t="s">
        <v>1375</v>
      </c>
      <c r="I1504" s="232">
        <v>43651</v>
      </c>
    </row>
    <row r="1505" spans="1:9" hidden="1">
      <c r="A1505" s="232">
        <v>43654</v>
      </c>
      <c r="C1505" t="s">
        <v>6215</v>
      </c>
      <c r="D1505">
        <v>3500</v>
      </c>
      <c r="E1505">
        <v>0</v>
      </c>
      <c r="F1505">
        <v>1942141.96</v>
      </c>
      <c r="G1505" s="8" t="s">
        <v>1379</v>
      </c>
      <c r="I1505" s="232">
        <v>43654</v>
      </c>
    </row>
    <row r="1506" spans="1:9" hidden="1">
      <c r="A1506" s="232">
        <v>43655</v>
      </c>
      <c r="B1506" t="s">
        <v>1997</v>
      </c>
      <c r="C1506" t="s">
        <v>6216</v>
      </c>
      <c r="D1506">
        <v>3050</v>
      </c>
      <c r="E1506">
        <v>0</v>
      </c>
      <c r="F1506">
        <v>1939091.96</v>
      </c>
      <c r="I1506" s="232">
        <v>43655</v>
      </c>
    </row>
    <row r="1507" spans="1:9" hidden="1">
      <c r="A1507" s="232">
        <v>43657</v>
      </c>
      <c r="B1507" t="s">
        <v>2737</v>
      </c>
      <c r="C1507" t="s">
        <v>6145</v>
      </c>
      <c r="D1507">
        <v>124800</v>
      </c>
      <c r="E1507">
        <v>0</v>
      </c>
      <c r="F1507">
        <v>1814291.96</v>
      </c>
      <c r="G1507" s="8" t="s">
        <v>1362</v>
      </c>
      <c r="I1507" s="232">
        <v>43657</v>
      </c>
    </row>
    <row r="1508" spans="1:9" hidden="1">
      <c r="A1508" s="232">
        <v>43668</v>
      </c>
      <c r="B1508" t="s">
        <v>1938</v>
      </c>
      <c r="C1508" t="s">
        <v>6217</v>
      </c>
      <c r="D1508">
        <v>500000</v>
      </c>
      <c r="E1508">
        <v>0</v>
      </c>
      <c r="F1508">
        <v>1314291.96</v>
      </c>
      <c r="G1508" s="8" t="s">
        <v>1381</v>
      </c>
      <c r="I1508" s="232">
        <v>43668</v>
      </c>
    </row>
    <row r="1509" spans="1:9" hidden="1">
      <c r="A1509" s="232">
        <v>43669</v>
      </c>
      <c r="C1509" t="s">
        <v>6218</v>
      </c>
      <c r="D1509">
        <v>59440</v>
      </c>
      <c r="E1509">
        <v>0</v>
      </c>
      <c r="F1509">
        <v>1254851.96</v>
      </c>
      <c r="I1509" s="232">
        <v>43669</v>
      </c>
    </row>
    <row r="1510" spans="1:9" hidden="1">
      <c r="A1510" s="232">
        <v>43669</v>
      </c>
      <c r="B1510" t="s">
        <v>1914</v>
      </c>
      <c r="C1510" t="s">
        <v>6219</v>
      </c>
      <c r="D1510">
        <v>0</v>
      </c>
      <c r="E1510">
        <v>100747</v>
      </c>
      <c r="F1510">
        <v>1355598.96</v>
      </c>
      <c r="G1510" s="8" t="s">
        <v>1380</v>
      </c>
      <c r="I1510" s="232">
        <v>43669</v>
      </c>
    </row>
    <row r="1511" spans="1:9" hidden="1">
      <c r="A1511" s="232">
        <v>43669</v>
      </c>
      <c r="B1511" t="s">
        <v>1914</v>
      </c>
      <c r="C1511" t="s">
        <v>6220</v>
      </c>
      <c r="D1511">
        <v>0</v>
      </c>
      <c r="E1511">
        <v>9174</v>
      </c>
      <c r="F1511">
        <v>1364772.96</v>
      </c>
      <c r="G1511" s="8" t="s">
        <v>1380</v>
      </c>
      <c r="I1511" s="232">
        <v>43669</v>
      </c>
    </row>
    <row r="1512" spans="1:9" hidden="1">
      <c r="A1512" s="232">
        <v>43678</v>
      </c>
      <c r="B1512" t="s">
        <v>1914</v>
      </c>
      <c r="C1512" t="s">
        <v>6062</v>
      </c>
      <c r="D1512">
        <v>3500</v>
      </c>
      <c r="E1512">
        <v>0</v>
      </c>
      <c r="F1512">
        <v>1361272.96</v>
      </c>
      <c r="G1512" s="8" t="s">
        <v>1379</v>
      </c>
      <c r="I1512" s="232">
        <v>43678</v>
      </c>
    </row>
    <row r="1513" spans="1:9" hidden="1">
      <c r="A1513" s="232">
        <v>43678</v>
      </c>
      <c r="B1513" t="s">
        <v>1914</v>
      </c>
      <c r="C1513" t="s">
        <v>6062</v>
      </c>
      <c r="D1513">
        <v>10000</v>
      </c>
      <c r="E1513">
        <v>0</v>
      </c>
      <c r="F1513">
        <v>1351272.96</v>
      </c>
      <c r="G1513" s="8" t="s">
        <v>1379</v>
      </c>
      <c r="I1513" s="232">
        <v>43678</v>
      </c>
    </row>
    <row r="1514" spans="1:9" hidden="1">
      <c r="A1514" s="232">
        <v>43678</v>
      </c>
      <c r="C1514" t="s">
        <v>6221</v>
      </c>
      <c r="D1514">
        <v>0</v>
      </c>
      <c r="E1514">
        <v>252231</v>
      </c>
      <c r="F1514">
        <v>1603503.96</v>
      </c>
      <c r="G1514" s="8" t="s">
        <v>1380</v>
      </c>
      <c r="I1514" s="232">
        <v>43678</v>
      </c>
    </row>
    <row r="1515" spans="1:9" hidden="1">
      <c r="A1515" s="232">
        <v>43682</v>
      </c>
      <c r="B1515" t="s">
        <v>2737</v>
      </c>
      <c r="C1515" t="s">
        <v>5413</v>
      </c>
      <c r="D1515">
        <v>6196</v>
      </c>
      <c r="E1515">
        <v>0</v>
      </c>
      <c r="F1515">
        <v>1597307.96</v>
      </c>
      <c r="G1515" s="8" t="s">
        <v>1362</v>
      </c>
      <c r="I1515" s="232">
        <v>43682</v>
      </c>
    </row>
    <row r="1516" spans="1:9" hidden="1">
      <c r="A1516" s="232">
        <v>43682</v>
      </c>
      <c r="B1516" t="s">
        <v>1938</v>
      </c>
      <c r="C1516" t="s">
        <v>6222</v>
      </c>
      <c r="D1516">
        <v>0</v>
      </c>
      <c r="E1516">
        <v>2246.38</v>
      </c>
      <c r="F1516">
        <v>1599554.34</v>
      </c>
      <c r="G1516" s="8" t="s">
        <v>1375</v>
      </c>
      <c r="I1516" s="232">
        <v>43682</v>
      </c>
    </row>
    <row r="1517" spans="1:9" hidden="1">
      <c r="A1517" s="232">
        <v>43683</v>
      </c>
      <c r="B1517" t="s">
        <v>1938</v>
      </c>
      <c r="C1517" t="s">
        <v>6223</v>
      </c>
      <c r="D1517">
        <v>0</v>
      </c>
      <c r="E1517">
        <v>13817.26</v>
      </c>
      <c r="F1517">
        <v>1613371.6</v>
      </c>
      <c r="G1517" s="8" t="s">
        <v>1375</v>
      </c>
      <c r="I1517" s="232">
        <v>43683</v>
      </c>
    </row>
    <row r="1518" spans="1:9" hidden="1">
      <c r="A1518" s="232">
        <v>43684</v>
      </c>
      <c r="B1518" t="s">
        <v>1997</v>
      </c>
      <c r="C1518" t="s">
        <v>6224</v>
      </c>
      <c r="D1518">
        <v>20000</v>
      </c>
      <c r="E1518">
        <v>0</v>
      </c>
      <c r="F1518">
        <v>1593371.6</v>
      </c>
      <c r="G1518" s="8" t="s">
        <v>1358</v>
      </c>
      <c r="I1518" s="232">
        <v>43684</v>
      </c>
    </row>
    <row r="1519" spans="1:9" hidden="1">
      <c r="A1519" s="232">
        <v>43684</v>
      </c>
      <c r="B1519" t="s">
        <v>1914</v>
      </c>
      <c r="C1519" t="s">
        <v>6225</v>
      </c>
      <c r="D1519">
        <v>0</v>
      </c>
      <c r="E1519">
        <v>5718</v>
      </c>
      <c r="F1519">
        <v>1599089.6</v>
      </c>
      <c r="G1519" s="8" t="s">
        <v>1380</v>
      </c>
      <c r="I1519" s="232">
        <v>43684</v>
      </c>
    </row>
    <row r="1520" spans="1:9" hidden="1">
      <c r="A1520" s="232">
        <v>43689</v>
      </c>
      <c r="B1520" t="s">
        <v>2737</v>
      </c>
      <c r="C1520" t="s">
        <v>6145</v>
      </c>
      <c r="D1520">
        <v>81224.58</v>
      </c>
      <c r="E1520">
        <v>0</v>
      </c>
      <c r="F1520">
        <v>1517865.02</v>
      </c>
      <c r="G1520" s="8" t="s">
        <v>1362</v>
      </c>
      <c r="I1520" s="232">
        <v>43689</v>
      </c>
    </row>
    <row r="1521" spans="1:9" hidden="1">
      <c r="A1521" s="232">
        <v>43703</v>
      </c>
      <c r="B1521" t="s">
        <v>1997</v>
      </c>
      <c r="C1521" t="s">
        <v>6226</v>
      </c>
      <c r="D1521">
        <v>5074</v>
      </c>
      <c r="E1521">
        <v>0</v>
      </c>
      <c r="F1521">
        <v>1512791.02</v>
      </c>
      <c r="I1521" s="232">
        <v>43703</v>
      </c>
    </row>
    <row r="1522" spans="1:9" hidden="1">
      <c r="A1522" s="232">
        <v>43710</v>
      </c>
      <c r="B1522" t="s">
        <v>1914</v>
      </c>
      <c r="C1522" t="s">
        <v>6062</v>
      </c>
      <c r="D1522">
        <v>3500</v>
      </c>
      <c r="E1522">
        <v>0</v>
      </c>
      <c r="F1522">
        <v>1509291.02</v>
      </c>
      <c r="G1522" s="8" t="s">
        <v>1379</v>
      </c>
      <c r="I1522" s="232">
        <v>43710</v>
      </c>
    </row>
    <row r="1523" spans="1:9" hidden="1">
      <c r="A1523" s="232">
        <v>43710</v>
      </c>
      <c r="B1523" t="s">
        <v>1914</v>
      </c>
      <c r="C1523" t="s">
        <v>6062</v>
      </c>
      <c r="D1523">
        <v>10000</v>
      </c>
      <c r="E1523">
        <v>0</v>
      </c>
      <c r="F1523">
        <v>1499291.02</v>
      </c>
      <c r="G1523" s="8" t="s">
        <v>1379</v>
      </c>
      <c r="I1523" s="232">
        <v>43710</v>
      </c>
    </row>
    <row r="1524" spans="1:9" hidden="1">
      <c r="A1524" s="232">
        <v>43710</v>
      </c>
      <c r="C1524" t="s">
        <v>6227</v>
      </c>
      <c r="D1524">
        <v>0</v>
      </c>
      <c r="E1524">
        <v>252231</v>
      </c>
      <c r="F1524">
        <v>1751522.02</v>
      </c>
      <c r="G1524" s="8" t="s">
        <v>1380</v>
      </c>
      <c r="I1524" s="232">
        <v>43710</v>
      </c>
    </row>
    <row r="1525" spans="1:9" hidden="1">
      <c r="A1525" s="232">
        <v>43711</v>
      </c>
      <c r="B1525" t="s">
        <v>1997</v>
      </c>
      <c r="C1525" t="s">
        <v>6228</v>
      </c>
      <c r="D1525">
        <v>20000</v>
      </c>
      <c r="E1525">
        <v>0</v>
      </c>
      <c r="F1525">
        <v>1731522.02</v>
      </c>
      <c r="G1525" s="8" t="s">
        <v>1358</v>
      </c>
      <c r="I1525" s="232">
        <v>43711</v>
      </c>
    </row>
    <row r="1526" spans="1:9" hidden="1">
      <c r="A1526" s="232">
        <v>43713</v>
      </c>
      <c r="B1526" t="s">
        <v>1938</v>
      </c>
      <c r="C1526" t="s">
        <v>6229</v>
      </c>
      <c r="D1526">
        <v>0</v>
      </c>
      <c r="E1526">
        <v>2246.38</v>
      </c>
      <c r="F1526">
        <v>1733768.4</v>
      </c>
      <c r="G1526" s="8" t="s">
        <v>1375</v>
      </c>
      <c r="I1526" s="232">
        <v>43713</v>
      </c>
    </row>
    <row r="1527" spans="1:9" hidden="1">
      <c r="A1527" s="232">
        <v>43714</v>
      </c>
      <c r="B1527" t="s">
        <v>1938</v>
      </c>
      <c r="C1527" t="s">
        <v>6230</v>
      </c>
      <c r="D1527">
        <v>0</v>
      </c>
      <c r="E1527">
        <v>13817.26</v>
      </c>
      <c r="F1527">
        <v>1747585.66</v>
      </c>
      <c r="G1527" s="8" t="s">
        <v>1375</v>
      </c>
      <c r="I1527" s="232">
        <v>43714</v>
      </c>
    </row>
    <row r="1528" spans="1:9" hidden="1">
      <c r="A1528" s="232">
        <v>43718</v>
      </c>
      <c r="B1528" t="s">
        <v>2737</v>
      </c>
      <c r="C1528" t="s">
        <v>6145</v>
      </c>
      <c r="D1528">
        <v>6820</v>
      </c>
      <c r="E1528">
        <v>0</v>
      </c>
      <c r="F1528">
        <v>1740765.66</v>
      </c>
      <c r="G1528" s="8" t="s">
        <v>1362</v>
      </c>
      <c r="I1528" s="232">
        <v>43718</v>
      </c>
    </row>
    <row r="1529" spans="1:9" hidden="1">
      <c r="A1529" s="232">
        <v>43725</v>
      </c>
      <c r="B1529" t="s">
        <v>1997</v>
      </c>
      <c r="C1529" t="s">
        <v>6231</v>
      </c>
      <c r="D1529">
        <v>16352</v>
      </c>
      <c r="E1529">
        <v>0</v>
      </c>
      <c r="F1529">
        <v>1724413.66</v>
      </c>
      <c r="I1529" s="232">
        <v>43725</v>
      </c>
    </row>
    <row r="1530" spans="1:9" hidden="1">
      <c r="A1530" s="232">
        <v>43725</v>
      </c>
      <c r="C1530" t="s">
        <v>6232</v>
      </c>
      <c r="D1530">
        <v>0</v>
      </c>
      <c r="E1530">
        <v>6260</v>
      </c>
      <c r="F1530">
        <v>1730673.66</v>
      </c>
      <c r="I1530" s="232">
        <v>43725</v>
      </c>
    </row>
    <row r="1531" spans="1:9" hidden="1">
      <c r="A1531" s="232">
        <v>43734</v>
      </c>
      <c r="C1531" t="s">
        <v>6233</v>
      </c>
      <c r="D1531">
        <v>0</v>
      </c>
      <c r="E1531">
        <v>100150</v>
      </c>
      <c r="F1531">
        <v>1830823.66</v>
      </c>
      <c r="G1531" s="8" t="s">
        <v>1369</v>
      </c>
      <c r="I1531" s="232">
        <v>43734</v>
      </c>
    </row>
    <row r="1532" spans="1:9" hidden="1">
      <c r="A1532" s="232">
        <v>43738</v>
      </c>
      <c r="C1532" t="s">
        <v>6234</v>
      </c>
      <c r="D1532">
        <v>0</v>
      </c>
      <c r="E1532">
        <v>14839</v>
      </c>
      <c r="F1532">
        <v>1845662.66</v>
      </c>
      <c r="G1532" s="8" t="s">
        <v>1368</v>
      </c>
      <c r="I1532" s="232">
        <v>43738</v>
      </c>
    </row>
    <row r="1533" spans="1:9" hidden="1">
      <c r="A1533" s="232">
        <v>43738</v>
      </c>
      <c r="B1533" t="s">
        <v>1938</v>
      </c>
      <c r="C1533" t="s">
        <v>6235</v>
      </c>
      <c r="D1533">
        <v>0</v>
      </c>
      <c r="E1533">
        <v>282597.17</v>
      </c>
      <c r="F1533">
        <v>2128259.83</v>
      </c>
      <c r="G1533" s="8" t="s">
        <v>1375</v>
      </c>
      <c r="I1533" s="232">
        <v>43738</v>
      </c>
    </row>
    <row r="1534" spans="1:9" hidden="1">
      <c r="A1534" s="232">
        <v>43738</v>
      </c>
      <c r="C1534" t="s">
        <v>6236</v>
      </c>
      <c r="D1534">
        <v>0</v>
      </c>
      <c r="E1534">
        <v>181728.2</v>
      </c>
      <c r="F1534">
        <v>2309988.0299999998</v>
      </c>
      <c r="G1534" s="8" t="s">
        <v>1375</v>
      </c>
      <c r="I1534" s="232">
        <v>43738</v>
      </c>
    </row>
    <row r="1535" spans="1:9" hidden="1">
      <c r="A1535" s="232">
        <v>43739</v>
      </c>
      <c r="B1535" t="s">
        <v>1914</v>
      </c>
      <c r="C1535" t="s">
        <v>6062</v>
      </c>
      <c r="D1535">
        <v>10000</v>
      </c>
      <c r="E1535">
        <v>0</v>
      </c>
      <c r="F1535">
        <v>2299988.0299999998</v>
      </c>
      <c r="G1535" s="8" t="s">
        <v>1379</v>
      </c>
      <c r="I1535" s="232">
        <v>43739</v>
      </c>
    </row>
    <row r="1536" spans="1:9" hidden="1">
      <c r="A1536" s="232">
        <v>43739</v>
      </c>
      <c r="B1536" t="s">
        <v>1914</v>
      </c>
      <c r="C1536" t="s">
        <v>6062</v>
      </c>
      <c r="D1536">
        <v>3500</v>
      </c>
      <c r="E1536">
        <v>0</v>
      </c>
      <c r="F1536">
        <v>2296488.0299999998</v>
      </c>
      <c r="G1536" s="8" t="s">
        <v>1379</v>
      </c>
      <c r="I1536" s="232">
        <v>43739</v>
      </c>
    </row>
    <row r="1537" spans="1:9" hidden="1">
      <c r="A1537" s="232">
        <v>43739</v>
      </c>
      <c r="C1537" t="s">
        <v>6237</v>
      </c>
      <c r="D1537">
        <v>0</v>
      </c>
      <c r="E1537">
        <v>415526</v>
      </c>
      <c r="F1537">
        <v>2712014.03</v>
      </c>
      <c r="G1537" s="8" t="s">
        <v>1380</v>
      </c>
      <c r="I1537" s="232">
        <v>43739</v>
      </c>
    </row>
    <row r="1538" spans="1:9" hidden="1">
      <c r="A1538" s="232">
        <v>43741</v>
      </c>
      <c r="B1538" t="s">
        <v>1938</v>
      </c>
      <c r="C1538" t="s">
        <v>6238</v>
      </c>
      <c r="D1538">
        <v>0</v>
      </c>
      <c r="E1538">
        <v>2246.38</v>
      </c>
      <c r="F1538">
        <v>2714260.41</v>
      </c>
      <c r="G1538" s="8" t="s">
        <v>1375</v>
      </c>
      <c r="I1538" s="232">
        <v>43741</v>
      </c>
    </row>
    <row r="1539" spans="1:9" hidden="1">
      <c r="A1539" s="232">
        <v>43742</v>
      </c>
      <c r="B1539" t="s">
        <v>2737</v>
      </c>
      <c r="C1539" t="s">
        <v>5413</v>
      </c>
      <c r="D1539">
        <v>660.73</v>
      </c>
      <c r="E1539">
        <v>0</v>
      </c>
      <c r="F1539">
        <v>2713599.68</v>
      </c>
      <c r="G1539" s="8" t="s">
        <v>1362</v>
      </c>
      <c r="I1539" s="232">
        <v>43742</v>
      </c>
    </row>
    <row r="1540" spans="1:9" hidden="1">
      <c r="A1540" s="232">
        <v>43742</v>
      </c>
      <c r="B1540" t="s">
        <v>1938</v>
      </c>
      <c r="C1540" t="s">
        <v>6239</v>
      </c>
      <c r="D1540">
        <v>0</v>
      </c>
      <c r="E1540">
        <v>13817.26</v>
      </c>
      <c r="F1540">
        <v>2727416.94</v>
      </c>
      <c r="G1540" s="8" t="s">
        <v>1375</v>
      </c>
      <c r="I1540" s="232">
        <v>43742</v>
      </c>
    </row>
    <row r="1541" spans="1:9" hidden="1">
      <c r="A1541" s="232">
        <v>43743</v>
      </c>
      <c r="B1541" t="s">
        <v>1997</v>
      </c>
      <c r="C1541" t="s">
        <v>6240</v>
      </c>
      <c r="D1541">
        <v>1820</v>
      </c>
      <c r="E1541">
        <v>0</v>
      </c>
      <c r="F1541">
        <v>2725596.94</v>
      </c>
      <c r="I1541" s="232">
        <v>43743</v>
      </c>
    </row>
    <row r="1542" spans="1:9" hidden="1">
      <c r="A1542" s="232">
        <v>43743</v>
      </c>
      <c r="B1542" t="s">
        <v>1997</v>
      </c>
      <c r="C1542" t="s">
        <v>6241</v>
      </c>
      <c r="D1542">
        <v>20000</v>
      </c>
      <c r="E1542">
        <v>0</v>
      </c>
      <c r="F1542">
        <v>2705596.94</v>
      </c>
      <c r="G1542" s="8" t="s">
        <v>1358</v>
      </c>
      <c r="I1542" s="232">
        <v>43743</v>
      </c>
    </row>
    <row r="1543" spans="1:9" hidden="1">
      <c r="A1543" s="232">
        <v>43749</v>
      </c>
      <c r="B1543" t="s">
        <v>2737</v>
      </c>
      <c r="C1543" t="s">
        <v>6145</v>
      </c>
      <c r="D1543">
        <v>59190</v>
      </c>
      <c r="E1543">
        <v>0</v>
      </c>
      <c r="F1543">
        <v>2646406.94</v>
      </c>
      <c r="G1543" s="8" t="s">
        <v>1362</v>
      </c>
      <c r="I1543" s="232">
        <v>43749</v>
      </c>
    </row>
    <row r="1544" spans="1:9" hidden="1">
      <c r="A1544" s="232">
        <v>43749</v>
      </c>
      <c r="B1544" t="s">
        <v>1997</v>
      </c>
      <c r="C1544" t="s">
        <v>6242</v>
      </c>
      <c r="D1544">
        <v>2000</v>
      </c>
      <c r="E1544">
        <v>0</v>
      </c>
      <c r="F1544">
        <v>2644406.94</v>
      </c>
      <c r="I1544" s="232">
        <v>43749</v>
      </c>
    </row>
    <row r="1545" spans="1:9" hidden="1">
      <c r="A1545" s="232">
        <v>43770</v>
      </c>
      <c r="B1545" t="s">
        <v>1914</v>
      </c>
      <c r="C1545" t="s">
        <v>6062</v>
      </c>
      <c r="D1545">
        <v>10000</v>
      </c>
      <c r="E1545">
        <v>0</v>
      </c>
      <c r="F1545">
        <v>2634406.94</v>
      </c>
      <c r="G1545" s="8" t="s">
        <v>1379</v>
      </c>
      <c r="I1545" s="232">
        <v>43770</v>
      </c>
    </row>
    <row r="1546" spans="1:9" hidden="1">
      <c r="A1546" s="232">
        <v>43770</v>
      </c>
      <c r="B1546" t="s">
        <v>1914</v>
      </c>
      <c r="C1546" t="s">
        <v>6062</v>
      </c>
      <c r="D1546">
        <v>3500</v>
      </c>
      <c r="E1546">
        <v>0</v>
      </c>
      <c r="F1546">
        <v>2630906.94</v>
      </c>
      <c r="G1546" s="8" t="s">
        <v>1379</v>
      </c>
      <c r="I1546" s="232">
        <v>43770</v>
      </c>
    </row>
    <row r="1547" spans="1:9" hidden="1">
      <c r="A1547" s="232">
        <v>43770</v>
      </c>
      <c r="B1547" t="s">
        <v>1997</v>
      </c>
      <c r="C1547" t="s">
        <v>6243</v>
      </c>
      <c r="D1547">
        <v>20000</v>
      </c>
      <c r="E1547">
        <v>0</v>
      </c>
      <c r="F1547">
        <v>2610906.94</v>
      </c>
      <c r="G1547" s="8" t="s">
        <v>1358</v>
      </c>
      <c r="I1547" s="232">
        <v>43770</v>
      </c>
    </row>
    <row r="1548" spans="1:9" hidden="1">
      <c r="A1548" s="232">
        <v>43770</v>
      </c>
      <c r="B1548" t="s">
        <v>1997</v>
      </c>
      <c r="C1548" t="s">
        <v>6244</v>
      </c>
      <c r="D1548">
        <v>2000</v>
      </c>
      <c r="E1548">
        <v>0</v>
      </c>
      <c r="F1548">
        <v>2608906.94</v>
      </c>
      <c r="I1548" s="232">
        <v>43770</v>
      </c>
    </row>
    <row r="1549" spans="1:9" hidden="1">
      <c r="A1549" s="232">
        <v>43770</v>
      </c>
      <c r="B1549" t="s">
        <v>1914</v>
      </c>
      <c r="C1549" t="s">
        <v>6245</v>
      </c>
      <c r="D1549">
        <v>0</v>
      </c>
      <c r="E1549">
        <v>244613</v>
      </c>
      <c r="F1549">
        <v>2853519.94</v>
      </c>
      <c r="G1549" s="8" t="s">
        <v>1380</v>
      </c>
      <c r="I1549" s="232">
        <v>43770</v>
      </c>
    </row>
    <row r="1550" spans="1:9" hidden="1">
      <c r="A1550" s="232">
        <v>43774</v>
      </c>
      <c r="B1550" t="s">
        <v>1938</v>
      </c>
      <c r="C1550" t="s">
        <v>6246</v>
      </c>
      <c r="D1550">
        <v>0</v>
      </c>
      <c r="E1550">
        <v>2246.38</v>
      </c>
      <c r="F1550">
        <v>2855766.32</v>
      </c>
      <c r="G1550" s="8" t="s">
        <v>1375</v>
      </c>
      <c r="I1550" s="232">
        <v>43774</v>
      </c>
    </row>
    <row r="1551" spans="1:9" hidden="1">
      <c r="A1551" s="232">
        <v>43775</v>
      </c>
      <c r="B1551" t="s">
        <v>1938</v>
      </c>
      <c r="C1551" t="s">
        <v>6247</v>
      </c>
      <c r="D1551">
        <v>0</v>
      </c>
      <c r="E1551">
        <v>13817.26</v>
      </c>
      <c r="F1551">
        <v>2869583.58</v>
      </c>
      <c r="G1551" s="8" t="s">
        <v>1375</v>
      </c>
      <c r="I1551" s="232">
        <v>43775</v>
      </c>
    </row>
    <row r="1552" spans="1:9" hidden="1">
      <c r="A1552" s="232">
        <v>43780</v>
      </c>
      <c r="B1552" t="s">
        <v>2737</v>
      </c>
      <c r="C1552" t="s">
        <v>6145</v>
      </c>
      <c r="D1552">
        <v>8981</v>
      </c>
      <c r="E1552">
        <v>0</v>
      </c>
      <c r="F1552">
        <v>2860602.58</v>
      </c>
      <c r="G1552" s="8" t="s">
        <v>1362</v>
      </c>
      <c r="I1552" s="232">
        <v>43780</v>
      </c>
    </row>
    <row r="1553" spans="1:9" hidden="1">
      <c r="A1553" s="232">
        <v>43801</v>
      </c>
      <c r="B1553" t="s">
        <v>1914</v>
      </c>
      <c r="C1553" t="s">
        <v>6062</v>
      </c>
      <c r="D1553">
        <v>3500</v>
      </c>
      <c r="E1553">
        <v>0</v>
      </c>
      <c r="F1553">
        <v>2857102.58</v>
      </c>
      <c r="G1553" s="8" t="s">
        <v>1379</v>
      </c>
      <c r="I1553" s="232">
        <v>43801</v>
      </c>
    </row>
    <row r="1554" spans="1:9" hidden="1">
      <c r="A1554" s="232">
        <v>43801</v>
      </c>
      <c r="B1554" t="s">
        <v>1914</v>
      </c>
      <c r="C1554" t="s">
        <v>6062</v>
      </c>
      <c r="D1554">
        <v>10000</v>
      </c>
      <c r="E1554">
        <v>0</v>
      </c>
      <c r="F1554">
        <v>2847102.58</v>
      </c>
      <c r="G1554" s="8" t="s">
        <v>1379</v>
      </c>
      <c r="I1554" s="232">
        <v>43801</v>
      </c>
    </row>
    <row r="1555" spans="1:9" hidden="1">
      <c r="A1555" s="232">
        <v>43801</v>
      </c>
      <c r="B1555" t="s">
        <v>1997</v>
      </c>
      <c r="C1555" t="s">
        <v>6248</v>
      </c>
      <c r="D1555">
        <v>20000</v>
      </c>
      <c r="E1555">
        <v>0</v>
      </c>
      <c r="F1555">
        <v>2827102.58</v>
      </c>
      <c r="G1555" s="8" t="s">
        <v>1358</v>
      </c>
      <c r="I1555" s="232">
        <v>43801</v>
      </c>
    </row>
    <row r="1556" spans="1:9" hidden="1">
      <c r="A1556" s="232">
        <v>43803</v>
      </c>
      <c r="B1556" t="s">
        <v>1938</v>
      </c>
      <c r="C1556" t="s">
        <v>6249</v>
      </c>
      <c r="D1556">
        <v>300000</v>
      </c>
      <c r="E1556">
        <v>0</v>
      </c>
      <c r="F1556">
        <v>2527102.58</v>
      </c>
      <c r="G1556" s="8" t="s">
        <v>1381</v>
      </c>
      <c r="I1556" s="232">
        <v>43803</v>
      </c>
    </row>
    <row r="1557" spans="1:9" hidden="1">
      <c r="A1557" s="232">
        <v>43803</v>
      </c>
      <c r="C1557" t="s">
        <v>6250</v>
      </c>
      <c r="D1557">
        <v>0</v>
      </c>
      <c r="E1557">
        <v>245113</v>
      </c>
      <c r="F1557">
        <v>2772215.58</v>
      </c>
      <c r="G1557" s="8" t="s">
        <v>1380</v>
      </c>
      <c r="I1557" s="232">
        <v>43803</v>
      </c>
    </row>
    <row r="1558" spans="1:9" hidden="1">
      <c r="A1558" s="232">
        <v>43804</v>
      </c>
      <c r="B1558" t="s">
        <v>1938</v>
      </c>
      <c r="C1558" t="s">
        <v>6251</v>
      </c>
      <c r="D1558">
        <v>0</v>
      </c>
      <c r="E1558">
        <v>2246.38</v>
      </c>
      <c r="F1558">
        <v>2774461.96</v>
      </c>
      <c r="G1558" s="8" t="s">
        <v>1375</v>
      </c>
      <c r="I1558" s="232">
        <v>43804</v>
      </c>
    </row>
    <row r="1559" spans="1:9" hidden="1">
      <c r="A1559" s="232">
        <v>43805</v>
      </c>
      <c r="B1559" t="s">
        <v>1938</v>
      </c>
      <c r="C1559" t="s">
        <v>6252</v>
      </c>
      <c r="D1559">
        <v>0</v>
      </c>
      <c r="E1559">
        <v>13817.26</v>
      </c>
      <c r="F1559">
        <v>2788279.22</v>
      </c>
      <c r="G1559" s="8" t="s">
        <v>1375</v>
      </c>
      <c r="I1559" s="232">
        <v>43805</v>
      </c>
    </row>
    <row r="1560" spans="1:9" hidden="1">
      <c r="A1560" s="232">
        <v>43808</v>
      </c>
      <c r="B1560" t="s">
        <v>1997</v>
      </c>
      <c r="C1560" t="s">
        <v>6253</v>
      </c>
      <c r="D1560">
        <v>2000</v>
      </c>
      <c r="E1560">
        <v>0</v>
      </c>
      <c r="F1560">
        <v>2786279.22</v>
      </c>
      <c r="I1560" s="232">
        <v>43808</v>
      </c>
    </row>
    <row r="1561" spans="1:9" hidden="1">
      <c r="A1561" s="232">
        <v>43818</v>
      </c>
      <c r="C1561" t="s">
        <v>6254</v>
      </c>
      <c r="D1561">
        <v>499.12</v>
      </c>
      <c r="E1561">
        <v>0</v>
      </c>
      <c r="F1561">
        <v>2785780.1</v>
      </c>
      <c r="I1561" s="232">
        <v>43818</v>
      </c>
    </row>
    <row r="1562" spans="1:9" hidden="1">
      <c r="A1562" s="232">
        <v>43826</v>
      </c>
      <c r="C1562" t="s">
        <v>6255</v>
      </c>
      <c r="D1562">
        <v>588.82000000000005</v>
      </c>
      <c r="E1562">
        <v>0</v>
      </c>
      <c r="F1562">
        <v>2785191.28</v>
      </c>
      <c r="G1562" s="8" t="s">
        <v>1362</v>
      </c>
      <c r="I1562" s="232">
        <v>43826</v>
      </c>
    </row>
    <row r="1563" spans="1:9" hidden="1">
      <c r="A1563" s="232">
        <v>43829</v>
      </c>
      <c r="B1563" t="s">
        <v>1997</v>
      </c>
      <c r="C1563" t="s">
        <v>6256</v>
      </c>
      <c r="D1563">
        <v>0</v>
      </c>
      <c r="E1563">
        <v>1</v>
      </c>
      <c r="F1563">
        <v>2785192.28</v>
      </c>
      <c r="G1563" s="8" t="s">
        <v>1375</v>
      </c>
      <c r="I1563" s="232">
        <v>43829</v>
      </c>
    </row>
    <row r="1564" spans="1:9" hidden="1">
      <c r="A1564" s="232">
        <v>43830</v>
      </c>
      <c r="C1564" t="s">
        <v>6257</v>
      </c>
      <c r="D1564">
        <v>0</v>
      </c>
      <c r="E1564">
        <v>24402</v>
      </c>
      <c r="F1564">
        <v>2809594.28</v>
      </c>
      <c r="G1564" s="8" t="s">
        <v>1368</v>
      </c>
      <c r="I1564" s="232">
        <v>43830</v>
      </c>
    </row>
    <row r="1565" spans="1:9" hidden="1">
      <c r="A1565" s="232">
        <v>43831</v>
      </c>
      <c r="B1565" t="s">
        <v>1914</v>
      </c>
      <c r="C1565" t="s">
        <v>6062</v>
      </c>
      <c r="D1565">
        <v>10000</v>
      </c>
      <c r="E1565">
        <v>0</v>
      </c>
      <c r="F1565">
        <v>2799594.28</v>
      </c>
      <c r="G1565" s="8" t="s">
        <v>1379</v>
      </c>
      <c r="I1565" s="232">
        <v>43831</v>
      </c>
    </row>
    <row r="1566" spans="1:9" hidden="1">
      <c r="A1566" s="232">
        <v>43831</v>
      </c>
      <c r="B1566" t="s">
        <v>1914</v>
      </c>
      <c r="C1566" t="s">
        <v>6062</v>
      </c>
      <c r="D1566">
        <v>3500</v>
      </c>
      <c r="E1566">
        <v>0</v>
      </c>
      <c r="F1566">
        <v>2796094.28</v>
      </c>
      <c r="G1566" s="8" t="s">
        <v>1379</v>
      </c>
      <c r="I1566" s="232">
        <v>43831</v>
      </c>
    </row>
    <row r="1567" spans="1:9" hidden="1">
      <c r="A1567" s="232">
        <v>43831</v>
      </c>
      <c r="B1567" t="s">
        <v>1997</v>
      </c>
      <c r="C1567" t="s">
        <v>6258</v>
      </c>
      <c r="D1567">
        <v>2000</v>
      </c>
      <c r="E1567">
        <v>0</v>
      </c>
      <c r="F1567">
        <v>2794094.28</v>
      </c>
      <c r="I1567" s="232">
        <v>43831</v>
      </c>
    </row>
    <row r="1568" spans="1:9" hidden="1">
      <c r="A1568" s="232">
        <v>43831</v>
      </c>
      <c r="B1568" t="s">
        <v>1997</v>
      </c>
      <c r="C1568" t="s">
        <v>6259</v>
      </c>
      <c r="D1568">
        <v>20000</v>
      </c>
      <c r="E1568">
        <v>0</v>
      </c>
      <c r="F1568">
        <v>2774094.28</v>
      </c>
      <c r="G1568" s="8" t="s">
        <v>1358</v>
      </c>
      <c r="I1568" s="232">
        <v>43831</v>
      </c>
    </row>
    <row r="1569" spans="1:9" hidden="1">
      <c r="A1569" s="232">
        <v>43833</v>
      </c>
      <c r="B1569" t="s">
        <v>2737</v>
      </c>
      <c r="C1569" t="s">
        <v>5413</v>
      </c>
      <c r="D1569">
        <v>10000</v>
      </c>
      <c r="E1569">
        <v>0</v>
      </c>
      <c r="F1569">
        <v>2764094.28</v>
      </c>
      <c r="G1569" s="8" t="s">
        <v>1362</v>
      </c>
      <c r="I1569" s="232">
        <v>43833</v>
      </c>
    </row>
    <row r="1570" spans="1:9" hidden="1">
      <c r="A1570" s="232">
        <v>43833</v>
      </c>
      <c r="B1570" t="s">
        <v>1938</v>
      </c>
      <c r="C1570" t="s">
        <v>6260</v>
      </c>
      <c r="D1570">
        <v>0</v>
      </c>
      <c r="E1570">
        <v>2246.38</v>
      </c>
      <c r="F1570">
        <v>2766340.66</v>
      </c>
      <c r="G1570" s="8" t="s">
        <v>1375</v>
      </c>
      <c r="I1570" s="232">
        <v>43833</v>
      </c>
    </row>
    <row r="1571" spans="1:9" hidden="1">
      <c r="A1571" s="232">
        <v>43836</v>
      </c>
      <c r="B1571" t="s">
        <v>1938</v>
      </c>
      <c r="C1571" t="s">
        <v>6261</v>
      </c>
      <c r="D1571">
        <v>0</v>
      </c>
      <c r="E1571">
        <v>13817.26</v>
      </c>
      <c r="F1571">
        <v>2780157.92</v>
      </c>
      <c r="G1571" s="8" t="s">
        <v>1375</v>
      </c>
      <c r="I1571" s="232">
        <v>43836</v>
      </c>
    </row>
    <row r="1572" spans="1:9" hidden="1">
      <c r="A1572" s="232">
        <v>43840</v>
      </c>
      <c r="B1572" t="s">
        <v>2737</v>
      </c>
      <c r="C1572" t="s">
        <v>6145</v>
      </c>
      <c r="D1572">
        <v>27890</v>
      </c>
      <c r="E1572">
        <v>0</v>
      </c>
      <c r="F1572">
        <v>2752267.92</v>
      </c>
      <c r="G1572" s="8" t="s">
        <v>1362</v>
      </c>
      <c r="I1572" s="232">
        <v>43840</v>
      </c>
    </row>
    <row r="1573" spans="1:9" hidden="1">
      <c r="A1573" s="232">
        <v>43845</v>
      </c>
      <c r="C1573" t="s">
        <v>6262</v>
      </c>
      <c r="D1573">
        <v>2205</v>
      </c>
      <c r="E1573">
        <v>0</v>
      </c>
      <c r="F1573">
        <v>2750062.92</v>
      </c>
      <c r="I1573" s="232">
        <v>43845</v>
      </c>
    </row>
    <row r="1574" spans="1:9" hidden="1">
      <c r="A1574" s="232">
        <v>43850</v>
      </c>
      <c r="C1574" t="s">
        <v>6250</v>
      </c>
      <c r="D1574">
        <v>0</v>
      </c>
      <c r="E1574">
        <v>951290</v>
      </c>
      <c r="F1574">
        <v>3701352.92</v>
      </c>
      <c r="G1574" s="8" t="s">
        <v>1380</v>
      </c>
      <c r="I1574" s="232">
        <v>43850</v>
      </c>
    </row>
    <row r="1575" spans="1:9" hidden="1">
      <c r="A1575" s="232">
        <v>43862</v>
      </c>
      <c r="B1575" t="s">
        <v>1914</v>
      </c>
      <c r="C1575" t="s">
        <v>6062</v>
      </c>
      <c r="D1575">
        <v>10000</v>
      </c>
      <c r="E1575">
        <v>0</v>
      </c>
      <c r="F1575">
        <v>3691352.92</v>
      </c>
      <c r="G1575" s="8" t="s">
        <v>1379</v>
      </c>
      <c r="I1575" s="232">
        <v>43862</v>
      </c>
    </row>
    <row r="1576" spans="1:9" hidden="1">
      <c r="A1576" s="232">
        <v>43862</v>
      </c>
      <c r="B1576" t="s">
        <v>1914</v>
      </c>
      <c r="C1576" t="s">
        <v>6062</v>
      </c>
      <c r="D1576">
        <v>3500</v>
      </c>
      <c r="E1576">
        <v>0</v>
      </c>
      <c r="F1576">
        <v>3687852.92</v>
      </c>
      <c r="G1576" s="8" t="s">
        <v>1379</v>
      </c>
      <c r="I1576" s="232">
        <v>43862</v>
      </c>
    </row>
    <row r="1577" spans="1:9" hidden="1">
      <c r="A1577" s="232">
        <v>43864</v>
      </c>
      <c r="C1577" t="s">
        <v>6263</v>
      </c>
      <c r="D1577">
        <v>10000</v>
      </c>
      <c r="E1577">
        <v>0</v>
      </c>
      <c r="F1577">
        <v>3677852.92</v>
      </c>
      <c r="I1577" s="232">
        <v>43864</v>
      </c>
    </row>
    <row r="1578" spans="1:9" hidden="1">
      <c r="A1578" s="232">
        <v>43864</v>
      </c>
      <c r="B1578" t="s">
        <v>2737</v>
      </c>
      <c r="C1578" t="s">
        <v>5413</v>
      </c>
      <c r="D1578">
        <v>3108.72</v>
      </c>
      <c r="E1578">
        <v>0</v>
      </c>
      <c r="F1578">
        <v>3674744.2</v>
      </c>
      <c r="G1578" s="8" t="s">
        <v>1362</v>
      </c>
      <c r="I1578" s="232">
        <v>43864</v>
      </c>
    </row>
    <row r="1579" spans="1:9" hidden="1">
      <c r="A1579" s="232">
        <v>43866</v>
      </c>
      <c r="B1579" t="s">
        <v>1997</v>
      </c>
      <c r="C1579" t="s">
        <v>6264</v>
      </c>
      <c r="D1579">
        <v>20000</v>
      </c>
      <c r="E1579">
        <v>0</v>
      </c>
      <c r="F1579">
        <v>3654744.2</v>
      </c>
      <c r="G1579" s="8" t="s">
        <v>1358</v>
      </c>
      <c r="I1579" s="232">
        <v>43866</v>
      </c>
    </row>
    <row r="1580" spans="1:9" hidden="1">
      <c r="A1580" s="232">
        <v>43867</v>
      </c>
      <c r="B1580" t="s">
        <v>1938</v>
      </c>
      <c r="C1580" t="s">
        <v>6265</v>
      </c>
      <c r="D1580">
        <v>0</v>
      </c>
      <c r="E1580">
        <v>2246.38</v>
      </c>
      <c r="F1580">
        <v>3656990.58</v>
      </c>
      <c r="G1580" s="8" t="s">
        <v>1375</v>
      </c>
      <c r="I1580" s="232">
        <v>43867</v>
      </c>
    </row>
    <row r="1581" spans="1:9" hidden="1">
      <c r="A1581" s="232">
        <v>43868</v>
      </c>
      <c r="C1581" t="s">
        <v>6266</v>
      </c>
      <c r="D1581">
        <v>2399</v>
      </c>
      <c r="E1581">
        <v>0</v>
      </c>
      <c r="F1581">
        <v>3654591.58</v>
      </c>
      <c r="I1581" s="232">
        <v>43868</v>
      </c>
    </row>
    <row r="1582" spans="1:9" hidden="1">
      <c r="A1582" s="232">
        <v>43868</v>
      </c>
      <c r="B1582" t="s">
        <v>1938</v>
      </c>
      <c r="C1582" t="s">
        <v>6267</v>
      </c>
      <c r="D1582">
        <v>0</v>
      </c>
      <c r="E1582">
        <v>13817.26</v>
      </c>
      <c r="F1582">
        <v>3668408.84</v>
      </c>
      <c r="G1582" s="8" t="s">
        <v>1375</v>
      </c>
      <c r="I1582" s="232">
        <v>43868</v>
      </c>
    </row>
    <row r="1583" spans="1:9" hidden="1">
      <c r="A1583" s="232">
        <v>43871</v>
      </c>
      <c r="B1583" t="s">
        <v>2737</v>
      </c>
      <c r="C1583" t="s">
        <v>6145</v>
      </c>
      <c r="D1583">
        <v>16309</v>
      </c>
      <c r="E1583">
        <v>0</v>
      </c>
      <c r="F1583">
        <v>3652099.84</v>
      </c>
      <c r="G1583" s="8" t="s">
        <v>1362</v>
      </c>
      <c r="I1583" s="232">
        <v>43871</v>
      </c>
    </row>
    <row r="1584" spans="1:9" hidden="1">
      <c r="A1584" s="232">
        <v>43872</v>
      </c>
      <c r="B1584" t="s">
        <v>1997</v>
      </c>
      <c r="C1584" t="s">
        <v>6268</v>
      </c>
      <c r="D1584">
        <v>2000</v>
      </c>
      <c r="E1584">
        <v>0</v>
      </c>
      <c r="F1584">
        <v>3650099.84</v>
      </c>
      <c r="I1584" s="232">
        <v>43872</v>
      </c>
    </row>
    <row r="1585" spans="1:9" hidden="1">
      <c r="A1585" s="232">
        <v>43886</v>
      </c>
      <c r="C1585" t="s">
        <v>6269</v>
      </c>
      <c r="D1585">
        <v>59138</v>
      </c>
      <c r="E1585">
        <v>0</v>
      </c>
      <c r="F1585">
        <v>3590961.84</v>
      </c>
      <c r="G1585" s="8" t="s">
        <v>1370</v>
      </c>
      <c r="I1585" s="232">
        <v>43886</v>
      </c>
    </row>
    <row r="1586" spans="1:9" hidden="1">
      <c r="A1586" s="232">
        <v>43892</v>
      </c>
      <c r="B1586" t="s">
        <v>1914</v>
      </c>
      <c r="C1586" t="s">
        <v>6062</v>
      </c>
      <c r="D1586">
        <v>10000</v>
      </c>
      <c r="E1586">
        <v>0</v>
      </c>
      <c r="F1586">
        <v>3580961.84</v>
      </c>
      <c r="G1586" s="8" t="s">
        <v>1379</v>
      </c>
      <c r="I1586" s="232">
        <v>43892</v>
      </c>
    </row>
    <row r="1587" spans="1:9" hidden="1">
      <c r="A1587" s="232">
        <v>43892</v>
      </c>
      <c r="B1587" t="s">
        <v>1914</v>
      </c>
      <c r="C1587" t="s">
        <v>6062</v>
      </c>
      <c r="D1587">
        <v>3500</v>
      </c>
      <c r="E1587">
        <v>0</v>
      </c>
      <c r="F1587">
        <v>3577461.84</v>
      </c>
      <c r="G1587" s="8" t="s">
        <v>1379</v>
      </c>
      <c r="I1587" s="232">
        <v>43892</v>
      </c>
    </row>
    <row r="1588" spans="1:9" hidden="1">
      <c r="A1588" s="232">
        <v>43892</v>
      </c>
      <c r="B1588" t="s">
        <v>1997</v>
      </c>
      <c r="C1588" t="s">
        <v>6270</v>
      </c>
      <c r="D1588">
        <v>2000</v>
      </c>
      <c r="E1588">
        <v>0</v>
      </c>
      <c r="F1588">
        <v>3575461.84</v>
      </c>
      <c r="I1588" s="232">
        <v>43892</v>
      </c>
    </row>
    <row r="1589" spans="1:9" hidden="1">
      <c r="A1589" s="232">
        <v>43892</v>
      </c>
      <c r="B1589" t="s">
        <v>1997</v>
      </c>
      <c r="C1589" t="s">
        <v>6271</v>
      </c>
      <c r="D1589">
        <v>20000</v>
      </c>
      <c r="E1589">
        <v>0</v>
      </c>
      <c r="F1589">
        <v>3555461.84</v>
      </c>
      <c r="G1589" s="8" t="s">
        <v>1358</v>
      </c>
      <c r="I1589" s="232">
        <v>43892</v>
      </c>
    </row>
    <row r="1590" spans="1:9" hidden="1">
      <c r="A1590" s="232">
        <v>43895</v>
      </c>
      <c r="B1590" t="s">
        <v>1938</v>
      </c>
      <c r="C1590" t="s">
        <v>6272</v>
      </c>
      <c r="D1590">
        <v>0</v>
      </c>
      <c r="E1590">
        <v>2246.38</v>
      </c>
      <c r="F1590">
        <v>3557708.22</v>
      </c>
      <c r="G1590" s="8" t="s">
        <v>1375</v>
      </c>
      <c r="I1590" s="232">
        <v>43895</v>
      </c>
    </row>
    <row r="1591" spans="1:9" hidden="1">
      <c r="A1591" s="232">
        <v>43896</v>
      </c>
      <c r="B1591" t="s">
        <v>1938</v>
      </c>
      <c r="C1591" t="s">
        <v>6273</v>
      </c>
      <c r="D1591">
        <v>0</v>
      </c>
      <c r="E1591">
        <v>13817.26</v>
      </c>
      <c r="F1591">
        <v>3571525.48</v>
      </c>
      <c r="G1591" s="8" t="s">
        <v>1375</v>
      </c>
      <c r="I1591" s="232">
        <v>43896</v>
      </c>
    </row>
    <row r="1592" spans="1:9" hidden="1">
      <c r="A1592" s="232">
        <v>43902</v>
      </c>
      <c r="B1592" t="s">
        <v>2737</v>
      </c>
      <c r="C1592" t="s">
        <v>6145</v>
      </c>
      <c r="D1592">
        <v>11169</v>
      </c>
      <c r="E1592">
        <v>0</v>
      </c>
      <c r="F1592">
        <v>3560356.48</v>
      </c>
      <c r="G1592" s="8" t="s">
        <v>1362</v>
      </c>
      <c r="I1592" s="232">
        <v>43902</v>
      </c>
    </row>
    <row r="1593" spans="1:9" hidden="1">
      <c r="A1593" s="232">
        <v>43908</v>
      </c>
      <c r="B1593" t="s">
        <v>1914</v>
      </c>
      <c r="C1593" t="s">
        <v>6274</v>
      </c>
      <c r="D1593" s="69">
        <v>10000</v>
      </c>
      <c r="E1593">
        <v>0</v>
      </c>
      <c r="F1593">
        <v>3550356.48</v>
      </c>
      <c r="G1593" s="8" t="s">
        <v>1372</v>
      </c>
      <c r="I1593" s="232">
        <v>43908</v>
      </c>
    </row>
    <row r="1594" spans="1:9" hidden="1">
      <c r="A1594" s="232">
        <v>43920</v>
      </c>
      <c r="C1594" t="s">
        <v>6275</v>
      </c>
      <c r="D1594">
        <v>40</v>
      </c>
      <c r="E1594">
        <v>0</v>
      </c>
      <c r="F1594">
        <v>3550316.48</v>
      </c>
      <c r="I1594" s="232">
        <v>43920</v>
      </c>
    </row>
    <row r="1595" spans="1:9" hidden="1">
      <c r="A1595" s="232">
        <v>43920</v>
      </c>
      <c r="C1595" t="s">
        <v>6276</v>
      </c>
      <c r="D1595">
        <v>0</v>
      </c>
      <c r="E1595">
        <v>100</v>
      </c>
      <c r="F1595">
        <v>3550416.48</v>
      </c>
      <c r="G1595" s="8" t="s">
        <v>1363</v>
      </c>
      <c r="I1595" s="232">
        <v>43920</v>
      </c>
    </row>
    <row r="1596" spans="1:9" hidden="1">
      <c r="A1596" s="232">
        <v>43920</v>
      </c>
      <c r="C1596" t="s">
        <v>6277</v>
      </c>
      <c r="D1596">
        <v>1000</v>
      </c>
      <c r="E1596">
        <v>0</v>
      </c>
      <c r="F1596">
        <v>3549416.48</v>
      </c>
      <c r="I1596" s="232">
        <v>43920</v>
      </c>
    </row>
    <row r="1597" spans="1:9" hidden="1">
      <c r="A1597" s="232">
        <v>43920</v>
      </c>
      <c r="C1597" t="s">
        <v>6278</v>
      </c>
      <c r="D1597">
        <v>0</v>
      </c>
      <c r="E1597">
        <v>1000</v>
      </c>
      <c r="F1597">
        <v>3550416.48</v>
      </c>
      <c r="I1597" s="232">
        <v>43920</v>
      </c>
    </row>
    <row r="1598" spans="1:9" hidden="1">
      <c r="A1598" s="232">
        <v>43920</v>
      </c>
      <c r="C1598" t="s">
        <v>6279</v>
      </c>
      <c r="D1598">
        <v>0</v>
      </c>
      <c r="E1598">
        <v>29594</v>
      </c>
      <c r="F1598">
        <v>3580010.48</v>
      </c>
      <c r="G1598" s="8" t="s">
        <v>1368</v>
      </c>
      <c r="I1598" s="232">
        <v>43920</v>
      </c>
    </row>
    <row r="1599" spans="1:9" hidden="1">
      <c r="A1599" s="232">
        <v>43920</v>
      </c>
      <c r="C1599" t="s">
        <v>6280</v>
      </c>
      <c r="D1599">
        <v>3000</v>
      </c>
      <c r="E1599">
        <v>0</v>
      </c>
      <c r="F1599">
        <v>3577010.48</v>
      </c>
      <c r="I1599" s="232">
        <v>43920</v>
      </c>
    </row>
    <row r="1600" spans="1:9" hidden="1">
      <c r="A1600" s="232">
        <v>43920</v>
      </c>
      <c r="C1600" t="s">
        <v>6281</v>
      </c>
      <c r="D1600">
        <v>0</v>
      </c>
      <c r="E1600">
        <v>3000</v>
      </c>
      <c r="F1600">
        <v>3580010.48</v>
      </c>
      <c r="I1600" s="232">
        <v>43920</v>
      </c>
    </row>
    <row r="1601" spans="1:9" hidden="1">
      <c r="A1601" s="232">
        <v>43920</v>
      </c>
      <c r="C1601" t="s">
        <v>6282</v>
      </c>
      <c r="D1601">
        <v>3000</v>
      </c>
      <c r="E1601">
        <v>0</v>
      </c>
      <c r="F1601">
        <v>3577010.48</v>
      </c>
      <c r="I1601" s="232">
        <v>43920</v>
      </c>
    </row>
    <row r="1602" spans="1:9" hidden="1">
      <c r="A1602" s="232">
        <v>43921</v>
      </c>
      <c r="C1602" t="s">
        <v>6283</v>
      </c>
      <c r="D1602">
        <v>410</v>
      </c>
      <c r="E1602">
        <v>0</v>
      </c>
      <c r="F1602">
        <v>3576600.48</v>
      </c>
      <c r="I1602" s="232">
        <v>43921</v>
      </c>
    </row>
    <row r="1603" spans="1:9" hidden="1">
      <c r="A1603" s="232">
        <v>43922</v>
      </c>
      <c r="C1603" t="s">
        <v>1394</v>
      </c>
      <c r="D1603">
        <v>0</v>
      </c>
      <c r="E1603">
        <v>0</v>
      </c>
      <c r="F1603">
        <v>3576600.48</v>
      </c>
      <c r="I1603" s="232">
        <v>43922</v>
      </c>
    </row>
    <row r="1604" spans="1:9" hidden="1">
      <c r="A1604" s="232">
        <v>43923</v>
      </c>
      <c r="B1604" t="s">
        <v>1914</v>
      </c>
      <c r="C1604" t="s">
        <v>6062</v>
      </c>
      <c r="D1604">
        <v>10000</v>
      </c>
      <c r="E1604">
        <v>0</v>
      </c>
      <c r="F1604">
        <v>3566600.48</v>
      </c>
      <c r="G1604" s="8" t="s">
        <v>1379</v>
      </c>
      <c r="I1604" s="232">
        <v>43923</v>
      </c>
    </row>
    <row r="1605" spans="1:9" hidden="1">
      <c r="A1605" s="232">
        <v>43923</v>
      </c>
      <c r="B1605" t="s">
        <v>1914</v>
      </c>
      <c r="C1605" t="s">
        <v>6062</v>
      </c>
      <c r="D1605">
        <v>3500</v>
      </c>
      <c r="E1605">
        <v>0</v>
      </c>
      <c r="F1605">
        <v>3563100.48</v>
      </c>
      <c r="G1605" s="8" t="s">
        <v>1379</v>
      </c>
      <c r="I1605" s="232">
        <v>43923</v>
      </c>
    </row>
    <row r="1606" spans="1:9" hidden="1">
      <c r="A1606" s="232">
        <v>43923</v>
      </c>
      <c r="C1606" t="s">
        <v>6284</v>
      </c>
      <c r="D1606">
        <v>290</v>
      </c>
      <c r="E1606">
        <v>0</v>
      </c>
      <c r="F1606">
        <v>3562810.48</v>
      </c>
      <c r="I1606" s="232">
        <v>43923</v>
      </c>
    </row>
    <row r="1607" spans="1:9" hidden="1">
      <c r="A1607" s="232">
        <v>43923</v>
      </c>
      <c r="B1607" t="s">
        <v>1997</v>
      </c>
      <c r="C1607" t="s">
        <v>6285</v>
      </c>
      <c r="D1607">
        <v>20000</v>
      </c>
      <c r="E1607">
        <v>0</v>
      </c>
      <c r="F1607">
        <v>3542810.48</v>
      </c>
      <c r="G1607" s="8" t="s">
        <v>1358</v>
      </c>
      <c r="I1607" s="232">
        <v>43923</v>
      </c>
    </row>
    <row r="1608" spans="1:9" hidden="1">
      <c r="A1608" s="232">
        <v>43923</v>
      </c>
      <c r="B1608" t="s">
        <v>1997</v>
      </c>
      <c r="C1608" t="s">
        <v>6285</v>
      </c>
      <c r="D1608">
        <v>0</v>
      </c>
      <c r="E1608">
        <v>20000</v>
      </c>
      <c r="F1608">
        <v>3562810.48</v>
      </c>
      <c r="G1608" s="8" t="s">
        <v>1358</v>
      </c>
      <c r="I1608" s="232">
        <v>43923</v>
      </c>
    </row>
    <row r="1609" spans="1:9" hidden="1">
      <c r="A1609" s="232">
        <v>43923</v>
      </c>
      <c r="B1609" t="s">
        <v>1997</v>
      </c>
      <c r="C1609" t="s">
        <v>6286</v>
      </c>
      <c r="D1609">
        <v>20000</v>
      </c>
      <c r="E1609">
        <v>0</v>
      </c>
      <c r="F1609">
        <v>3542810.48</v>
      </c>
      <c r="G1609" s="8" t="s">
        <v>1358</v>
      </c>
      <c r="I1609" s="232">
        <v>43923</v>
      </c>
    </row>
    <row r="1610" spans="1:9" hidden="1">
      <c r="A1610" s="232">
        <v>43923</v>
      </c>
      <c r="B1610" t="s">
        <v>1997</v>
      </c>
      <c r="C1610" t="s">
        <v>6286</v>
      </c>
      <c r="D1610">
        <v>0</v>
      </c>
      <c r="E1610">
        <v>20000</v>
      </c>
      <c r="F1610">
        <v>3562810.48</v>
      </c>
      <c r="G1610" s="8" t="s">
        <v>1358</v>
      </c>
      <c r="I1610" s="232">
        <v>43923</v>
      </c>
    </row>
    <row r="1611" spans="1:9" hidden="1">
      <c r="A1611" s="232">
        <v>43923</v>
      </c>
      <c r="B1611" t="s">
        <v>1997</v>
      </c>
      <c r="C1611" t="s">
        <v>6287</v>
      </c>
      <c r="D1611">
        <v>5000</v>
      </c>
      <c r="E1611">
        <v>0</v>
      </c>
      <c r="F1611">
        <v>3557810.48</v>
      </c>
      <c r="G1611" s="8" t="s">
        <v>1358</v>
      </c>
      <c r="I1611" s="232">
        <v>43923</v>
      </c>
    </row>
    <row r="1612" spans="1:9" hidden="1">
      <c r="A1612" s="232">
        <v>43923</v>
      </c>
      <c r="B1612" t="s">
        <v>1997</v>
      </c>
      <c r="C1612" t="s">
        <v>6287</v>
      </c>
      <c r="D1612">
        <v>0</v>
      </c>
      <c r="E1612">
        <v>5000</v>
      </c>
      <c r="F1612">
        <v>3562810.48</v>
      </c>
      <c r="G1612" s="8" t="s">
        <v>1358</v>
      </c>
      <c r="I1612" s="232">
        <v>43923</v>
      </c>
    </row>
    <row r="1613" spans="1:9" hidden="1">
      <c r="A1613" s="232">
        <v>43923</v>
      </c>
      <c r="C1613" t="s">
        <v>6288</v>
      </c>
      <c r="D1613">
        <v>1130</v>
      </c>
      <c r="E1613">
        <v>0</v>
      </c>
      <c r="F1613">
        <v>3561680.48</v>
      </c>
      <c r="I1613" s="232">
        <v>43923</v>
      </c>
    </row>
    <row r="1614" spans="1:9" hidden="1">
      <c r="A1614" s="232">
        <v>43924</v>
      </c>
      <c r="C1614" t="s">
        <v>6289</v>
      </c>
      <c r="D1614">
        <v>3500</v>
      </c>
      <c r="E1614">
        <v>0</v>
      </c>
      <c r="F1614">
        <v>3558180.48</v>
      </c>
      <c r="I1614" s="232">
        <v>43924</v>
      </c>
    </row>
    <row r="1615" spans="1:9" hidden="1">
      <c r="A1615" s="232">
        <v>43924</v>
      </c>
      <c r="C1615" t="s">
        <v>6290</v>
      </c>
      <c r="D1615">
        <v>0</v>
      </c>
      <c r="E1615">
        <v>13</v>
      </c>
      <c r="F1615">
        <v>3558193.48</v>
      </c>
      <c r="I1615" s="232">
        <v>43924</v>
      </c>
    </row>
    <row r="1616" spans="1:9" hidden="1">
      <c r="A1616" s="232">
        <v>43924</v>
      </c>
      <c r="C1616" t="s">
        <v>6291</v>
      </c>
      <c r="D1616">
        <v>150000</v>
      </c>
      <c r="E1616">
        <v>0</v>
      </c>
      <c r="F1616">
        <v>3408193.48</v>
      </c>
      <c r="G1616" s="8" t="s">
        <v>1378</v>
      </c>
      <c r="I1616" s="232">
        <v>43924</v>
      </c>
    </row>
    <row r="1617" spans="1:9" hidden="1">
      <c r="A1617" s="232">
        <v>43925</v>
      </c>
      <c r="C1617" t="s">
        <v>6292</v>
      </c>
      <c r="D1617">
        <v>0</v>
      </c>
      <c r="E1617">
        <v>27</v>
      </c>
      <c r="F1617">
        <v>3408220.48</v>
      </c>
      <c r="I1617" s="232">
        <v>43925</v>
      </c>
    </row>
    <row r="1618" spans="1:9" hidden="1">
      <c r="A1618" s="232">
        <v>43927</v>
      </c>
      <c r="C1618" t="s">
        <v>6293</v>
      </c>
      <c r="D1618">
        <v>1470</v>
      </c>
      <c r="E1618">
        <v>0</v>
      </c>
      <c r="F1618">
        <v>3406750.48</v>
      </c>
      <c r="I1618" s="232">
        <v>43927</v>
      </c>
    </row>
    <row r="1619" spans="1:9" hidden="1">
      <c r="A1619" s="232">
        <v>43928</v>
      </c>
      <c r="C1619" t="s">
        <v>6294</v>
      </c>
      <c r="D1619">
        <v>2000</v>
      </c>
      <c r="E1619">
        <v>0</v>
      </c>
      <c r="F1619">
        <v>3404750.48</v>
      </c>
      <c r="I1619" s="232">
        <v>43928</v>
      </c>
    </row>
    <row r="1620" spans="1:9" hidden="1">
      <c r="A1620" s="232">
        <v>43928</v>
      </c>
      <c r="C1620" t="s">
        <v>6295</v>
      </c>
      <c r="D1620">
        <v>18000</v>
      </c>
      <c r="E1620">
        <v>0</v>
      </c>
      <c r="F1620">
        <v>3386750.48</v>
      </c>
      <c r="G1620" s="8" t="s">
        <v>1358</v>
      </c>
      <c r="I1620" s="232">
        <v>43928</v>
      </c>
    </row>
    <row r="1621" spans="1:9" hidden="1">
      <c r="A1621" s="232">
        <v>43929</v>
      </c>
      <c r="C1621" t="s">
        <v>6296</v>
      </c>
      <c r="D1621">
        <v>335</v>
      </c>
      <c r="E1621">
        <v>0</v>
      </c>
      <c r="F1621">
        <v>3386415.48</v>
      </c>
      <c r="I1621" s="232">
        <v>43929</v>
      </c>
    </row>
    <row r="1622" spans="1:9" hidden="1">
      <c r="A1622" s="232">
        <v>43929</v>
      </c>
      <c r="C1622" t="s">
        <v>6297</v>
      </c>
      <c r="D1622">
        <v>500000</v>
      </c>
      <c r="E1622">
        <v>0</v>
      </c>
      <c r="F1622">
        <v>2886415.48</v>
      </c>
      <c r="G1622" s="8" t="s">
        <v>1379</v>
      </c>
      <c r="I1622" s="232">
        <v>43929</v>
      </c>
    </row>
    <row r="1623" spans="1:9" hidden="1">
      <c r="A1623" s="232">
        <v>43929</v>
      </c>
      <c r="C1623" t="s">
        <v>6298</v>
      </c>
      <c r="D1623">
        <v>500000</v>
      </c>
      <c r="E1623">
        <v>0</v>
      </c>
      <c r="F1623">
        <v>2386415.48</v>
      </c>
      <c r="G1623" s="8" t="s">
        <v>1379</v>
      </c>
      <c r="I1623" s="232">
        <v>43929</v>
      </c>
    </row>
    <row r="1624" spans="1:9" hidden="1">
      <c r="A1624" s="232">
        <v>43929</v>
      </c>
      <c r="C1624" t="s">
        <v>6299</v>
      </c>
      <c r="D1624">
        <v>500000</v>
      </c>
      <c r="E1624">
        <v>0</v>
      </c>
      <c r="F1624">
        <v>1886415.48</v>
      </c>
      <c r="G1624" s="8" t="s">
        <v>1379</v>
      </c>
      <c r="I1624" s="232">
        <v>43929</v>
      </c>
    </row>
    <row r="1625" spans="1:9" hidden="1">
      <c r="A1625" s="232">
        <v>43929</v>
      </c>
      <c r="C1625" t="s">
        <v>6300</v>
      </c>
      <c r="D1625">
        <v>500000</v>
      </c>
      <c r="E1625">
        <v>0</v>
      </c>
      <c r="F1625">
        <v>1386415.48</v>
      </c>
      <c r="G1625" s="8" t="s">
        <v>1379</v>
      </c>
      <c r="I1625" s="232">
        <v>43929</v>
      </c>
    </row>
    <row r="1626" spans="1:9" hidden="1">
      <c r="A1626" s="232">
        <v>43929</v>
      </c>
      <c r="C1626" t="s">
        <v>6301</v>
      </c>
      <c r="D1626">
        <v>500000</v>
      </c>
      <c r="E1626">
        <v>0</v>
      </c>
      <c r="F1626">
        <v>886415.48</v>
      </c>
      <c r="G1626" s="8" t="s">
        <v>1379</v>
      </c>
      <c r="I1626" s="232">
        <v>43929</v>
      </c>
    </row>
    <row r="1627" spans="1:9" hidden="1">
      <c r="A1627" s="232">
        <v>43931</v>
      </c>
      <c r="B1627" t="s">
        <v>2737</v>
      </c>
      <c r="C1627" t="s">
        <v>6145</v>
      </c>
      <c r="D1627">
        <v>55316.639999999999</v>
      </c>
      <c r="E1627">
        <v>0</v>
      </c>
      <c r="F1627">
        <v>831098.84</v>
      </c>
      <c r="G1627" s="8" t="s">
        <v>1362</v>
      </c>
      <c r="I1627" s="232">
        <v>43931</v>
      </c>
    </row>
    <row r="1628" spans="1:9" hidden="1">
      <c r="A1628" s="232">
        <v>43934</v>
      </c>
      <c r="C1628" t="s">
        <v>6302</v>
      </c>
      <c r="D1628">
        <v>0</v>
      </c>
      <c r="E1628">
        <v>11</v>
      </c>
      <c r="F1628">
        <v>831109.84</v>
      </c>
      <c r="I1628" s="232">
        <v>43934</v>
      </c>
    </row>
    <row r="1629" spans="1:9" hidden="1">
      <c r="A1629" s="232">
        <v>43934</v>
      </c>
      <c r="C1629" t="s">
        <v>6303</v>
      </c>
      <c r="D1629">
        <v>600</v>
      </c>
      <c r="E1629">
        <v>0</v>
      </c>
      <c r="F1629">
        <v>830509.84</v>
      </c>
      <c r="I1629" s="232">
        <v>43934</v>
      </c>
    </row>
    <row r="1630" spans="1:9" hidden="1">
      <c r="A1630" s="232">
        <v>43935</v>
      </c>
      <c r="C1630" t="s">
        <v>6304</v>
      </c>
      <c r="D1630">
        <v>0</v>
      </c>
      <c r="E1630">
        <v>733</v>
      </c>
      <c r="F1630">
        <v>831242.84</v>
      </c>
      <c r="I1630" s="232">
        <v>43935</v>
      </c>
    </row>
    <row r="1631" spans="1:9" hidden="1">
      <c r="A1631" s="232">
        <v>43935</v>
      </c>
      <c r="C1631" t="s">
        <v>6305</v>
      </c>
      <c r="D1631">
        <v>0</v>
      </c>
      <c r="E1631">
        <v>160</v>
      </c>
      <c r="F1631">
        <v>831402.84</v>
      </c>
      <c r="I1631" s="232">
        <v>43935</v>
      </c>
    </row>
    <row r="1632" spans="1:9" hidden="1">
      <c r="A1632" s="232">
        <v>43939</v>
      </c>
      <c r="B1632" t="s">
        <v>1914</v>
      </c>
      <c r="C1632" t="s">
        <v>6306</v>
      </c>
      <c r="D1632" s="69">
        <v>10000</v>
      </c>
      <c r="E1632">
        <v>0</v>
      </c>
      <c r="F1632">
        <v>821402.84</v>
      </c>
      <c r="G1632" s="8" t="s">
        <v>1372</v>
      </c>
      <c r="I1632" s="232">
        <v>43939</v>
      </c>
    </row>
    <row r="1633" spans="1:9" hidden="1">
      <c r="A1633" s="232">
        <v>43939</v>
      </c>
      <c r="C1633" t="s">
        <v>6307</v>
      </c>
      <c r="D1633">
        <v>1155</v>
      </c>
      <c r="E1633">
        <v>0</v>
      </c>
      <c r="F1633">
        <v>820247.84</v>
      </c>
      <c r="I1633" s="232">
        <v>43939</v>
      </c>
    </row>
    <row r="1634" spans="1:9" hidden="1">
      <c r="A1634" s="232">
        <v>43944</v>
      </c>
      <c r="C1634" t="s">
        <v>6308</v>
      </c>
      <c r="D1634">
        <v>1060</v>
      </c>
      <c r="E1634">
        <v>0</v>
      </c>
      <c r="F1634">
        <v>819187.84</v>
      </c>
      <c r="I1634" s="232">
        <v>43944</v>
      </c>
    </row>
    <row r="1635" spans="1:9" hidden="1">
      <c r="A1635" s="232">
        <v>43948</v>
      </c>
      <c r="C1635" t="s">
        <v>6309</v>
      </c>
      <c r="D1635">
        <v>0</v>
      </c>
      <c r="E1635">
        <v>400</v>
      </c>
      <c r="F1635">
        <v>819587.84</v>
      </c>
      <c r="I1635" s="232">
        <v>43948</v>
      </c>
    </row>
    <row r="1636" spans="1:9" hidden="1">
      <c r="A1636" s="232">
        <v>43948</v>
      </c>
      <c r="C1636" t="s">
        <v>6310</v>
      </c>
      <c r="D1636">
        <v>0</v>
      </c>
      <c r="E1636">
        <v>200</v>
      </c>
      <c r="F1636">
        <v>819787.84</v>
      </c>
      <c r="G1636" s="8" t="s">
        <v>1363</v>
      </c>
      <c r="I1636" s="232">
        <v>43948</v>
      </c>
    </row>
    <row r="1637" spans="1:9" hidden="1">
      <c r="A1637" s="232">
        <v>43948</v>
      </c>
      <c r="C1637" t="s">
        <v>6311</v>
      </c>
      <c r="D1637">
        <v>400</v>
      </c>
      <c r="E1637">
        <v>0</v>
      </c>
      <c r="F1637">
        <v>819387.84</v>
      </c>
      <c r="I1637" s="232">
        <v>43948</v>
      </c>
    </row>
    <row r="1638" spans="1:9" hidden="1">
      <c r="A1638" s="232">
        <v>43948</v>
      </c>
      <c r="C1638" t="s">
        <v>6312</v>
      </c>
      <c r="D1638">
        <v>0</v>
      </c>
      <c r="E1638">
        <v>25000</v>
      </c>
      <c r="F1638">
        <v>844387.83999999997</v>
      </c>
      <c r="G1638" s="8" t="s">
        <v>1363</v>
      </c>
      <c r="I1638" s="232">
        <v>43948</v>
      </c>
    </row>
    <row r="1639" spans="1:9" hidden="1">
      <c r="A1639" s="232">
        <v>43949</v>
      </c>
      <c r="C1639" t="s">
        <v>6313</v>
      </c>
      <c r="D1639">
        <v>25000</v>
      </c>
      <c r="E1639">
        <v>0</v>
      </c>
      <c r="F1639">
        <v>819387.84</v>
      </c>
      <c r="G1639" s="8" t="s">
        <v>1384</v>
      </c>
      <c r="I1639" s="232">
        <v>43949</v>
      </c>
    </row>
    <row r="1640" spans="1:9" hidden="1">
      <c r="A1640" s="232">
        <v>43949</v>
      </c>
      <c r="C1640" t="s">
        <v>6314</v>
      </c>
      <c r="D1640">
        <v>537702.1</v>
      </c>
      <c r="E1640">
        <v>0</v>
      </c>
      <c r="F1640">
        <v>281685.74</v>
      </c>
      <c r="G1640" s="8" t="s">
        <v>1370</v>
      </c>
      <c r="I1640" s="232">
        <v>43949</v>
      </c>
    </row>
    <row r="1641" spans="1:9" hidden="1">
      <c r="A1641" s="232">
        <v>43951</v>
      </c>
      <c r="C1641" t="s">
        <v>6315</v>
      </c>
      <c r="D1641">
        <v>0</v>
      </c>
      <c r="E1641">
        <v>178317</v>
      </c>
      <c r="F1641">
        <v>460002.74</v>
      </c>
      <c r="G1641" s="8" t="s">
        <v>1379</v>
      </c>
      <c r="I1641" s="232">
        <v>43951</v>
      </c>
    </row>
    <row r="1642" spans="1:9" hidden="1">
      <c r="A1642" s="232">
        <v>43952</v>
      </c>
      <c r="B1642" t="s">
        <v>1914</v>
      </c>
      <c r="C1642" t="s">
        <v>6062</v>
      </c>
      <c r="D1642">
        <v>3500</v>
      </c>
      <c r="E1642">
        <v>0</v>
      </c>
      <c r="F1642">
        <v>456502.74</v>
      </c>
      <c r="G1642" s="8" t="s">
        <v>1379</v>
      </c>
      <c r="I1642" s="232">
        <v>43952</v>
      </c>
    </row>
    <row r="1643" spans="1:9" hidden="1">
      <c r="A1643" s="232">
        <v>43953</v>
      </c>
      <c r="B1643" t="s">
        <v>1997</v>
      </c>
      <c r="C1643" t="s">
        <v>6316</v>
      </c>
      <c r="D1643">
        <v>20000</v>
      </c>
      <c r="E1643">
        <v>0</v>
      </c>
      <c r="F1643">
        <v>436502.74</v>
      </c>
      <c r="G1643" s="8" t="s">
        <v>1358</v>
      </c>
      <c r="I1643" s="232">
        <v>43953</v>
      </c>
    </row>
    <row r="1644" spans="1:9" hidden="1">
      <c r="A1644" s="232">
        <v>43969</v>
      </c>
      <c r="B1644" t="s">
        <v>1997</v>
      </c>
      <c r="C1644" t="s">
        <v>6317</v>
      </c>
      <c r="D1644">
        <v>850</v>
      </c>
      <c r="E1644">
        <v>0</v>
      </c>
      <c r="F1644">
        <v>435652.74</v>
      </c>
      <c r="I1644" s="232">
        <v>43969</v>
      </c>
    </row>
    <row r="1645" spans="1:9" hidden="1">
      <c r="A1645" s="232">
        <v>43969</v>
      </c>
      <c r="B1645" t="s">
        <v>1914</v>
      </c>
      <c r="C1645" t="s">
        <v>6318</v>
      </c>
      <c r="D1645" s="69">
        <v>10000</v>
      </c>
      <c r="E1645">
        <v>0</v>
      </c>
      <c r="F1645">
        <v>425652.74</v>
      </c>
      <c r="G1645" s="8" t="s">
        <v>1372</v>
      </c>
      <c r="I1645" s="232">
        <v>43969</v>
      </c>
    </row>
    <row r="1646" spans="1:9" hidden="1">
      <c r="A1646" s="232">
        <v>43979</v>
      </c>
      <c r="C1646" t="s">
        <v>6319</v>
      </c>
      <c r="D1646">
        <v>409847.28</v>
      </c>
      <c r="E1646">
        <v>0</v>
      </c>
      <c r="F1646">
        <v>15805.46</v>
      </c>
      <c r="G1646" s="8" t="s">
        <v>1370</v>
      </c>
      <c r="I1646" s="232">
        <v>43979</v>
      </c>
    </row>
    <row r="1647" spans="1:9" hidden="1">
      <c r="A1647" s="232">
        <v>43983</v>
      </c>
      <c r="C1647" t="s">
        <v>6320</v>
      </c>
      <c r="D1647">
        <v>801</v>
      </c>
      <c r="E1647">
        <v>0</v>
      </c>
      <c r="F1647">
        <v>15004.46</v>
      </c>
      <c r="I1647" s="232">
        <v>43983</v>
      </c>
    </row>
    <row r="1648" spans="1:9" hidden="1">
      <c r="A1648" s="232">
        <v>43983</v>
      </c>
      <c r="B1648" t="s">
        <v>1914</v>
      </c>
      <c r="C1648" t="s">
        <v>6062</v>
      </c>
      <c r="D1648">
        <v>3500</v>
      </c>
      <c r="E1648">
        <v>0</v>
      </c>
      <c r="F1648">
        <v>11504.46</v>
      </c>
      <c r="G1648" s="8" t="s">
        <v>1379</v>
      </c>
      <c r="I1648" s="232">
        <v>43983</v>
      </c>
    </row>
    <row r="1649" spans="1:9" hidden="1">
      <c r="A1649" s="232">
        <v>43983</v>
      </c>
      <c r="B1649" t="s">
        <v>1997</v>
      </c>
      <c r="C1649" t="s">
        <v>6321</v>
      </c>
      <c r="D1649">
        <v>20000</v>
      </c>
      <c r="E1649">
        <v>0</v>
      </c>
      <c r="F1649">
        <v>-8495.5400000000009</v>
      </c>
      <c r="G1649" s="8" t="s">
        <v>1358</v>
      </c>
      <c r="I1649" s="232">
        <v>43983</v>
      </c>
    </row>
    <row r="1650" spans="1:9" hidden="1">
      <c r="A1650" s="232">
        <v>43984</v>
      </c>
      <c r="C1650" t="s">
        <v>5301</v>
      </c>
      <c r="D1650">
        <v>0</v>
      </c>
      <c r="E1650">
        <v>20000</v>
      </c>
      <c r="F1650">
        <v>11504.46</v>
      </c>
      <c r="G1650" s="8" t="s">
        <v>1379</v>
      </c>
      <c r="I1650" s="232">
        <v>43984</v>
      </c>
    </row>
    <row r="1651" spans="1:9" hidden="1">
      <c r="A1651" s="232">
        <v>43984</v>
      </c>
      <c r="C1651" t="s">
        <v>6322</v>
      </c>
      <c r="D1651">
        <v>0</v>
      </c>
      <c r="E1651">
        <v>447</v>
      </c>
      <c r="F1651">
        <v>11951.46</v>
      </c>
      <c r="G1651" s="8" t="s">
        <v>1379</v>
      </c>
      <c r="I1651" s="232">
        <v>43984</v>
      </c>
    </row>
    <row r="1652" spans="1:9" hidden="1">
      <c r="A1652" s="232">
        <v>43990</v>
      </c>
      <c r="B1652" t="s">
        <v>1914</v>
      </c>
      <c r="C1652" t="s">
        <v>6323</v>
      </c>
      <c r="D1652" s="69">
        <v>10000</v>
      </c>
      <c r="E1652">
        <v>0</v>
      </c>
      <c r="F1652">
        <v>1951.46</v>
      </c>
      <c r="G1652" s="8" t="s">
        <v>1372</v>
      </c>
      <c r="I1652" s="232">
        <v>43990</v>
      </c>
    </row>
    <row r="1653" spans="1:9" hidden="1">
      <c r="A1653" s="232">
        <v>43990</v>
      </c>
      <c r="C1653" t="s">
        <v>5301</v>
      </c>
      <c r="D1653">
        <v>0</v>
      </c>
      <c r="E1653">
        <v>10000</v>
      </c>
      <c r="F1653">
        <v>11951.46</v>
      </c>
      <c r="G1653" s="8" t="s">
        <v>1379</v>
      </c>
      <c r="I1653" s="232">
        <v>43990</v>
      </c>
    </row>
    <row r="1654" spans="1:9" hidden="1">
      <c r="A1654" s="232">
        <v>43990</v>
      </c>
      <c r="C1654" t="s">
        <v>6322</v>
      </c>
      <c r="D1654">
        <v>0</v>
      </c>
      <c r="E1654">
        <v>233</v>
      </c>
      <c r="F1654">
        <v>12184.46</v>
      </c>
      <c r="G1654" s="8" t="s">
        <v>1379</v>
      </c>
      <c r="I1654" s="232">
        <v>43990</v>
      </c>
    </row>
    <row r="1655" spans="1:9" hidden="1">
      <c r="A1655" s="232">
        <v>43993</v>
      </c>
      <c r="C1655" t="s">
        <v>6324</v>
      </c>
      <c r="D1655">
        <v>0</v>
      </c>
      <c r="E1655">
        <v>400000</v>
      </c>
      <c r="F1655">
        <v>412184.46</v>
      </c>
      <c r="G1655" s="8" t="s">
        <v>1375</v>
      </c>
      <c r="I1655" s="232">
        <v>43993</v>
      </c>
    </row>
    <row r="1656" spans="1:9" hidden="1">
      <c r="A1656" s="232">
        <v>43999</v>
      </c>
      <c r="B1656" t="s">
        <v>1938</v>
      </c>
      <c r="C1656" t="s">
        <v>6325</v>
      </c>
      <c r="D1656">
        <v>0</v>
      </c>
      <c r="E1656">
        <v>1811.59</v>
      </c>
      <c r="F1656">
        <v>413996.05</v>
      </c>
      <c r="G1656" s="8" t="s">
        <v>1375</v>
      </c>
      <c r="I1656" s="232">
        <v>43999</v>
      </c>
    </row>
    <row r="1657" spans="1:9" hidden="1">
      <c r="A1657" s="232">
        <v>44000</v>
      </c>
      <c r="B1657" t="s">
        <v>1914</v>
      </c>
      <c r="C1657" t="s">
        <v>6326</v>
      </c>
      <c r="D1657" s="69">
        <v>10000</v>
      </c>
      <c r="E1657">
        <v>0</v>
      </c>
      <c r="F1657">
        <v>403996.05</v>
      </c>
      <c r="G1657" s="8" t="s">
        <v>1372</v>
      </c>
      <c r="I1657" s="232">
        <v>44000</v>
      </c>
    </row>
    <row r="1658" spans="1:9" hidden="1">
      <c r="A1658" s="232">
        <v>44011</v>
      </c>
      <c r="C1658" t="s">
        <v>6327</v>
      </c>
      <c r="D1658">
        <v>0</v>
      </c>
      <c r="E1658">
        <v>6240</v>
      </c>
      <c r="F1658">
        <v>410236.05</v>
      </c>
      <c r="G1658" s="8" t="s">
        <v>1368</v>
      </c>
      <c r="I1658" s="232">
        <v>44011</v>
      </c>
    </row>
    <row r="1659" spans="1:9" hidden="1">
      <c r="A1659" s="232">
        <v>44011</v>
      </c>
      <c r="B1659" t="s">
        <v>1938</v>
      </c>
      <c r="C1659" t="s">
        <v>6328</v>
      </c>
      <c r="D1659">
        <v>300000</v>
      </c>
      <c r="E1659">
        <v>0</v>
      </c>
      <c r="F1659">
        <v>110236.05</v>
      </c>
      <c r="G1659" s="8" t="s">
        <v>1381</v>
      </c>
      <c r="I1659" s="232">
        <v>44011</v>
      </c>
    </row>
    <row r="1660" spans="1:9" hidden="1">
      <c r="A1660" s="232">
        <v>44013</v>
      </c>
      <c r="B1660" t="s">
        <v>1914</v>
      </c>
      <c r="C1660" t="s">
        <v>6062</v>
      </c>
      <c r="D1660">
        <v>3500</v>
      </c>
      <c r="E1660">
        <v>0</v>
      </c>
      <c r="F1660">
        <v>106736.05</v>
      </c>
      <c r="G1660" s="8" t="s">
        <v>1379</v>
      </c>
      <c r="I1660" s="232">
        <v>44013</v>
      </c>
    </row>
    <row r="1661" spans="1:9" hidden="1">
      <c r="A1661" s="232">
        <v>44013</v>
      </c>
      <c r="B1661" t="s">
        <v>1997</v>
      </c>
      <c r="C1661" t="s">
        <v>6329</v>
      </c>
      <c r="D1661">
        <v>20000</v>
      </c>
      <c r="E1661">
        <v>0</v>
      </c>
      <c r="F1661">
        <v>86736.05</v>
      </c>
      <c r="G1661" s="8" t="s">
        <v>1358</v>
      </c>
      <c r="I1661" s="232">
        <v>44013</v>
      </c>
    </row>
    <row r="1662" spans="1:9" hidden="1">
      <c r="A1662" s="232">
        <v>44014</v>
      </c>
      <c r="C1662" t="s">
        <v>6330</v>
      </c>
      <c r="D1662">
        <v>600</v>
      </c>
      <c r="E1662">
        <v>0</v>
      </c>
      <c r="F1662">
        <v>86136.05</v>
      </c>
      <c r="I1662" s="232">
        <v>44014</v>
      </c>
    </row>
    <row r="1663" spans="1:9" hidden="1">
      <c r="A1663" s="232">
        <v>44014</v>
      </c>
      <c r="C1663" t="s">
        <v>6331</v>
      </c>
      <c r="D1663">
        <v>128</v>
      </c>
      <c r="E1663">
        <v>0</v>
      </c>
      <c r="F1663">
        <v>86008.05</v>
      </c>
      <c r="I1663" s="232">
        <v>44014</v>
      </c>
    </row>
    <row r="1664" spans="1:9" hidden="1">
      <c r="A1664" s="232">
        <v>44019</v>
      </c>
      <c r="B1664" t="s">
        <v>1938</v>
      </c>
      <c r="C1664" t="s">
        <v>6332</v>
      </c>
      <c r="D1664">
        <v>0</v>
      </c>
      <c r="E1664">
        <v>2210.23</v>
      </c>
      <c r="F1664">
        <v>88218.28</v>
      </c>
      <c r="G1664" s="8" t="s">
        <v>1375</v>
      </c>
      <c r="I1664" s="232">
        <v>44019</v>
      </c>
    </row>
    <row r="1665" spans="1:9" hidden="1">
      <c r="A1665" s="232">
        <v>44020</v>
      </c>
      <c r="C1665" t="s">
        <v>6333</v>
      </c>
      <c r="D1665">
        <v>0</v>
      </c>
      <c r="E1665">
        <v>47101</v>
      </c>
      <c r="F1665">
        <v>135319.28</v>
      </c>
      <c r="G1665" s="8" t="s">
        <v>1379</v>
      </c>
      <c r="I1665" s="232">
        <v>44020</v>
      </c>
    </row>
    <row r="1666" spans="1:9" hidden="1">
      <c r="A1666" s="232">
        <v>44020</v>
      </c>
      <c r="B1666" t="s">
        <v>1914</v>
      </c>
      <c r="C1666" t="s">
        <v>6334</v>
      </c>
      <c r="D1666" s="69">
        <v>10000</v>
      </c>
      <c r="E1666">
        <v>0</v>
      </c>
      <c r="F1666">
        <v>125319.28</v>
      </c>
      <c r="G1666" s="8" t="s">
        <v>1372</v>
      </c>
      <c r="I1666" s="232">
        <v>44020</v>
      </c>
    </row>
    <row r="1667" spans="1:9" hidden="1">
      <c r="A1667" s="232">
        <v>44021</v>
      </c>
      <c r="C1667" t="s">
        <v>6335</v>
      </c>
      <c r="D1667">
        <v>0</v>
      </c>
      <c r="E1667">
        <v>230054</v>
      </c>
      <c r="F1667">
        <v>355373.28</v>
      </c>
      <c r="G1667" s="8" t="s">
        <v>1375</v>
      </c>
      <c r="I1667" s="232">
        <v>44021</v>
      </c>
    </row>
    <row r="1668" spans="1:9" hidden="1">
      <c r="A1668" s="232">
        <v>44025</v>
      </c>
      <c r="B1668" t="s">
        <v>1997</v>
      </c>
      <c r="C1668" t="s">
        <v>6336</v>
      </c>
      <c r="D1668">
        <v>1530</v>
      </c>
      <c r="E1668">
        <v>0</v>
      </c>
      <c r="F1668">
        <v>353843.28</v>
      </c>
      <c r="I1668" s="232">
        <v>44025</v>
      </c>
    </row>
    <row r="1669" spans="1:9" hidden="1">
      <c r="A1669" s="232">
        <v>44030</v>
      </c>
      <c r="B1669" t="s">
        <v>1914</v>
      </c>
      <c r="C1669" t="s">
        <v>6337</v>
      </c>
      <c r="D1669" s="69">
        <v>10000</v>
      </c>
      <c r="E1669">
        <v>0</v>
      </c>
      <c r="F1669">
        <v>343843.28</v>
      </c>
      <c r="G1669" s="8" t="s">
        <v>1372</v>
      </c>
      <c r="I1669" s="232">
        <v>44030</v>
      </c>
    </row>
    <row r="1670" spans="1:9" hidden="1">
      <c r="A1670" s="232">
        <v>44033</v>
      </c>
      <c r="B1670" t="s">
        <v>1938</v>
      </c>
      <c r="C1670" t="s">
        <v>6338</v>
      </c>
      <c r="D1670">
        <v>500000</v>
      </c>
      <c r="E1670">
        <v>0</v>
      </c>
      <c r="F1670">
        <v>-156156.72</v>
      </c>
      <c r="G1670" s="8" t="s">
        <v>1381</v>
      </c>
      <c r="I1670" s="232">
        <v>44033</v>
      </c>
    </row>
    <row r="1671" spans="1:9" hidden="1">
      <c r="A1671" s="232">
        <v>44033</v>
      </c>
      <c r="C1671" t="s">
        <v>5301</v>
      </c>
      <c r="D1671">
        <v>0</v>
      </c>
      <c r="E1671">
        <v>78945</v>
      </c>
      <c r="F1671">
        <v>-77211.72</v>
      </c>
      <c r="G1671" s="8" t="s">
        <v>1379</v>
      </c>
      <c r="I1671" s="232">
        <v>44033</v>
      </c>
    </row>
    <row r="1672" spans="1:9" hidden="1">
      <c r="A1672" s="232">
        <v>44033</v>
      </c>
      <c r="C1672" t="s">
        <v>6339</v>
      </c>
      <c r="D1672">
        <v>0</v>
      </c>
      <c r="E1672">
        <v>40067</v>
      </c>
      <c r="F1672">
        <v>-37144.720000000001</v>
      </c>
      <c r="G1672" s="8" t="s">
        <v>1379</v>
      </c>
      <c r="I1672" s="232">
        <v>44033</v>
      </c>
    </row>
    <row r="1673" spans="1:9" hidden="1">
      <c r="A1673" s="232">
        <v>44033</v>
      </c>
      <c r="C1673" t="s">
        <v>6340</v>
      </c>
      <c r="D1673">
        <v>0</v>
      </c>
      <c r="E1673">
        <v>13289</v>
      </c>
      <c r="F1673">
        <v>-23855.72</v>
      </c>
      <c r="G1673" s="8" t="s">
        <v>1379</v>
      </c>
      <c r="I1673" s="232">
        <v>44033</v>
      </c>
    </row>
    <row r="1674" spans="1:9" hidden="1">
      <c r="A1674" s="232">
        <v>44033</v>
      </c>
      <c r="C1674" t="s">
        <v>6341</v>
      </c>
      <c r="D1674">
        <v>0</v>
      </c>
      <c r="E1674">
        <v>30000</v>
      </c>
      <c r="F1674">
        <v>6144.28</v>
      </c>
      <c r="G1674" s="8" t="s">
        <v>1379</v>
      </c>
      <c r="I1674" s="232">
        <v>44033</v>
      </c>
    </row>
    <row r="1675" spans="1:9" hidden="1">
      <c r="A1675" s="232">
        <v>44033</v>
      </c>
      <c r="C1675" t="s">
        <v>6342</v>
      </c>
      <c r="D1675">
        <v>0</v>
      </c>
      <c r="E1675">
        <v>1386</v>
      </c>
      <c r="F1675">
        <v>7530.28</v>
      </c>
      <c r="G1675" s="8" t="s">
        <v>1379</v>
      </c>
      <c r="I1675" s="232">
        <v>44033</v>
      </c>
    </row>
    <row r="1676" spans="1:9" hidden="1">
      <c r="A1676" s="232">
        <v>44033</v>
      </c>
      <c r="C1676" t="s">
        <v>6343</v>
      </c>
      <c r="D1676">
        <v>0</v>
      </c>
      <c r="E1676">
        <v>520</v>
      </c>
      <c r="F1676">
        <v>8050.28</v>
      </c>
      <c r="G1676" s="8" t="s">
        <v>1379</v>
      </c>
      <c r="I1676" s="232">
        <v>44033</v>
      </c>
    </row>
    <row r="1677" spans="1:9" hidden="1">
      <c r="A1677" s="232">
        <v>44033</v>
      </c>
      <c r="C1677" t="s">
        <v>6344</v>
      </c>
      <c r="D1677">
        <v>0</v>
      </c>
      <c r="E1677">
        <v>1358</v>
      </c>
      <c r="F1677">
        <v>9408.2800000000007</v>
      </c>
      <c r="G1677" s="8" t="s">
        <v>1379</v>
      </c>
      <c r="I1677" s="232">
        <v>44033</v>
      </c>
    </row>
    <row r="1678" spans="1:9" hidden="1">
      <c r="A1678" s="232">
        <v>44033</v>
      </c>
      <c r="C1678" t="s">
        <v>6322</v>
      </c>
      <c r="D1678">
        <v>0</v>
      </c>
      <c r="E1678">
        <v>2287</v>
      </c>
      <c r="F1678">
        <v>11695.28</v>
      </c>
      <c r="G1678" s="8" t="s">
        <v>1379</v>
      </c>
      <c r="I1678" s="232">
        <v>44033</v>
      </c>
    </row>
    <row r="1679" spans="1:9" hidden="1">
      <c r="A1679" s="232">
        <v>44044</v>
      </c>
      <c r="B1679" t="s">
        <v>1997</v>
      </c>
      <c r="C1679" t="s">
        <v>6345</v>
      </c>
      <c r="D1679">
        <v>20000</v>
      </c>
      <c r="E1679">
        <v>0</v>
      </c>
      <c r="F1679">
        <v>-8304.7199999999993</v>
      </c>
      <c r="G1679" s="8" t="s">
        <v>1358</v>
      </c>
      <c r="I1679" s="232">
        <v>44044</v>
      </c>
    </row>
    <row r="1680" spans="1:9" hidden="1">
      <c r="A1680" s="232">
        <v>44044</v>
      </c>
      <c r="B1680" t="s">
        <v>1997</v>
      </c>
      <c r="C1680" t="s">
        <v>6346</v>
      </c>
      <c r="D1680">
        <v>50601</v>
      </c>
      <c r="E1680">
        <v>0</v>
      </c>
      <c r="F1680">
        <v>-58905.72</v>
      </c>
      <c r="I1680" s="232">
        <v>44044</v>
      </c>
    </row>
    <row r="1681" spans="1:9" hidden="1">
      <c r="A1681" s="232">
        <v>44044</v>
      </c>
      <c r="C1681" t="s">
        <v>6341</v>
      </c>
      <c r="D1681">
        <v>0</v>
      </c>
      <c r="E1681">
        <v>3384</v>
      </c>
      <c r="F1681">
        <v>-55521.72</v>
      </c>
      <c r="G1681" s="8" t="s">
        <v>1379</v>
      </c>
      <c r="I1681" s="232">
        <v>44044</v>
      </c>
    </row>
    <row r="1682" spans="1:9" hidden="1">
      <c r="A1682" s="232">
        <v>44044</v>
      </c>
      <c r="C1682" t="s">
        <v>6347</v>
      </c>
      <c r="D1682">
        <v>0</v>
      </c>
      <c r="E1682">
        <v>65333.14</v>
      </c>
      <c r="F1682">
        <v>9811.42</v>
      </c>
      <c r="G1682" s="8" t="s">
        <v>1379</v>
      </c>
      <c r="I1682" s="232">
        <v>44044</v>
      </c>
    </row>
    <row r="1683" spans="1:9" hidden="1">
      <c r="A1683" s="232">
        <v>44046</v>
      </c>
      <c r="C1683" t="s">
        <v>6347</v>
      </c>
      <c r="D1683">
        <v>0</v>
      </c>
      <c r="E1683">
        <v>188.58</v>
      </c>
      <c r="F1683">
        <v>10000</v>
      </c>
      <c r="G1683" s="8" t="s">
        <v>1379</v>
      </c>
      <c r="I1683" s="232">
        <v>44046</v>
      </c>
    </row>
    <row r="1684" spans="1:9" hidden="1">
      <c r="A1684" s="232">
        <v>44046</v>
      </c>
      <c r="C1684" t="s">
        <v>6348</v>
      </c>
      <c r="D1684">
        <v>0</v>
      </c>
      <c r="E1684">
        <v>4617</v>
      </c>
      <c r="F1684">
        <v>14617</v>
      </c>
      <c r="G1684" s="8" t="s">
        <v>1379</v>
      </c>
      <c r="I1684" s="232">
        <v>44046</v>
      </c>
    </row>
    <row r="1685" spans="1:9" hidden="1">
      <c r="A1685" s="232">
        <v>44046</v>
      </c>
      <c r="C1685" t="s">
        <v>6342</v>
      </c>
      <c r="D1685">
        <v>0</v>
      </c>
      <c r="E1685">
        <v>162</v>
      </c>
      <c r="F1685">
        <v>14779</v>
      </c>
      <c r="G1685" s="8" t="s">
        <v>1379</v>
      </c>
      <c r="I1685" s="232">
        <v>44046</v>
      </c>
    </row>
    <row r="1686" spans="1:9" hidden="1">
      <c r="A1686" s="232">
        <v>44053</v>
      </c>
      <c r="B1686" t="s">
        <v>1914</v>
      </c>
      <c r="C1686" t="s">
        <v>6349</v>
      </c>
      <c r="D1686" s="69">
        <v>10000</v>
      </c>
      <c r="E1686">
        <v>0</v>
      </c>
      <c r="F1686">
        <v>4779</v>
      </c>
      <c r="G1686" s="8" t="s">
        <v>1372</v>
      </c>
      <c r="I1686" s="232">
        <v>44053</v>
      </c>
    </row>
    <row r="1687" spans="1:9" hidden="1">
      <c r="A1687" s="232">
        <v>44053</v>
      </c>
      <c r="C1687" t="s">
        <v>6347</v>
      </c>
      <c r="D1687">
        <v>0</v>
      </c>
      <c r="E1687">
        <v>5221</v>
      </c>
      <c r="F1687">
        <v>10000</v>
      </c>
      <c r="G1687" s="8" t="s">
        <v>1379</v>
      </c>
      <c r="I1687" s="232">
        <v>44053</v>
      </c>
    </row>
    <row r="1688" spans="1:9" hidden="1">
      <c r="A1688" s="232">
        <v>44053</v>
      </c>
      <c r="C1688" t="s">
        <v>6348</v>
      </c>
      <c r="D1688">
        <v>0</v>
      </c>
      <c r="E1688">
        <v>374</v>
      </c>
      <c r="F1688">
        <v>10374</v>
      </c>
      <c r="G1688" s="8" t="s">
        <v>1379</v>
      </c>
      <c r="I1688" s="232">
        <v>44053</v>
      </c>
    </row>
    <row r="1689" spans="1:9" hidden="1">
      <c r="A1689" s="232">
        <v>44053</v>
      </c>
      <c r="B1689" t="s">
        <v>1938</v>
      </c>
      <c r="C1689" t="s">
        <v>6350</v>
      </c>
      <c r="D1689">
        <v>0</v>
      </c>
      <c r="E1689">
        <v>2346.23</v>
      </c>
      <c r="F1689">
        <v>12720.23</v>
      </c>
      <c r="G1689" s="8" t="s">
        <v>1375</v>
      </c>
      <c r="I1689" s="232">
        <v>44053</v>
      </c>
    </row>
    <row r="1690" spans="1:9" hidden="1">
      <c r="A1690" s="232">
        <v>44055</v>
      </c>
      <c r="C1690" t="s">
        <v>6351</v>
      </c>
      <c r="D1690">
        <v>0</v>
      </c>
      <c r="E1690">
        <v>236410</v>
      </c>
      <c r="F1690">
        <v>249130.23</v>
      </c>
      <c r="G1690" s="8" t="s">
        <v>1375</v>
      </c>
      <c r="I1690" s="232">
        <v>44055</v>
      </c>
    </row>
    <row r="1691" spans="1:9" hidden="1">
      <c r="A1691" s="232">
        <v>44061</v>
      </c>
      <c r="C1691">
        <v>15257610</v>
      </c>
      <c r="D1691">
        <v>10000</v>
      </c>
      <c r="E1691">
        <v>0</v>
      </c>
      <c r="F1691">
        <v>239130.23</v>
      </c>
      <c r="I1691" s="232">
        <v>44061</v>
      </c>
    </row>
    <row r="1692" spans="1:9" hidden="1">
      <c r="A1692" s="232">
        <v>44062</v>
      </c>
      <c r="B1692" t="s">
        <v>1938</v>
      </c>
      <c r="C1692" t="s">
        <v>6352</v>
      </c>
      <c r="D1692">
        <v>0</v>
      </c>
      <c r="E1692">
        <v>3138.24</v>
      </c>
      <c r="F1692">
        <v>242268.47</v>
      </c>
      <c r="G1692" s="8" t="s">
        <v>1375</v>
      </c>
      <c r="I1692" s="232">
        <v>44062</v>
      </c>
    </row>
    <row r="1693" spans="1:9" hidden="1">
      <c r="A1693" s="232">
        <v>44067</v>
      </c>
      <c r="C1693" t="s">
        <v>6353</v>
      </c>
      <c r="D1693">
        <v>0</v>
      </c>
      <c r="E1693">
        <v>15000</v>
      </c>
      <c r="F1693">
        <v>257268.47</v>
      </c>
      <c r="G1693" s="8" t="s">
        <v>1380</v>
      </c>
      <c r="I1693" s="232">
        <v>44067</v>
      </c>
    </row>
    <row r="1694" spans="1:9" hidden="1">
      <c r="A1694" s="232">
        <v>44071</v>
      </c>
      <c r="B1694" t="s">
        <v>1914</v>
      </c>
      <c r="C1694" t="s">
        <v>6354</v>
      </c>
      <c r="D1694" s="69">
        <v>200000</v>
      </c>
      <c r="E1694">
        <v>0</v>
      </c>
      <c r="F1694">
        <v>57268.47</v>
      </c>
      <c r="G1694" s="8" t="s">
        <v>1372</v>
      </c>
      <c r="I1694" s="232">
        <v>44071</v>
      </c>
    </row>
    <row r="1695" spans="1:9" hidden="1">
      <c r="A1695" s="232">
        <v>44076</v>
      </c>
      <c r="B1695" t="s">
        <v>1997</v>
      </c>
      <c r="C1695" t="s">
        <v>6355</v>
      </c>
      <c r="D1695">
        <v>20000</v>
      </c>
      <c r="E1695">
        <v>0</v>
      </c>
      <c r="F1695">
        <v>37268.47</v>
      </c>
      <c r="G1695" s="8" t="s">
        <v>1358</v>
      </c>
      <c r="I1695" s="232">
        <v>44076</v>
      </c>
    </row>
    <row r="1696" spans="1:9" hidden="1">
      <c r="A1696" s="232">
        <v>44078</v>
      </c>
      <c r="B1696" t="s">
        <v>1938</v>
      </c>
      <c r="C1696" t="s">
        <v>6356</v>
      </c>
      <c r="D1696">
        <v>0</v>
      </c>
      <c r="E1696">
        <v>10044.36</v>
      </c>
      <c r="F1696">
        <v>47312.83</v>
      </c>
      <c r="G1696" s="8" t="s">
        <v>1375</v>
      </c>
      <c r="I1696" s="232">
        <v>44078</v>
      </c>
    </row>
    <row r="1697" spans="1:9" hidden="1">
      <c r="A1697" s="232">
        <v>44082</v>
      </c>
      <c r="B1697" t="s">
        <v>1914</v>
      </c>
      <c r="C1697" t="s">
        <v>6357</v>
      </c>
      <c r="D1697" s="69">
        <v>10000</v>
      </c>
      <c r="E1697">
        <v>0</v>
      </c>
      <c r="F1697">
        <v>37312.83</v>
      </c>
      <c r="G1697" s="8" t="s">
        <v>1372</v>
      </c>
      <c r="I1697" s="232">
        <v>44082</v>
      </c>
    </row>
    <row r="1698" spans="1:9" hidden="1">
      <c r="A1698" s="232">
        <v>44084</v>
      </c>
      <c r="B1698" t="s">
        <v>1938</v>
      </c>
      <c r="C1698" t="s">
        <v>6358</v>
      </c>
      <c r="D1698">
        <v>0</v>
      </c>
      <c r="E1698">
        <v>2536.23</v>
      </c>
      <c r="F1698">
        <v>39849.06</v>
      </c>
      <c r="G1698" s="8" t="s">
        <v>1375</v>
      </c>
      <c r="I1698" s="232">
        <v>44084</v>
      </c>
    </row>
    <row r="1699" spans="1:9" hidden="1">
      <c r="A1699" s="232">
        <v>44092</v>
      </c>
      <c r="B1699" t="s">
        <v>1914</v>
      </c>
      <c r="C1699" t="s">
        <v>6359</v>
      </c>
      <c r="D1699" s="69">
        <v>10000</v>
      </c>
      <c r="E1699">
        <v>0</v>
      </c>
      <c r="F1699">
        <v>29849.06</v>
      </c>
      <c r="G1699" s="8" t="s">
        <v>1372</v>
      </c>
      <c r="I1699" s="232">
        <v>44092</v>
      </c>
    </row>
    <row r="1700" spans="1:9" hidden="1">
      <c r="A1700" s="232">
        <v>44095</v>
      </c>
      <c r="C1700" t="s">
        <v>6360</v>
      </c>
      <c r="D1700">
        <v>420</v>
      </c>
      <c r="E1700">
        <v>0</v>
      </c>
      <c r="F1700">
        <v>29429.06</v>
      </c>
      <c r="I1700" s="232">
        <v>44095</v>
      </c>
    </row>
    <row r="1701" spans="1:9" hidden="1">
      <c r="A1701" s="232">
        <v>44095</v>
      </c>
      <c r="C1701" t="s">
        <v>6361</v>
      </c>
      <c r="D1701">
        <v>650</v>
      </c>
      <c r="E1701">
        <v>0</v>
      </c>
      <c r="F1701">
        <v>28779.06</v>
      </c>
      <c r="I1701" s="232">
        <v>44095</v>
      </c>
    </row>
    <row r="1702" spans="1:9" hidden="1">
      <c r="A1702" s="232">
        <v>44097</v>
      </c>
      <c r="C1702" t="s">
        <v>6362</v>
      </c>
      <c r="D1702">
        <v>1485</v>
      </c>
      <c r="E1702">
        <v>0</v>
      </c>
      <c r="F1702">
        <v>27294.06</v>
      </c>
      <c r="I1702" s="232">
        <v>44097</v>
      </c>
    </row>
    <row r="1703" spans="1:9" hidden="1">
      <c r="A1703" s="232">
        <v>44103</v>
      </c>
      <c r="C1703" t="s">
        <v>6363</v>
      </c>
      <c r="D1703">
        <v>0</v>
      </c>
      <c r="E1703">
        <v>878</v>
      </c>
      <c r="F1703">
        <v>28172.06</v>
      </c>
      <c r="G1703" s="8" t="s">
        <v>1368</v>
      </c>
      <c r="I1703" s="232">
        <v>44103</v>
      </c>
    </row>
    <row r="1704" spans="1:9" hidden="1">
      <c r="A1704" s="232">
        <v>44111</v>
      </c>
      <c r="B1704" t="s">
        <v>1938</v>
      </c>
      <c r="C1704" t="s">
        <v>6364</v>
      </c>
      <c r="D1704">
        <v>0</v>
      </c>
      <c r="E1704">
        <v>2155.23</v>
      </c>
      <c r="F1704">
        <v>30327.29</v>
      </c>
      <c r="G1704" s="8" t="s">
        <v>1375</v>
      </c>
      <c r="I1704" s="232">
        <v>44111</v>
      </c>
    </row>
    <row r="1705" spans="1:9" hidden="1">
      <c r="A1705" s="232">
        <v>44112</v>
      </c>
      <c r="B1705" t="s">
        <v>1914</v>
      </c>
      <c r="C1705" t="s">
        <v>6365</v>
      </c>
      <c r="D1705" s="69">
        <v>10000</v>
      </c>
      <c r="E1705">
        <v>0</v>
      </c>
      <c r="F1705">
        <v>20327.29</v>
      </c>
      <c r="G1705" s="8" t="s">
        <v>1372</v>
      </c>
      <c r="I1705" s="232">
        <v>44112</v>
      </c>
    </row>
    <row r="1706" spans="1:9" hidden="1">
      <c r="A1706" s="232">
        <v>44123</v>
      </c>
      <c r="B1706" t="s">
        <v>1914</v>
      </c>
      <c r="C1706" t="s">
        <v>6366</v>
      </c>
      <c r="D1706" s="69">
        <v>10000</v>
      </c>
      <c r="E1706">
        <v>0</v>
      </c>
      <c r="F1706">
        <v>10327.290000000001</v>
      </c>
      <c r="G1706" s="8" t="s">
        <v>1372</v>
      </c>
      <c r="I1706" s="232">
        <v>44123</v>
      </c>
    </row>
    <row r="1707" spans="1:9" hidden="1">
      <c r="A1707" s="232">
        <v>44134</v>
      </c>
      <c r="B1707" t="s">
        <v>1997</v>
      </c>
      <c r="C1707" t="s">
        <v>6367</v>
      </c>
      <c r="D1707">
        <v>2240</v>
      </c>
      <c r="E1707">
        <v>0</v>
      </c>
      <c r="F1707">
        <v>8087.29</v>
      </c>
      <c r="I1707" s="232">
        <v>44134</v>
      </c>
    </row>
    <row r="1708" spans="1:9" hidden="1">
      <c r="A1708" s="232">
        <v>44134</v>
      </c>
      <c r="C1708" t="s">
        <v>6347</v>
      </c>
      <c r="D1708">
        <v>0</v>
      </c>
      <c r="E1708">
        <v>1912.71</v>
      </c>
      <c r="F1708">
        <v>10000</v>
      </c>
      <c r="G1708" s="8" t="s">
        <v>1379</v>
      </c>
      <c r="I1708" s="232">
        <v>44134</v>
      </c>
    </row>
    <row r="1709" spans="1:9" hidden="1">
      <c r="A1709" s="232">
        <v>44135</v>
      </c>
      <c r="C1709" t="s">
        <v>6348</v>
      </c>
      <c r="D1709">
        <v>0</v>
      </c>
      <c r="E1709">
        <v>166</v>
      </c>
      <c r="F1709">
        <v>10166</v>
      </c>
      <c r="G1709" s="8" t="s">
        <v>1379</v>
      </c>
      <c r="I1709" s="232">
        <v>44135</v>
      </c>
    </row>
    <row r="1710" spans="1:9" hidden="1">
      <c r="A1710" s="232">
        <v>44137</v>
      </c>
      <c r="B1710" t="s">
        <v>1997</v>
      </c>
      <c r="C1710" t="s">
        <v>6368</v>
      </c>
      <c r="D1710">
        <v>20000</v>
      </c>
      <c r="E1710">
        <v>0</v>
      </c>
      <c r="F1710">
        <v>-9834</v>
      </c>
      <c r="G1710" s="8" t="s">
        <v>1358</v>
      </c>
      <c r="I1710" s="232">
        <v>44137</v>
      </c>
    </row>
    <row r="1711" spans="1:9" hidden="1">
      <c r="A1711" s="232">
        <v>44137</v>
      </c>
      <c r="C1711" t="s">
        <v>6347</v>
      </c>
      <c r="D1711">
        <v>0</v>
      </c>
      <c r="E1711">
        <v>19834</v>
      </c>
      <c r="F1711">
        <v>10000</v>
      </c>
      <c r="G1711" s="8" t="s">
        <v>1379</v>
      </c>
      <c r="I1711" s="232">
        <v>44137</v>
      </c>
    </row>
    <row r="1712" spans="1:9" hidden="1">
      <c r="A1712" s="232">
        <v>44137</v>
      </c>
      <c r="C1712" t="s">
        <v>6348</v>
      </c>
      <c r="D1712">
        <v>0</v>
      </c>
      <c r="E1712">
        <v>1725</v>
      </c>
      <c r="F1712">
        <v>11725</v>
      </c>
      <c r="G1712" s="8" t="s">
        <v>1379</v>
      </c>
      <c r="I1712" s="232">
        <v>44137</v>
      </c>
    </row>
    <row r="1713" spans="1:9" hidden="1">
      <c r="A1713" s="232">
        <v>44140</v>
      </c>
      <c r="C1713" t="s">
        <v>6369</v>
      </c>
      <c r="D1713">
        <v>150</v>
      </c>
      <c r="E1713">
        <v>0</v>
      </c>
      <c r="F1713">
        <v>11575</v>
      </c>
      <c r="I1713" s="232">
        <v>44140</v>
      </c>
    </row>
    <row r="1714" spans="1:9" hidden="1">
      <c r="A1714" s="232">
        <v>44140</v>
      </c>
      <c r="B1714" t="s">
        <v>1938</v>
      </c>
      <c r="C1714" t="s">
        <v>6370</v>
      </c>
      <c r="D1714">
        <v>0</v>
      </c>
      <c r="E1714">
        <v>2346.23</v>
      </c>
      <c r="F1714">
        <v>13921.23</v>
      </c>
      <c r="G1714" s="8" t="s">
        <v>1375</v>
      </c>
      <c r="I1714" s="232">
        <v>44140</v>
      </c>
    </row>
    <row r="1715" spans="1:9" hidden="1">
      <c r="A1715" s="232">
        <v>44144</v>
      </c>
      <c r="B1715" t="s">
        <v>1914</v>
      </c>
      <c r="C1715" t="s">
        <v>6371</v>
      </c>
      <c r="D1715" s="69">
        <v>10000</v>
      </c>
      <c r="E1715">
        <v>0</v>
      </c>
      <c r="F1715">
        <v>3921.23</v>
      </c>
      <c r="G1715" s="8" t="s">
        <v>1372</v>
      </c>
      <c r="I1715" s="232">
        <v>44144</v>
      </c>
    </row>
    <row r="1716" spans="1:9" hidden="1">
      <c r="A1716" s="232">
        <v>44144</v>
      </c>
      <c r="C1716" t="s">
        <v>6347</v>
      </c>
      <c r="D1716">
        <v>0</v>
      </c>
      <c r="E1716">
        <v>6078.77</v>
      </c>
      <c r="F1716">
        <v>10000</v>
      </c>
      <c r="G1716" s="8" t="s">
        <v>1379</v>
      </c>
      <c r="I1716" s="232">
        <v>44144</v>
      </c>
    </row>
    <row r="1717" spans="1:9" hidden="1">
      <c r="A1717" s="232">
        <v>44144</v>
      </c>
      <c r="C1717" t="s">
        <v>6348</v>
      </c>
      <c r="D1717">
        <v>0</v>
      </c>
      <c r="E1717">
        <v>534</v>
      </c>
      <c r="F1717">
        <v>10534</v>
      </c>
      <c r="G1717" s="8" t="s">
        <v>1379</v>
      </c>
      <c r="I1717" s="232">
        <v>44144</v>
      </c>
    </row>
    <row r="1718" spans="1:9" hidden="1">
      <c r="A1718" s="232">
        <v>44151</v>
      </c>
      <c r="B1718" t="s">
        <v>1997</v>
      </c>
      <c r="C1718" t="s">
        <v>6372</v>
      </c>
      <c r="D1718">
        <v>2000</v>
      </c>
      <c r="E1718">
        <v>0</v>
      </c>
      <c r="F1718">
        <v>8534</v>
      </c>
      <c r="I1718" s="232">
        <v>44151</v>
      </c>
    </row>
    <row r="1719" spans="1:9" hidden="1">
      <c r="A1719" s="232">
        <v>44151</v>
      </c>
      <c r="C1719" t="s">
        <v>6373</v>
      </c>
      <c r="D1719">
        <v>0</v>
      </c>
      <c r="E1719">
        <v>100</v>
      </c>
      <c r="F1719">
        <v>8634</v>
      </c>
      <c r="I1719" s="232">
        <v>44151</v>
      </c>
    </row>
    <row r="1720" spans="1:9" hidden="1">
      <c r="A1720" s="232">
        <v>44151</v>
      </c>
      <c r="C1720" t="s">
        <v>6347</v>
      </c>
      <c r="D1720">
        <v>0</v>
      </c>
      <c r="E1720">
        <v>1366</v>
      </c>
      <c r="F1720">
        <v>10000</v>
      </c>
      <c r="G1720" s="8" t="s">
        <v>1379</v>
      </c>
      <c r="I1720" s="232">
        <v>44151</v>
      </c>
    </row>
    <row r="1721" spans="1:9" hidden="1">
      <c r="A1721" s="232">
        <v>44152</v>
      </c>
      <c r="C1721" t="s">
        <v>6348</v>
      </c>
      <c r="D1721">
        <v>0</v>
      </c>
      <c r="E1721">
        <v>122</v>
      </c>
      <c r="F1721">
        <v>10122</v>
      </c>
      <c r="G1721" s="8" t="s">
        <v>1379</v>
      </c>
      <c r="I1721" s="232">
        <v>44152</v>
      </c>
    </row>
    <row r="1722" spans="1:9" hidden="1">
      <c r="A1722" s="232">
        <v>44153</v>
      </c>
      <c r="B1722" t="s">
        <v>1914</v>
      </c>
      <c r="C1722" t="s">
        <v>6374</v>
      </c>
      <c r="D1722" s="69">
        <v>10000</v>
      </c>
      <c r="E1722">
        <v>0</v>
      </c>
      <c r="F1722">
        <v>122</v>
      </c>
      <c r="G1722" s="8" t="s">
        <v>1372</v>
      </c>
      <c r="I1722" s="232">
        <v>44153</v>
      </c>
    </row>
    <row r="1723" spans="1:9" hidden="1">
      <c r="A1723" s="232">
        <v>44153</v>
      </c>
      <c r="C1723" t="s">
        <v>6347</v>
      </c>
      <c r="D1723">
        <v>0</v>
      </c>
      <c r="E1723">
        <v>9878</v>
      </c>
      <c r="F1723">
        <v>10000</v>
      </c>
      <c r="G1723" s="8" t="s">
        <v>1379</v>
      </c>
      <c r="I1723" s="232">
        <v>44153</v>
      </c>
    </row>
    <row r="1724" spans="1:9" hidden="1">
      <c r="A1724" s="232">
        <v>44153</v>
      </c>
      <c r="C1724" t="s">
        <v>6348</v>
      </c>
      <c r="D1724">
        <v>0</v>
      </c>
      <c r="E1724">
        <v>886</v>
      </c>
      <c r="F1724">
        <v>10886</v>
      </c>
      <c r="G1724" s="8" t="s">
        <v>1379</v>
      </c>
      <c r="I1724" s="232">
        <v>44153</v>
      </c>
    </row>
    <row r="1725" spans="1:9" hidden="1">
      <c r="A1725" s="232">
        <v>44155</v>
      </c>
      <c r="C1725" t="s">
        <v>6375</v>
      </c>
      <c r="D1725">
        <v>13910</v>
      </c>
      <c r="E1725">
        <v>0</v>
      </c>
      <c r="F1725">
        <v>-3024</v>
      </c>
      <c r="G1725" s="8" t="s">
        <v>1379</v>
      </c>
      <c r="I1725" s="232">
        <v>44155</v>
      </c>
    </row>
    <row r="1726" spans="1:9" hidden="1">
      <c r="A1726" s="232">
        <v>44155</v>
      </c>
      <c r="B1726" t="s">
        <v>1938</v>
      </c>
      <c r="C1726" t="s">
        <v>6376</v>
      </c>
      <c r="D1726">
        <v>0</v>
      </c>
      <c r="E1726">
        <v>10044.36</v>
      </c>
      <c r="F1726">
        <v>7020.36</v>
      </c>
      <c r="G1726" s="8" t="s">
        <v>1375</v>
      </c>
      <c r="I1726" s="232">
        <v>44155</v>
      </c>
    </row>
    <row r="1727" spans="1:9" hidden="1">
      <c r="A1727" s="232">
        <v>44155</v>
      </c>
      <c r="C1727" t="s">
        <v>6347</v>
      </c>
      <c r="D1727">
        <v>0</v>
      </c>
      <c r="E1727">
        <v>2979.64</v>
      </c>
      <c r="F1727">
        <v>10000</v>
      </c>
      <c r="G1727" s="8" t="s">
        <v>1379</v>
      </c>
      <c r="I1727" s="232">
        <v>44155</v>
      </c>
    </row>
    <row r="1728" spans="1:9" hidden="1">
      <c r="A1728" s="232">
        <v>44155</v>
      </c>
      <c r="C1728" t="s">
        <v>6348</v>
      </c>
      <c r="D1728">
        <v>0</v>
      </c>
      <c r="E1728">
        <v>268</v>
      </c>
      <c r="F1728">
        <v>10268</v>
      </c>
      <c r="G1728" s="8" t="s">
        <v>1379</v>
      </c>
      <c r="I1728" s="232">
        <v>44155</v>
      </c>
    </row>
    <row r="1729" spans="1:9" hidden="1">
      <c r="A1729" s="232">
        <v>44158</v>
      </c>
      <c r="C1729" t="s">
        <v>6377</v>
      </c>
      <c r="D1729">
        <v>300</v>
      </c>
      <c r="E1729">
        <v>0</v>
      </c>
      <c r="F1729">
        <v>9968</v>
      </c>
      <c r="I1729" s="232">
        <v>44158</v>
      </c>
    </row>
    <row r="1730" spans="1:9" hidden="1">
      <c r="A1730" s="232">
        <v>44158</v>
      </c>
      <c r="C1730" t="s">
        <v>6347</v>
      </c>
      <c r="D1730">
        <v>0</v>
      </c>
      <c r="E1730">
        <v>32</v>
      </c>
      <c r="F1730">
        <v>10000</v>
      </c>
      <c r="G1730" s="8" t="s">
        <v>1379</v>
      </c>
      <c r="I1730" s="232">
        <v>44158</v>
      </c>
    </row>
    <row r="1731" spans="1:9" hidden="1">
      <c r="A1731" s="232">
        <v>44158</v>
      </c>
      <c r="C1731" t="s">
        <v>6348</v>
      </c>
      <c r="D1731">
        <v>0</v>
      </c>
      <c r="E1731">
        <v>3</v>
      </c>
      <c r="F1731">
        <v>10003</v>
      </c>
      <c r="G1731" s="8" t="s">
        <v>1379</v>
      </c>
      <c r="I1731" s="232">
        <v>44158</v>
      </c>
    </row>
    <row r="1732" spans="1:9" hidden="1">
      <c r="A1732" s="232">
        <v>44167</v>
      </c>
      <c r="B1732" t="s">
        <v>1997</v>
      </c>
      <c r="C1732" t="s">
        <v>6378</v>
      </c>
      <c r="D1732">
        <v>3500</v>
      </c>
      <c r="E1732">
        <v>0</v>
      </c>
      <c r="F1732">
        <v>6503</v>
      </c>
      <c r="I1732" s="232">
        <v>44167</v>
      </c>
    </row>
    <row r="1733" spans="1:9" hidden="1">
      <c r="A1733" s="232">
        <v>44167</v>
      </c>
      <c r="C1733" t="s">
        <v>6347</v>
      </c>
      <c r="D1733">
        <v>0</v>
      </c>
      <c r="E1733">
        <v>3497</v>
      </c>
      <c r="F1733">
        <v>10000</v>
      </c>
      <c r="G1733" s="8" t="s">
        <v>1379</v>
      </c>
      <c r="I1733" s="232">
        <v>44167</v>
      </c>
    </row>
    <row r="1734" spans="1:9" hidden="1">
      <c r="A1734" s="232">
        <v>44167</v>
      </c>
      <c r="C1734" t="s">
        <v>6348</v>
      </c>
      <c r="D1734">
        <v>0</v>
      </c>
      <c r="E1734">
        <v>323</v>
      </c>
      <c r="F1734">
        <v>10323</v>
      </c>
      <c r="G1734" s="8" t="s">
        <v>1379</v>
      </c>
      <c r="I1734" s="232">
        <v>44167</v>
      </c>
    </row>
    <row r="1735" spans="1:9" hidden="1">
      <c r="A1735" s="232">
        <v>44169</v>
      </c>
      <c r="B1735" t="s">
        <v>1938</v>
      </c>
      <c r="C1735" t="s">
        <v>6379</v>
      </c>
      <c r="D1735">
        <v>300000</v>
      </c>
      <c r="E1735">
        <v>0</v>
      </c>
      <c r="F1735">
        <v>-289677</v>
      </c>
      <c r="G1735" s="8" t="s">
        <v>1381</v>
      </c>
      <c r="I1735" s="232">
        <v>44169</v>
      </c>
    </row>
    <row r="1736" spans="1:9" hidden="1">
      <c r="A1736" s="232">
        <v>44169</v>
      </c>
      <c r="B1736" t="s">
        <v>1938</v>
      </c>
      <c r="C1736" t="s">
        <v>6380</v>
      </c>
      <c r="D1736">
        <v>0</v>
      </c>
      <c r="E1736">
        <v>2346.23</v>
      </c>
      <c r="F1736">
        <v>-287330.77</v>
      </c>
      <c r="G1736" s="8" t="s">
        <v>1375</v>
      </c>
      <c r="I1736" s="232">
        <v>44169</v>
      </c>
    </row>
    <row r="1737" spans="1:9" hidden="1">
      <c r="A1737" s="232">
        <v>44169</v>
      </c>
      <c r="C1737" t="s">
        <v>6347</v>
      </c>
      <c r="D1737">
        <v>0</v>
      </c>
      <c r="E1737">
        <v>297330.77</v>
      </c>
      <c r="F1737">
        <v>10000</v>
      </c>
      <c r="G1737" s="8" t="s">
        <v>1379</v>
      </c>
      <c r="I1737" s="232">
        <v>44169</v>
      </c>
    </row>
    <row r="1738" spans="1:9" hidden="1">
      <c r="A1738" s="232">
        <v>44169</v>
      </c>
      <c r="C1738" t="s">
        <v>6348</v>
      </c>
      <c r="D1738">
        <v>0</v>
      </c>
      <c r="E1738">
        <v>27540</v>
      </c>
      <c r="F1738">
        <v>37540</v>
      </c>
      <c r="G1738" s="8" t="s">
        <v>1379</v>
      </c>
      <c r="I1738" s="232">
        <v>44169</v>
      </c>
    </row>
    <row r="1739" spans="1:9" hidden="1">
      <c r="A1739" s="232">
        <v>44173</v>
      </c>
      <c r="B1739" t="s">
        <v>1914</v>
      </c>
      <c r="C1739" t="s">
        <v>6381</v>
      </c>
      <c r="D1739" s="69">
        <v>10000</v>
      </c>
      <c r="E1739">
        <v>0</v>
      </c>
      <c r="F1739">
        <v>27540</v>
      </c>
      <c r="G1739" s="8" t="s">
        <v>1372</v>
      </c>
      <c r="I1739" s="232">
        <v>44173</v>
      </c>
    </row>
    <row r="1740" spans="1:9" hidden="1">
      <c r="A1740" s="232">
        <v>44173</v>
      </c>
      <c r="B1740" t="s">
        <v>1938</v>
      </c>
      <c r="C1740" t="s">
        <v>6382</v>
      </c>
      <c r="D1740">
        <v>0</v>
      </c>
      <c r="E1740">
        <v>11298.65</v>
      </c>
      <c r="F1740">
        <v>38838.65</v>
      </c>
      <c r="G1740" s="8" t="s">
        <v>1375</v>
      </c>
      <c r="I1740" s="232">
        <v>44173</v>
      </c>
    </row>
    <row r="1741" spans="1:9" hidden="1">
      <c r="A1741" s="232">
        <v>44183</v>
      </c>
      <c r="B1741" t="s">
        <v>1914</v>
      </c>
      <c r="C1741" t="s">
        <v>6383</v>
      </c>
      <c r="D1741" s="69">
        <v>10000</v>
      </c>
      <c r="E1741">
        <v>0</v>
      </c>
      <c r="F1741">
        <v>28838.65</v>
      </c>
      <c r="G1741" s="8" t="s">
        <v>1372</v>
      </c>
      <c r="I1741" s="232">
        <v>44183</v>
      </c>
    </row>
    <row r="1742" spans="1:9" hidden="1">
      <c r="A1742" s="232">
        <v>44186</v>
      </c>
      <c r="B1742" t="s">
        <v>1914</v>
      </c>
      <c r="C1742" t="s">
        <v>6062</v>
      </c>
      <c r="D1742">
        <v>13910</v>
      </c>
      <c r="E1742">
        <v>0</v>
      </c>
      <c r="F1742">
        <v>14928.65</v>
      </c>
      <c r="G1742" s="8" t="s">
        <v>1379</v>
      </c>
      <c r="I1742" s="232">
        <v>44186</v>
      </c>
    </row>
    <row r="1743" spans="1:9" hidden="1">
      <c r="A1743" s="232">
        <v>44186</v>
      </c>
      <c r="C1743" t="s">
        <v>6384</v>
      </c>
      <c r="D1743">
        <v>4482</v>
      </c>
      <c r="E1743">
        <v>0</v>
      </c>
      <c r="F1743">
        <v>10446.65</v>
      </c>
      <c r="I1743" s="232">
        <v>44186</v>
      </c>
    </row>
    <row r="1744" spans="1:9" hidden="1">
      <c r="A1744" s="232">
        <v>44193</v>
      </c>
      <c r="C1744" t="s">
        <v>6385</v>
      </c>
      <c r="D1744">
        <v>300</v>
      </c>
      <c r="E1744">
        <v>0</v>
      </c>
      <c r="F1744">
        <v>10146.65</v>
      </c>
      <c r="I1744" s="232">
        <v>44193</v>
      </c>
    </row>
    <row r="1745" spans="1:9" hidden="1">
      <c r="A1745" s="232">
        <v>44193</v>
      </c>
      <c r="C1745" t="s">
        <v>6386</v>
      </c>
      <c r="D1745">
        <v>1200</v>
      </c>
      <c r="E1745">
        <v>0</v>
      </c>
      <c r="F1745">
        <v>8946.65</v>
      </c>
      <c r="I1745" s="232">
        <v>44193</v>
      </c>
    </row>
    <row r="1746" spans="1:9" hidden="1">
      <c r="A1746" s="232">
        <v>44193</v>
      </c>
      <c r="C1746" t="s">
        <v>6347</v>
      </c>
      <c r="D1746">
        <v>0</v>
      </c>
      <c r="E1746">
        <v>1053.3499999999999</v>
      </c>
      <c r="F1746">
        <v>10000</v>
      </c>
      <c r="G1746" s="8" t="s">
        <v>1379</v>
      </c>
      <c r="I1746" s="232">
        <v>44193</v>
      </c>
    </row>
    <row r="1747" spans="1:9" hidden="1">
      <c r="A1747" s="232">
        <v>44193</v>
      </c>
      <c r="C1747" t="s">
        <v>6348</v>
      </c>
      <c r="D1747">
        <v>0</v>
      </c>
      <c r="E1747">
        <v>102</v>
      </c>
      <c r="F1747">
        <v>10102</v>
      </c>
      <c r="G1747" s="8" t="s">
        <v>1379</v>
      </c>
      <c r="I1747" s="232">
        <v>44193</v>
      </c>
    </row>
    <row r="1748" spans="1:9" hidden="1">
      <c r="A1748" s="232">
        <v>44195</v>
      </c>
      <c r="C1748" t="s">
        <v>6387</v>
      </c>
      <c r="D1748">
        <v>0</v>
      </c>
      <c r="E1748">
        <v>138</v>
      </c>
      <c r="F1748">
        <v>10240</v>
      </c>
      <c r="G1748" s="8" t="s">
        <v>1368</v>
      </c>
      <c r="I1748" s="232">
        <v>44195</v>
      </c>
    </row>
    <row r="1749" spans="1:9" hidden="1">
      <c r="A1749" s="232">
        <v>44196</v>
      </c>
      <c r="C1749" t="s">
        <v>6388</v>
      </c>
      <c r="D1749">
        <v>0</v>
      </c>
      <c r="E1749">
        <v>735003.45</v>
      </c>
      <c r="F1749">
        <v>745243.45</v>
      </c>
      <c r="G1749" s="8" t="s">
        <v>1375</v>
      </c>
      <c r="I1749" s="232">
        <v>44196</v>
      </c>
    </row>
    <row r="1750" spans="1:9" hidden="1">
      <c r="A1750" s="232">
        <v>44196</v>
      </c>
      <c r="B1750" t="s">
        <v>1938</v>
      </c>
      <c r="C1750" t="s">
        <v>6389</v>
      </c>
      <c r="D1750">
        <v>0</v>
      </c>
      <c r="E1750">
        <v>6273.33</v>
      </c>
      <c r="F1750">
        <v>751516.78</v>
      </c>
      <c r="G1750" s="8" t="s">
        <v>1375</v>
      </c>
      <c r="I1750" s="232">
        <v>44196</v>
      </c>
    </row>
    <row r="1751" spans="1:9" hidden="1">
      <c r="A1751" s="232">
        <v>44196</v>
      </c>
      <c r="B1751" t="s">
        <v>1938</v>
      </c>
      <c r="C1751" t="s">
        <v>6390</v>
      </c>
      <c r="D1751">
        <v>0</v>
      </c>
      <c r="E1751">
        <v>352196.48</v>
      </c>
      <c r="F1751">
        <v>1103713.26</v>
      </c>
      <c r="G1751" s="8" t="s">
        <v>1375</v>
      </c>
      <c r="I1751" s="232">
        <v>44196</v>
      </c>
    </row>
    <row r="1752" spans="1:9" hidden="1">
      <c r="A1752" s="232">
        <v>44200</v>
      </c>
      <c r="C1752" t="s">
        <v>6391</v>
      </c>
      <c r="D1752">
        <v>3500</v>
      </c>
      <c r="E1752">
        <v>0</v>
      </c>
      <c r="F1752">
        <v>1100213.26</v>
      </c>
      <c r="G1752" s="8" t="s">
        <v>1379</v>
      </c>
      <c r="I1752" s="232">
        <v>44200</v>
      </c>
    </row>
    <row r="1753" spans="1:9" hidden="1">
      <c r="A1753" s="232">
        <v>44200</v>
      </c>
      <c r="B1753" t="s">
        <v>1997</v>
      </c>
      <c r="C1753" t="s">
        <v>6392</v>
      </c>
      <c r="D1753">
        <v>20000</v>
      </c>
      <c r="E1753">
        <v>0</v>
      </c>
      <c r="F1753">
        <v>1080213.26</v>
      </c>
      <c r="G1753" s="8" t="s">
        <v>1358</v>
      </c>
      <c r="I1753" s="232">
        <v>44200</v>
      </c>
    </row>
    <row r="1754" spans="1:9" hidden="1">
      <c r="A1754" s="232">
        <v>44200</v>
      </c>
      <c r="C1754" t="s">
        <v>6393</v>
      </c>
      <c r="D1754">
        <v>1268.5</v>
      </c>
      <c r="E1754">
        <v>0</v>
      </c>
      <c r="F1754">
        <v>1078944.76</v>
      </c>
      <c r="I1754" s="232">
        <v>44200</v>
      </c>
    </row>
    <row r="1755" spans="1:9" hidden="1">
      <c r="A1755" s="232">
        <v>44203</v>
      </c>
      <c r="C1755" t="s">
        <v>6394</v>
      </c>
      <c r="D1755">
        <v>1060</v>
      </c>
      <c r="E1755">
        <v>0</v>
      </c>
      <c r="F1755">
        <v>1077884.76</v>
      </c>
      <c r="I1755" s="232">
        <v>44203</v>
      </c>
    </row>
    <row r="1756" spans="1:9" hidden="1">
      <c r="A1756" s="232">
        <v>44204</v>
      </c>
      <c r="B1756" t="s">
        <v>1914</v>
      </c>
      <c r="C1756" t="s">
        <v>6395</v>
      </c>
      <c r="D1756" s="69">
        <v>10000</v>
      </c>
      <c r="E1756">
        <v>0</v>
      </c>
      <c r="F1756">
        <v>1067884.76</v>
      </c>
      <c r="G1756" s="8" t="s">
        <v>1372</v>
      </c>
      <c r="I1756" s="232">
        <v>44204</v>
      </c>
    </row>
    <row r="1757" spans="1:9" hidden="1">
      <c r="A1757" s="232">
        <v>44204</v>
      </c>
      <c r="B1757" t="s">
        <v>1938</v>
      </c>
      <c r="C1757" t="s">
        <v>6396</v>
      </c>
      <c r="D1757">
        <v>0</v>
      </c>
      <c r="E1757">
        <v>350252.5</v>
      </c>
      <c r="F1757">
        <v>1418137.26</v>
      </c>
      <c r="G1757" s="8" t="s">
        <v>1375</v>
      </c>
      <c r="I1757" s="232">
        <v>44204</v>
      </c>
    </row>
    <row r="1758" spans="1:9" hidden="1">
      <c r="A1758" s="232">
        <v>44204</v>
      </c>
      <c r="B1758" t="s">
        <v>1938</v>
      </c>
      <c r="C1758" t="s">
        <v>6397</v>
      </c>
      <c r="D1758">
        <v>0</v>
      </c>
      <c r="E1758">
        <v>2346.23</v>
      </c>
      <c r="F1758">
        <v>1420483.49</v>
      </c>
      <c r="G1758" s="8" t="s">
        <v>1375</v>
      </c>
      <c r="I1758" s="232">
        <v>44204</v>
      </c>
    </row>
    <row r="1759" spans="1:9" hidden="1">
      <c r="A1759" s="232">
        <v>44204</v>
      </c>
      <c r="B1759" t="s">
        <v>1997</v>
      </c>
      <c r="C1759" t="s">
        <v>6398</v>
      </c>
      <c r="D1759">
        <v>100</v>
      </c>
      <c r="E1759">
        <v>0</v>
      </c>
      <c r="F1759">
        <v>1420383.49</v>
      </c>
      <c r="I1759" s="232">
        <v>44204</v>
      </c>
    </row>
    <row r="1760" spans="1:9" hidden="1">
      <c r="A1760" s="232">
        <v>44207</v>
      </c>
      <c r="B1760" t="s">
        <v>1914</v>
      </c>
      <c r="C1760" t="s">
        <v>6399</v>
      </c>
      <c r="D1760" s="69">
        <v>300000</v>
      </c>
      <c r="E1760">
        <v>0</v>
      </c>
      <c r="F1760">
        <v>1120383.49</v>
      </c>
      <c r="G1760" s="8" t="s">
        <v>1372</v>
      </c>
      <c r="I1760" s="232">
        <v>44207</v>
      </c>
    </row>
    <row r="1761" spans="1:9" hidden="1">
      <c r="A1761" s="232">
        <v>44208</v>
      </c>
      <c r="B1761" t="s">
        <v>1938</v>
      </c>
      <c r="C1761" t="s">
        <v>6400</v>
      </c>
      <c r="D1761">
        <v>0</v>
      </c>
      <c r="E1761">
        <v>10044.36</v>
      </c>
      <c r="F1761">
        <v>1130427.8500000001</v>
      </c>
      <c r="G1761" s="8" t="s">
        <v>1375</v>
      </c>
      <c r="I1761" s="232">
        <v>44208</v>
      </c>
    </row>
    <row r="1762" spans="1:9" hidden="1">
      <c r="A1762" s="232">
        <v>44214</v>
      </c>
      <c r="B1762" t="s">
        <v>1914</v>
      </c>
      <c r="C1762" t="s">
        <v>6401</v>
      </c>
      <c r="D1762" s="69">
        <v>10000</v>
      </c>
      <c r="E1762">
        <v>0</v>
      </c>
      <c r="F1762">
        <v>1120427.8500000001</v>
      </c>
      <c r="G1762" s="8" t="s">
        <v>1372</v>
      </c>
      <c r="I1762" s="232">
        <v>44214</v>
      </c>
    </row>
    <row r="1763" spans="1:9" hidden="1">
      <c r="A1763" s="232">
        <v>44217</v>
      </c>
      <c r="B1763" t="s">
        <v>1914</v>
      </c>
      <c r="C1763" t="s">
        <v>6062</v>
      </c>
      <c r="D1763">
        <v>13910</v>
      </c>
      <c r="E1763">
        <v>0</v>
      </c>
      <c r="F1763">
        <v>1106517.8500000001</v>
      </c>
      <c r="G1763" s="8" t="s">
        <v>1379</v>
      </c>
      <c r="I1763" s="232">
        <v>44217</v>
      </c>
    </row>
    <row r="1764" spans="1:9" hidden="1">
      <c r="A1764" s="232">
        <v>44228</v>
      </c>
      <c r="B1764" t="s">
        <v>1997</v>
      </c>
      <c r="C1764" t="s">
        <v>6402</v>
      </c>
      <c r="D1764">
        <v>20000</v>
      </c>
      <c r="E1764">
        <v>0</v>
      </c>
      <c r="F1764">
        <v>1086517.8500000001</v>
      </c>
      <c r="G1764" s="8" t="s">
        <v>1358</v>
      </c>
      <c r="I1764" s="232">
        <v>44228</v>
      </c>
    </row>
    <row r="1765" spans="1:9" hidden="1">
      <c r="A1765" s="232">
        <v>44229</v>
      </c>
      <c r="C1765" t="s">
        <v>6403</v>
      </c>
      <c r="D1765">
        <v>1268.5</v>
      </c>
      <c r="E1765">
        <v>0</v>
      </c>
      <c r="F1765">
        <v>1085249.3500000001</v>
      </c>
      <c r="I1765" s="232">
        <v>44229</v>
      </c>
    </row>
    <row r="1766" spans="1:9" hidden="1">
      <c r="A1766" s="232">
        <v>44230</v>
      </c>
      <c r="C1766" t="s">
        <v>6404</v>
      </c>
      <c r="D1766">
        <v>0</v>
      </c>
      <c r="E1766">
        <v>16161</v>
      </c>
      <c r="F1766">
        <v>1101410.3500000001</v>
      </c>
      <c r="I1766" s="232">
        <v>44230</v>
      </c>
    </row>
    <row r="1767" spans="1:9" hidden="1">
      <c r="A1767" s="232">
        <v>44230</v>
      </c>
      <c r="C1767" t="s">
        <v>6405</v>
      </c>
      <c r="D1767">
        <v>3507</v>
      </c>
      <c r="E1767">
        <v>0</v>
      </c>
      <c r="F1767">
        <v>1097903.3500000001</v>
      </c>
      <c r="G1767" s="8" t="s">
        <v>1379</v>
      </c>
      <c r="I1767" s="232">
        <v>44230</v>
      </c>
    </row>
    <row r="1768" spans="1:9" hidden="1">
      <c r="A1768" s="232">
        <v>44230</v>
      </c>
      <c r="C1768" t="s">
        <v>6406</v>
      </c>
      <c r="D1768">
        <v>3500</v>
      </c>
      <c r="E1768">
        <v>0</v>
      </c>
      <c r="F1768">
        <v>1094403.3500000001</v>
      </c>
      <c r="G1768" s="8" t="s">
        <v>1379</v>
      </c>
      <c r="I1768" s="232">
        <v>44230</v>
      </c>
    </row>
    <row r="1769" spans="1:9" hidden="1">
      <c r="A1769" s="232">
        <v>44231</v>
      </c>
      <c r="C1769" t="s">
        <v>6407</v>
      </c>
      <c r="D1769">
        <v>0</v>
      </c>
      <c r="E1769">
        <v>591822.07999999996</v>
      </c>
      <c r="F1769">
        <v>1686225.43</v>
      </c>
      <c r="G1769" s="8" t="s">
        <v>1375</v>
      </c>
      <c r="I1769" s="232">
        <v>44231</v>
      </c>
    </row>
    <row r="1770" spans="1:9" hidden="1">
      <c r="A1770" s="232">
        <v>44231</v>
      </c>
      <c r="B1770" t="s">
        <v>1938</v>
      </c>
      <c r="C1770" t="s">
        <v>6408</v>
      </c>
      <c r="D1770">
        <v>0</v>
      </c>
      <c r="E1770">
        <v>2536.23</v>
      </c>
      <c r="F1770">
        <v>1688761.66</v>
      </c>
      <c r="G1770" s="8" t="s">
        <v>1375</v>
      </c>
      <c r="I1770" s="232">
        <v>44231</v>
      </c>
    </row>
    <row r="1771" spans="1:9" hidden="1">
      <c r="A1771" s="232">
        <v>44233</v>
      </c>
      <c r="C1771" t="s">
        <v>6409</v>
      </c>
      <c r="D1771">
        <v>1100</v>
      </c>
      <c r="E1771">
        <v>0</v>
      </c>
      <c r="F1771">
        <v>1687661.66</v>
      </c>
      <c r="I1771" s="232">
        <v>44233</v>
      </c>
    </row>
    <row r="1772" spans="1:9" hidden="1">
      <c r="A1772" s="232">
        <v>44235</v>
      </c>
      <c r="B1772" t="s">
        <v>1914</v>
      </c>
      <c r="C1772" t="s">
        <v>6410</v>
      </c>
      <c r="D1772" s="69">
        <v>10000</v>
      </c>
      <c r="E1772">
        <v>0</v>
      </c>
      <c r="F1772">
        <v>1677661.66</v>
      </c>
      <c r="G1772" s="8" t="s">
        <v>1372</v>
      </c>
      <c r="I1772" s="232">
        <v>44235</v>
      </c>
    </row>
    <row r="1773" spans="1:9" hidden="1">
      <c r="A1773" s="232">
        <v>44236</v>
      </c>
      <c r="B1773" t="s">
        <v>1938</v>
      </c>
      <c r="C1773" t="s">
        <v>3173</v>
      </c>
      <c r="D1773">
        <v>0</v>
      </c>
      <c r="E1773">
        <v>316977</v>
      </c>
      <c r="F1773">
        <v>1994638.66</v>
      </c>
      <c r="G1773" s="8" t="s">
        <v>1375</v>
      </c>
      <c r="I1773" s="232">
        <v>44236</v>
      </c>
    </row>
    <row r="1774" spans="1:9" hidden="1">
      <c r="A1774" s="232">
        <v>44236</v>
      </c>
      <c r="B1774" t="s">
        <v>1938</v>
      </c>
      <c r="C1774" t="s">
        <v>6411</v>
      </c>
      <c r="D1774">
        <v>0</v>
      </c>
      <c r="E1774">
        <v>951422.96</v>
      </c>
      <c r="F1774">
        <v>2946061.62</v>
      </c>
      <c r="G1774" s="8" t="s">
        <v>1375</v>
      </c>
      <c r="I1774" s="232">
        <v>44236</v>
      </c>
    </row>
    <row r="1775" spans="1:9" hidden="1">
      <c r="A1775" s="232">
        <v>44236</v>
      </c>
      <c r="B1775" t="s">
        <v>1938</v>
      </c>
      <c r="C1775" t="s">
        <v>6412</v>
      </c>
      <c r="D1775">
        <v>0</v>
      </c>
      <c r="E1775">
        <v>10858.36</v>
      </c>
      <c r="F1775">
        <v>2956919.98</v>
      </c>
      <c r="G1775" s="8" t="s">
        <v>1375</v>
      </c>
      <c r="I1775" s="232">
        <v>44236</v>
      </c>
    </row>
    <row r="1776" spans="1:9" hidden="1">
      <c r="A1776" s="232">
        <v>44242</v>
      </c>
      <c r="B1776" t="s">
        <v>1997</v>
      </c>
      <c r="C1776" t="s">
        <v>6413</v>
      </c>
      <c r="D1776">
        <v>1240</v>
      </c>
      <c r="E1776">
        <v>0</v>
      </c>
      <c r="F1776">
        <v>2955679.98</v>
      </c>
      <c r="I1776" s="232">
        <v>44242</v>
      </c>
    </row>
    <row r="1777" spans="1:9" hidden="1">
      <c r="A1777" s="232">
        <v>44242</v>
      </c>
      <c r="C1777" t="s">
        <v>6414</v>
      </c>
      <c r="D1777">
        <v>59138</v>
      </c>
      <c r="E1777">
        <v>0</v>
      </c>
      <c r="F1777">
        <v>2896541.98</v>
      </c>
      <c r="G1777" s="8" t="s">
        <v>1370</v>
      </c>
      <c r="I1777" s="232">
        <v>44242</v>
      </c>
    </row>
    <row r="1778" spans="1:9" hidden="1">
      <c r="A1778" s="232">
        <v>44243</v>
      </c>
      <c r="C1778" t="s">
        <v>6415</v>
      </c>
      <c r="D1778">
        <v>0</v>
      </c>
      <c r="E1778">
        <v>45440</v>
      </c>
      <c r="F1778">
        <v>2941981.98</v>
      </c>
      <c r="I1778" s="232">
        <v>44243</v>
      </c>
    </row>
    <row r="1779" spans="1:9" hidden="1">
      <c r="A1779" s="232">
        <v>44244</v>
      </c>
      <c r="B1779" t="s">
        <v>1914</v>
      </c>
      <c r="C1779" t="s">
        <v>6416</v>
      </c>
      <c r="D1779">
        <v>122</v>
      </c>
      <c r="E1779">
        <v>0</v>
      </c>
      <c r="F1779">
        <v>2941859.98</v>
      </c>
      <c r="G1779" s="8" t="s">
        <v>1379</v>
      </c>
      <c r="I1779" s="232">
        <v>44244</v>
      </c>
    </row>
    <row r="1780" spans="1:9" hidden="1">
      <c r="A1780" s="232">
        <v>44245</v>
      </c>
      <c r="B1780" t="s">
        <v>1914</v>
      </c>
      <c r="C1780" t="s">
        <v>6417</v>
      </c>
      <c r="D1780" s="69">
        <v>10000</v>
      </c>
      <c r="E1780">
        <v>0</v>
      </c>
      <c r="F1780">
        <v>2931859.98</v>
      </c>
      <c r="G1780" s="8" t="s">
        <v>1372</v>
      </c>
      <c r="I1780" s="232">
        <v>44245</v>
      </c>
    </row>
    <row r="1781" spans="1:9" hidden="1">
      <c r="A1781" s="232">
        <v>44246</v>
      </c>
      <c r="C1781" t="s">
        <v>6418</v>
      </c>
      <c r="D1781">
        <v>0</v>
      </c>
      <c r="E1781">
        <v>12000</v>
      </c>
      <c r="F1781">
        <v>2943859.98</v>
      </c>
      <c r="G1781" s="8" t="s">
        <v>1380</v>
      </c>
      <c r="I1781" s="232">
        <v>44246</v>
      </c>
    </row>
    <row r="1782" spans="1:9" hidden="1">
      <c r="A1782" s="232">
        <v>44249</v>
      </c>
      <c r="B1782" t="s">
        <v>1914</v>
      </c>
      <c r="C1782" t="s">
        <v>6062</v>
      </c>
      <c r="D1782">
        <v>13910</v>
      </c>
      <c r="E1782">
        <v>0</v>
      </c>
      <c r="F1782">
        <v>2929949.98</v>
      </c>
      <c r="G1782" s="8" t="s">
        <v>1379</v>
      </c>
      <c r="I1782" s="232">
        <v>44249</v>
      </c>
    </row>
    <row r="1783" spans="1:9" hidden="1">
      <c r="A1783" s="232">
        <v>44257</v>
      </c>
      <c r="B1783" t="s">
        <v>1997</v>
      </c>
      <c r="C1783" t="s">
        <v>6419</v>
      </c>
      <c r="D1783">
        <v>20000</v>
      </c>
      <c r="E1783">
        <v>0</v>
      </c>
      <c r="F1783">
        <v>2909949.98</v>
      </c>
      <c r="G1783" s="8" t="s">
        <v>1358</v>
      </c>
      <c r="I1783" s="232">
        <v>44257</v>
      </c>
    </row>
    <row r="1784" spans="1:9" hidden="1">
      <c r="A1784" s="232">
        <v>44258</v>
      </c>
      <c r="B1784" t="s">
        <v>1914</v>
      </c>
      <c r="C1784" t="s">
        <v>6062</v>
      </c>
      <c r="D1784">
        <v>3507</v>
      </c>
      <c r="E1784">
        <v>0</v>
      </c>
      <c r="F1784">
        <v>2906442.98</v>
      </c>
      <c r="G1784" s="8" t="s">
        <v>1379</v>
      </c>
      <c r="I1784" s="232">
        <v>44258</v>
      </c>
    </row>
    <row r="1785" spans="1:9" hidden="1">
      <c r="A1785" s="232">
        <v>44258</v>
      </c>
      <c r="C1785" t="s">
        <v>6406</v>
      </c>
      <c r="D1785">
        <v>3500</v>
      </c>
      <c r="E1785">
        <v>0</v>
      </c>
      <c r="F1785">
        <v>2902942.98</v>
      </c>
      <c r="G1785" s="8" t="s">
        <v>1379</v>
      </c>
      <c r="I1785" s="232">
        <v>44258</v>
      </c>
    </row>
    <row r="1786" spans="1:9" hidden="1">
      <c r="A1786" s="232">
        <v>44259</v>
      </c>
      <c r="B1786" t="s">
        <v>1938</v>
      </c>
      <c r="C1786" t="s">
        <v>6420</v>
      </c>
      <c r="D1786">
        <v>0</v>
      </c>
      <c r="E1786">
        <v>2536.23</v>
      </c>
      <c r="F1786">
        <v>2905479.21</v>
      </c>
      <c r="G1786" s="8" t="s">
        <v>1375</v>
      </c>
      <c r="I1786" s="232">
        <v>44259</v>
      </c>
    </row>
    <row r="1787" spans="1:9" hidden="1">
      <c r="A1787" s="232">
        <v>44260</v>
      </c>
      <c r="C1787" t="s">
        <v>6421</v>
      </c>
      <c r="D1787">
        <v>322.7</v>
      </c>
      <c r="E1787">
        <v>0</v>
      </c>
      <c r="F1787">
        <v>2905156.51</v>
      </c>
      <c r="I1787" s="232">
        <v>44260</v>
      </c>
    </row>
    <row r="1788" spans="1:9" hidden="1">
      <c r="A1788" s="232">
        <v>44263</v>
      </c>
      <c r="B1788" t="s">
        <v>1914</v>
      </c>
      <c r="C1788" t="s">
        <v>6422</v>
      </c>
      <c r="D1788" s="69">
        <v>10000</v>
      </c>
      <c r="E1788">
        <v>0</v>
      </c>
      <c r="F1788">
        <v>2895156.51</v>
      </c>
      <c r="G1788" s="8" t="s">
        <v>1372</v>
      </c>
      <c r="I1788" s="232">
        <v>44263</v>
      </c>
    </row>
    <row r="1789" spans="1:9" hidden="1">
      <c r="A1789" s="232">
        <v>44264</v>
      </c>
      <c r="B1789" t="s">
        <v>1938</v>
      </c>
      <c r="C1789" t="s">
        <v>6423</v>
      </c>
      <c r="D1789">
        <v>0</v>
      </c>
      <c r="E1789">
        <v>10858.36</v>
      </c>
      <c r="F1789">
        <v>2906014.87</v>
      </c>
      <c r="G1789" s="8" t="s">
        <v>1375</v>
      </c>
      <c r="I1789" s="232">
        <v>44264</v>
      </c>
    </row>
    <row r="1790" spans="1:9" hidden="1">
      <c r="A1790" s="232">
        <v>44271</v>
      </c>
      <c r="C1790" t="s">
        <v>6424</v>
      </c>
      <c r="D1790">
        <v>0</v>
      </c>
      <c r="E1790">
        <v>8819</v>
      </c>
      <c r="F1790">
        <v>2914833.87</v>
      </c>
      <c r="G1790" s="8" t="s">
        <v>1369</v>
      </c>
      <c r="I1790" s="232">
        <v>44271</v>
      </c>
    </row>
    <row r="1791" spans="1:9" hidden="1">
      <c r="A1791" s="232">
        <v>44273</v>
      </c>
      <c r="B1791" t="s">
        <v>1914</v>
      </c>
      <c r="C1791" t="s">
        <v>6425</v>
      </c>
      <c r="D1791" s="69">
        <v>10000</v>
      </c>
      <c r="E1791">
        <v>0</v>
      </c>
      <c r="F1791">
        <v>2904833.87</v>
      </c>
      <c r="G1791" s="8" t="s">
        <v>1372</v>
      </c>
      <c r="I1791" s="232">
        <v>44273</v>
      </c>
    </row>
    <row r="1792" spans="1:9" hidden="1">
      <c r="A1792" s="232">
        <v>44277</v>
      </c>
      <c r="B1792" t="s">
        <v>1914</v>
      </c>
      <c r="C1792" t="s">
        <v>6062</v>
      </c>
      <c r="D1792">
        <v>13910</v>
      </c>
      <c r="E1792">
        <v>0</v>
      </c>
      <c r="F1792">
        <v>2890923.87</v>
      </c>
      <c r="G1792" s="8" t="s">
        <v>1379</v>
      </c>
      <c r="I1792" s="232">
        <v>44277</v>
      </c>
    </row>
    <row r="1793" spans="1:10" hidden="1">
      <c r="A1793" s="232">
        <v>44285</v>
      </c>
      <c r="C1793" t="s">
        <v>6426</v>
      </c>
      <c r="D1793">
        <v>0</v>
      </c>
      <c r="E1793">
        <v>15703</v>
      </c>
      <c r="F1793">
        <v>2906626.87</v>
      </c>
      <c r="G1793" s="8" t="s">
        <v>1368</v>
      </c>
      <c r="I1793" s="232">
        <v>44285</v>
      </c>
    </row>
    <row r="1794" spans="1:10" hidden="1">
      <c r="A1794" s="232">
        <v>43823</v>
      </c>
      <c r="C1794" t="s">
        <v>6427</v>
      </c>
      <c r="D1794">
        <v>0</v>
      </c>
      <c r="E1794">
        <v>433379</v>
      </c>
      <c r="G1794" s="8" t="s">
        <v>1380</v>
      </c>
      <c r="H1794" t="s">
        <v>1336</v>
      </c>
      <c r="I1794" s="232">
        <v>43823</v>
      </c>
    </row>
    <row r="1795" spans="1:10" hidden="1">
      <c r="A1795" s="232">
        <v>43854</v>
      </c>
      <c r="C1795" t="s">
        <v>6427</v>
      </c>
      <c r="D1795">
        <v>0</v>
      </c>
      <c r="E1795">
        <v>80741</v>
      </c>
      <c r="G1795" s="8" t="s">
        <v>1380</v>
      </c>
      <c r="H1795" t="s">
        <v>1336</v>
      </c>
      <c r="I1795" s="232">
        <v>43854</v>
      </c>
    </row>
    <row r="1796" spans="1:10" hidden="1">
      <c r="A1796" s="232">
        <v>43886</v>
      </c>
      <c r="C1796" t="s">
        <v>6427</v>
      </c>
      <c r="D1796">
        <v>0</v>
      </c>
      <c r="E1796">
        <v>80430</v>
      </c>
      <c r="G1796" s="8" t="s">
        <v>1380</v>
      </c>
      <c r="H1796" t="s">
        <v>1336</v>
      </c>
      <c r="I1796" s="232">
        <v>43886</v>
      </c>
    </row>
    <row r="1797" spans="1:10" hidden="1">
      <c r="A1797" s="232">
        <v>43910</v>
      </c>
      <c r="C1797" t="s">
        <v>6427</v>
      </c>
      <c r="D1797">
        <v>0</v>
      </c>
      <c r="E1797">
        <v>244476</v>
      </c>
      <c r="G1797" s="8" t="s">
        <v>1380</v>
      </c>
      <c r="H1797" t="s">
        <v>1336</v>
      </c>
      <c r="I1797" s="232">
        <v>43910</v>
      </c>
    </row>
    <row r="1798" spans="1:10" hidden="1">
      <c r="A1798" s="232">
        <v>44288</v>
      </c>
      <c r="B1798" s="226" t="s">
        <v>4124</v>
      </c>
      <c r="C1798" s="226" t="s">
        <v>6428</v>
      </c>
      <c r="D1798" s="227">
        <v>20000</v>
      </c>
      <c r="E1798" s="227">
        <v>0</v>
      </c>
      <c r="F1798" s="227">
        <v>2886626.87</v>
      </c>
      <c r="G1798" s="8" t="s">
        <v>1358</v>
      </c>
      <c r="I1798" s="233" t="s">
        <v>6429</v>
      </c>
      <c r="J1798" s="232"/>
    </row>
    <row r="1799" spans="1:10" hidden="1">
      <c r="A1799" s="232">
        <v>44288</v>
      </c>
      <c r="B1799" s="226" t="s">
        <v>4124</v>
      </c>
      <c r="C1799" s="226" t="s">
        <v>6430</v>
      </c>
      <c r="D1799" s="227">
        <v>1161.5</v>
      </c>
      <c r="E1799" s="227">
        <v>0</v>
      </c>
      <c r="F1799" s="227">
        <v>2885465.37</v>
      </c>
      <c r="I1799" s="233" t="s">
        <v>6429</v>
      </c>
      <c r="J1799" s="232"/>
    </row>
    <row r="1800" spans="1:10" hidden="1">
      <c r="A1800" s="232">
        <v>44289</v>
      </c>
      <c r="B1800" s="226" t="s">
        <v>4124</v>
      </c>
      <c r="C1800" s="226" t="s">
        <v>6431</v>
      </c>
      <c r="D1800" s="227">
        <v>3507</v>
      </c>
      <c r="E1800" s="227">
        <v>0</v>
      </c>
      <c r="F1800" s="227">
        <v>2881958.37</v>
      </c>
      <c r="G1800" s="8" t="s">
        <v>1379</v>
      </c>
      <c r="I1800" s="233" t="s">
        <v>6432</v>
      </c>
      <c r="J1800" s="232"/>
    </row>
    <row r="1801" spans="1:10" hidden="1">
      <c r="A1801" s="232">
        <v>44289</v>
      </c>
      <c r="B1801" s="226" t="s">
        <v>4124</v>
      </c>
      <c r="C1801" s="226" t="s">
        <v>6433</v>
      </c>
      <c r="D1801" s="227">
        <v>150000</v>
      </c>
      <c r="E1801" s="227">
        <v>0</v>
      </c>
      <c r="F1801" s="227">
        <v>2731958.37</v>
      </c>
      <c r="G1801" s="8" t="s">
        <v>1378</v>
      </c>
      <c r="I1801" s="233" t="s">
        <v>6432</v>
      </c>
      <c r="J1801" s="232"/>
    </row>
    <row r="1802" spans="1:10" hidden="1">
      <c r="A1802" s="232">
        <v>44289</v>
      </c>
      <c r="B1802" s="226" t="s">
        <v>4124</v>
      </c>
      <c r="C1802" s="226" t="s">
        <v>6434</v>
      </c>
      <c r="D1802" s="227">
        <v>3500</v>
      </c>
      <c r="E1802" s="227">
        <v>0</v>
      </c>
      <c r="F1802" s="227">
        <v>2728458.37</v>
      </c>
      <c r="G1802" s="8" t="s">
        <v>1379</v>
      </c>
      <c r="I1802" s="233" t="s">
        <v>6432</v>
      </c>
      <c r="J1802" s="232"/>
    </row>
    <row r="1803" spans="1:10" hidden="1">
      <c r="A1803" s="232">
        <v>44293</v>
      </c>
      <c r="B1803" s="226" t="s">
        <v>4124</v>
      </c>
      <c r="C1803" s="226" t="s">
        <v>6435</v>
      </c>
      <c r="D1803" s="227">
        <v>1000</v>
      </c>
      <c r="E1803" s="227">
        <v>0</v>
      </c>
      <c r="F1803" s="227">
        <v>2727458.37</v>
      </c>
      <c r="I1803" s="233" t="s">
        <v>6436</v>
      </c>
      <c r="J1803" s="232"/>
    </row>
    <row r="1804" spans="1:10" hidden="1">
      <c r="A1804" s="232">
        <v>44293</v>
      </c>
      <c r="B1804" s="226" t="s">
        <v>4124</v>
      </c>
      <c r="C1804" s="226" t="s">
        <v>6437</v>
      </c>
      <c r="D1804" s="227">
        <v>438</v>
      </c>
      <c r="E1804" s="227">
        <v>0</v>
      </c>
      <c r="F1804" s="227">
        <v>2727020.37</v>
      </c>
      <c r="I1804" s="233" t="s">
        <v>6436</v>
      </c>
      <c r="J1804" s="232"/>
    </row>
    <row r="1805" spans="1:10" hidden="1">
      <c r="A1805" s="232">
        <v>44294</v>
      </c>
      <c r="B1805" s="226" t="s">
        <v>4124</v>
      </c>
      <c r="C1805" s="226" t="s">
        <v>6438</v>
      </c>
      <c r="D1805" s="227">
        <v>180</v>
      </c>
      <c r="E1805" s="227">
        <v>0</v>
      </c>
      <c r="F1805" s="227">
        <v>2726840.37</v>
      </c>
      <c r="I1805" s="233" t="s">
        <v>6439</v>
      </c>
      <c r="J1805" s="232"/>
    </row>
    <row r="1806" spans="1:10" hidden="1">
      <c r="A1806" s="232">
        <v>44294</v>
      </c>
      <c r="B1806" s="226" t="s">
        <v>4124</v>
      </c>
      <c r="C1806" s="226" t="s">
        <v>6440</v>
      </c>
      <c r="D1806" s="227">
        <v>0</v>
      </c>
      <c r="E1806" s="227">
        <v>2536.23</v>
      </c>
      <c r="F1806" s="227">
        <v>2729376.6</v>
      </c>
      <c r="G1806" s="8" t="s">
        <v>1375</v>
      </c>
      <c r="I1806" s="233" t="s">
        <v>6439</v>
      </c>
      <c r="J1806" s="232"/>
    </row>
    <row r="1807" spans="1:10" hidden="1">
      <c r="A1807" s="232">
        <v>44298</v>
      </c>
      <c r="B1807" s="226" t="s">
        <v>4124</v>
      </c>
      <c r="C1807" s="226" t="s">
        <v>6441</v>
      </c>
      <c r="D1807" s="227">
        <v>5000</v>
      </c>
      <c r="E1807" s="227">
        <v>0</v>
      </c>
      <c r="F1807" s="227">
        <v>2724376.6</v>
      </c>
      <c r="I1807" s="233" t="s">
        <v>6442</v>
      </c>
      <c r="J1807" s="232"/>
    </row>
    <row r="1808" spans="1:10" hidden="1">
      <c r="A1808" s="232">
        <v>44298</v>
      </c>
      <c r="B1808" s="226" t="s">
        <v>4124</v>
      </c>
      <c r="C1808" s="226" t="s">
        <v>6443</v>
      </c>
      <c r="D1808" s="227">
        <v>6020</v>
      </c>
      <c r="E1808" s="227">
        <v>0</v>
      </c>
      <c r="F1808" s="227">
        <v>2718356.6</v>
      </c>
      <c r="I1808" s="233" t="s">
        <v>6442</v>
      </c>
      <c r="J1808" s="232"/>
    </row>
    <row r="1809" spans="1:10" hidden="1">
      <c r="A1809" s="232">
        <v>44298</v>
      </c>
      <c r="B1809" s="226" t="s">
        <v>4124</v>
      </c>
      <c r="C1809" s="226" t="s">
        <v>6444</v>
      </c>
      <c r="D1809" s="227">
        <v>350.9</v>
      </c>
      <c r="E1809" s="227">
        <v>0</v>
      </c>
      <c r="F1809" s="227">
        <v>2718005.7</v>
      </c>
      <c r="I1809" s="233" t="s">
        <v>6442</v>
      </c>
      <c r="J1809" s="232"/>
    </row>
    <row r="1810" spans="1:10" hidden="1">
      <c r="A1810" s="232">
        <v>44298</v>
      </c>
      <c r="B1810" s="226" t="s">
        <v>4124</v>
      </c>
      <c r="C1810" s="226" t="s">
        <v>6445</v>
      </c>
      <c r="D1810" s="227">
        <v>612</v>
      </c>
      <c r="E1810" s="227">
        <v>0</v>
      </c>
      <c r="F1810" s="227">
        <v>2717393.7</v>
      </c>
      <c r="I1810" s="233" t="s">
        <v>6442</v>
      </c>
      <c r="J1810" s="232"/>
    </row>
    <row r="1811" spans="1:10" hidden="1">
      <c r="A1811" s="232">
        <v>44298</v>
      </c>
      <c r="B1811" s="226" t="s">
        <v>4124</v>
      </c>
      <c r="C1811" s="226" t="s">
        <v>6446</v>
      </c>
      <c r="D1811" s="227">
        <v>30</v>
      </c>
      <c r="E1811" s="227">
        <v>0</v>
      </c>
      <c r="F1811" s="227">
        <v>2717363.7</v>
      </c>
      <c r="I1811" s="233" t="s">
        <v>6442</v>
      </c>
      <c r="J1811" s="232"/>
    </row>
    <row r="1812" spans="1:10" hidden="1">
      <c r="A1812" s="232">
        <v>44301</v>
      </c>
      <c r="B1812" s="226" t="s">
        <v>4124</v>
      </c>
      <c r="C1812" s="226" t="s">
        <v>6447</v>
      </c>
      <c r="D1812" s="227">
        <v>0</v>
      </c>
      <c r="E1812" s="227">
        <v>9772.36</v>
      </c>
      <c r="F1812" s="227">
        <v>2727136.06</v>
      </c>
      <c r="G1812" s="8" t="s">
        <v>1375</v>
      </c>
      <c r="I1812" s="233" t="s">
        <v>6448</v>
      </c>
      <c r="J1812" s="232"/>
    </row>
    <row r="1813" spans="1:10" hidden="1">
      <c r="A1813" s="232">
        <v>44305</v>
      </c>
      <c r="B1813" s="226" t="s">
        <v>4124</v>
      </c>
      <c r="C1813" s="226" t="s">
        <v>6449</v>
      </c>
      <c r="D1813" s="227">
        <v>1111</v>
      </c>
      <c r="E1813" s="227">
        <v>0</v>
      </c>
      <c r="F1813" s="227">
        <v>2726025.06</v>
      </c>
      <c r="I1813" s="233" t="s">
        <v>6450</v>
      </c>
      <c r="J1813" s="232"/>
    </row>
    <row r="1814" spans="1:10" hidden="1">
      <c r="A1814" s="232">
        <v>44305</v>
      </c>
      <c r="B1814" s="226" t="s">
        <v>4124</v>
      </c>
      <c r="C1814" s="226" t="s">
        <v>6451</v>
      </c>
      <c r="D1814" s="227">
        <v>702132.38</v>
      </c>
      <c r="E1814" s="227">
        <v>0</v>
      </c>
      <c r="F1814" s="227">
        <v>2023892.68</v>
      </c>
      <c r="G1814" s="8" t="s">
        <v>1370</v>
      </c>
      <c r="I1814" s="233" t="s">
        <v>6450</v>
      </c>
      <c r="J1814" s="232"/>
    </row>
    <row r="1815" spans="1:10" hidden="1">
      <c r="A1815" s="232">
        <v>44306</v>
      </c>
      <c r="B1815" s="226" t="s">
        <v>4124</v>
      </c>
      <c r="C1815" s="226" t="s">
        <v>6452</v>
      </c>
      <c r="D1815" s="227">
        <v>584</v>
      </c>
      <c r="E1815" s="227">
        <v>0</v>
      </c>
      <c r="F1815" s="227">
        <v>2023308.68</v>
      </c>
      <c r="I1815" s="233" t="s">
        <v>6453</v>
      </c>
      <c r="J1815" s="232"/>
    </row>
    <row r="1816" spans="1:10" hidden="1">
      <c r="A1816" s="232">
        <v>44307</v>
      </c>
      <c r="B1816" s="226" t="s">
        <v>4124</v>
      </c>
      <c r="C1816" s="226" t="s">
        <v>6431</v>
      </c>
      <c r="D1816" s="227">
        <v>13910</v>
      </c>
      <c r="E1816" s="227">
        <v>0</v>
      </c>
      <c r="F1816" s="227">
        <v>2009398.68</v>
      </c>
      <c r="G1816" s="8" t="s">
        <v>1379</v>
      </c>
      <c r="I1816" s="233" t="s">
        <v>6454</v>
      </c>
      <c r="J1816" s="232"/>
    </row>
    <row r="1817" spans="1:10" hidden="1">
      <c r="A1817" s="232">
        <v>44307</v>
      </c>
      <c r="B1817" s="226" t="s">
        <v>4124</v>
      </c>
      <c r="C1817" s="226" t="s">
        <v>6455</v>
      </c>
      <c r="D1817" s="227">
        <v>318</v>
      </c>
      <c r="E1817" s="227">
        <v>0</v>
      </c>
      <c r="F1817" s="227">
        <v>2009080.68</v>
      </c>
      <c r="I1817" s="233" t="s">
        <v>6454</v>
      </c>
      <c r="J1817" s="232"/>
    </row>
    <row r="1818" spans="1:10" hidden="1">
      <c r="A1818" s="232">
        <v>44314</v>
      </c>
      <c r="B1818" s="226" t="s">
        <v>4124</v>
      </c>
      <c r="C1818" s="226" t="s">
        <v>6456</v>
      </c>
      <c r="D1818" s="227">
        <v>52</v>
      </c>
      <c r="E1818" s="227">
        <v>0</v>
      </c>
      <c r="F1818" s="227">
        <v>2009028.68</v>
      </c>
      <c r="I1818" s="233" t="s">
        <v>6457</v>
      </c>
      <c r="J1818" s="232"/>
    </row>
    <row r="1819" spans="1:10" hidden="1">
      <c r="A1819" s="232">
        <v>44316</v>
      </c>
      <c r="B1819" s="226" t="s">
        <v>4124</v>
      </c>
      <c r="C1819" s="226" t="s">
        <v>6458</v>
      </c>
      <c r="D1819" s="227">
        <v>68</v>
      </c>
      <c r="E1819" s="227">
        <v>0</v>
      </c>
      <c r="F1819" s="227">
        <v>2008960.68</v>
      </c>
      <c r="G1819" s="8" t="s">
        <v>1379</v>
      </c>
      <c r="I1819" s="233" t="s">
        <v>6459</v>
      </c>
      <c r="J1819" s="232"/>
    </row>
    <row r="1820" spans="1:10" hidden="1">
      <c r="A1820" s="232">
        <v>44316</v>
      </c>
      <c r="B1820" s="226" t="s">
        <v>4124</v>
      </c>
      <c r="C1820" s="226" t="s">
        <v>6460</v>
      </c>
      <c r="D1820" s="227">
        <v>0</v>
      </c>
      <c r="E1820" s="227">
        <v>52</v>
      </c>
      <c r="F1820" s="227">
        <v>2009012.68</v>
      </c>
      <c r="I1820" s="233" t="s">
        <v>6459</v>
      </c>
      <c r="J1820" s="232"/>
    </row>
    <row r="1821" spans="1:10" hidden="1">
      <c r="A1821" s="232">
        <v>44317</v>
      </c>
      <c r="B1821" s="226" t="s">
        <v>4124</v>
      </c>
      <c r="C1821" s="226" t="s">
        <v>6461</v>
      </c>
      <c r="D1821" s="227">
        <v>20000</v>
      </c>
      <c r="E1821" s="227">
        <v>0</v>
      </c>
      <c r="F1821" s="227">
        <v>1989012.68</v>
      </c>
      <c r="G1821" s="8" t="s">
        <v>1358</v>
      </c>
      <c r="I1821" s="233" t="s">
        <v>6462</v>
      </c>
      <c r="J1821" s="232"/>
    </row>
    <row r="1822" spans="1:10" hidden="1">
      <c r="A1822" s="232">
        <v>44319</v>
      </c>
      <c r="B1822" s="226" t="s">
        <v>4124</v>
      </c>
      <c r="C1822" s="226" t="s">
        <v>6431</v>
      </c>
      <c r="D1822" s="227">
        <v>3507</v>
      </c>
      <c r="E1822" s="227">
        <v>0</v>
      </c>
      <c r="F1822" s="227">
        <v>1985505.68</v>
      </c>
      <c r="G1822" s="8" t="s">
        <v>1379</v>
      </c>
      <c r="I1822" s="233" t="s">
        <v>6463</v>
      </c>
      <c r="J1822" s="232"/>
    </row>
    <row r="1823" spans="1:10" hidden="1">
      <c r="A1823" s="232">
        <v>44319</v>
      </c>
      <c r="B1823" s="226" t="s">
        <v>4124</v>
      </c>
      <c r="C1823" s="226" t="s">
        <v>6434</v>
      </c>
      <c r="D1823" s="227">
        <v>3500</v>
      </c>
      <c r="E1823" s="227">
        <v>0</v>
      </c>
      <c r="F1823" s="227">
        <v>1982005.68</v>
      </c>
      <c r="G1823" s="8" t="s">
        <v>1379</v>
      </c>
      <c r="I1823" s="233" t="s">
        <v>6463</v>
      </c>
      <c r="J1823" s="232"/>
    </row>
    <row r="1824" spans="1:10" hidden="1">
      <c r="A1824" s="232">
        <v>44321</v>
      </c>
      <c r="B1824" s="226" t="s">
        <v>4124</v>
      </c>
      <c r="C1824" s="226" t="s">
        <v>6464</v>
      </c>
      <c r="D1824" s="227">
        <v>640</v>
      </c>
      <c r="E1824" s="227">
        <v>0</v>
      </c>
      <c r="F1824" s="227">
        <v>1981365.68</v>
      </c>
      <c r="I1824" s="233" t="s">
        <v>6465</v>
      </c>
      <c r="J1824" s="232"/>
    </row>
    <row r="1825" spans="1:10" hidden="1">
      <c r="A1825" s="232">
        <v>44321</v>
      </c>
      <c r="B1825" s="226" t="s">
        <v>4124</v>
      </c>
      <c r="C1825" s="226" t="s">
        <v>6466</v>
      </c>
      <c r="D1825" s="227">
        <v>0</v>
      </c>
      <c r="E1825" s="227">
        <v>2282.23</v>
      </c>
      <c r="F1825" s="227">
        <v>1983647.91</v>
      </c>
      <c r="G1825" s="8" t="s">
        <v>1375</v>
      </c>
      <c r="I1825" s="233" t="s">
        <v>6465</v>
      </c>
      <c r="J1825" s="232"/>
    </row>
    <row r="1826" spans="1:10" hidden="1">
      <c r="A1826" s="232">
        <v>44323</v>
      </c>
      <c r="B1826" s="226" t="s">
        <v>4124</v>
      </c>
      <c r="C1826" s="226" t="s">
        <v>6467</v>
      </c>
      <c r="D1826" s="227">
        <v>0</v>
      </c>
      <c r="E1826" s="227">
        <v>9772.36</v>
      </c>
      <c r="F1826" s="227">
        <v>1993420.27</v>
      </c>
      <c r="G1826" s="8" t="s">
        <v>1375</v>
      </c>
      <c r="I1826" s="233" t="s">
        <v>6468</v>
      </c>
      <c r="J1826" s="232"/>
    </row>
    <row r="1827" spans="1:10" hidden="1">
      <c r="A1827" s="232">
        <v>44335</v>
      </c>
      <c r="B1827" s="226" t="s">
        <v>4124</v>
      </c>
      <c r="C1827" s="226" t="s">
        <v>6469</v>
      </c>
      <c r="D1827" s="227">
        <v>245417</v>
      </c>
      <c r="E1827" s="227">
        <v>0</v>
      </c>
      <c r="F1827" s="227">
        <v>1748003.27</v>
      </c>
      <c r="G1827" s="8" t="s">
        <v>1370</v>
      </c>
      <c r="I1827" s="233" t="s">
        <v>6470</v>
      </c>
      <c r="J1827" s="232"/>
    </row>
    <row r="1828" spans="1:10" hidden="1">
      <c r="A1828" s="232">
        <v>44337</v>
      </c>
      <c r="B1828" s="226" t="s">
        <v>4124</v>
      </c>
      <c r="C1828" s="226" t="s">
        <v>6431</v>
      </c>
      <c r="D1828" s="227">
        <v>13910</v>
      </c>
      <c r="E1828" s="227">
        <v>0</v>
      </c>
      <c r="F1828" s="227">
        <v>1734093.27</v>
      </c>
      <c r="G1828" s="8" t="s">
        <v>1379</v>
      </c>
      <c r="I1828" s="233" t="s">
        <v>6471</v>
      </c>
      <c r="J1828" s="232"/>
    </row>
    <row r="1829" spans="1:10" hidden="1">
      <c r="A1829" s="232">
        <v>44340</v>
      </c>
      <c r="B1829" s="226" t="s">
        <v>4124</v>
      </c>
      <c r="C1829" s="226" t="s">
        <v>6472</v>
      </c>
      <c r="D1829" s="227">
        <v>83</v>
      </c>
      <c r="E1829" s="227">
        <v>0</v>
      </c>
      <c r="F1829" s="227">
        <v>1734010.27</v>
      </c>
      <c r="G1829" s="8" t="s">
        <v>1379</v>
      </c>
      <c r="I1829" s="233" t="s">
        <v>6473</v>
      </c>
      <c r="J1829" s="232"/>
    </row>
    <row r="1830" spans="1:10" hidden="1">
      <c r="A1830" s="232">
        <v>44343</v>
      </c>
      <c r="B1830" s="226" t="s">
        <v>4124</v>
      </c>
      <c r="C1830" s="226" t="s">
        <v>6474</v>
      </c>
      <c r="D1830" s="227">
        <v>327</v>
      </c>
      <c r="E1830" s="227">
        <v>0</v>
      </c>
      <c r="F1830" s="227">
        <v>1733683.27</v>
      </c>
      <c r="I1830" s="233" t="s">
        <v>6475</v>
      </c>
      <c r="J1830" s="232"/>
    </row>
    <row r="1831" spans="1:10" hidden="1">
      <c r="A1831" s="232">
        <v>44350</v>
      </c>
      <c r="B1831" s="226" t="s">
        <v>4124</v>
      </c>
      <c r="C1831" s="226" t="s">
        <v>6431</v>
      </c>
      <c r="D1831" s="227">
        <v>3507</v>
      </c>
      <c r="E1831" s="227">
        <v>0</v>
      </c>
      <c r="F1831" s="227">
        <v>1730176.27</v>
      </c>
      <c r="G1831" s="8" t="s">
        <v>1379</v>
      </c>
      <c r="I1831" s="233" t="s">
        <v>6476</v>
      </c>
      <c r="J1831" s="232"/>
    </row>
    <row r="1832" spans="1:10" hidden="1">
      <c r="A1832" s="232">
        <v>44350</v>
      </c>
      <c r="B1832" s="226" t="s">
        <v>4124</v>
      </c>
      <c r="C1832" s="226" t="s">
        <v>6477</v>
      </c>
      <c r="D1832" s="227">
        <v>0</v>
      </c>
      <c r="E1832" s="227">
        <v>2282.23</v>
      </c>
      <c r="F1832" s="227">
        <v>1732458.5</v>
      </c>
      <c r="G1832" s="8" t="s">
        <v>1375</v>
      </c>
      <c r="I1832" s="233" t="s">
        <v>6476</v>
      </c>
      <c r="J1832" s="232"/>
    </row>
    <row r="1833" spans="1:10" hidden="1">
      <c r="A1833" s="232">
        <v>44350</v>
      </c>
      <c r="B1833" s="226" t="s">
        <v>4124</v>
      </c>
      <c r="C1833" s="226" t="s">
        <v>6434</v>
      </c>
      <c r="D1833" s="227">
        <v>3500</v>
      </c>
      <c r="E1833" s="227">
        <v>0</v>
      </c>
      <c r="F1833" s="227">
        <v>1728958.5</v>
      </c>
      <c r="G1833" s="8" t="s">
        <v>1379</v>
      </c>
      <c r="I1833" s="233" t="s">
        <v>6476</v>
      </c>
      <c r="J1833" s="232"/>
    </row>
    <row r="1834" spans="1:10" hidden="1">
      <c r="A1834" s="232">
        <v>44351</v>
      </c>
      <c r="B1834" s="226" t="s">
        <v>4124</v>
      </c>
      <c r="C1834" s="226" t="s">
        <v>6478</v>
      </c>
      <c r="D1834" s="227">
        <v>0</v>
      </c>
      <c r="E1834" s="227">
        <v>9772.36</v>
      </c>
      <c r="F1834" s="227">
        <v>1738730.86</v>
      </c>
      <c r="G1834" s="8" t="s">
        <v>1375</v>
      </c>
      <c r="I1834" s="233" t="s">
        <v>6479</v>
      </c>
      <c r="J1834" s="232"/>
    </row>
    <row r="1835" spans="1:10" hidden="1">
      <c r="A1835" s="232">
        <v>44351</v>
      </c>
      <c r="B1835" s="226" t="s">
        <v>4124</v>
      </c>
      <c r="C1835" s="226" t="s">
        <v>6480</v>
      </c>
      <c r="D1835" s="227">
        <v>618</v>
      </c>
      <c r="E1835" s="227">
        <v>0</v>
      </c>
      <c r="F1835" s="227">
        <v>1738112.86</v>
      </c>
      <c r="I1835" s="233" t="s">
        <v>6479</v>
      </c>
      <c r="J1835" s="232"/>
    </row>
    <row r="1836" spans="1:10" hidden="1">
      <c r="A1836" s="232">
        <v>44362</v>
      </c>
      <c r="B1836" s="226" t="s">
        <v>4124</v>
      </c>
      <c r="C1836" s="226" t="s">
        <v>6481</v>
      </c>
      <c r="D1836" s="227">
        <v>20000</v>
      </c>
      <c r="E1836" s="227">
        <v>0</v>
      </c>
      <c r="F1836" s="227">
        <v>1718112.86</v>
      </c>
      <c r="G1836" s="8" t="s">
        <v>1358</v>
      </c>
      <c r="I1836" s="233" t="s">
        <v>6482</v>
      </c>
      <c r="J1836" s="232"/>
    </row>
    <row r="1837" spans="1:10" hidden="1">
      <c r="A1837" s="232">
        <v>44368</v>
      </c>
      <c r="B1837" s="226" t="s">
        <v>4124</v>
      </c>
      <c r="C1837" s="226" t="s">
        <v>6483</v>
      </c>
      <c r="D1837" s="227">
        <v>410</v>
      </c>
      <c r="E1837" s="227">
        <v>0</v>
      </c>
      <c r="F1837" s="227">
        <v>1717702.86</v>
      </c>
      <c r="I1837" s="233" t="s">
        <v>6484</v>
      </c>
      <c r="J1837" s="232"/>
    </row>
    <row r="1838" spans="1:10" hidden="1">
      <c r="A1838" s="232">
        <v>44368</v>
      </c>
      <c r="B1838" s="226" t="s">
        <v>4124</v>
      </c>
      <c r="C1838" s="226" t="s">
        <v>6431</v>
      </c>
      <c r="D1838" s="227">
        <v>13910</v>
      </c>
      <c r="E1838" s="227">
        <v>0</v>
      </c>
      <c r="F1838" s="227">
        <v>1703792.86</v>
      </c>
      <c r="G1838" s="8" t="s">
        <v>1379</v>
      </c>
      <c r="I1838" s="233" t="s">
        <v>6484</v>
      </c>
      <c r="J1838" s="232"/>
    </row>
    <row r="1839" spans="1:10" hidden="1">
      <c r="A1839" s="232">
        <v>44375</v>
      </c>
      <c r="B1839" s="226" t="s">
        <v>4124</v>
      </c>
      <c r="C1839" s="226" t="s">
        <v>6485</v>
      </c>
      <c r="D1839" s="227">
        <v>628</v>
      </c>
      <c r="E1839" s="227">
        <v>0</v>
      </c>
      <c r="F1839" s="227">
        <v>1703164.86</v>
      </c>
      <c r="I1839" s="233" t="s">
        <v>6486</v>
      </c>
      <c r="J1839" s="232"/>
    </row>
    <row r="1840" spans="1:10" hidden="1">
      <c r="A1840" s="232">
        <v>44375</v>
      </c>
      <c r="B1840" s="226" t="s">
        <v>4124</v>
      </c>
      <c r="C1840" s="226" t="s">
        <v>6487</v>
      </c>
      <c r="D1840" s="227">
        <v>25000</v>
      </c>
      <c r="E1840" s="227">
        <v>0</v>
      </c>
      <c r="F1840" s="227">
        <v>1678164.86</v>
      </c>
      <c r="G1840" s="8" t="s">
        <v>1381</v>
      </c>
      <c r="I1840" s="233" t="s">
        <v>6486</v>
      </c>
      <c r="J1840" s="232"/>
    </row>
    <row r="1841" spans="1:10" hidden="1">
      <c r="A1841" s="232">
        <v>44377</v>
      </c>
      <c r="B1841" s="226" t="s">
        <v>4124</v>
      </c>
      <c r="C1841" s="226" t="s">
        <v>6488</v>
      </c>
      <c r="D1841" s="227">
        <v>0</v>
      </c>
      <c r="E1841" s="227">
        <v>15365</v>
      </c>
      <c r="F1841" s="227">
        <v>1693529.86</v>
      </c>
      <c r="G1841" s="8" t="s">
        <v>1368</v>
      </c>
      <c r="I1841" s="233" t="s">
        <v>6489</v>
      </c>
      <c r="J1841" s="232"/>
    </row>
    <row r="1842" spans="1:10" hidden="1">
      <c r="A1842" s="232">
        <v>44379</v>
      </c>
      <c r="B1842" s="226" t="s">
        <v>4124</v>
      </c>
      <c r="C1842" s="226" t="s">
        <v>6490</v>
      </c>
      <c r="D1842" s="227">
        <v>20000</v>
      </c>
      <c r="E1842" s="227">
        <v>0</v>
      </c>
      <c r="F1842" s="227">
        <v>1673529.86</v>
      </c>
      <c r="G1842" s="8" t="s">
        <v>1358</v>
      </c>
      <c r="I1842" s="233" t="s">
        <v>6491</v>
      </c>
      <c r="J1842" s="232"/>
    </row>
    <row r="1843" spans="1:10" hidden="1">
      <c r="A1843" s="232">
        <v>44380</v>
      </c>
      <c r="B1843" s="226" t="s">
        <v>4124</v>
      </c>
      <c r="C1843" s="226" t="s">
        <v>6431</v>
      </c>
      <c r="D1843" s="227">
        <v>3507</v>
      </c>
      <c r="E1843" s="227">
        <v>0</v>
      </c>
      <c r="F1843" s="227">
        <v>1670022.86</v>
      </c>
      <c r="G1843" s="8" t="s">
        <v>1379</v>
      </c>
      <c r="I1843" s="233" t="s">
        <v>6492</v>
      </c>
      <c r="J1843" s="232"/>
    </row>
    <row r="1844" spans="1:10" hidden="1">
      <c r="A1844" s="232">
        <v>44380</v>
      </c>
      <c r="B1844" s="226" t="s">
        <v>4124</v>
      </c>
      <c r="C1844" s="226" t="s">
        <v>6434</v>
      </c>
      <c r="D1844" s="227">
        <v>3500</v>
      </c>
      <c r="E1844" s="227">
        <v>0</v>
      </c>
      <c r="F1844" s="227">
        <v>1666522.86</v>
      </c>
      <c r="G1844" s="8" t="s">
        <v>1379</v>
      </c>
      <c r="I1844" s="233" t="s">
        <v>6492</v>
      </c>
      <c r="J1844" s="232"/>
    </row>
    <row r="1845" spans="1:10" hidden="1">
      <c r="A1845" s="232">
        <v>44382</v>
      </c>
      <c r="B1845" s="226" t="s">
        <v>4124</v>
      </c>
      <c r="C1845" s="226" t="s">
        <v>6493</v>
      </c>
      <c r="D1845" s="227">
        <v>431</v>
      </c>
      <c r="E1845" s="227">
        <v>0</v>
      </c>
      <c r="F1845" s="227">
        <v>1666091.86</v>
      </c>
      <c r="I1845" s="233" t="s">
        <v>6494</v>
      </c>
      <c r="J1845" s="232"/>
    </row>
    <row r="1846" spans="1:10" hidden="1">
      <c r="A1846" s="232">
        <v>44382</v>
      </c>
      <c r="B1846" s="226" t="s">
        <v>4124</v>
      </c>
      <c r="C1846" s="226" t="s">
        <v>6495</v>
      </c>
      <c r="D1846" s="227">
        <v>0</v>
      </c>
      <c r="E1846" s="227">
        <v>431</v>
      </c>
      <c r="F1846" s="227">
        <v>1666522.86</v>
      </c>
      <c r="I1846" s="233" t="s">
        <v>6494</v>
      </c>
      <c r="J1846" s="232"/>
    </row>
    <row r="1847" spans="1:10" hidden="1">
      <c r="A1847" s="232">
        <v>44384</v>
      </c>
      <c r="B1847" s="226" t="s">
        <v>4124</v>
      </c>
      <c r="C1847" s="226" t="s">
        <v>6496</v>
      </c>
      <c r="D1847" s="227">
        <v>0</v>
      </c>
      <c r="E1847" s="227">
        <v>2282.23</v>
      </c>
      <c r="F1847" s="227">
        <v>1668805.09</v>
      </c>
      <c r="G1847" s="8" t="s">
        <v>1375</v>
      </c>
      <c r="I1847" s="233" t="s">
        <v>6497</v>
      </c>
      <c r="J1847" s="232"/>
    </row>
    <row r="1848" spans="1:10" hidden="1">
      <c r="A1848" s="232">
        <v>44385</v>
      </c>
      <c r="B1848" s="226" t="s">
        <v>4124</v>
      </c>
      <c r="C1848" s="226" t="s">
        <v>6498</v>
      </c>
      <c r="D1848" s="227">
        <v>0</v>
      </c>
      <c r="E1848" s="227">
        <v>9772.36</v>
      </c>
      <c r="F1848" s="227">
        <v>1678577.45</v>
      </c>
      <c r="G1848" s="8" t="s">
        <v>1375</v>
      </c>
      <c r="I1848" s="233" t="s">
        <v>6499</v>
      </c>
      <c r="J1848" s="232"/>
    </row>
    <row r="1849" spans="1:10" hidden="1">
      <c r="A1849" s="232">
        <v>44389</v>
      </c>
      <c r="B1849" s="226" t="s">
        <v>4124</v>
      </c>
      <c r="C1849" s="226" t="s">
        <v>6500</v>
      </c>
      <c r="D1849" s="227">
        <v>499</v>
      </c>
      <c r="E1849" s="227">
        <v>0</v>
      </c>
      <c r="F1849" s="227">
        <v>1678078.45</v>
      </c>
      <c r="I1849" s="233" t="s">
        <v>6501</v>
      </c>
      <c r="J1849" s="232"/>
    </row>
    <row r="1850" spans="1:10" hidden="1">
      <c r="A1850" s="232">
        <v>44397</v>
      </c>
      <c r="B1850" s="226" t="s">
        <v>4124</v>
      </c>
      <c r="C1850" s="226" t="s">
        <v>6502</v>
      </c>
      <c r="D1850" s="227">
        <v>100</v>
      </c>
      <c r="E1850" s="227">
        <v>0</v>
      </c>
      <c r="F1850" s="227">
        <v>1677978.45</v>
      </c>
      <c r="I1850" s="233" t="s">
        <v>6503</v>
      </c>
      <c r="J1850" s="232"/>
    </row>
    <row r="1851" spans="1:10" hidden="1">
      <c r="A1851" s="232">
        <v>44397</v>
      </c>
      <c r="B1851" s="226" t="s">
        <v>4124</v>
      </c>
      <c r="C1851" s="226" t="s">
        <v>6504</v>
      </c>
      <c r="D1851" s="227">
        <v>20000</v>
      </c>
      <c r="E1851" s="227">
        <v>0</v>
      </c>
      <c r="F1851" s="227">
        <v>1657978.45</v>
      </c>
      <c r="G1851" s="8" t="s">
        <v>1358</v>
      </c>
      <c r="I1851" s="233" t="s">
        <v>6503</v>
      </c>
      <c r="J1851" s="232"/>
    </row>
    <row r="1852" spans="1:10" hidden="1">
      <c r="A1852" s="232">
        <v>44398</v>
      </c>
      <c r="B1852" s="226" t="s">
        <v>4124</v>
      </c>
      <c r="C1852" s="226" t="s">
        <v>6431</v>
      </c>
      <c r="D1852" s="227">
        <v>13910</v>
      </c>
      <c r="E1852" s="227">
        <v>0</v>
      </c>
      <c r="F1852" s="227">
        <v>1644068.45</v>
      </c>
      <c r="G1852" s="8" t="s">
        <v>1379</v>
      </c>
      <c r="I1852" s="233" t="s">
        <v>6505</v>
      </c>
      <c r="J1852" s="232"/>
    </row>
    <row r="1853" spans="1:10" hidden="1">
      <c r="A1853" s="232">
        <v>44398</v>
      </c>
      <c r="B1853" s="226" t="s">
        <v>4124</v>
      </c>
      <c r="C1853" s="226" t="s">
        <v>6506</v>
      </c>
      <c r="D1853" s="227">
        <v>41667</v>
      </c>
      <c r="E1853" s="227">
        <v>0</v>
      </c>
      <c r="F1853" s="227">
        <v>1602401.45</v>
      </c>
      <c r="G1853" s="8" t="s">
        <v>1381</v>
      </c>
      <c r="I1853" s="233" t="s">
        <v>6505</v>
      </c>
      <c r="J1853" s="232"/>
    </row>
    <row r="1854" spans="1:10" hidden="1">
      <c r="A1854" s="232">
        <v>44400</v>
      </c>
      <c r="B1854" s="226" t="s">
        <v>4124</v>
      </c>
      <c r="C1854" s="226" t="s">
        <v>6507</v>
      </c>
      <c r="D1854" s="227">
        <v>1270</v>
      </c>
      <c r="E1854" s="227">
        <v>0</v>
      </c>
      <c r="F1854" s="227">
        <v>1601131.45</v>
      </c>
      <c r="I1854" s="233" t="s">
        <v>6508</v>
      </c>
      <c r="J1854" s="232"/>
    </row>
    <row r="1855" spans="1:10" hidden="1">
      <c r="A1855" s="232">
        <v>44403</v>
      </c>
      <c r="B1855" s="226" t="s">
        <v>4124</v>
      </c>
      <c r="C1855" s="226" t="s">
        <v>6509</v>
      </c>
      <c r="D1855" s="227">
        <v>382</v>
      </c>
      <c r="E1855" s="227">
        <v>0</v>
      </c>
      <c r="F1855" s="227">
        <v>1600749.45</v>
      </c>
      <c r="I1855" s="233" t="s">
        <v>6510</v>
      </c>
      <c r="J1855" s="232"/>
    </row>
    <row r="1856" spans="1:10" hidden="1">
      <c r="A1856" s="232">
        <v>44403</v>
      </c>
      <c r="B1856" s="226" t="s">
        <v>4124</v>
      </c>
      <c r="C1856" s="226" t="s">
        <v>6511</v>
      </c>
      <c r="D1856" s="227">
        <v>276</v>
      </c>
      <c r="E1856" s="227">
        <v>0</v>
      </c>
      <c r="F1856" s="227">
        <v>1600473.45</v>
      </c>
      <c r="I1856" s="233" t="s">
        <v>6510</v>
      </c>
      <c r="J1856" s="232"/>
    </row>
    <row r="1857" spans="1:10" hidden="1">
      <c r="A1857" s="232">
        <v>44403</v>
      </c>
      <c r="B1857" s="226" t="s">
        <v>4124</v>
      </c>
      <c r="C1857" s="226" t="s">
        <v>6512</v>
      </c>
      <c r="D1857" s="227">
        <v>100</v>
      </c>
      <c r="E1857" s="227">
        <v>0</v>
      </c>
      <c r="F1857" s="227">
        <v>1600373.45</v>
      </c>
      <c r="I1857" s="233" t="s">
        <v>6510</v>
      </c>
      <c r="J1857" s="232"/>
    </row>
    <row r="1858" spans="1:10" hidden="1">
      <c r="A1858" s="232">
        <v>44404</v>
      </c>
      <c r="B1858" s="226" t="s">
        <v>4124</v>
      </c>
      <c r="C1858" s="226" t="s">
        <v>6513</v>
      </c>
      <c r="D1858" s="227">
        <v>0</v>
      </c>
      <c r="E1858" s="227">
        <v>604341.72</v>
      </c>
      <c r="F1858" s="227">
        <v>2204715.17</v>
      </c>
      <c r="G1858" s="8" t="s">
        <v>1375</v>
      </c>
      <c r="I1858" s="233" t="s">
        <v>6514</v>
      </c>
      <c r="J1858" s="232"/>
    </row>
    <row r="1859" spans="1:10" hidden="1">
      <c r="A1859" s="232">
        <v>44405</v>
      </c>
      <c r="B1859" s="226" t="s">
        <v>4124</v>
      </c>
      <c r="C1859" s="226" t="s">
        <v>6515</v>
      </c>
      <c r="D1859" s="227">
        <v>25000</v>
      </c>
      <c r="E1859" s="227">
        <v>0</v>
      </c>
      <c r="F1859" s="227">
        <v>2179715.17</v>
      </c>
      <c r="G1859" s="8" t="s">
        <v>1381</v>
      </c>
      <c r="I1859" s="233" t="s">
        <v>6516</v>
      </c>
      <c r="J1859" s="232"/>
    </row>
    <row r="1860" spans="1:10" hidden="1">
      <c r="A1860" s="232">
        <v>44410</v>
      </c>
      <c r="B1860" s="226" t="s">
        <v>4124</v>
      </c>
      <c r="C1860" s="226" t="s">
        <v>6517</v>
      </c>
      <c r="D1860" s="227">
        <v>20000</v>
      </c>
      <c r="E1860" s="227">
        <v>0</v>
      </c>
      <c r="F1860" s="227">
        <v>2159715.17</v>
      </c>
      <c r="G1860" s="8" t="s">
        <v>1358</v>
      </c>
      <c r="I1860" s="233" t="s">
        <v>6518</v>
      </c>
      <c r="J1860" s="232"/>
    </row>
    <row r="1861" spans="1:10" hidden="1">
      <c r="A1861" s="232">
        <v>44411</v>
      </c>
      <c r="B1861" s="226" t="s">
        <v>4124</v>
      </c>
      <c r="C1861" s="226" t="s">
        <v>6431</v>
      </c>
      <c r="D1861" s="227">
        <v>3507</v>
      </c>
      <c r="E1861" s="227">
        <v>0</v>
      </c>
      <c r="F1861" s="227">
        <v>2156208.17</v>
      </c>
      <c r="G1861" s="8" t="s">
        <v>1379</v>
      </c>
      <c r="I1861" s="233" t="s">
        <v>6519</v>
      </c>
      <c r="J1861" s="232"/>
    </row>
    <row r="1862" spans="1:10" hidden="1">
      <c r="A1862" s="232">
        <v>44411</v>
      </c>
      <c r="B1862" s="226" t="s">
        <v>4124</v>
      </c>
      <c r="C1862" s="226" t="s">
        <v>6434</v>
      </c>
      <c r="D1862" s="227">
        <v>3500</v>
      </c>
      <c r="E1862" s="227">
        <v>0</v>
      </c>
      <c r="F1862" s="227">
        <v>2152708.17</v>
      </c>
      <c r="G1862" s="8" t="s">
        <v>1379</v>
      </c>
      <c r="I1862" s="233" t="s">
        <v>6519</v>
      </c>
      <c r="J1862" s="232"/>
    </row>
    <row r="1863" spans="1:10" hidden="1">
      <c r="A1863" s="232">
        <v>44413</v>
      </c>
      <c r="B1863" s="226" t="s">
        <v>4124</v>
      </c>
      <c r="C1863" s="226" t="s">
        <v>6520</v>
      </c>
      <c r="D1863" s="227">
        <v>300</v>
      </c>
      <c r="E1863" s="227">
        <v>0</v>
      </c>
      <c r="F1863" s="227">
        <v>2152408.17</v>
      </c>
      <c r="I1863" s="233" t="s">
        <v>6521</v>
      </c>
      <c r="J1863" s="232"/>
    </row>
    <row r="1864" spans="1:10" hidden="1">
      <c r="A1864" s="232">
        <v>44414</v>
      </c>
      <c r="B1864" s="226" t="s">
        <v>4124</v>
      </c>
      <c r="C1864" s="226" t="s">
        <v>6522</v>
      </c>
      <c r="D1864" s="227">
        <v>2280</v>
      </c>
      <c r="E1864" s="227">
        <v>0</v>
      </c>
      <c r="F1864" s="227">
        <v>2150128.17</v>
      </c>
      <c r="I1864" s="233" t="s">
        <v>6523</v>
      </c>
      <c r="J1864" s="232"/>
    </row>
    <row r="1865" spans="1:10" hidden="1">
      <c r="A1865" s="232">
        <v>44415</v>
      </c>
      <c r="B1865" s="226" t="s">
        <v>4124</v>
      </c>
      <c r="C1865" s="226" t="s">
        <v>6524</v>
      </c>
      <c r="D1865" s="227">
        <v>610</v>
      </c>
      <c r="E1865" s="227">
        <v>0</v>
      </c>
      <c r="F1865" s="227">
        <v>2149518.17</v>
      </c>
      <c r="I1865" s="233" t="s">
        <v>6525</v>
      </c>
      <c r="J1865" s="232"/>
    </row>
    <row r="1866" spans="1:10" hidden="1">
      <c r="A1866" s="232">
        <v>44418</v>
      </c>
      <c r="B1866" s="226" t="s">
        <v>4124</v>
      </c>
      <c r="C1866" s="226" t="s">
        <v>6526</v>
      </c>
      <c r="D1866" s="227">
        <v>4890.1400000000003</v>
      </c>
      <c r="E1866" s="227">
        <v>0</v>
      </c>
      <c r="F1866" s="227">
        <v>2144628.0299999998</v>
      </c>
      <c r="G1866" s="8" t="s">
        <v>1362</v>
      </c>
      <c r="I1866" s="233" t="s">
        <v>6527</v>
      </c>
      <c r="J1866" s="232"/>
    </row>
    <row r="1867" spans="1:10" hidden="1">
      <c r="A1867" s="232">
        <v>44418</v>
      </c>
      <c r="B1867" s="226" t="s">
        <v>4124</v>
      </c>
      <c r="C1867" s="226" t="s">
        <v>6528</v>
      </c>
      <c r="D1867" s="227">
        <v>0</v>
      </c>
      <c r="E1867" s="227">
        <v>9772.36</v>
      </c>
      <c r="F1867" s="227">
        <v>2154400.39</v>
      </c>
      <c r="G1867" s="8" t="s">
        <v>1375</v>
      </c>
      <c r="I1867" s="233" t="s">
        <v>6527</v>
      </c>
      <c r="J1867" s="232"/>
    </row>
    <row r="1868" spans="1:10" hidden="1">
      <c r="A1868" s="232">
        <v>44421</v>
      </c>
      <c r="B1868" s="226" t="s">
        <v>4124</v>
      </c>
      <c r="C1868" s="226" t="s">
        <v>6529</v>
      </c>
      <c r="D1868" s="227">
        <v>20</v>
      </c>
      <c r="E1868" s="227">
        <v>0</v>
      </c>
      <c r="F1868" s="227">
        <v>2154380.39</v>
      </c>
      <c r="G1868" s="8" t="s">
        <v>1379</v>
      </c>
      <c r="I1868" s="233" t="s">
        <v>6530</v>
      </c>
      <c r="J1868" s="232"/>
    </row>
    <row r="1869" spans="1:10" hidden="1">
      <c r="A1869" s="232">
        <v>44421</v>
      </c>
      <c r="B1869" s="226" t="s">
        <v>4124</v>
      </c>
      <c r="C1869" s="226" t="s">
        <v>6531</v>
      </c>
      <c r="D1869" s="227">
        <v>467</v>
      </c>
      <c r="E1869" s="227">
        <v>0</v>
      </c>
      <c r="F1869" s="227">
        <v>2153913.39</v>
      </c>
      <c r="I1869" s="233" t="s">
        <v>6530</v>
      </c>
      <c r="J1869" s="232"/>
    </row>
    <row r="1870" spans="1:10" hidden="1">
      <c r="A1870" s="232">
        <v>44429</v>
      </c>
      <c r="B1870" s="226" t="s">
        <v>4124</v>
      </c>
      <c r="C1870" s="226" t="s">
        <v>6431</v>
      </c>
      <c r="D1870" s="227">
        <v>13910</v>
      </c>
      <c r="E1870" s="227">
        <v>0</v>
      </c>
      <c r="F1870" s="227">
        <v>2140003.39</v>
      </c>
      <c r="G1870" s="8" t="s">
        <v>1379</v>
      </c>
      <c r="I1870" s="233" t="s">
        <v>6532</v>
      </c>
      <c r="J1870" s="232"/>
    </row>
    <row r="1871" spans="1:10" hidden="1">
      <c r="A1871" s="232">
        <v>44429</v>
      </c>
      <c r="B1871" s="226" t="s">
        <v>4124</v>
      </c>
      <c r="C1871" s="226" t="s">
        <v>6533</v>
      </c>
      <c r="D1871" s="227">
        <v>41667</v>
      </c>
      <c r="E1871" s="227">
        <v>0</v>
      </c>
      <c r="F1871" s="227">
        <v>2098336.39</v>
      </c>
      <c r="G1871" s="8" t="s">
        <v>1381</v>
      </c>
      <c r="I1871" s="233" t="s">
        <v>6532</v>
      </c>
      <c r="J1871" s="232"/>
    </row>
    <row r="1872" spans="1:10" hidden="1">
      <c r="A1872" s="232">
        <v>44438</v>
      </c>
      <c r="B1872" s="226" t="s">
        <v>4124</v>
      </c>
      <c r="C1872" s="226" t="s">
        <v>6534</v>
      </c>
      <c r="D1872" s="227">
        <v>25000</v>
      </c>
      <c r="E1872" s="227">
        <v>0</v>
      </c>
      <c r="F1872" s="227">
        <v>2073336.39</v>
      </c>
      <c r="G1872" s="8" t="s">
        <v>1381</v>
      </c>
      <c r="I1872" s="233" t="s">
        <v>6535</v>
      </c>
      <c r="J1872" s="232"/>
    </row>
    <row r="1873" spans="1:10" hidden="1">
      <c r="A1873" s="232">
        <v>44440</v>
      </c>
      <c r="B1873" s="226" t="s">
        <v>4124</v>
      </c>
      <c r="C1873" s="226" t="s">
        <v>6536</v>
      </c>
      <c r="D1873" s="227">
        <v>1500</v>
      </c>
      <c r="E1873" s="227">
        <v>0</v>
      </c>
      <c r="F1873" s="227">
        <v>2071836.39</v>
      </c>
      <c r="I1873" s="233" t="s">
        <v>6537</v>
      </c>
      <c r="J1873" s="232"/>
    </row>
    <row r="1874" spans="1:10" hidden="1">
      <c r="A1874" s="232">
        <v>44440</v>
      </c>
      <c r="B1874" s="226" t="s">
        <v>4124</v>
      </c>
      <c r="C1874" s="226"/>
      <c r="D1874" s="227">
        <v>0</v>
      </c>
      <c r="E1874" s="227">
        <v>1500</v>
      </c>
      <c r="F1874" s="227">
        <v>2073336.39</v>
      </c>
      <c r="I1874" s="233" t="s">
        <v>6537</v>
      </c>
      <c r="J1874" s="232"/>
    </row>
    <row r="1875" spans="1:10" hidden="1">
      <c r="A1875" s="232">
        <v>44442</v>
      </c>
      <c r="B1875" s="226" t="s">
        <v>4124</v>
      </c>
      <c r="C1875" s="226" t="s">
        <v>6431</v>
      </c>
      <c r="D1875" s="227">
        <v>3507</v>
      </c>
      <c r="E1875" s="227">
        <v>0</v>
      </c>
      <c r="F1875" s="227">
        <v>2069829.39</v>
      </c>
      <c r="G1875" s="8" t="s">
        <v>1379</v>
      </c>
      <c r="I1875" s="233" t="s">
        <v>6538</v>
      </c>
      <c r="J1875" s="232"/>
    </row>
    <row r="1876" spans="1:10" hidden="1">
      <c r="A1876" s="232">
        <v>44442</v>
      </c>
      <c r="B1876" s="226" t="s">
        <v>4124</v>
      </c>
      <c r="C1876" s="226" t="s">
        <v>6434</v>
      </c>
      <c r="D1876" s="227">
        <v>3500</v>
      </c>
      <c r="E1876" s="227">
        <v>0</v>
      </c>
      <c r="F1876" s="227">
        <v>2066329.39</v>
      </c>
      <c r="G1876" s="8" t="s">
        <v>1379</v>
      </c>
      <c r="I1876" s="233" t="s">
        <v>6538</v>
      </c>
      <c r="J1876" s="232"/>
    </row>
    <row r="1877" spans="1:10" hidden="1">
      <c r="A1877" s="232">
        <v>44446</v>
      </c>
      <c r="B1877" s="226" t="s">
        <v>4124</v>
      </c>
      <c r="C1877" s="226" t="s">
        <v>6539</v>
      </c>
      <c r="D1877" s="227">
        <v>0</v>
      </c>
      <c r="E1877" s="227">
        <v>9772.36</v>
      </c>
      <c r="F1877" s="227">
        <v>2076101.75</v>
      </c>
      <c r="G1877" s="8" t="s">
        <v>1375</v>
      </c>
      <c r="I1877" s="233" t="s">
        <v>6540</v>
      </c>
      <c r="J1877" s="232"/>
    </row>
    <row r="1878" spans="1:10" hidden="1">
      <c r="A1878" s="232">
        <v>44449</v>
      </c>
      <c r="B1878" s="226" t="s">
        <v>4124</v>
      </c>
      <c r="C1878" s="226" t="s">
        <v>6526</v>
      </c>
      <c r="D1878" s="227">
        <v>1188</v>
      </c>
      <c r="E1878" s="227">
        <v>0</v>
      </c>
      <c r="F1878" s="227">
        <v>2074913.75</v>
      </c>
      <c r="G1878" s="8" t="s">
        <v>1362</v>
      </c>
      <c r="I1878" s="233" t="s">
        <v>6541</v>
      </c>
      <c r="J1878" s="232"/>
    </row>
    <row r="1879" spans="1:10" hidden="1">
      <c r="A1879" s="232">
        <v>44460</v>
      </c>
      <c r="B1879" s="226" t="s">
        <v>4124</v>
      </c>
      <c r="C1879" s="226" t="s">
        <v>6431</v>
      </c>
      <c r="D1879" s="227">
        <v>13910</v>
      </c>
      <c r="E1879" s="227">
        <v>0</v>
      </c>
      <c r="F1879" s="227">
        <v>2061003.75</v>
      </c>
      <c r="G1879" s="8" t="s">
        <v>1379</v>
      </c>
      <c r="I1879" s="233" t="s">
        <v>6542</v>
      </c>
      <c r="J1879" s="232"/>
    </row>
    <row r="1880" spans="1:10" hidden="1">
      <c r="A1880" s="232">
        <v>44460</v>
      </c>
      <c r="B1880" s="226" t="s">
        <v>4124</v>
      </c>
      <c r="C1880" s="226" t="s">
        <v>6543</v>
      </c>
      <c r="D1880" s="227">
        <v>41667</v>
      </c>
      <c r="E1880" s="227">
        <v>0</v>
      </c>
      <c r="F1880" s="227">
        <v>2019336.75</v>
      </c>
      <c r="G1880" s="8" t="s">
        <v>1381</v>
      </c>
      <c r="I1880" s="233" t="s">
        <v>6542</v>
      </c>
      <c r="J1880" s="232"/>
    </row>
    <row r="1881" spans="1:10" hidden="1">
      <c r="A1881" s="232">
        <v>44467</v>
      </c>
      <c r="B1881" s="226" t="s">
        <v>4124</v>
      </c>
      <c r="C1881" s="226" t="s">
        <v>6544</v>
      </c>
      <c r="D1881" s="227">
        <v>25000</v>
      </c>
      <c r="E1881" s="227">
        <v>0</v>
      </c>
      <c r="F1881" s="227">
        <v>1994336.75</v>
      </c>
      <c r="G1881" s="8" t="s">
        <v>1381</v>
      </c>
      <c r="I1881" s="233" t="s">
        <v>6545</v>
      </c>
      <c r="J1881" s="232"/>
    </row>
    <row r="1882" spans="1:10" hidden="1">
      <c r="A1882" s="232">
        <v>44469</v>
      </c>
      <c r="B1882" s="226" t="s">
        <v>4124</v>
      </c>
      <c r="C1882" s="226" t="s">
        <v>6546</v>
      </c>
      <c r="D1882" s="227">
        <v>0</v>
      </c>
      <c r="E1882" s="227">
        <v>14912</v>
      </c>
      <c r="F1882" s="227">
        <v>2009248.75</v>
      </c>
      <c r="G1882" s="8" t="s">
        <v>1368</v>
      </c>
      <c r="I1882" s="233" t="s">
        <v>6547</v>
      </c>
      <c r="J1882" s="232"/>
    </row>
    <row r="1883" spans="1:10" hidden="1">
      <c r="A1883" s="232">
        <v>43949</v>
      </c>
      <c r="B1883" t="s">
        <v>6548</v>
      </c>
      <c r="C1883" t="s">
        <v>6549</v>
      </c>
      <c r="D1883"/>
      <c r="E1883">
        <v>25000</v>
      </c>
      <c r="F1883">
        <v>858291</v>
      </c>
      <c r="G1883" s="8" t="s">
        <v>1384</v>
      </c>
      <c r="H1883" t="s">
        <v>1336</v>
      </c>
      <c r="I1883" s="232" t="s">
        <v>6550</v>
      </c>
      <c r="J1883" s="232"/>
    </row>
    <row r="1884" spans="1:10" hidden="1">
      <c r="A1884" s="232">
        <v>43949</v>
      </c>
      <c r="B1884" t="s">
        <v>6551</v>
      </c>
      <c r="C1884" t="s">
        <v>6552</v>
      </c>
      <c r="D1884"/>
      <c r="E1884">
        <v>25000</v>
      </c>
      <c r="F1884">
        <v>883291</v>
      </c>
      <c r="G1884" s="8" t="s">
        <v>1384</v>
      </c>
      <c r="H1884" t="s">
        <v>1336</v>
      </c>
      <c r="I1884" s="232" t="s">
        <v>6550</v>
      </c>
      <c r="J1884" s="232"/>
    </row>
    <row r="1885" spans="1:10" hidden="1">
      <c r="A1885" s="232">
        <v>43949</v>
      </c>
      <c r="B1885" t="s">
        <v>6553</v>
      </c>
      <c r="C1885" t="s">
        <v>6554</v>
      </c>
      <c r="D1885"/>
      <c r="E1885">
        <v>25000</v>
      </c>
      <c r="F1885">
        <v>908291</v>
      </c>
      <c r="G1885" s="8" t="s">
        <v>1384</v>
      </c>
      <c r="H1885" t="s">
        <v>1336</v>
      </c>
      <c r="I1885" s="232" t="s">
        <v>6550</v>
      </c>
      <c r="J1885" s="232"/>
    </row>
    <row r="1886" spans="1:10" hidden="1">
      <c r="A1886" s="232">
        <v>43949</v>
      </c>
      <c r="B1886" t="s">
        <v>6555</v>
      </c>
      <c r="C1886" t="s">
        <v>6556</v>
      </c>
      <c r="D1886"/>
      <c r="E1886">
        <v>25000</v>
      </c>
      <c r="F1886">
        <v>933291</v>
      </c>
      <c r="G1886" s="8" t="s">
        <v>1384</v>
      </c>
      <c r="H1886" t="s">
        <v>1336</v>
      </c>
      <c r="I1886" s="232" t="s">
        <v>6550</v>
      </c>
      <c r="J1886" s="232"/>
    </row>
    <row r="1887" spans="1:10" hidden="1">
      <c r="A1887" s="232">
        <v>43949</v>
      </c>
      <c r="B1887" t="s">
        <v>6557</v>
      </c>
      <c r="C1887" t="s">
        <v>6558</v>
      </c>
      <c r="D1887"/>
      <c r="E1887">
        <v>630</v>
      </c>
      <c r="F1887">
        <v>933921</v>
      </c>
      <c r="H1887" t="s">
        <v>1336</v>
      </c>
      <c r="I1887" s="232" t="s">
        <v>6550</v>
      </c>
      <c r="J1887" s="232"/>
    </row>
    <row r="1888" spans="1:10" hidden="1">
      <c r="A1888" s="232">
        <v>43950</v>
      </c>
      <c r="B1888" t="s">
        <v>6559</v>
      </c>
      <c r="C1888" t="s">
        <v>6560</v>
      </c>
      <c r="D1888"/>
      <c r="E1888">
        <v>240</v>
      </c>
      <c r="F1888">
        <v>934161</v>
      </c>
      <c r="H1888" t="s">
        <v>1336</v>
      </c>
      <c r="I1888" s="232" t="s">
        <v>6561</v>
      </c>
      <c r="J1888" s="232"/>
    </row>
    <row r="1889" spans="1:10" hidden="1">
      <c r="A1889" s="232">
        <v>43953</v>
      </c>
      <c r="B1889" t="s">
        <v>6562</v>
      </c>
      <c r="C1889" t="s">
        <v>6563</v>
      </c>
      <c r="D1889">
        <v>2650</v>
      </c>
      <c r="F1889">
        <v>931511</v>
      </c>
      <c r="H1889" t="s">
        <v>1336</v>
      </c>
      <c r="I1889" s="232" t="s">
        <v>6564</v>
      </c>
      <c r="J1889" s="232"/>
    </row>
    <row r="1890" spans="1:10" hidden="1">
      <c r="A1890" s="232">
        <v>43954</v>
      </c>
      <c r="B1890" t="s">
        <v>6565</v>
      </c>
      <c r="C1890" t="s">
        <v>6566</v>
      </c>
      <c r="D1890">
        <v>1020</v>
      </c>
      <c r="F1890">
        <v>930491</v>
      </c>
      <c r="H1890" t="s">
        <v>1336</v>
      </c>
      <c r="I1890" s="232" t="s">
        <v>6567</v>
      </c>
      <c r="J1890" s="232"/>
    </row>
    <row r="1891" spans="1:10" hidden="1">
      <c r="A1891" s="232">
        <v>43954</v>
      </c>
      <c r="B1891" t="s">
        <v>6568</v>
      </c>
      <c r="C1891" t="s">
        <v>6569</v>
      </c>
      <c r="D1891"/>
      <c r="E1891">
        <v>14</v>
      </c>
      <c r="F1891">
        <v>930505</v>
      </c>
      <c r="H1891" t="s">
        <v>1336</v>
      </c>
      <c r="I1891" s="232" t="s">
        <v>6567</v>
      </c>
      <c r="J1891" s="232"/>
    </row>
    <row r="1892" spans="1:10" hidden="1">
      <c r="A1892" s="232">
        <v>43955</v>
      </c>
      <c r="B1892" t="s">
        <v>6570</v>
      </c>
      <c r="C1892" t="s">
        <v>6571</v>
      </c>
      <c r="D1892">
        <v>3500</v>
      </c>
      <c r="F1892">
        <v>927005</v>
      </c>
      <c r="H1892" t="s">
        <v>1336</v>
      </c>
      <c r="I1892" s="232" t="s">
        <v>6572</v>
      </c>
      <c r="J1892" s="232"/>
    </row>
    <row r="1893" spans="1:10" hidden="1">
      <c r="A1893" s="232">
        <v>43955</v>
      </c>
      <c r="B1893" t="s">
        <v>6573</v>
      </c>
      <c r="C1893" t="s">
        <v>6574</v>
      </c>
      <c r="D1893"/>
      <c r="E1893">
        <v>6</v>
      </c>
      <c r="F1893">
        <v>927011</v>
      </c>
      <c r="H1893" t="s">
        <v>1336</v>
      </c>
      <c r="I1893" s="232" t="s">
        <v>6572</v>
      </c>
      <c r="J1893" s="232"/>
    </row>
    <row r="1894" spans="1:10" hidden="1">
      <c r="A1894" s="232">
        <v>43955</v>
      </c>
      <c r="B1894" t="s">
        <v>6575</v>
      </c>
      <c r="C1894" t="s">
        <v>6576</v>
      </c>
      <c r="D1894">
        <v>1239</v>
      </c>
      <c r="F1894">
        <v>925772</v>
      </c>
      <c r="H1894" t="s">
        <v>1336</v>
      </c>
      <c r="I1894" s="232" t="s">
        <v>6572</v>
      </c>
      <c r="J1894" s="232"/>
    </row>
    <row r="1895" spans="1:10" hidden="1">
      <c r="A1895" s="232">
        <v>43956</v>
      </c>
      <c r="B1895" t="s">
        <v>6577</v>
      </c>
      <c r="C1895" t="s">
        <v>6578</v>
      </c>
      <c r="D1895">
        <v>1312</v>
      </c>
      <c r="F1895">
        <v>924460</v>
      </c>
      <c r="H1895" t="s">
        <v>1336</v>
      </c>
      <c r="I1895" s="232" t="s">
        <v>6579</v>
      </c>
      <c r="J1895" s="232"/>
    </row>
    <row r="1896" spans="1:10" hidden="1">
      <c r="A1896" s="232">
        <v>43956</v>
      </c>
      <c r="B1896" t="s">
        <v>6580</v>
      </c>
      <c r="C1896" t="s">
        <v>6581</v>
      </c>
      <c r="D1896"/>
      <c r="E1896">
        <v>5</v>
      </c>
      <c r="F1896">
        <v>924465</v>
      </c>
      <c r="H1896" t="s">
        <v>1336</v>
      </c>
      <c r="I1896" s="232" t="s">
        <v>6579</v>
      </c>
      <c r="J1896" s="232"/>
    </row>
    <row r="1897" spans="1:10" hidden="1">
      <c r="A1897" s="232">
        <v>43957</v>
      </c>
      <c r="B1897" t="s">
        <v>6582</v>
      </c>
      <c r="C1897" t="s">
        <v>6583</v>
      </c>
      <c r="D1897">
        <v>9470</v>
      </c>
      <c r="F1897">
        <v>914995</v>
      </c>
      <c r="G1897" s="8" t="s">
        <v>1362</v>
      </c>
      <c r="H1897" t="s">
        <v>1336</v>
      </c>
      <c r="I1897" s="232" t="s">
        <v>6584</v>
      </c>
      <c r="J1897" s="232"/>
    </row>
    <row r="1898" spans="1:10" hidden="1">
      <c r="A1898" s="232">
        <v>43957</v>
      </c>
      <c r="B1898" t="s">
        <v>6585</v>
      </c>
      <c r="C1898" t="s">
        <v>6586</v>
      </c>
      <c r="D1898">
        <v>1096</v>
      </c>
      <c r="F1898">
        <v>913899</v>
      </c>
      <c r="H1898" t="s">
        <v>1336</v>
      </c>
      <c r="I1898" s="232" t="s">
        <v>6584</v>
      </c>
      <c r="J1898" s="232"/>
    </row>
    <row r="1899" spans="1:10" hidden="1">
      <c r="A1899" s="232">
        <v>43963</v>
      </c>
      <c r="B1899" t="s">
        <v>6587</v>
      </c>
      <c r="C1899" t="s">
        <v>6588</v>
      </c>
      <c r="D1899">
        <v>2000</v>
      </c>
      <c r="F1899">
        <v>911899</v>
      </c>
      <c r="H1899" t="s">
        <v>1336</v>
      </c>
      <c r="I1899" s="232" t="s">
        <v>6589</v>
      </c>
      <c r="J1899" s="232"/>
    </row>
    <row r="1900" spans="1:10" hidden="1">
      <c r="A1900" s="232">
        <v>43963</v>
      </c>
      <c r="B1900" t="s">
        <v>6590</v>
      </c>
      <c r="C1900" t="s">
        <v>6591</v>
      </c>
      <c r="D1900"/>
      <c r="E1900">
        <v>5</v>
      </c>
      <c r="F1900">
        <v>911904</v>
      </c>
      <c r="H1900" t="s">
        <v>1336</v>
      </c>
      <c r="I1900" s="232" t="s">
        <v>6589</v>
      </c>
      <c r="J1900" s="232"/>
    </row>
    <row r="1901" spans="1:10" hidden="1">
      <c r="A1901" s="232">
        <v>43963</v>
      </c>
      <c r="B1901" t="s">
        <v>6592</v>
      </c>
      <c r="C1901" t="s">
        <v>6593</v>
      </c>
      <c r="D1901">
        <v>325</v>
      </c>
      <c r="F1901">
        <v>911579</v>
      </c>
      <c r="H1901" t="s">
        <v>1336</v>
      </c>
      <c r="I1901" s="232" t="s">
        <v>6589</v>
      </c>
      <c r="J1901" s="232"/>
    </row>
    <row r="1902" spans="1:10" hidden="1">
      <c r="A1902" s="232">
        <v>43963</v>
      </c>
      <c r="B1902" t="s">
        <v>6594</v>
      </c>
      <c r="C1902" t="s">
        <v>6595</v>
      </c>
      <c r="D1902">
        <v>1112</v>
      </c>
      <c r="F1902">
        <v>910467</v>
      </c>
      <c r="H1902" t="s">
        <v>1336</v>
      </c>
      <c r="I1902" s="232" t="s">
        <v>6589</v>
      </c>
      <c r="J1902" s="232"/>
    </row>
    <row r="1903" spans="1:10" hidden="1">
      <c r="A1903" s="232">
        <v>43963</v>
      </c>
      <c r="B1903" t="s">
        <v>6596</v>
      </c>
      <c r="C1903" t="s">
        <v>6597</v>
      </c>
      <c r="D1903">
        <v>154</v>
      </c>
      <c r="F1903">
        <v>910313</v>
      </c>
      <c r="H1903" t="s">
        <v>1336</v>
      </c>
      <c r="I1903" s="232" t="s">
        <v>6589</v>
      </c>
      <c r="J1903" s="232"/>
    </row>
    <row r="1904" spans="1:10" hidden="1">
      <c r="A1904" s="232">
        <v>43966</v>
      </c>
      <c r="B1904" t="s">
        <v>6598</v>
      </c>
      <c r="C1904" t="s">
        <v>6599</v>
      </c>
      <c r="D1904">
        <v>2183.39</v>
      </c>
      <c r="F1904">
        <v>908129.61</v>
      </c>
      <c r="H1904" t="s">
        <v>1336</v>
      </c>
      <c r="I1904" s="232" t="s">
        <v>6600</v>
      </c>
      <c r="J1904" s="232"/>
    </row>
    <row r="1905" spans="1:10" hidden="1">
      <c r="A1905" s="232">
        <v>43966</v>
      </c>
      <c r="B1905" t="s">
        <v>6601</v>
      </c>
      <c r="C1905" t="s">
        <v>6602</v>
      </c>
      <c r="D1905">
        <v>1000</v>
      </c>
      <c r="F1905">
        <v>907129.61</v>
      </c>
      <c r="H1905" t="s">
        <v>1336</v>
      </c>
      <c r="I1905" s="232" t="s">
        <v>6600</v>
      </c>
      <c r="J1905" s="232"/>
    </row>
    <row r="1906" spans="1:10" hidden="1">
      <c r="A1906" s="232">
        <v>43966</v>
      </c>
      <c r="B1906" t="s">
        <v>6603</v>
      </c>
      <c r="C1906" t="s">
        <v>6604</v>
      </c>
      <c r="D1906"/>
      <c r="E1906">
        <v>500</v>
      </c>
      <c r="F1906">
        <v>907629.61</v>
      </c>
      <c r="H1906" t="s">
        <v>1336</v>
      </c>
      <c r="I1906" s="232" t="s">
        <v>6600</v>
      </c>
      <c r="J1906" s="232"/>
    </row>
    <row r="1907" spans="1:10" hidden="1">
      <c r="A1907" s="232">
        <v>43967</v>
      </c>
      <c r="B1907" t="s">
        <v>6605</v>
      </c>
      <c r="C1907" t="s">
        <v>6606</v>
      </c>
      <c r="D1907">
        <v>1480</v>
      </c>
      <c r="F1907">
        <v>906149.61</v>
      </c>
      <c r="H1907" t="s">
        <v>1336</v>
      </c>
      <c r="I1907" s="232" t="s">
        <v>6607</v>
      </c>
      <c r="J1907" s="232"/>
    </row>
    <row r="1908" spans="1:10" hidden="1">
      <c r="A1908" s="232">
        <v>43971</v>
      </c>
      <c r="B1908" t="s">
        <v>6608</v>
      </c>
      <c r="C1908" t="s">
        <v>6609</v>
      </c>
      <c r="D1908">
        <v>965</v>
      </c>
      <c r="F1908">
        <v>905184.61</v>
      </c>
      <c r="H1908" t="s">
        <v>1336</v>
      </c>
      <c r="I1908" s="232" t="s">
        <v>6610</v>
      </c>
      <c r="J1908" s="232"/>
    </row>
    <row r="1909" spans="1:10" hidden="1">
      <c r="A1909" s="232">
        <v>43972</v>
      </c>
      <c r="B1909" t="s">
        <v>6611</v>
      </c>
      <c r="C1909" t="s">
        <v>6612</v>
      </c>
      <c r="D1909">
        <v>1500</v>
      </c>
      <c r="F1909">
        <v>903684.61</v>
      </c>
      <c r="H1909" t="s">
        <v>1336</v>
      </c>
      <c r="I1909" s="232" t="s">
        <v>6613</v>
      </c>
      <c r="J1909" s="232"/>
    </row>
    <row r="1910" spans="1:10" hidden="1">
      <c r="A1910" s="232">
        <v>43972</v>
      </c>
      <c r="B1910" t="s">
        <v>6614</v>
      </c>
      <c r="C1910" t="s">
        <v>6615</v>
      </c>
      <c r="D1910"/>
      <c r="E1910">
        <v>1000</v>
      </c>
      <c r="F1910">
        <v>904684.61</v>
      </c>
      <c r="H1910" t="s">
        <v>1336</v>
      </c>
      <c r="I1910" s="232" t="s">
        <v>6613</v>
      </c>
      <c r="J1910" s="232"/>
    </row>
    <row r="1911" spans="1:10" hidden="1">
      <c r="A1911" s="232">
        <v>43972</v>
      </c>
      <c r="B1911" t="s">
        <v>6616</v>
      </c>
      <c r="C1911" t="s">
        <v>6617</v>
      </c>
      <c r="D1911"/>
      <c r="E1911">
        <v>5</v>
      </c>
      <c r="F1911">
        <v>904689.61</v>
      </c>
      <c r="H1911" t="s">
        <v>1336</v>
      </c>
      <c r="I1911" s="232" t="s">
        <v>6613</v>
      </c>
      <c r="J1911" s="232"/>
    </row>
    <row r="1912" spans="1:10" hidden="1">
      <c r="A1912" s="232">
        <v>43972</v>
      </c>
      <c r="B1912" t="s">
        <v>6618</v>
      </c>
      <c r="C1912" t="s">
        <v>6619</v>
      </c>
      <c r="D1912">
        <v>1567</v>
      </c>
      <c r="F1912">
        <v>903122.61</v>
      </c>
      <c r="H1912" t="s">
        <v>1336</v>
      </c>
      <c r="I1912" s="232" t="s">
        <v>6613</v>
      </c>
      <c r="J1912" s="232"/>
    </row>
    <row r="1913" spans="1:10" hidden="1">
      <c r="A1913" s="232">
        <v>43972</v>
      </c>
      <c r="B1913" t="s">
        <v>6620</v>
      </c>
      <c r="C1913" t="s">
        <v>6621</v>
      </c>
      <c r="D1913"/>
      <c r="E1913">
        <v>5</v>
      </c>
      <c r="F1913">
        <v>903127.61</v>
      </c>
      <c r="H1913" t="s">
        <v>1336</v>
      </c>
      <c r="I1913" s="232" t="s">
        <v>6613</v>
      </c>
      <c r="J1913" s="232"/>
    </row>
    <row r="1914" spans="1:10" hidden="1">
      <c r="A1914" s="232">
        <v>43973</v>
      </c>
      <c r="B1914" t="s">
        <v>6622</v>
      </c>
      <c r="C1914" t="s">
        <v>6623</v>
      </c>
      <c r="D1914">
        <v>470.82</v>
      </c>
      <c r="F1914">
        <v>902656.79</v>
      </c>
      <c r="H1914" t="s">
        <v>1336</v>
      </c>
      <c r="I1914" s="232" t="s">
        <v>6624</v>
      </c>
      <c r="J1914" s="232"/>
    </row>
    <row r="1915" spans="1:10" hidden="1">
      <c r="A1915" s="232">
        <v>43973</v>
      </c>
      <c r="B1915" t="s">
        <v>6625</v>
      </c>
      <c r="C1915" t="s">
        <v>6626</v>
      </c>
      <c r="D1915">
        <v>1438.1</v>
      </c>
      <c r="F1915">
        <v>901218.69</v>
      </c>
      <c r="H1915" t="s">
        <v>1336</v>
      </c>
      <c r="I1915" s="232" t="s">
        <v>6624</v>
      </c>
      <c r="J1915" s="232"/>
    </row>
    <row r="1916" spans="1:10" hidden="1">
      <c r="A1916" s="232">
        <v>43974</v>
      </c>
      <c r="B1916" t="s">
        <v>6627</v>
      </c>
      <c r="C1916" t="s">
        <v>6628</v>
      </c>
      <c r="D1916">
        <v>460</v>
      </c>
      <c r="F1916">
        <v>900758.69</v>
      </c>
      <c r="H1916" t="s">
        <v>1336</v>
      </c>
      <c r="I1916" s="232" t="s">
        <v>6629</v>
      </c>
      <c r="J1916" s="232"/>
    </row>
    <row r="1917" spans="1:10" hidden="1">
      <c r="A1917" s="232">
        <v>43974</v>
      </c>
      <c r="B1917" t="s">
        <v>6630</v>
      </c>
      <c r="C1917" t="s">
        <v>6631</v>
      </c>
      <c r="D1917">
        <v>160</v>
      </c>
      <c r="F1917">
        <v>900598.69</v>
      </c>
      <c r="H1917" t="s">
        <v>1336</v>
      </c>
      <c r="I1917" s="232" t="s">
        <v>6629</v>
      </c>
      <c r="J1917" s="232"/>
    </row>
    <row r="1918" spans="1:10" hidden="1">
      <c r="A1918" s="232">
        <v>43977</v>
      </c>
      <c r="B1918" t="s">
        <v>6632</v>
      </c>
      <c r="C1918" t="s">
        <v>6633</v>
      </c>
      <c r="D1918"/>
      <c r="E1918">
        <v>25000</v>
      </c>
      <c r="F1918">
        <v>925598.69</v>
      </c>
      <c r="G1918" s="8" t="s">
        <v>1384</v>
      </c>
      <c r="H1918" t="s">
        <v>1336</v>
      </c>
      <c r="I1918" s="232" t="s">
        <v>6634</v>
      </c>
      <c r="J1918" s="232"/>
    </row>
    <row r="1919" spans="1:10" hidden="1">
      <c r="A1919" s="232">
        <v>43977</v>
      </c>
      <c r="B1919" t="s">
        <v>6635</v>
      </c>
      <c r="C1919" t="s">
        <v>6636</v>
      </c>
      <c r="D1919"/>
      <c r="E1919">
        <v>25000</v>
      </c>
      <c r="F1919">
        <v>950598.69</v>
      </c>
      <c r="G1919" s="8" t="s">
        <v>1384</v>
      </c>
      <c r="H1919" t="s">
        <v>1336</v>
      </c>
      <c r="I1919" s="232" t="s">
        <v>6634</v>
      </c>
      <c r="J1919" s="232"/>
    </row>
    <row r="1920" spans="1:10" hidden="1">
      <c r="A1920" s="232">
        <v>43977</v>
      </c>
      <c r="B1920" t="s">
        <v>6637</v>
      </c>
      <c r="C1920" t="s">
        <v>6638</v>
      </c>
      <c r="D1920"/>
      <c r="E1920">
        <v>25000</v>
      </c>
      <c r="F1920">
        <v>975598.69</v>
      </c>
      <c r="G1920" s="8" t="s">
        <v>1384</v>
      </c>
      <c r="H1920" t="s">
        <v>1336</v>
      </c>
      <c r="I1920" s="232" t="s">
        <v>6634</v>
      </c>
      <c r="J1920" s="232"/>
    </row>
    <row r="1921" spans="1:10" hidden="1">
      <c r="A1921" s="232">
        <v>43978</v>
      </c>
      <c r="B1921" t="s">
        <v>6639</v>
      </c>
      <c r="C1921" t="s">
        <v>6640</v>
      </c>
      <c r="D1921"/>
      <c r="E1921">
        <v>25000</v>
      </c>
      <c r="F1921">
        <v>1000598.69</v>
      </c>
      <c r="G1921" s="8" t="s">
        <v>1384</v>
      </c>
      <c r="H1921" t="s">
        <v>1336</v>
      </c>
      <c r="I1921" s="232" t="s">
        <v>6641</v>
      </c>
      <c r="J1921" s="232"/>
    </row>
    <row r="1922" spans="1:10" hidden="1">
      <c r="A1922" s="232">
        <v>43980</v>
      </c>
      <c r="B1922" t="s">
        <v>6642</v>
      </c>
      <c r="C1922" t="s">
        <v>6643</v>
      </c>
      <c r="D1922">
        <v>1501.9</v>
      </c>
      <c r="F1922">
        <v>999096.79</v>
      </c>
      <c r="H1922" t="s">
        <v>1336</v>
      </c>
      <c r="I1922" s="232" t="s">
        <v>6644</v>
      </c>
      <c r="J1922" s="232"/>
    </row>
    <row r="1923" spans="1:10" hidden="1">
      <c r="A1923" s="232">
        <v>43982</v>
      </c>
      <c r="B1923" t="s">
        <v>6645</v>
      </c>
      <c r="C1923" t="s">
        <v>6646</v>
      </c>
      <c r="D1923">
        <v>288</v>
      </c>
      <c r="F1923">
        <v>998808.79</v>
      </c>
      <c r="H1923" t="s">
        <v>1336</v>
      </c>
      <c r="I1923" s="232" t="s">
        <v>6647</v>
      </c>
      <c r="J1923" s="232"/>
    </row>
    <row r="1924" spans="1:10" hidden="1">
      <c r="A1924" s="232">
        <v>43982</v>
      </c>
      <c r="B1924" t="s">
        <v>6648</v>
      </c>
      <c r="C1924" t="s">
        <v>6649</v>
      </c>
      <c r="D1924"/>
      <c r="E1924">
        <v>5</v>
      </c>
      <c r="F1924">
        <v>998813.79</v>
      </c>
      <c r="H1924" t="s">
        <v>1336</v>
      </c>
      <c r="I1924" s="232" t="s">
        <v>6647</v>
      </c>
      <c r="J1924" s="232"/>
    </row>
    <row r="1925" spans="1:10" hidden="1">
      <c r="A1925" s="232">
        <v>43982</v>
      </c>
      <c r="B1925" t="s">
        <v>6650</v>
      </c>
      <c r="C1925" t="s">
        <v>6651</v>
      </c>
      <c r="D1925">
        <v>100</v>
      </c>
      <c r="F1925">
        <v>998713.79</v>
      </c>
      <c r="H1925" t="s">
        <v>1336</v>
      </c>
      <c r="I1925" s="232" t="s">
        <v>6647</v>
      </c>
      <c r="J1925" s="232"/>
    </row>
    <row r="1926" spans="1:10" hidden="1">
      <c r="A1926" s="232">
        <v>43983</v>
      </c>
      <c r="B1926" t="s">
        <v>6652</v>
      </c>
      <c r="C1926" t="s">
        <v>6653</v>
      </c>
      <c r="D1926">
        <v>1771.85</v>
      </c>
      <c r="F1926">
        <v>996941.94</v>
      </c>
      <c r="H1926" t="s">
        <v>1336</v>
      </c>
      <c r="I1926" s="232" t="s">
        <v>6654</v>
      </c>
      <c r="J1926" s="232"/>
    </row>
    <row r="1927" spans="1:10" hidden="1">
      <c r="A1927" s="232">
        <v>43984</v>
      </c>
      <c r="B1927" t="s">
        <v>6655</v>
      </c>
      <c r="C1927" t="s">
        <v>6656</v>
      </c>
      <c r="D1927">
        <v>3500</v>
      </c>
      <c r="F1927">
        <v>993441.94</v>
      </c>
      <c r="H1927" t="s">
        <v>1336</v>
      </c>
      <c r="I1927" s="232" t="s">
        <v>6657</v>
      </c>
      <c r="J1927" s="232"/>
    </row>
    <row r="1928" spans="1:10" hidden="1">
      <c r="A1928" s="232">
        <v>43984</v>
      </c>
      <c r="B1928" t="s">
        <v>6658</v>
      </c>
      <c r="C1928" t="s">
        <v>6659</v>
      </c>
      <c r="D1928">
        <v>2000</v>
      </c>
      <c r="F1928">
        <v>991441.94</v>
      </c>
      <c r="H1928" t="s">
        <v>1336</v>
      </c>
      <c r="I1928" s="232" t="s">
        <v>6657</v>
      </c>
      <c r="J1928" s="232"/>
    </row>
    <row r="1929" spans="1:10" hidden="1">
      <c r="A1929" s="232">
        <v>43984</v>
      </c>
      <c r="B1929" t="s">
        <v>6660</v>
      </c>
      <c r="C1929" t="s">
        <v>6661</v>
      </c>
      <c r="D1929">
        <v>1600</v>
      </c>
      <c r="F1929">
        <v>989841.94</v>
      </c>
      <c r="H1929" t="s">
        <v>1336</v>
      </c>
      <c r="I1929" s="232" t="s">
        <v>6657</v>
      </c>
      <c r="J1929" s="232"/>
    </row>
    <row r="1930" spans="1:10" hidden="1">
      <c r="A1930" s="232">
        <v>43984</v>
      </c>
      <c r="B1930" t="s">
        <v>6662</v>
      </c>
      <c r="C1930" t="s">
        <v>6663</v>
      </c>
      <c r="D1930">
        <v>345</v>
      </c>
      <c r="F1930">
        <v>989496.94</v>
      </c>
      <c r="H1930" t="s">
        <v>1336</v>
      </c>
      <c r="I1930" s="232" t="s">
        <v>6657</v>
      </c>
      <c r="J1930" s="232"/>
    </row>
    <row r="1931" spans="1:10" hidden="1">
      <c r="A1931" s="232">
        <v>43985</v>
      </c>
      <c r="B1931" t="s">
        <v>6664</v>
      </c>
      <c r="C1931" t="s">
        <v>6665</v>
      </c>
      <c r="D1931">
        <v>1268.5</v>
      </c>
      <c r="F1931">
        <v>988228.44</v>
      </c>
      <c r="H1931" t="s">
        <v>1336</v>
      </c>
      <c r="I1931" s="232" t="s">
        <v>6666</v>
      </c>
      <c r="J1931" s="232"/>
    </row>
    <row r="1932" spans="1:10" hidden="1">
      <c r="A1932" s="232">
        <v>43986</v>
      </c>
      <c r="B1932" t="s">
        <v>6667</v>
      </c>
      <c r="C1932" t="s">
        <v>6668</v>
      </c>
      <c r="D1932">
        <v>375</v>
      </c>
      <c r="F1932">
        <v>987853.44</v>
      </c>
      <c r="H1932" t="s">
        <v>1336</v>
      </c>
      <c r="I1932" s="232" t="s">
        <v>6669</v>
      </c>
      <c r="J1932" s="232"/>
    </row>
    <row r="1933" spans="1:10" hidden="1">
      <c r="A1933" s="232">
        <v>43988</v>
      </c>
      <c r="B1933" t="s">
        <v>6670</v>
      </c>
      <c r="C1933" t="s">
        <v>6671</v>
      </c>
      <c r="D1933">
        <v>304</v>
      </c>
      <c r="F1933">
        <v>987549.44</v>
      </c>
      <c r="H1933" t="s">
        <v>1336</v>
      </c>
      <c r="I1933" s="232" t="s">
        <v>6672</v>
      </c>
      <c r="J1933" s="232"/>
    </row>
    <row r="1934" spans="1:10" hidden="1">
      <c r="A1934" s="232">
        <v>43988</v>
      </c>
      <c r="B1934" t="s">
        <v>6673</v>
      </c>
      <c r="C1934" t="s">
        <v>6674</v>
      </c>
      <c r="D1934">
        <v>230</v>
      </c>
      <c r="F1934">
        <v>987319.44</v>
      </c>
      <c r="H1934" t="s">
        <v>1336</v>
      </c>
      <c r="I1934" s="232" t="s">
        <v>6672</v>
      </c>
      <c r="J1934" s="232"/>
    </row>
    <row r="1935" spans="1:10" hidden="1">
      <c r="A1935" s="232">
        <v>43989</v>
      </c>
      <c r="B1935" t="s">
        <v>6675</v>
      </c>
      <c r="C1935" t="s">
        <v>6676</v>
      </c>
      <c r="D1935">
        <v>1380</v>
      </c>
      <c r="F1935">
        <v>985939.44</v>
      </c>
      <c r="H1935" t="s">
        <v>1336</v>
      </c>
      <c r="I1935" s="232" t="s">
        <v>6677</v>
      </c>
      <c r="J1935" s="232"/>
    </row>
    <row r="1936" spans="1:10" hidden="1">
      <c r="A1936" s="232">
        <v>43989</v>
      </c>
      <c r="B1936" t="s">
        <v>6678</v>
      </c>
      <c r="C1936" t="s">
        <v>6679</v>
      </c>
      <c r="D1936">
        <v>180</v>
      </c>
      <c r="F1936">
        <v>985759.44</v>
      </c>
      <c r="H1936" t="s">
        <v>1336</v>
      </c>
      <c r="I1936" s="232" t="s">
        <v>6677</v>
      </c>
      <c r="J1936" s="232"/>
    </row>
    <row r="1937" spans="1:10" hidden="1">
      <c r="A1937" s="232">
        <v>43989</v>
      </c>
      <c r="B1937" t="s">
        <v>6680</v>
      </c>
      <c r="C1937" t="s">
        <v>6681</v>
      </c>
      <c r="D1937">
        <v>150</v>
      </c>
      <c r="F1937">
        <v>985609.44</v>
      </c>
      <c r="H1937" t="s">
        <v>1336</v>
      </c>
      <c r="I1937" s="232" t="s">
        <v>6677</v>
      </c>
      <c r="J1937" s="232"/>
    </row>
    <row r="1938" spans="1:10" hidden="1">
      <c r="A1938" s="232">
        <v>43990</v>
      </c>
      <c r="B1938" t="s">
        <v>6682</v>
      </c>
      <c r="C1938" t="s">
        <v>6683</v>
      </c>
      <c r="D1938">
        <v>15000</v>
      </c>
      <c r="F1938">
        <v>970609.44</v>
      </c>
      <c r="G1938" s="8" t="s">
        <v>1379</v>
      </c>
      <c r="H1938" t="s">
        <v>1336</v>
      </c>
      <c r="I1938" s="232" t="s">
        <v>6684</v>
      </c>
      <c r="J1938" s="232"/>
    </row>
    <row r="1939" spans="1:10" hidden="1">
      <c r="A1939" s="232">
        <v>43990</v>
      </c>
      <c r="B1939" t="s">
        <v>6682</v>
      </c>
      <c r="C1939" t="s">
        <v>6685</v>
      </c>
      <c r="D1939">
        <v>10000</v>
      </c>
      <c r="F1939">
        <v>960609.44</v>
      </c>
      <c r="G1939" s="8" t="s">
        <v>1379</v>
      </c>
      <c r="H1939" t="s">
        <v>1336</v>
      </c>
      <c r="I1939" s="232" t="s">
        <v>6684</v>
      </c>
      <c r="J1939" s="232"/>
    </row>
    <row r="1940" spans="1:10" hidden="1">
      <c r="A1940" s="232">
        <v>43992</v>
      </c>
      <c r="B1940" t="s">
        <v>6686</v>
      </c>
      <c r="C1940" t="s">
        <v>6687</v>
      </c>
      <c r="D1940">
        <v>2005.56</v>
      </c>
      <c r="F1940">
        <v>958603.88</v>
      </c>
      <c r="H1940" t="s">
        <v>1336</v>
      </c>
      <c r="I1940" s="232" t="s">
        <v>6688</v>
      </c>
      <c r="J1940" s="232"/>
    </row>
    <row r="1941" spans="1:10" hidden="1">
      <c r="A1941" s="232">
        <v>43993</v>
      </c>
      <c r="B1941" t="s">
        <v>6689</v>
      </c>
      <c r="C1941" t="s">
        <v>6690</v>
      </c>
      <c r="D1941">
        <v>695</v>
      </c>
      <c r="F1941">
        <v>957908.88</v>
      </c>
      <c r="H1941" t="s">
        <v>1336</v>
      </c>
      <c r="I1941" s="232" t="s">
        <v>6691</v>
      </c>
      <c r="J1941" s="232"/>
    </row>
    <row r="1942" spans="1:10" hidden="1">
      <c r="A1942" s="232">
        <v>43994</v>
      </c>
      <c r="B1942" t="s">
        <v>6692</v>
      </c>
      <c r="C1942" t="s">
        <v>6693</v>
      </c>
      <c r="D1942">
        <v>80</v>
      </c>
      <c r="F1942">
        <v>957828.88</v>
      </c>
      <c r="H1942" t="s">
        <v>1336</v>
      </c>
      <c r="I1942" s="232" t="s">
        <v>6694</v>
      </c>
      <c r="J1942" s="232"/>
    </row>
    <row r="1943" spans="1:10" hidden="1">
      <c r="A1943" s="232">
        <v>43996</v>
      </c>
      <c r="B1943" t="s">
        <v>6695</v>
      </c>
      <c r="C1943" t="s">
        <v>6696</v>
      </c>
      <c r="D1943">
        <v>100</v>
      </c>
      <c r="F1943">
        <v>957728.88</v>
      </c>
      <c r="H1943" t="s">
        <v>1336</v>
      </c>
      <c r="I1943" s="232" t="s">
        <v>6697</v>
      </c>
      <c r="J1943" s="232"/>
    </row>
    <row r="1944" spans="1:10" hidden="1">
      <c r="A1944" s="232">
        <v>43996</v>
      </c>
      <c r="B1944" t="s">
        <v>6698</v>
      </c>
      <c r="C1944" t="s">
        <v>6699</v>
      </c>
      <c r="D1944">
        <v>200</v>
      </c>
      <c r="F1944">
        <v>957528.88</v>
      </c>
      <c r="H1944" t="s">
        <v>1336</v>
      </c>
      <c r="I1944" s="232" t="s">
        <v>6697</v>
      </c>
      <c r="J1944" s="232"/>
    </row>
    <row r="1945" spans="1:10" hidden="1">
      <c r="A1945" s="232">
        <v>43998</v>
      </c>
      <c r="B1945" t="s">
        <v>6700</v>
      </c>
      <c r="C1945" t="s">
        <v>6701</v>
      </c>
      <c r="D1945">
        <v>2238.23</v>
      </c>
      <c r="F1945">
        <v>955290.65</v>
      </c>
      <c r="H1945" t="s">
        <v>1336</v>
      </c>
      <c r="I1945" s="232" t="s">
        <v>6702</v>
      </c>
      <c r="J1945" s="232"/>
    </row>
    <row r="1946" spans="1:10" hidden="1">
      <c r="A1946" s="232">
        <v>43999</v>
      </c>
      <c r="B1946" t="s">
        <v>6703</v>
      </c>
      <c r="C1946" t="s">
        <v>6704</v>
      </c>
      <c r="D1946">
        <v>399</v>
      </c>
      <c r="F1946">
        <v>954891.65</v>
      </c>
      <c r="H1946" t="s">
        <v>1336</v>
      </c>
      <c r="I1946" s="232" t="s">
        <v>6705</v>
      </c>
      <c r="J1946" s="232"/>
    </row>
    <row r="1947" spans="1:10" hidden="1">
      <c r="A1947" s="232">
        <v>43999</v>
      </c>
      <c r="B1947" t="s">
        <v>6706</v>
      </c>
      <c r="C1947" t="s">
        <v>6707</v>
      </c>
      <c r="D1947">
        <v>399</v>
      </c>
      <c r="F1947">
        <v>954492.65</v>
      </c>
      <c r="H1947" t="s">
        <v>1336</v>
      </c>
      <c r="I1947" s="232" t="s">
        <v>6705</v>
      </c>
      <c r="J1947" s="232"/>
    </row>
    <row r="1948" spans="1:10" hidden="1">
      <c r="A1948" s="232">
        <v>43999</v>
      </c>
      <c r="B1948" t="s">
        <v>6708</v>
      </c>
      <c r="C1948" t="s">
        <v>6709</v>
      </c>
      <c r="D1948"/>
      <c r="E1948">
        <v>399</v>
      </c>
      <c r="F1948">
        <v>954891.65</v>
      </c>
      <c r="H1948" t="s">
        <v>1336</v>
      </c>
      <c r="I1948" s="232" t="s">
        <v>6705</v>
      </c>
      <c r="J1948" s="232"/>
    </row>
    <row r="1949" spans="1:10" hidden="1">
      <c r="A1949" s="232">
        <v>43999</v>
      </c>
      <c r="B1949" t="s">
        <v>6710</v>
      </c>
      <c r="C1949" t="s">
        <v>6711</v>
      </c>
      <c r="D1949"/>
      <c r="E1949">
        <v>399</v>
      </c>
      <c r="F1949">
        <v>955290.65</v>
      </c>
      <c r="H1949" t="s">
        <v>1336</v>
      </c>
      <c r="I1949" s="232" t="s">
        <v>6705</v>
      </c>
      <c r="J1949" s="232"/>
    </row>
    <row r="1950" spans="1:10" hidden="1">
      <c r="A1950" s="232">
        <v>44003</v>
      </c>
      <c r="B1950" t="s">
        <v>6712</v>
      </c>
      <c r="C1950" t="s">
        <v>6713</v>
      </c>
      <c r="D1950">
        <v>330</v>
      </c>
      <c r="F1950">
        <v>954960.65</v>
      </c>
      <c r="H1950" t="s">
        <v>1336</v>
      </c>
      <c r="I1950" s="232" t="s">
        <v>6714</v>
      </c>
      <c r="J1950" s="232"/>
    </row>
    <row r="1951" spans="1:10" hidden="1">
      <c r="A1951" s="232">
        <v>44003</v>
      </c>
      <c r="B1951" t="s">
        <v>6715</v>
      </c>
      <c r="C1951" t="s">
        <v>6716</v>
      </c>
      <c r="D1951">
        <v>120</v>
      </c>
      <c r="F1951">
        <v>954840.65</v>
      </c>
      <c r="H1951" t="s">
        <v>1336</v>
      </c>
      <c r="I1951" s="232" t="s">
        <v>6714</v>
      </c>
      <c r="J1951" s="232"/>
    </row>
    <row r="1952" spans="1:10" hidden="1">
      <c r="A1952" s="232">
        <v>44003</v>
      </c>
      <c r="B1952" t="s">
        <v>6717</v>
      </c>
      <c r="C1952" t="s">
        <v>6718</v>
      </c>
      <c r="D1952">
        <v>2026.65</v>
      </c>
      <c r="F1952">
        <v>952814</v>
      </c>
      <c r="H1952" t="s">
        <v>1336</v>
      </c>
      <c r="I1952" s="232" t="s">
        <v>6714</v>
      </c>
      <c r="J1952" s="232"/>
    </row>
    <row r="1953" spans="1:10" hidden="1">
      <c r="A1953" s="232">
        <v>44004</v>
      </c>
      <c r="B1953" t="s">
        <v>6719</v>
      </c>
      <c r="C1953" t="s">
        <v>6720</v>
      </c>
      <c r="D1953">
        <v>535</v>
      </c>
      <c r="F1953">
        <v>952279</v>
      </c>
      <c r="H1953" t="s">
        <v>1336</v>
      </c>
      <c r="I1953" s="232" t="s">
        <v>6721</v>
      </c>
      <c r="J1953" s="232"/>
    </row>
    <row r="1954" spans="1:10" hidden="1">
      <c r="A1954" s="232">
        <v>44004</v>
      </c>
      <c r="B1954" t="s">
        <v>6722</v>
      </c>
      <c r="C1954" t="s">
        <v>6723</v>
      </c>
      <c r="D1954">
        <v>552.29999999999995</v>
      </c>
      <c r="F1954">
        <v>951726.7</v>
      </c>
      <c r="H1954" t="s">
        <v>1336</v>
      </c>
      <c r="I1954" s="232" t="s">
        <v>6721</v>
      </c>
      <c r="J1954" s="232"/>
    </row>
    <row r="1955" spans="1:10" hidden="1">
      <c r="A1955" s="232">
        <v>44006</v>
      </c>
      <c r="B1955" t="s">
        <v>6724</v>
      </c>
      <c r="C1955" t="s">
        <v>6725</v>
      </c>
      <c r="D1955">
        <v>116</v>
      </c>
      <c r="F1955">
        <v>951610.7</v>
      </c>
      <c r="H1955" t="s">
        <v>1336</v>
      </c>
      <c r="I1955" s="232" t="s">
        <v>6726</v>
      </c>
      <c r="J1955" s="232"/>
    </row>
    <row r="1956" spans="1:10" hidden="1">
      <c r="A1956" s="232">
        <v>44006</v>
      </c>
      <c r="B1956" t="s">
        <v>6727</v>
      </c>
      <c r="C1956" t="s">
        <v>6728</v>
      </c>
      <c r="D1956">
        <v>3240</v>
      </c>
      <c r="F1956">
        <v>948370.7</v>
      </c>
      <c r="H1956" t="s">
        <v>1336</v>
      </c>
      <c r="I1956" s="232" t="s">
        <v>6726</v>
      </c>
      <c r="J1956" s="232"/>
    </row>
    <row r="1957" spans="1:10" hidden="1">
      <c r="A1957" s="232">
        <v>44008</v>
      </c>
      <c r="B1957" t="s">
        <v>6729</v>
      </c>
      <c r="C1957" t="s">
        <v>6730</v>
      </c>
      <c r="D1957"/>
      <c r="E1957">
        <v>25000</v>
      </c>
      <c r="F1957">
        <v>973370.7</v>
      </c>
      <c r="G1957" s="8" t="s">
        <v>1384</v>
      </c>
      <c r="H1957" t="s">
        <v>1336</v>
      </c>
      <c r="I1957" s="232" t="s">
        <v>6731</v>
      </c>
      <c r="J1957" s="232"/>
    </row>
    <row r="1958" spans="1:10" hidden="1">
      <c r="A1958" s="232">
        <v>44008</v>
      </c>
      <c r="B1958" t="s">
        <v>6732</v>
      </c>
      <c r="C1958" t="s">
        <v>6733</v>
      </c>
      <c r="D1958"/>
      <c r="E1958">
        <v>25000</v>
      </c>
      <c r="F1958">
        <v>998370.7</v>
      </c>
      <c r="G1958" s="8" t="s">
        <v>1384</v>
      </c>
      <c r="H1958" t="s">
        <v>1336</v>
      </c>
      <c r="I1958" s="232" t="s">
        <v>6731</v>
      </c>
      <c r="J1958" s="232"/>
    </row>
    <row r="1959" spans="1:10" hidden="1">
      <c r="A1959" s="232">
        <v>44008</v>
      </c>
      <c r="B1959" t="s">
        <v>6734</v>
      </c>
      <c r="C1959" t="s">
        <v>6735</v>
      </c>
      <c r="D1959"/>
      <c r="E1959">
        <v>25000</v>
      </c>
      <c r="F1959">
        <v>1023370.7</v>
      </c>
      <c r="G1959" s="8" t="s">
        <v>1384</v>
      </c>
      <c r="H1959" t="s">
        <v>1336</v>
      </c>
      <c r="I1959" s="232" t="s">
        <v>6731</v>
      </c>
      <c r="J1959" s="232"/>
    </row>
    <row r="1960" spans="1:10" hidden="1">
      <c r="A1960" s="232">
        <v>44008</v>
      </c>
      <c r="B1960" t="s">
        <v>6736</v>
      </c>
      <c r="C1960" t="s">
        <v>6737</v>
      </c>
      <c r="D1960"/>
      <c r="E1960">
        <v>25000</v>
      </c>
      <c r="F1960">
        <v>1048370.7</v>
      </c>
      <c r="G1960" s="8" t="s">
        <v>1384</v>
      </c>
      <c r="H1960" t="s">
        <v>1336</v>
      </c>
      <c r="I1960" s="232" t="s">
        <v>6731</v>
      </c>
      <c r="J1960" s="232"/>
    </row>
    <row r="1961" spans="1:10" hidden="1">
      <c r="A1961" s="232">
        <v>44008</v>
      </c>
      <c r="B1961" t="s">
        <v>6738</v>
      </c>
      <c r="C1961" t="s">
        <v>6739</v>
      </c>
      <c r="D1961">
        <v>1189.5999999999999</v>
      </c>
      <c r="F1961">
        <v>1047181.1</v>
      </c>
      <c r="H1961" t="s">
        <v>1336</v>
      </c>
      <c r="I1961" s="232" t="s">
        <v>6731</v>
      </c>
      <c r="J1961" s="232"/>
    </row>
    <row r="1962" spans="1:10" hidden="1">
      <c r="A1962" s="232">
        <v>44010</v>
      </c>
      <c r="B1962" t="s">
        <v>6740</v>
      </c>
      <c r="C1962" t="s">
        <v>6741</v>
      </c>
      <c r="D1962">
        <v>260</v>
      </c>
      <c r="F1962">
        <v>1046921.1</v>
      </c>
      <c r="H1962" t="s">
        <v>1336</v>
      </c>
      <c r="I1962" s="232" t="s">
        <v>6742</v>
      </c>
      <c r="J1962" s="232"/>
    </row>
    <row r="1963" spans="1:10" hidden="1">
      <c r="A1963" s="232">
        <v>44013</v>
      </c>
      <c r="B1963" t="s">
        <v>6682</v>
      </c>
      <c r="C1963" t="s">
        <v>4256</v>
      </c>
      <c r="D1963"/>
      <c r="E1963">
        <v>7355</v>
      </c>
      <c r="F1963">
        <v>1054276.1000000001</v>
      </c>
      <c r="G1963" s="8" t="s">
        <v>1368</v>
      </c>
      <c r="H1963" t="s">
        <v>1336</v>
      </c>
      <c r="I1963" s="232" t="s">
        <v>6743</v>
      </c>
      <c r="J1963" s="232"/>
    </row>
    <row r="1964" spans="1:10" hidden="1">
      <c r="A1964" s="232">
        <v>44013</v>
      </c>
      <c r="B1964" t="s">
        <v>6744</v>
      </c>
      <c r="C1964" t="s">
        <v>6745</v>
      </c>
      <c r="D1964">
        <v>2500</v>
      </c>
      <c r="F1964">
        <v>1051776.1000000001</v>
      </c>
      <c r="H1964" t="s">
        <v>1336</v>
      </c>
      <c r="I1964" s="232" t="s">
        <v>6743</v>
      </c>
      <c r="J1964" s="232"/>
    </row>
    <row r="1965" spans="1:10" hidden="1">
      <c r="A1965" s="232">
        <v>44013</v>
      </c>
      <c r="B1965" t="s">
        <v>6746</v>
      </c>
      <c r="C1965" t="s">
        <v>6747</v>
      </c>
      <c r="D1965">
        <v>2000</v>
      </c>
      <c r="F1965">
        <v>1049776.1000000001</v>
      </c>
      <c r="H1965" t="s">
        <v>1336</v>
      </c>
      <c r="I1965" s="232" t="s">
        <v>6743</v>
      </c>
      <c r="J1965" s="232"/>
    </row>
    <row r="1966" spans="1:10" hidden="1">
      <c r="A1966" s="232">
        <v>44013</v>
      </c>
      <c r="B1966" t="s">
        <v>6748</v>
      </c>
      <c r="C1966" t="s">
        <v>6749</v>
      </c>
      <c r="D1966">
        <v>3500</v>
      </c>
      <c r="F1966">
        <v>1046276.1</v>
      </c>
      <c r="H1966" t="s">
        <v>1336</v>
      </c>
      <c r="I1966" s="232" t="s">
        <v>6743</v>
      </c>
      <c r="J1966" s="232"/>
    </row>
    <row r="1967" spans="1:10" hidden="1">
      <c r="A1967" s="232">
        <v>44015</v>
      </c>
      <c r="B1967" t="s">
        <v>6750</v>
      </c>
      <c r="C1967" t="s">
        <v>6751</v>
      </c>
      <c r="D1967">
        <v>50</v>
      </c>
      <c r="F1967">
        <v>1046226.1</v>
      </c>
      <c r="H1967" t="s">
        <v>1336</v>
      </c>
      <c r="I1967" s="232" t="s">
        <v>6752</v>
      </c>
      <c r="J1967" s="232"/>
    </row>
    <row r="1968" spans="1:10" hidden="1">
      <c r="A1968" s="232">
        <v>44016</v>
      </c>
      <c r="B1968" t="s">
        <v>6753</v>
      </c>
      <c r="C1968" t="s">
        <v>6754</v>
      </c>
      <c r="D1968">
        <v>1259.75</v>
      </c>
      <c r="F1968">
        <v>1044966.35</v>
      </c>
      <c r="H1968" t="s">
        <v>1336</v>
      </c>
      <c r="I1968" s="232" t="s">
        <v>6755</v>
      </c>
      <c r="J1968" s="232"/>
    </row>
    <row r="1969" spans="1:10" hidden="1">
      <c r="A1969" s="232">
        <v>44016</v>
      </c>
      <c r="B1969" t="s">
        <v>6756</v>
      </c>
      <c r="C1969" t="s">
        <v>6757</v>
      </c>
      <c r="D1969">
        <v>18500</v>
      </c>
      <c r="F1969">
        <v>1026466.35</v>
      </c>
      <c r="H1969" t="s">
        <v>1336</v>
      </c>
      <c r="I1969" s="232" t="s">
        <v>6755</v>
      </c>
      <c r="J1969" s="232"/>
    </row>
    <row r="1970" spans="1:10" hidden="1">
      <c r="A1970" s="232">
        <v>44016</v>
      </c>
      <c r="B1970" t="s">
        <v>6758</v>
      </c>
      <c r="C1970" t="s">
        <v>6759</v>
      </c>
      <c r="D1970">
        <v>1323.24</v>
      </c>
      <c r="F1970">
        <v>1025143.11</v>
      </c>
      <c r="H1970" t="s">
        <v>1336</v>
      </c>
      <c r="I1970" s="232" t="s">
        <v>6755</v>
      </c>
      <c r="J1970" s="232"/>
    </row>
    <row r="1971" spans="1:10" hidden="1">
      <c r="A1971" s="232">
        <v>44018</v>
      </c>
      <c r="B1971" t="s">
        <v>6760</v>
      </c>
      <c r="C1971" t="s">
        <v>6583</v>
      </c>
      <c r="D1971">
        <v>420</v>
      </c>
      <c r="F1971">
        <v>1024723.11</v>
      </c>
      <c r="G1971" s="8" t="s">
        <v>1362</v>
      </c>
      <c r="H1971" t="s">
        <v>1336</v>
      </c>
      <c r="I1971" s="232" t="s">
        <v>6761</v>
      </c>
      <c r="J1971" s="232"/>
    </row>
    <row r="1972" spans="1:10" hidden="1">
      <c r="A1972" s="232">
        <v>44021</v>
      </c>
      <c r="B1972" t="s">
        <v>6682</v>
      </c>
      <c r="C1972" t="s">
        <v>6762</v>
      </c>
      <c r="D1972">
        <v>15000</v>
      </c>
      <c r="F1972">
        <v>1009723.11</v>
      </c>
      <c r="G1972" s="8" t="s">
        <v>1379</v>
      </c>
      <c r="H1972" t="s">
        <v>1336</v>
      </c>
      <c r="I1972" s="232" t="s">
        <v>6763</v>
      </c>
      <c r="J1972" s="232"/>
    </row>
    <row r="1973" spans="1:10" hidden="1">
      <c r="A1973" s="232">
        <v>44021</v>
      </c>
      <c r="B1973" t="s">
        <v>6682</v>
      </c>
      <c r="C1973" t="s">
        <v>6764</v>
      </c>
      <c r="D1973">
        <v>10000</v>
      </c>
      <c r="F1973">
        <v>999723.11</v>
      </c>
      <c r="G1973" s="8" t="s">
        <v>1379</v>
      </c>
      <c r="H1973" t="s">
        <v>1336</v>
      </c>
      <c r="I1973" s="232" t="s">
        <v>6763</v>
      </c>
      <c r="J1973" s="232"/>
    </row>
    <row r="1974" spans="1:10" hidden="1">
      <c r="A1974" s="232">
        <v>44021</v>
      </c>
      <c r="B1974" t="s">
        <v>6765</v>
      </c>
      <c r="C1974" t="s">
        <v>6766</v>
      </c>
      <c r="D1974">
        <v>1510.91</v>
      </c>
      <c r="F1974">
        <v>998212.2</v>
      </c>
      <c r="H1974" t="s">
        <v>1336</v>
      </c>
      <c r="I1974" s="232" t="s">
        <v>6763</v>
      </c>
      <c r="J1974" s="232"/>
    </row>
    <row r="1975" spans="1:10" hidden="1">
      <c r="A1975" s="232">
        <v>44022</v>
      </c>
      <c r="B1975" t="s">
        <v>6767</v>
      </c>
      <c r="C1975" t="s">
        <v>6768</v>
      </c>
      <c r="D1975">
        <v>709</v>
      </c>
      <c r="F1975">
        <v>997503.2</v>
      </c>
      <c r="H1975" t="s">
        <v>1336</v>
      </c>
      <c r="I1975" s="232" t="s">
        <v>6769</v>
      </c>
      <c r="J1975" s="232"/>
    </row>
    <row r="1976" spans="1:10" hidden="1">
      <c r="A1976" s="232">
        <v>44025</v>
      </c>
      <c r="B1976" t="s">
        <v>6770</v>
      </c>
      <c r="C1976" t="s">
        <v>6771</v>
      </c>
      <c r="D1976">
        <v>343</v>
      </c>
      <c r="F1976">
        <v>997160.2</v>
      </c>
      <c r="H1976" t="s">
        <v>1336</v>
      </c>
      <c r="I1976" s="232" t="s">
        <v>6772</v>
      </c>
      <c r="J1976" s="232"/>
    </row>
    <row r="1977" spans="1:10" hidden="1">
      <c r="A1977" s="232">
        <v>44027</v>
      </c>
      <c r="B1977" t="s">
        <v>6773</v>
      </c>
      <c r="C1977" t="s">
        <v>6774</v>
      </c>
      <c r="D1977">
        <v>930</v>
      </c>
      <c r="F1977">
        <v>996230.2</v>
      </c>
      <c r="H1977" t="s">
        <v>1336</v>
      </c>
      <c r="I1977" s="232" t="s">
        <v>6775</v>
      </c>
      <c r="J1977" s="232"/>
    </row>
    <row r="1978" spans="1:10" hidden="1">
      <c r="A1978" s="232">
        <v>44028</v>
      </c>
      <c r="B1978" t="s">
        <v>6776</v>
      </c>
      <c r="C1978" t="s">
        <v>6777</v>
      </c>
      <c r="D1978">
        <v>800</v>
      </c>
      <c r="F1978">
        <v>995430.2</v>
      </c>
      <c r="H1978" t="s">
        <v>1336</v>
      </c>
      <c r="I1978" s="232" t="s">
        <v>6778</v>
      </c>
      <c r="J1978" s="232"/>
    </row>
    <row r="1979" spans="1:10" hidden="1">
      <c r="A1979" s="232">
        <v>44028</v>
      </c>
      <c r="B1979" t="s">
        <v>6779</v>
      </c>
      <c r="C1979" t="s">
        <v>6780</v>
      </c>
      <c r="D1979"/>
      <c r="E1979">
        <v>9</v>
      </c>
      <c r="F1979">
        <v>995439.2</v>
      </c>
      <c r="H1979" t="s">
        <v>1336</v>
      </c>
      <c r="I1979" s="232" t="s">
        <v>6778</v>
      </c>
      <c r="J1979" s="232"/>
    </row>
    <row r="1980" spans="1:10" hidden="1">
      <c r="A1980" s="232">
        <v>44028</v>
      </c>
      <c r="B1980" t="s">
        <v>6781</v>
      </c>
      <c r="C1980" t="s">
        <v>6782</v>
      </c>
      <c r="D1980"/>
      <c r="E1980">
        <v>6</v>
      </c>
      <c r="F1980">
        <v>995445.2</v>
      </c>
      <c r="H1980" t="s">
        <v>1336</v>
      </c>
      <c r="I1980" s="232" t="s">
        <v>6778</v>
      </c>
      <c r="J1980" s="232"/>
    </row>
    <row r="1981" spans="1:10" hidden="1">
      <c r="A1981" s="232">
        <v>44028</v>
      </c>
      <c r="B1981" t="s">
        <v>6783</v>
      </c>
      <c r="C1981" t="s">
        <v>6784</v>
      </c>
      <c r="D1981">
        <v>2553.86</v>
      </c>
      <c r="F1981">
        <v>992891.34</v>
      </c>
      <c r="H1981" t="s">
        <v>1336</v>
      </c>
      <c r="I1981" s="232" t="s">
        <v>6778</v>
      </c>
      <c r="J1981" s="232"/>
    </row>
    <row r="1982" spans="1:10" hidden="1">
      <c r="A1982" s="232">
        <v>44029</v>
      </c>
      <c r="B1982" t="s">
        <v>6785</v>
      </c>
      <c r="C1982" t="s">
        <v>6786</v>
      </c>
      <c r="D1982">
        <v>1807</v>
      </c>
      <c r="F1982">
        <v>991084.34</v>
      </c>
      <c r="H1982" t="s">
        <v>1336</v>
      </c>
      <c r="I1982" s="232" t="s">
        <v>6787</v>
      </c>
      <c r="J1982" s="232"/>
    </row>
    <row r="1983" spans="1:10" hidden="1">
      <c r="A1983" s="232">
        <v>44030</v>
      </c>
      <c r="B1983" t="s">
        <v>6788</v>
      </c>
      <c r="C1983" t="s">
        <v>6789</v>
      </c>
      <c r="D1983">
        <v>121.5</v>
      </c>
      <c r="F1983">
        <v>990962.84</v>
      </c>
      <c r="H1983" t="s">
        <v>1336</v>
      </c>
      <c r="I1983" s="232" t="s">
        <v>6790</v>
      </c>
      <c r="J1983" s="232"/>
    </row>
    <row r="1984" spans="1:10" hidden="1">
      <c r="A1984" s="232">
        <v>44033</v>
      </c>
      <c r="B1984" t="s">
        <v>6791</v>
      </c>
      <c r="C1984" t="s">
        <v>6792</v>
      </c>
      <c r="D1984">
        <v>427</v>
      </c>
      <c r="F1984">
        <v>990535.84</v>
      </c>
      <c r="H1984" t="s">
        <v>1336</v>
      </c>
      <c r="I1984" s="232" t="s">
        <v>6793</v>
      </c>
      <c r="J1984" s="232"/>
    </row>
    <row r="1985" spans="1:10" hidden="1">
      <c r="A1985" s="232">
        <v>44036</v>
      </c>
      <c r="B1985" t="s">
        <v>6794</v>
      </c>
      <c r="C1985" t="s">
        <v>6795</v>
      </c>
      <c r="D1985"/>
      <c r="E1985">
        <v>25000</v>
      </c>
      <c r="F1985">
        <v>1015535.84</v>
      </c>
      <c r="G1985" s="8" t="s">
        <v>1384</v>
      </c>
      <c r="H1985" t="s">
        <v>1336</v>
      </c>
      <c r="I1985" s="232" t="s">
        <v>6796</v>
      </c>
      <c r="J1985" s="232"/>
    </row>
    <row r="1986" spans="1:10" hidden="1">
      <c r="A1986" s="232">
        <v>44036</v>
      </c>
      <c r="B1986" t="s">
        <v>6797</v>
      </c>
      <c r="C1986" t="s">
        <v>6798</v>
      </c>
      <c r="D1986"/>
      <c r="E1986">
        <v>25000</v>
      </c>
      <c r="F1986">
        <v>1040535.84</v>
      </c>
      <c r="G1986" s="8" t="s">
        <v>1384</v>
      </c>
      <c r="H1986" t="s">
        <v>1336</v>
      </c>
      <c r="I1986" s="232" t="s">
        <v>6796</v>
      </c>
      <c r="J1986" s="232"/>
    </row>
    <row r="1987" spans="1:10" hidden="1">
      <c r="A1987" s="232">
        <v>44036</v>
      </c>
      <c r="B1987" t="s">
        <v>6799</v>
      </c>
      <c r="C1987" t="s">
        <v>6800</v>
      </c>
      <c r="D1987"/>
      <c r="E1987">
        <v>25000</v>
      </c>
      <c r="F1987">
        <v>1065535.8400000001</v>
      </c>
      <c r="G1987" s="8" t="s">
        <v>1384</v>
      </c>
      <c r="H1987" t="s">
        <v>1336</v>
      </c>
      <c r="I1987" s="232" t="s">
        <v>6796</v>
      </c>
      <c r="J1987" s="232"/>
    </row>
    <row r="1988" spans="1:10" hidden="1">
      <c r="A1988" s="232">
        <v>44036</v>
      </c>
      <c r="B1988" t="s">
        <v>6801</v>
      </c>
      <c r="C1988" t="s">
        <v>6802</v>
      </c>
      <c r="D1988"/>
      <c r="E1988">
        <v>25000</v>
      </c>
      <c r="F1988">
        <v>1090535.8400000001</v>
      </c>
      <c r="G1988" s="8" t="s">
        <v>1384</v>
      </c>
      <c r="H1988" t="s">
        <v>1336</v>
      </c>
      <c r="I1988" s="232" t="s">
        <v>6796</v>
      </c>
      <c r="J1988" s="232"/>
    </row>
    <row r="1989" spans="1:10" hidden="1">
      <c r="A1989" s="232">
        <v>44036</v>
      </c>
      <c r="B1989" t="s">
        <v>6803</v>
      </c>
      <c r="C1989" t="s">
        <v>6804</v>
      </c>
      <c r="D1989">
        <v>1730</v>
      </c>
      <c r="F1989">
        <v>1088805.8400000001</v>
      </c>
      <c r="H1989" t="s">
        <v>1336</v>
      </c>
      <c r="I1989" s="232" t="s">
        <v>6796</v>
      </c>
      <c r="J1989" s="232"/>
    </row>
    <row r="1990" spans="1:10" hidden="1">
      <c r="A1990" s="232">
        <v>44037</v>
      </c>
      <c r="B1990" t="s">
        <v>6805</v>
      </c>
      <c r="C1990" t="s">
        <v>6806</v>
      </c>
      <c r="D1990">
        <v>1419</v>
      </c>
      <c r="F1990">
        <v>1087386.8400000001</v>
      </c>
      <c r="H1990" t="s">
        <v>1336</v>
      </c>
      <c r="I1990" s="232" t="s">
        <v>6807</v>
      </c>
      <c r="J1990" s="232"/>
    </row>
    <row r="1991" spans="1:10" hidden="1">
      <c r="A1991" s="232">
        <v>44039</v>
      </c>
      <c r="B1991" t="s">
        <v>6808</v>
      </c>
      <c r="C1991" t="s">
        <v>6809</v>
      </c>
      <c r="D1991">
        <v>1335</v>
      </c>
      <c r="F1991">
        <v>1086051.8400000001</v>
      </c>
      <c r="H1991" t="s">
        <v>1336</v>
      </c>
      <c r="I1991" s="232" t="s">
        <v>6810</v>
      </c>
      <c r="J1991" s="232"/>
    </row>
    <row r="1992" spans="1:10" hidden="1">
      <c r="A1992" s="232">
        <v>44039</v>
      </c>
      <c r="B1992" t="s">
        <v>6811</v>
      </c>
      <c r="C1992" t="s">
        <v>6812</v>
      </c>
      <c r="D1992">
        <v>300</v>
      </c>
      <c r="F1992">
        <v>1085751.8400000001</v>
      </c>
      <c r="H1992" t="s">
        <v>1336</v>
      </c>
      <c r="I1992" s="232" t="s">
        <v>6810</v>
      </c>
      <c r="J1992" s="232"/>
    </row>
    <row r="1993" spans="1:10" hidden="1">
      <c r="A1993" s="232">
        <v>44039</v>
      </c>
      <c r="B1993" t="s">
        <v>6813</v>
      </c>
      <c r="C1993" t="s">
        <v>6814</v>
      </c>
      <c r="D1993">
        <v>450</v>
      </c>
      <c r="F1993">
        <v>1085301.8400000001</v>
      </c>
      <c r="H1993" t="s">
        <v>1336</v>
      </c>
      <c r="I1993" s="232" t="s">
        <v>6810</v>
      </c>
      <c r="J1993" s="232"/>
    </row>
    <row r="1994" spans="1:10" hidden="1">
      <c r="A1994" s="232">
        <v>44039</v>
      </c>
      <c r="B1994" t="s">
        <v>6815</v>
      </c>
      <c r="C1994" t="s">
        <v>6816</v>
      </c>
      <c r="D1994"/>
      <c r="E1994">
        <v>1399</v>
      </c>
      <c r="F1994">
        <v>1086700.8400000001</v>
      </c>
      <c r="H1994" t="s">
        <v>1336</v>
      </c>
      <c r="I1994" s="232" t="s">
        <v>6810</v>
      </c>
      <c r="J1994" s="232"/>
    </row>
    <row r="1995" spans="1:10" hidden="1">
      <c r="A1995" s="232">
        <v>44041</v>
      </c>
      <c r="B1995" t="s">
        <v>6817</v>
      </c>
      <c r="C1995" t="s">
        <v>6818</v>
      </c>
      <c r="D1995">
        <v>1279</v>
      </c>
      <c r="F1995">
        <v>1085421.8400000001</v>
      </c>
      <c r="H1995" t="s">
        <v>1336</v>
      </c>
      <c r="I1995" s="232" t="s">
        <v>6819</v>
      </c>
      <c r="J1995" s="232"/>
    </row>
    <row r="1996" spans="1:10" hidden="1">
      <c r="A1996" s="232">
        <v>44042</v>
      </c>
      <c r="B1996" t="s">
        <v>6820</v>
      </c>
      <c r="C1996" t="s">
        <v>6821</v>
      </c>
      <c r="D1996">
        <v>520</v>
      </c>
      <c r="F1996">
        <v>1084901.8400000001</v>
      </c>
      <c r="H1996" t="s">
        <v>1336</v>
      </c>
      <c r="I1996" s="232" t="s">
        <v>6822</v>
      </c>
      <c r="J1996" s="232"/>
    </row>
    <row r="1997" spans="1:10" hidden="1">
      <c r="A1997" s="232">
        <v>44042</v>
      </c>
      <c r="B1997" t="s">
        <v>6823</v>
      </c>
      <c r="C1997" t="s">
        <v>6824</v>
      </c>
      <c r="D1997">
        <v>1015</v>
      </c>
      <c r="F1997">
        <v>1083886.8400000001</v>
      </c>
      <c r="H1997" t="s">
        <v>1336</v>
      </c>
      <c r="I1997" s="232" t="s">
        <v>6822</v>
      </c>
      <c r="J1997" s="232"/>
    </row>
    <row r="1998" spans="1:10" hidden="1">
      <c r="A1998" s="232">
        <v>44042</v>
      </c>
      <c r="B1998" t="s">
        <v>6825</v>
      </c>
      <c r="C1998" t="s">
        <v>6826</v>
      </c>
      <c r="D1998">
        <v>20</v>
      </c>
      <c r="F1998">
        <v>1083866.8400000001</v>
      </c>
      <c r="H1998" t="s">
        <v>1336</v>
      </c>
      <c r="I1998" s="232" t="s">
        <v>6822</v>
      </c>
      <c r="J1998" s="232"/>
    </row>
    <row r="1999" spans="1:10" hidden="1">
      <c r="A1999" s="232">
        <v>44043</v>
      </c>
      <c r="B1999" t="s">
        <v>6827</v>
      </c>
      <c r="C1999" t="s">
        <v>6828</v>
      </c>
      <c r="D1999">
        <v>126</v>
      </c>
      <c r="F1999">
        <v>1083740.8400000001</v>
      </c>
      <c r="H1999" t="s">
        <v>1336</v>
      </c>
      <c r="I1999" s="232" t="s">
        <v>6829</v>
      </c>
      <c r="J1999" s="232"/>
    </row>
    <row r="2000" spans="1:10" hidden="1">
      <c r="A2000" s="232">
        <v>44043</v>
      </c>
      <c r="B2000" t="s">
        <v>6830</v>
      </c>
      <c r="C2000" t="s">
        <v>6831</v>
      </c>
      <c r="D2000"/>
      <c r="E2000">
        <v>10</v>
      </c>
      <c r="F2000">
        <v>1083750.8400000001</v>
      </c>
      <c r="H2000" t="s">
        <v>1336</v>
      </c>
      <c r="I2000" s="232" t="s">
        <v>6829</v>
      </c>
      <c r="J2000" s="232"/>
    </row>
    <row r="2001" spans="1:10" hidden="1">
      <c r="A2001" s="232">
        <v>44046</v>
      </c>
      <c r="B2001" t="s">
        <v>6832</v>
      </c>
      <c r="C2001" t="s">
        <v>6833</v>
      </c>
      <c r="D2001">
        <v>2000</v>
      </c>
      <c r="F2001">
        <v>1081750.8400000001</v>
      </c>
      <c r="H2001" t="s">
        <v>1336</v>
      </c>
      <c r="I2001" s="232" t="s">
        <v>6834</v>
      </c>
      <c r="J2001" s="232"/>
    </row>
    <row r="2002" spans="1:10" hidden="1">
      <c r="A2002" s="232">
        <v>44046</v>
      </c>
      <c r="B2002" t="s">
        <v>6835</v>
      </c>
      <c r="C2002" t="s">
        <v>6836</v>
      </c>
      <c r="D2002">
        <v>3500</v>
      </c>
      <c r="F2002">
        <v>1078250.8400000001</v>
      </c>
      <c r="H2002" t="s">
        <v>1336</v>
      </c>
      <c r="I2002" s="232" t="s">
        <v>6834</v>
      </c>
      <c r="J2002" s="232"/>
    </row>
    <row r="2003" spans="1:10" hidden="1">
      <c r="A2003" s="232">
        <v>44046</v>
      </c>
      <c r="B2003" t="s">
        <v>6837</v>
      </c>
      <c r="C2003" t="s">
        <v>6838</v>
      </c>
      <c r="D2003">
        <v>700</v>
      </c>
      <c r="F2003">
        <v>1077550.8400000001</v>
      </c>
      <c r="H2003" t="s">
        <v>1336</v>
      </c>
      <c r="I2003" s="232" t="s">
        <v>6834</v>
      </c>
      <c r="J2003" s="232"/>
    </row>
    <row r="2004" spans="1:10" hidden="1">
      <c r="A2004" s="232">
        <v>44046</v>
      </c>
      <c r="B2004" t="s">
        <v>6839</v>
      </c>
      <c r="C2004" t="s">
        <v>6840</v>
      </c>
      <c r="D2004">
        <v>1268.5</v>
      </c>
      <c r="F2004">
        <v>1076282.3400000001</v>
      </c>
      <c r="H2004" t="s">
        <v>1336</v>
      </c>
      <c r="I2004" s="232" t="s">
        <v>6834</v>
      </c>
      <c r="J2004" s="232"/>
    </row>
    <row r="2005" spans="1:10" hidden="1">
      <c r="A2005" s="232">
        <v>44047</v>
      </c>
      <c r="B2005" t="s">
        <v>6841</v>
      </c>
      <c r="C2005" t="s">
        <v>6842</v>
      </c>
      <c r="D2005">
        <v>1437.35</v>
      </c>
      <c r="F2005">
        <v>1074844.99</v>
      </c>
      <c r="H2005" t="s">
        <v>1336</v>
      </c>
      <c r="I2005" s="232" t="s">
        <v>6843</v>
      </c>
      <c r="J2005" s="232"/>
    </row>
    <row r="2006" spans="1:10" hidden="1">
      <c r="A2006" s="232">
        <v>44047</v>
      </c>
      <c r="B2006" t="s">
        <v>6844</v>
      </c>
      <c r="C2006" t="s">
        <v>6845</v>
      </c>
      <c r="D2006"/>
      <c r="E2006">
        <v>10</v>
      </c>
      <c r="F2006">
        <v>1074854.99</v>
      </c>
      <c r="H2006" t="s">
        <v>1336</v>
      </c>
      <c r="I2006" s="232" t="s">
        <v>6843</v>
      </c>
      <c r="J2006" s="232"/>
    </row>
    <row r="2007" spans="1:10" hidden="1">
      <c r="A2007" s="232">
        <v>44047</v>
      </c>
      <c r="B2007" t="s">
        <v>6846</v>
      </c>
      <c r="C2007" t="s">
        <v>6847</v>
      </c>
      <c r="D2007">
        <v>84</v>
      </c>
      <c r="F2007">
        <v>1074770.99</v>
      </c>
      <c r="H2007" t="s">
        <v>1336</v>
      </c>
      <c r="I2007" s="232" t="s">
        <v>6843</v>
      </c>
      <c r="J2007" s="232"/>
    </row>
    <row r="2008" spans="1:10" hidden="1">
      <c r="A2008" s="232">
        <v>44048</v>
      </c>
      <c r="B2008" t="s">
        <v>6848</v>
      </c>
      <c r="C2008" t="s">
        <v>6583</v>
      </c>
      <c r="D2008">
        <v>39438</v>
      </c>
      <c r="F2008">
        <v>1035332.99</v>
      </c>
      <c r="G2008" s="8" t="s">
        <v>1362</v>
      </c>
      <c r="H2008" t="s">
        <v>1336</v>
      </c>
      <c r="I2008" s="232" t="s">
        <v>6849</v>
      </c>
      <c r="J2008" s="232"/>
    </row>
    <row r="2009" spans="1:10" hidden="1">
      <c r="A2009" s="232">
        <v>44048</v>
      </c>
      <c r="B2009" t="s">
        <v>6850</v>
      </c>
      <c r="C2009" t="s">
        <v>6851</v>
      </c>
      <c r="D2009">
        <v>400</v>
      </c>
      <c r="F2009">
        <v>1034932.99</v>
      </c>
      <c r="H2009" t="s">
        <v>1336</v>
      </c>
      <c r="I2009" s="232" t="s">
        <v>6849</v>
      </c>
      <c r="J2009" s="232"/>
    </row>
    <row r="2010" spans="1:10" hidden="1">
      <c r="A2010" s="232">
        <v>44049</v>
      </c>
      <c r="B2010" t="s">
        <v>6852</v>
      </c>
      <c r="C2010" t="s">
        <v>6853</v>
      </c>
      <c r="D2010">
        <v>1600</v>
      </c>
      <c r="F2010">
        <v>1033332.99</v>
      </c>
      <c r="H2010" t="s">
        <v>1336</v>
      </c>
      <c r="I2010" s="232" t="s">
        <v>6854</v>
      </c>
      <c r="J2010" s="232"/>
    </row>
    <row r="2011" spans="1:10" hidden="1">
      <c r="A2011" s="232">
        <v>44050</v>
      </c>
      <c r="B2011" t="s">
        <v>6855</v>
      </c>
      <c r="C2011" t="s">
        <v>6856</v>
      </c>
      <c r="D2011">
        <v>1213.1600000000001</v>
      </c>
      <c r="F2011">
        <v>1032119.83</v>
      </c>
      <c r="H2011" t="s">
        <v>1336</v>
      </c>
      <c r="I2011" s="232" t="s">
        <v>6857</v>
      </c>
      <c r="J2011" s="232"/>
    </row>
    <row r="2012" spans="1:10" hidden="1">
      <c r="A2012" s="232">
        <v>44052</v>
      </c>
      <c r="B2012" t="s">
        <v>6682</v>
      </c>
      <c r="C2012" t="s">
        <v>6858</v>
      </c>
      <c r="D2012">
        <v>15000</v>
      </c>
      <c r="F2012">
        <v>1017119.83</v>
      </c>
      <c r="G2012" s="8" t="s">
        <v>1379</v>
      </c>
      <c r="H2012" t="s">
        <v>1336</v>
      </c>
      <c r="I2012" s="232" t="s">
        <v>6859</v>
      </c>
      <c r="J2012" s="232"/>
    </row>
    <row r="2013" spans="1:10" hidden="1">
      <c r="A2013" s="232">
        <v>44052</v>
      </c>
      <c r="B2013" t="s">
        <v>6682</v>
      </c>
      <c r="C2013" t="s">
        <v>6860</v>
      </c>
      <c r="D2013">
        <v>10000</v>
      </c>
      <c r="F2013">
        <v>1007119.83</v>
      </c>
      <c r="G2013" s="8" t="s">
        <v>1379</v>
      </c>
      <c r="H2013" t="s">
        <v>1336</v>
      </c>
      <c r="I2013" s="232" t="s">
        <v>6859</v>
      </c>
      <c r="J2013" s="232"/>
    </row>
    <row r="2014" spans="1:10" hidden="1">
      <c r="A2014" s="232">
        <v>44052</v>
      </c>
      <c r="B2014" t="s">
        <v>6861</v>
      </c>
      <c r="C2014" t="s">
        <v>6862</v>
      </c>
      <c r="D2014">
        <v>190</v>
      </c>
      <c r="F2014">
        <v>1006929.83</v>
      </c>
      <c r="H2014" t="s">
        <v>1336</v>
      </c>
      <c r="I2014" s="232" t="s">
        <v>6859</v>
      </c>
      <c r="J2014" s="232"/>
    </row>
    <row r="2015" spans="1:10" hidden="1">
      <c r="A2015" s="232">
        <v>44052</v>
      </c>
      <c r="B2015" t="s">
        <v>6861</v>
      </c>
      <c r="C2015" t="s">
        <v>6863</v>
      </c>
      <c r="D2015"/>
      <c r="E2015">
        <v>190</v>
      </c>
      <c r="F2015">
        <v>1007119.83</v>
      </c>
      <c r="H2015" t="s">
        <v>1336</v>
      </c>
      <c r="I2015" s="232" t="s">
        <v>6859</v>
      </c>
      <c r="J2015" s="232"/>
    </row>
    <row r="2016" spans="1:10" hidden="1">
      <c r="A2016" s="232">
        <v>44052</v>
      </c>
      <c r="B2016" t="s">
        <v>6864</v>
      </c>
      <c r="C2016" t="s">
        <v>6865</v>
      </c>
      <c r="D2016">
        <v>190</v>
      </c>
      <c r="F2016">
        <v>1006929.83</v>
      </c>
      <c r="H2016" t="s">
        <v>1336</v>
      </c>
      <c r="I2016" s="232" t="s">
        <v>6859</v>
      </c>
      <c r="J2016" s="232"/>
    </row>
    <row r="2017" spans="1:10" hidden="1">
      <c r="A2017" s="232">
        <v>44056</v>
      </c>
      <c r="B2017" t="s">
        <v>6866</v>
      </c>
      <c r="C2017" t="s">
        <v>6867</v>
      </c>
      <c r="D2017">
        <v>625</v>
      </c>
      <c r="F2017">
        <v>1006304.83</v>
      </c>
      <c r="H2017" t="s">
        <v>1336</v>
      </c>
      <c r="I2017" s="232" t="s">
        <v>6868</v>
      </c>
      <c r="J2017" s="232"/>
    </row>
    <row r="2018" spans="1:10" hidden="1">
      <c r="A2018" s="232">
        <v>44056</v>
      </c>
      <c r="B2018" t="s">
        <v>6869</v>
      </c>
      <c r="C2018" t="s">
        <v>6870</v>
      </c>
      <c r="D2018">
        <v>210</v>
      </c>
      <c r="F2018">
        <v>1006094.83</v>
      </c>
      <c r="H2018" t="s">
        <v>1336</v>
      </c>
      <c r="I2018" s="232" t="s">
        <v>6868</v>
      </c>
      <c r="J2018" s="232"/>
    </row>
    <row r="2019" spans="1:10" hidden="1">
      <c r="A2019" s="232">
        <v>44057</v>
      </c>
      <c r="B2019" t="s">
        <v>6871</v>
      </c>
      <c r="C2019" t="s">
        <v>6872</v>
      </c>
      <c r="D2019">
        <v>465</v>
      </c>
      <c r="F2019">
        <v>1005629.83</v>
      </c>
      <c r="H2019" t="s">
        <v>1336</v>
      </c>
      <c r="I2019" s="232" t="s">
        <v>6873</v>
      </c>
      <c r="J2019" s="232"/>
    </row>
    <row r="2020" spans="1:10" hidden="1">
      <c r="A2020" s="232">
        <v>44057</v>
      </c>
      <c r="B2020" t="s">
        <v>6874</v>
      </c>
      <c r="C2020" t="s">
        <v>6875</v>
      </c>
      <c r="D2020"/>
      <c r="E2020">
        <v>9</v>
      </c>
      <c r="F2020">
        <v>1005638.83</v>
      </c>
      <c r="H2020" t="s">
        <v>1336</v>
      </c>
      <c r="I2020" s="232" t="s">
        <v>6873</v>
      </c>
      <c r="J2020" s="232"/>
    </row>
    <row r="2021" spans="1:10" hidden="1">
      <c r="A2021" s="232">
        <v>44060</v>
      </c>
      <c r="B2021" t="s">
        <v>6876</v>
      </c>
      <c r="C2021" t="s">
        <v>6877</v>
      </c>
      <c r="D2021">
        <v>64</v>
      </c>
      <c r="F2021">
        <v>1005574.83</v>
      </c>
      <c r="H2021" t="s">
        <v>1336</v>
      </c>
      <c r="I2021" s="232" t="s">
        <v>6878</v>
      </c>
      <c r="J2021" s="232"/>
    </row>
    <row r="2022" spans="1:10" hidden="1">
      <c r="A2022" s="232">
        <v>44060</v>
      </c>
      <c r="B2022" t="s">
        <v>6879</v>
      </c>
      <c r="C2022" t="s">
        <v>6880</v>
      </c>
      <c r="D2022">
        <v>300</v>
      </c>
      <c r="F2022">
        <v>1005274.83</v>
      </c>
      <c r="H2022" t="s">
        <v>1336</v>
      </c>
      <c r="I2022" s="232" t="s">
        <v>6878</v>
      </c>
      <c r="J2022" s="232"/>
    </row>
    <row r="2023" spans="1:10" hidden="1">
      <c r="A2023" s="232">
        <v>44060</v>
      </c>
      <c r="B2023" t="s">
        <v>6881</v>
      </c>
      <c r="C2023" t="s">
        <v>6882</v>
      </c>
      <c r="D2023">
        <v>308</v>
      </c>
      <c r="F2023">
        <v>1004966.83</v>
      </c>
      <c r="H2023" t="s">
        <v>1336</v>
      </c>
      <c r="I2023" s="232" t="s">
        <v>6878</v>
      </c>
      <c r="J2023" s="232"/>
    </row>
    <row r="2024" spans="1:10" hidden="1">
      <c r="A2024" s="232">
        <v>44060</v>
      </c>
      <c r="B2024" t="s">
        <v>6883</v>
      </c>
      <c r="C2024" t="s">
        <v>6884</v>
      </c>
      <c r="D2024"/>
      <c r="E2024">
        <v>9</v>
      </c>
      <c r="F2024">
        <v>1004975.83</v>
      </c>
      <c r="H2024" t="s">
        <v>1336</v>
      </c>
      <c r="I2024" s="232" t="s">
        <v>6878</v>
      </c>
      <c r="J2024" s="232"/>
    </row>
    <row r="2025" spans="1:10" hidden="1">
      <c r="A2025" s="232">
        <v>44061</v>
      </c>
      <c r="B2025" t="s">
        <v>6885</v>
      </c>
      <c r="C2025" t="s">
        <v>6886</v>
      </c>
      <c r="D2025">
        <v>2246.16</v>
      </c>
      <c r="F2025">
        <v>1002729.67</v>
      </c>
      <c r="H2025" t="s">
        <v>1336</v>
      </c>
      <c r="I2025" s="232" t="s">
        <v>6887</v>
      </c>
      <c r="J2025" s="232"/>
    </row>
    <row r="2026" spans="1:10" hidden="1">
      <c r="A2026" s="232">
        <v>44063</v>
      </c>
      <c r="B2026" t="s">
        <v>6888</v>
      </c>
      <c r="C2026" t="s">
        <v>6889</v>
      </c>
      <c r="D2026">
        <v>472</v>
      </c>
      <c r="F2026">
        <v>1002257.67</v>
      </c>
      <c r="H2026" t="s">
        <v>1336</v>
      </c>
      <c r="I2026" s="232" t="s">
        <v>6890</v>
      </c>
      <c r="J2026" s="232"/>
    </row>
    <row r="2027" spans="1:10" hidden="1">
      <c r="A2027" s="232">
        <v>44063</v>
      </c>
      <c r="B2027" t="s">
        <v>6891</v>
      </c>
      <c r="C2027" t="s">
        <v>6892</v>
      </c>
      <c r="D2027">
        <v>650</v>
      </c>
      <c r="F2027">
        <v>1001607.67</v>
      </c>
      <c r="H2027" t="s">
        <v>1336</v>
      </c>
      <c r="I2027" s="232" t="s">
        <v>6890</v>
      </c>
      <c r="J2027" s="232"/>
    </row>
    <row r="2028" spans="1:10" hidden="1">
      <c r="A2028" s="232">
        <v>44063</v>
      </c>
      <c r="B2028" t="s">
        <v>6893</v>
      </c>
      <c r="C2028" t="s">
        <v>6894</v>
      </c>
      <c r="D2028">
        <v>112</v>
      </c>
      <c r="F2028">
        <v>1001495.67</v>
      </c>
      <c r="H2028" t="s">
        <v>1336</v>
      </c>
      <c r="I2028" s="232" t="s">
        <v>6890</v>
      </c>
      <c r="J2028" s="232"/>
    </row>
    <row r="2029" spans="1:10" hidden="1">
      <c r="A2029" s="232">
        <v>44065</v>
      </c>
      <c r="B2029" t="s">
        <v>6895</v>
      </c>
      <c r="C2029" t="s">
        <v>6896</v>
      </c>
      <c r="D2029">
        <v>100</v>
      </c>
      <c r="F2029">
        <v>1001395.67</v>
      </c>
      <c r="H2029" t="s">
        <v>1336</v>
      </c>
      <c r="I2029" s="232" t="s">
        <v>6897</v>
      </c>
      <c r="J2029" s="232"/>
    </row>
    <row r="2030" spans="1:10" hidden="1">
      <c r="A2030" s="232">
        <v>44065</v>
      </c>
      <c r="B2030" t="s">
        <v>6898</v>
      </c>
      <c r="C2030" t="s">
        <v>6899</v>
      </c>
      <c r="D2030">
        <v>18800</v>
      </c>
      <c r="F2030">
        <v>982595.67</v>
      </c>
      <c r="H2030" t="s">
        <v>1336</v>
      </c>
      <c r="I2030" s="232" t="s">
        <v>6897</v>
      </c>
      <c r="J2030" s="232"/>
    </row>
    <row r="2031" spans="1:10" hidden="1">
      <c r="A2031" s="232">
        <v>44068</v>
      </c>
      <c r="B2031" t="s">
        <v>6900</v>
      </c>
      <c r="C2031" t="s">
        <v>6901</v>
      </c>
      <c r="D2031">
        <v>1328</v>
      </c>
      <c r="F2031">
        <v>981267.67</v>
      </c>
      <c r="H2031" t="s">
        <v>1336</v>
      </c>
      <c r="I2031" s="232" t="s">
        <v>6902</v>
      </c>
      <c r="J2031" s="232"/>
    </row>
    <row r="2032" spans="1:10" hidden="1">
      <c r="A2032" s="232">
        <v>44068</v>
      </c>
      <c r="B2032" t="s">
        <v>6903</v>
      </c>
      <c r="C2032" t="s">
        <v>6904</v>
      </c>
      <c r="D2032">
        <v>2300</v>
      </c>
      <c r="F2032">
        <v>978967.67</v>
      </c>
      <c r="H2032" t="s">
        <v>1336</v>
      </c>
      <c r="I2032" s="232" t="s">
        <v>6902</v>
      </c>
      <c r="J2032" s="232"/>
    </row>
    <row r="2033" spans="1:10" hidden="1">
      <c r="A2033" s="232">
        <v>44069</v>
      </c>
      <c r="B2033" t="s">
        <v>6905</v>
      </c>
      <c r="C2033" t="s">
        <v>6906</v>
      </c>
      <c r="D2033">
        <v>1830</v>
      </c>
      <c r="F2033">
        <v>977137.67</v>
      </c>
      <c r="H2033" t="s">
        <v>1336</v>
      </c>
      <c r="I2033" s="232" t="s">
        <v>6907</v>
      </c>
      <c r="J2033" s="232"/>
    </row>
    <row r="2034" spans="1:10" hidden="1">
      <c r="A2034" s="232">
        <v>44069</v>
      </c>
      <c r="B2034" t="s">
        <v>6908</v>
      </c>
      <c r="C2034" t="s">
        <v>6909</v>
      </c>
      <c r="D2034"/>
      <c r="E2034">
        <v>25000</v>
      </c>
      <c r="F2034">
        <v>1002137.67</v>
      </c>
      <c r="G2034" s="8" t="s">
        <v>1384</v>
      </c>
      <c r="H2034" t="s">
        <v>1336</v>
      </c>
      <c r="I2034" s="232" t="s">
        <v>6907</v>
      </c>
      <c r="J2034" s="232"/>
    </row>
    <row r="2035" spans="1:10" hidden="1">
      <c r="A2035" s="232">
        <v>44069</v>
      </c>
      <c r="B2035" t="s">
        <v>6910</v>
      </c>
      <c r="C2035" t="s">
        <v>6911</v>
      </c>
      <c r="D2035"/>
      <c r="E2035">
        <v>25000</v>
      </c>
      <c r="F2035">
        <v>1027137.67</v>
      </c>
      <c r="G2035" s="8" t="s">
        <v>1384</v>
      </c>
      <c r="H2035" t="s">
        <v>1336</v>
      </c>
      <c r="I2035" s="232" t="s">
        <v>6907</v>
      </c>
      <c r="J2035" s="232"/>
    </row>
    <row r="2036" spans="1:10" hidden="1">
      <c r="A2036" s="232">
        <v>44069</v>
      </c>
      <c r="B2036" t="s">
        <v>6912</v>
      </c>
      <c r="C2036" t="s">
        <v>6913</v>
      </c>
      <c r="D2036"/>
      <c r="E2036">
        <v>25000</v>
      </c>
      <c r="F2036">
        <v>1052137.67</v>
      </c>
      <c r="G2036" s="8" t="s">
        <v>1384</v>
      </c>
      <c r="H2036" t="s">
        <v>1336</v>
      </c>
      <c r="I2036" s="232" t="s">
        <v>6907</v>
      </c>
      <c r="J2036" s="232"/>
    </row>
    <row r="2037" spans="1:10" hidden="1">
      <c r="A2037" s="232">
        <v>44069</v>
      </c>
      <c r="B2037" t="s">
        <v>6914</v>
      </c>
      <c r="C2037" t="s">
        <v>6915</v>
      </c>
      <c r="D2037"/>
      <c r="E2037">
        <v>25000</v>
      </c>
      <c r="F2037">
        <v>1077137.67</v>
      </c>
      <c r="G2037" s="8" t="s">
        <v>1384</v>
      </c>
      <c r="H2037" t="s">
        <v>1336</v>
      </c>
      <c r="I2037" s="232" t="s">
        <v>6907</v>
      </c>
      <c r="J2037" s="232"/>
    </row>
    <row r="2038" spans="1:10" hidden="1">
      <c r="A2038" s="232">
        <v>44071</v>
      </c>
      <c r="B2038" t="s">
        <v>6916</v>
      </c>
      <c r="C2038" t="s">
        <v>6917</v>
      </c>
      <c r="D2038">
        <v>1235</v>
      </c>
      <c r="F2038">
        <v>1075902.67</v>
      </c>
      <c r="H2038" t="s">
        <v>1336</v>
      </c>
      <c r="I2038" s="232" t="s">
        <v>6918</v>
      </c>
      <c r="J2038" s="232"/>
    </row>
    <row r="2039" spans="1:10" hidden="1">
      <c r="A2039" s="232">
        <v>44072</v>
      </c>
      <c r="B2039" t="s">
        <v>6919</v>
      </c>
      <c r="C2039" t="s">
        <v>6920</v>
      </c>
      <c r="D2039">
        <v>230</v>
      </c>
      <c r="F2039">
        <v>1075672.67</v>
      </c>
      <c r="H2039" t="s">
        <v>1336</v>
      </c>
      <c r="I2039" s="232" t="s">
        <v>6921</v>
      </c>
      <c r="J2039" s="232"/>
    </row>
    <row r="2040" spans="1:10" hidden="1">
      <c r="A2040" s="232">
        <v>44072</v>
      </c>
      <c r="B2040" t="s">
        <v>6922</v>
      </c>
      <c r="C2040" t="s">
        <v>6923</v>
      </c>
      <c r="D2040">
        <v>410</v>
      </c>
      <c r="F2040">
        <v>1075262.67</v>
      </c>
      <c r="H2040" t="s">
        <v>1336</v>
      </c>
      <c r="I2040" s="232" t="s">
        <v>6921</v>
      </c>
      <c r="J2040" s="232"/>
    </row>
    <row r="2041" spans="1:10" hidden="1">
      <c r="A2041" s="232">
        <v>44073</v>
      </c>
      <c r="B2041" t="s">
        <v>6924</v>
      </c>
      <c r="C2041" t="s">
        <v>6925</v>
      </c>
      <c r="D2041">
        <v>1820.72</v>
      </c>
      <c r="F2041">
        <v>1073441.95</v>
      </c>
      <c r="H2041" t="s">
        <v>1336</v>
      </c>
      <c r="I2041" s="232" t="s">
        <v>6926</v>
      </c>
      <c r="J2041" s="232"/>
    </row>
    <row r="2042" spans="1:10" hidden="1">
      <c r="A2042" s="232">
        <v>44074</v>
      </c>
      <c r="B2042" t="s">
        <v>6927</v>
      </c>
      <c r="C2042" t="s">
        <v>6928</v>
      </c>
      <c r="D2042">
        <v>1500</v>
      </c>
      <c r="F2042">
        <v>1071941.95</v>
      </c>
      <c r="H2042" t="s">
        <v>1336</v>
      </c>
      <c r="I2042" s="232" t="s">
        <v>6929</v>
      </c>
      <c r="J2042" s="232"/>
    </row>
    <row r="2043" spans="1:10" hidden="1">
      <c r="A2043" s="232">
        <v>44076</v>
      </c>
      <c r="B2043" t="s">
        <v>6930</v>
      </c>
      <c r="C2043" t="s">
        <v>6931</v>
      </c>
      <c r="D2043">
        <v>2000</v>
      </c>
      <c r="F2043">
        <v>1069941.95</v>
      </c>
      <c r="H2043" t="s">
        <v>1336</v>
      </c>
      <c r="I2043" s="232" t="s">
        <v>6932</v>
      </c>
      <c r="J2043" s="232"/>
    </row>
    <row r="2044" spans="1:10" hidden="1">
      <c r="A2044" s="232">
        <v>44076</v>
      </c>
      <c r="B2044" t="s">
        <v>6933</v>
      </c>
      <c r="C2044" t="s">
        <v>6934</v>
      </c>
      <c r="D2044">
        <v>3500</v>
      </c>
      <c r="F2044">
        <v>1066441.95</v>
      </c>
      <c r="H2044" t="s">
        <v>1336</v>
      </c>
      <c r="I2044" s="232" t="s">
        <v>6932</v>
      </c>
      <c r="J2044" s="232"/>
    </row>
    <row r="2045" spans="1:10" hidden="1">
      <c r="A2045" s="232">
        <v>44076</v>
      </c>
      <c r="B2045" t="s">
        <v>6935</v>
      </c>
      <c r="C2045" t="s">
        <v>6936</v>
      </c>
      <c r="D2045">
        <v>1268.5</v>
      </c>
      <c r="F2045">
        <v>1065173.45</v>
      </c>
      <c r="H2045" t="s">
        <v>1336</v>
      </c>
      <c r="I2045" s="232" t="s">
        <v>6932</v>
      </c>
      <c r="J2045" s="232"/>
    </row>
    <row r="2046" spans="1:10" hidden="1">
      <c r="A2046" s="232">
        <v>44076</v>
      </c>
      <c r="B2046" t="s">
        <v>6937</v>
      </c>
      <c r="C2046" t="s">
        <v>6938</v>
      </c>
      <c r="D2046"/>
      <c r="E2046">
        <v>10</v>
      </c>
      <c r="F2046">
        <v>1065183.45</v>
      </c>
      <c r="H2046" t="s">
        <v>1336</v>
      </c>
      <c r="I2046" s="232" t="s">
        <v>6932</v>
      </c>
      <c r="J2046" s="232"/>
    </row>
    <row r="2047" spans="1:10" hidden="1">
      <c r="A2047" s="232">
        <v>44076</v>
      </c>
      <c r="B2047" t="s">
        <v>6939</v>
      </c>
      <c r="C2047" t="s">
        <v>6940</v>
      </c>
      <c r="D2047">
        <v>120</v>
      </c>
      <c r="F2047">
        <v>1065063.45</v>
      </c>
      <c r="H2047" t="s">
        <v>1336</v>
      </c>
      <c r="I2047" s="232" t="s">
        <v>6932</v>
      </c>
      <c r="J2047" s="232"/>
    </row>
    <row r="2048" spans="1:10" hidden="1">
      <c r="A2048" s="232">
        <v>44077</v>
      </c>
      <c r="B2048" t="s">
        <v>6941</v>
      </c>
      <c r="C2048" t="s">
        <v>6942</v>
      </c>
      <c r="D2048">
        <v>284</v>
      </c>
      <c r="F2048">
        <v>1064779.45</v>
      </c>
      <c r="H2048" t="s">
        <v>1336</v>
      </c>
      <c r="I2048" s="232" t="s">
        <v>6943</v>
      </c>
      <c r="J2048" s="232"/>
    </row>
    <row r="2049" spans="1:10" hidden="1">
      <c r="A2049" s="232">
        <v>44077</v>
      </c>
      <c r="B2049" t="s">
        <v>6944</v>
      </c>
      <c r="C2049" t="s">
        <v>6945</v>
      </c>
      <c r="D2049">
        <v>150</v>
      </c>
      <c r="F2049">
        <v>1064629.45</v>
      </c>
      <c r="H2049" t="s">
        <v>1336</v>
      </c>
      <c r="I2049" s="232" t="s">
        <v>6943</v>
      </c>
      <c r="J2049" s="232"/>
    </row>
    <row r="2050" spans="1:10" hidden="1">
      <c r="A2050" s="232">
        <v>44079</v>
      </c>
      <c r="B2050" t="s">
        <v>6946</v>
      </c>
      <c r="C2050" t="s">
        <v>6583</v>
      </c>
      <c r="D2050">
        <v>2798</v>
      </c>
      <c r="F2050">
        <v>1061831.45</v>
      </c>
      <c r="G2050" s="8" t="s">
        <v>1362</v>
      </c>
      <c r="H2050" t="s">
        <v>1336</v>
      </c>
      <c r="I2050" s="232" t="s">
        <v>6947</v>
      </c>
      <c r="J2050" s="232"/>
    </row>
    <row r="2051" spans="1:10" hidden="1">
      <c r="A2051" s="232">
        <v>44081</v>
      </c>
      <c r="B2051" t="s">
        <v>6948</v>
      </c>
      <c r="C2051" t="s">
        <v>6949</v>
      </c>
      <c r="D2051">
        <v>1916.98</v>
      </c>
      <c r="F2051">
        <v>1059914.47</v>
      </c>
      <c r="H2051" t="s">
        <v>1336</v>
      </c>
      <c r="I2051" s="232" t="s">
        <v>6950</v>
      </c>
      <c r="J2051" s="232"/>
    </row>
    <row r="2052" spans="1:10" hidden="1">
      <c r="A2052" s="232">
        <v>44081</v>
      </c>
      <c r="B2052" t="s">
        <v>6951</v>
      </c>
      <c r="C2052" t="s">
        <v>6952</v>
      </c>
      <c r="D2052">
        <v>399</v>
      </c>
      <c r="F2052">
        <v>1059515.47</v>
      </c>
      <c r="H2052" t="s">
        <v>1336</v>
      </c>
      <c r="I2052" s="232" t="s">
        <v>6950</v>
      </c>
      <c r="J2052" s="232"/>
    </row>
    <row r="2053" spans="1:10" hidden="1">
      <c r="A2053" s="232">
        <v>44083</v>
      </c>
      <c r="B2053" t="s">
        <v>6682</v>
      </c>
      <c r="C2053" t="s">
        <v>6953</v>
      </c>
      <c r="D2053">
        <v>15000</v>
      </c>
      <c r="F2053">
        <v>1044515.47</v>
      </c>
      <c r="G2053" s="8" t="s">
        <v>1379</v>
      </c>
      <c r="H2053" t="s">
        <v>1336</v>
      </c>
      <c r="I2053" s="232" t="s">
        <v>6954</v>
      </c>
      <c r="J2053" s="232"/>
    </row>
    <row r="2054" spans="1:10" hidden="1">
      <c r="A2054" s="232">
        <v>44083</v>
      </c>
      <c r="B2054" t="s">
        <v>6682</v>
      </c>
      <c r="C2054" t="s">
        <v>6955</v>
      </c>
      <c r="D2054">
        <v>10000</v>
      </c>
      <c r="F2054">
        <v>1034515.47</v>
      </c>
      <c r="G2054" s="8" t="s">
        <v>1379</v>
      </c>
      <c r="H2054" t="s">
        <v>1336</v>
      </c>
      <c r="I2054" s="232" t="s">
        <v>6954</v>
      </c>
      <c r="J2054" s="232"/>
    </row>
    <row r="2055" spans="1:10" hidden="1">
      <c r="A2055" s="232">
        <v>44084</v>
      </c>
      <c r="B2055" t="s">
        <v>6956</v>
      </c>
      <c r="C2055" t="s">
        <v>6957</v>
      </c>
      <c r="D2055">
        <v>448</v>
      </c>
      <c r="F2055">
        <v>1034067.47</v>
      </c>
      <c r="H2055" t="s">
        <v>1336</v>
      </c>
      <c r="I2055" s="232" t="s">
        <v>6958</v>
      </c>
      <c r="J2055" s="232"/>
    </row>
    <row r="2056" spans="1:10" hidden="1">
      <c r="A2056" s="232">
        <v>44084</v>
      </c>
      <c r="B2056" t="s">
        <v>6959</v>
      </c>
      <c r="C2056" t="s">
        <v>6960</v>
      </c>
      <c r="D2056">
        <v>1240</v>
      </c>
      <c r="F2056">
        <v>1032827.47</v>
      </c>
      <c r="H2056" t="s">
        <v>1336</v>
      </c>
      <c r="I2056" s="232" t="s">
        <v>6958</v>
      </c>
      <c r="J2056" s="232"/>
    </row>
    <row r="2057" spans="1:10" hidden="1">
      <c r="A2057" s="232">
        <v>44086</v>
      </c>
      <c r="B2057" t="s">
        <v>6961</v>
      </c>
      <c r="C2057" t="s">
        <v>6962</v>
      </c>
      <c r="D2057">
        <v>578</v>
      </c>
      <c r="F2057">
        <v>1032249.47</v>
      </c>
      <c r="H2057" t="s">
        <v>1336</v>
      </c>
      <c r="I2057" s="232" t="s">
        <v>6963</v>
      </c>
      <c r="J2057" s="232"/>
    </row>
    <row r="2058" spans="1:10" hidden="1">
      <c r="A2058" s="232">
        <v>44086</v>
      </c>
      <c r="B2058" t="s">
        <v>6964</v>
      </c>
      <c r="C2058" t="s">
        <v>6965</v>
      </c>
      <c r="D2058">
        <v>240</v>
      </c>
      <c r="F2058">
        <v>1032009.47</v>
      </c>
      <c r="H2058" t="s">
        <v>1336</v>
      </c>
      <c r="I2058" s="232" t="s">
        <v>6963</v>
      </c>
      <c r="J2058" s="232"/>
    </row>
    <row r="2059" spans="1:10" hidden="1">
      <c r="A2059" s="232">
        <v>44088</v>
      </c>
      <c r="B2059" t="s">
        <v>6966</v>
      </c>
      <c r="C2059" t="s">
        <v>6967</v>
      </c>
      <c r="D2059">
        <v>1500</v>
      </c>
      <c r="F2059">
        <v>1030509.47</v>
      </c>
      <c r="H2059" t="s">
        <v>1336</v>
      </c>
      <c r="I2059" s="232" t="s">
        <v>6968</v>
      </c>
      <c r="J2059" s="232"/>
    </row>
    <row r="2060" spans="1:10" hidden="1">
      <c r="A2060" s="232">
        <v>44088</v>
      </c>
      <c r="B2060" t="s">
        <v>6969</v>
      </c>
      <c r="C2060" t="s">
        <v>6970</v>
      </c>
      <c r="D2060"/>
      <c r="E2060">
        <v>10</v>
      </c>
      <c r="F2060">
        <v>1030519.47</v>
      </c>
      <c r="H2060" t="s">
        <v>1336</v>
      </c>
      <c r="I2060" s="232" t="s">
        <v>6968</v>
      </c>
      <c r="J2060" s="232"/>
    </row>
    <row r="2061" spans="1:10" hidden="1">
      <c r="A2061" s="232">
        <v>44091</v>
      </c>
      <c r="B2061" t="s">
        <v>6971</v>
      </c>
      <c r="C2061" t="s">
        <v>6972</v>
      </c>
      <c r="D2061">
        <v>546</v>
      </c>
      <c r="F2061">
        <v>1029973.47</v>
      </c>
      <c r="H2061" t="s">
        <v>1336</v>
      </c>
      <c r="I2061" s="232" t="s">
        <v>6973</v>
      </c>
      <c r="J2061" s="232"/>
    </row>
    <row r="2062" spans="1:10" hidden="1">
      <c r="A2062" s="232">
        <v>44092</v>
      </c>
      <c r="B2062" t="s">
        <v>6974</v>
      </c>
      <c r="C2062" t="s">
        <v>6975</v>
      </c>
      <c r="D2062">
        <v>1521.2</v>
      </c>
      <c r="F2062">
        <v>1028452.27</v>
      </c>
      <c r="H2062" t="s">
        <v>1336</v>
      </c>
      <c r="I2062" s="232" t="s">
        <v>6976</v>
      </c>
      <c r="J2062" s="232"/>
    </row>
    <row r="2063" spans="1:10" hidden="1">
      <c r="A2063" s="232">
        <v>44093</v>
      </c>
      <c r="B2063" t="s">
        <v>6977</v>
      </c>
      <c r="C2063" t="s">
        <v>6978</v>
      </c>
      <c r="D2063"/>
      <c r="E2063">
        <v>10</v>
      </c>
      <c r="F2063">
        <v>1028462.27</v>
      </c>
      <c r="H2063" t="s">
        <v>1336</v>
      </c>
      <c r="I2063" s="232" t="s">
        <v>6979</v>
      </c>
      <c r="J2063" s="232"/>
    </row>
    <row r="2064" spans="1:10" hidden="1">
      <c r="A2064" s="232">
        <v>44096</v>
      </c>
      <c r="B2064" t="s">
        <v>6980</v>
      </c>
      <c r="C2064" t="s">
        <v>6981</v>
      </c>
      <c r="D2064">
        <v>281</v>
      </c>
      <c r="F2064">
        <v>1028181.27</v>
      </c>
      <c r="H2064" t="s">
        <v>1336</v>
      </c>
      <c r="I2064" s="232" t="s">
        <v>6982</v>
      </c>
      <c r="J2064" s="232"/>
    </row>
    <row r="2065" spans="1:10" hidden="1">
      <c r="A2065" s="232">
        <v>44096</v>
      </c>
      <c r="B2065" t="s">
        <v>6983</v>
      </c>
      <c r="C2065" t="s">
        <v>6984</v>
      </c>
      <c r="D2065">
        <v>280</v>
      </c>
      <c r="F2065">
        <v>1027901.27</v>
      </c>
      <c r="H2065" t="s">
        <v>1336</v>
      </c>
      <c r="I2065" s="232" t="s">
        <v>6982</v>
      </c>
      <c r="J2065" s="232"/>
    </row>
    <row r="2066" spans="1:10" hidden="1">
      <c r="A2066" s="232">
        <v>44096</v>
      </c>
      <c r="B2066" t="s">
        <v>6985</v>
      </c>
      <c r="C2066" t="s">
        <v>6986</v>
      </c>
      <c r="D2066">
        <v>90</v>
      </c>
      <c r="F2066">
        <v>1027811.27</v>
      </c>
      <c r="H2066" t="s">
        <v>1336</v>
      </c>
      <c r="I2066" s="232" t="s">
        <v>6982</v>
      </c>
      <c r="J2066" s="232"/>
    </row>
    <row r="2067" spans="1:10" hidden="1">
      <c r="A2067" s="232">
        <v>44096</v>
      </c>
      <c r="B2067" t="s">
        <v>6987</v>
      </c>
      <c r="C2067" t="s">
        <v>6988</v>
      </c>
      <c r="D2067">
        <v>710</v>
      </c>
      <c r="F2067">
        <v>1027101.27</v>
      </c>
      <c r="H2067" t="s">
        <v>1336</v>
      </c>
      <c r="I2067" s="232" t="s">
        <v>6982</v>
      </c>
      <c r="J2067" s="232"/>
    </row>
    <row r="2068" spans="1:10" hidden="1">
      <c r="A2068" s="232">
        <v>44098</v>
      </c>
      <c r="B2068" t="s">
        <v>6989</v>
      </c>
      <c r="C2068" t="s">
        <v>6990</v>
      </c>
      <c r="D2068">
        <v>1920</v>
      </c>
      <c r="F2068">
        <v>1025181.27</v>
      </c>
      <c r="H2068" t="s">
        <v>1336</v>
      </c>
      <c r="I2068" s="232" t="s">
        <v>6991</v>
      </c>
      <c r="J2068" s="232"/>
    </row>
    <row r="2069" spans="1:10" hidden="1">
      <c r="A2069" s="232">
        <v>44099</v>
      </c>
      <c r="B2069" t="s">
        <v>6992</v>
      </c>
      <c r="C2069" t="s">
        <v>6993</v>
      </c>
      <c r="D2069"/>
      <c r="E2069">
        <v>25000</v>
      </c>
      <c r="F2069">
        <v>1050181.27</v>
      </c>
      <c r="G2069" s="8" t="s">
        <v>1384</v>
      </c>
      <c r="H2069" t="s">
        <v>1336</v>
      </c>
      <c r="I2069" s="232" t="s">
        <v>6994</v>
      </c>
      <c r="J2069" s="232"/>
    </row>
    <row r="2070" spans="1:10" hidden="1">
      <c r="A2070" s="232">
        <v>44099</v>
      </c>
      <c r="B2070" t="s">
        <v>6995</v>
      </c>
      <c r="C2070" t="s">
        <v>6996</v>
      </c>
      <c r="D2070"/>
      <c r="E2070">
        <v>25000</v>
      </c>
      <c r="F2070">
        <v>1075181.27</v>
      </c>
      <c r="G2070" s="8" t="s">
        <v>1384</v>
      </c>
      <c r="H2070" t="s">
        <v>1336</v>
      </c>
      <c r="I2070" s="232" t="s">
        <v>6994</v>
      </c>
      <c r="J2070" s="232"/>
    </row>
    <row r="2071" spans="1:10" hidden="1">
      <c r="A2071" s="232">
        <v>44099</v>
      </c>
      <c r="B2071" t="s">
        <v>6997</v>
      </c>
      <c r="C2071" t="s">
        <v>6998</v>
      </c>
      <c r="D2071"/>
      <c r="E2071">
        <v>25000</v>
      </c>
      <c r="F2071">
        <v>1100181.27</v>
      </c>
      <c r="G2071" s="8" t="s">
        <v>1384</v>
      </c>
      <c r="H2071" t="s">
        <v>1336</v>
      </c>
      <c r="I2071" s="232" t="s">
        <v>6994</v>
      </c>
      <c r="J2071" s="232"/>
    </row>
    <row r="2072" spans="1:10" hidden="1">
      <c r="A2072" s="232">
        <v>44099</v>
      </c>
      <c r="B2072" t="s">
        <v>6999</v>
      </c>
      <c r="C2072" t="s">
        <v>7000</v>
      </c>
      <c r="D2072"/>
      <c r="E2072">
        <v>25000</v>
      </c>
      <c r="F2072">
        <v>1125181.27</v>
      </c>
      <c r="G2072" s="8" t="s">
        <v>1384</v>
      </c>
      <c r="H2072" t="s">
        <v>1336</v>
      </c>
      <c r="I2072" s="232" t="s">
        <v>6994</v>
      </c>
      <c r="J2072" s="232"/>
    </row>
    <row r="2073" spans="1:10" hidden="1">
      <c r="A2073" s="232">
        <v>44100</v>
      </c>
      <c r="B2073" t="s">
        <v>7001</v>
      </c>
      <c r="C2073" t="s">
        <v>7002</v>
      </c>
      <c r="D2073">
        <v>592</v>
      </c>
      <c r="F2073">
        <v>1124589.27</v>
      </c>
      <c r="H2073" t="s">
        <v>1336</v>
      </c>
      <c r="I2073" s="232" t="s">
        <v>7003</v>
      </c>
      <c r="J2073" s="232"/>
    </row>
    <row r="2074" spans="1:10" hidden="1">
      <c r="A2074" s="232">
        <v>44100</v>
      </c>
      <c r="B2074" t="s">
        <v>7004</v>
      </c>
      <c r="C2074" t="s">
        <v>7005</v>
      </c>
      <c r="D2074">
        <v>755</v>
      </c>
      <c r="F2074">
        <v>1123834.27</v>
      </c>
      <c r="H2074" t="s">
        <v>1336</v>
      </c>
      <c r="I2074" s="232" t="s">
        <v>7003</v>
      </c>
      <c r="J2074" s="232"/>
    </row>
    <row r="2075" spans="1:10" hidden="1">
      <c r="A2075" s="232">
        <v>44103</v>
      </c>
      <c r="B2075" t="s">
        <v>7006</v>
      </c>
      <c r="C2075" t="s">
        <v>7007</v>
      </c>
      <c r="D2075">
        <v>200</v>
      </c>
      <c r="F2075">
        <v>1123634.27</v>
      </c>
      <c r="H2075" t="s">
        <v>1336</v>
      </c>
      <c r="I2075" s="232" t="s">
        <v>7008</v>
      </c>
      <c r="J2075" s="232"/>
    </row>
    <row r="2076" spans="1:10" hidden="1">
      <c r="A2076" s="232">
        <v>44103</v>
      </c>
      <c r="B2076" t="s">
        <v>7009</v>
      </c>
      <c r="C2076" t="s">
        <v>7010</v>
      </c>
      <c r="D2076">
        <v>529</v>
      </c>
      <c r="F2076">
        <v>1123105.27</v>
      </c>
      <c r="H2076" t="s">
        <v>1336</v>
      </c>
      <c r="I2076" s="232" t="s">
        <v>7008</v>
      </c>
      <c r="J2076" s="232"/>
    </row>
    <row r="2077" spans="1:10" hidden="1">
      <c r="A2077" s="232">
        <v>44103</v>
      </c>
      <c r="B2077" t="s">
        <v>7011</v>
      </c>
      <c r="C2077" t="s">
        <v>7012</v>
      </c>
      <c r="D2077">
        <v>142</v>
      </c>
      <c r="F2077">
        <v>1122963.27</v>
      </c>
      <c r="H2077" t="s">
        <v>1336</v>
      </c>
      <c r="I2077" s="232" t="s">
        <v>7008</v>
      </c>
      <c r="J2077" s="232"/>
    </row>
    <row r="2078" spans="1:10" hidden="1">
      <c r="A2078" s="232">
        <v>44104</v>
      </c>
      <c r="B2078" t="s">
        <v>7013</v>
      </c>
      <c r="C2078" t="s">
        <v>7014</v>
      </c>
      <c r="D2078">
        <v>130</v>
      </c>
      <c r="F2078">
        <v>1122833.27</v>
      </c>
      <c r="H2078" t="s">
        <v>1336</v>
      </c>
      <c r="I2078" s="232" t="s">
        <v>7015</v>
      </c>
      <c r="J2078" s="232"/>
    </row>
    <row r="2079" spans="1:10" hidden="1">
      <c r="A2079" s="232">
        <v>44105</v>
      </c>
      <c r="B2079" t="s">
        <v>6682</v>
      </c>
      <c r="C2079" t="s">
        <v>4256</v>
      </c>
      <c r="D2079"/>
      <c r="E2079">
        <v>7821</v>
      </c>
      <c r="F2079">
        <v>1130654.27</v>
      </c>
      <c r="G2079" s="8" t="s">
        <v>1368</v>
      </c>
      <c r="H2079" t="s">
        <v>1336</v>
      </c>
      <c r="I2079" s="232" t="s">
        <v>7016</v>
      </c>
      <c r="J2079" s="232"/>
    </row>
    <row r="2080" spans="1:10" hidden="1">
      <c r="A2080" s="232">
        <v>44105</v>
      </c>
      <c r="B2080" t="s">
        <v>7017</v>
      </c>
      <c r="C2080" t="s">
        <v>7018</v>
      </c>
      <c r="D2080">
        <v>5290</v>
      </c>
      <c r="F2080">
        <v>1125364.27</v>
      </c>
      <c r="H2080" t="s">
        <v>1336</v>
      </c>
      <c r="I2080" s="232" t="s">
        <v>7016</v>
      </c>
      <c r="J2080" s="232"/>
    </row>
    <row r="2081" spans="1:10" hidden="1">
      <c r="A2081" s="232">
        <v>44105</v>
      </c>
      <c r="B2081" t="s">
        <v>7019</v>
      </c>
      <c r="C2081" t="s">
        <v>7020</v>
      </c>
      <c r="D2081">
        <v>1029</v>
      </c>
      <c r="F2081">
        <v>1124335.27</v>
      </c>
      <c r="H2081" t="s">
        <v>1336</v>
      </c>
      <c r="I2081" s="232" t="s">
        <v>7016</v>
      </c>
      <c r="J2081" s="232"/>
    </row>
    <row r="2082" spans="1:10" hidden="1">
      <c r="A2082" s="232">
        <v>44105</v>
      </c>
      <c r="B2082" t="s">
        <v>7021</v>
      </c>
      <c r="C2082" t="s">
        <v>7022</v>
      </c>
      <c r="D2082">
        <v>1303.8800000000001</v>
      </c>
      <c r="F2082">
        <v>1123031.3899999999</v>
      </c>
      <c r="H2082" t="s">
        <v>1336</v>
      </c>
      <c r="I2082" s="232" t="s">
        <v>7016</v>
      </c>
      <c r="J2082" s="232"/>
    </row>
    <row r="2083" spans="1:10" hidden="1">
      <c r="A2083" s="232">
        <v>44106</v>
      </c>
      <c r="B2083" t="s">
        <v>7023</v>
      </c>
      <c r="C2083" t="s">
        <v>7024</v>
      </c>
      <c r="D2083">
        <v>2000</v>
      </c>
      <c r="F2083">
        <v>1121031.3899999999</v>
      </c>
      <c r="H2083" t="s">
        <v>1336</v>
      </c>
      <c r="I2083" s="232" t="s">
        <v>7025</v>
      </c>
      <c r="J2083" s="232"/>
    </row>
    <row r="2084" spans="1:10" hidden="1">
      <c r="A2084" s="232">
        <v>44106</v>
      </c>
      <c r="B2084" t="s">
        <v>7026</v>
      </c>
      <c r="C2084" t="s">
        <v>7027</v>
      </c>
      <c r="D2084">
        <v>3500</v>
      </c>
      <c r="F2084">
        <v>1117531.3899999999</v>
      </c>
      <c r="H2084" t="s">
        <v>1336</v>
      </c>
      <c r="I2084" s="232" t="s">
        <v>7025</v>
      </c>
      <c r="J2084" s="232"/>
    </row>
    <row r="2085" spans="1:10" hidden="1">
      <c r="A2085" s="232">
        <v>44107</v>
      </c>
      <c r="B2085" t="s">
        <v>7028</v>
      </c>
      <c r="C2085" t="s">
        <v>7029</v>
      </c>
      <c r="D2085">
        <v>140</v>
      </c>
      <c r="F2085">
        <v>1117391.3899999999</v>
      </c>
      <c r="H2085" t="s">
        <v>1336</v>
      </c>
      <c r="I2085" s="232" t="s">
        <v>7030</v>
      </c>
      <c r="J2085" s="232"/>
    </row>
    <row r="2086" spans="1:10" hidden="1">
      <c r="A2086" s="232">
        <v>44109</v>
      </c>
      <c r="B2086" t="s">
        <v>7031</v>
      </c>
      <c r="C2086" t="s">
        <v>7032</v>
      </c>
      <c r="D2086">
        <v>1268.5</v>
      </c>
      <c r="F2086">
        <v>1116122.8899999999</v>
      </c>
      <c r="H2086" t="s">
        <v>1336</v>
      </c>
      <c r="I2086" s="232" t="s">
        <v>7033</v>
      </c>
      <c r="J2086" s="232"/>
    </row>
    <row r="2087" spans="1:10" hidden="1">
      <c r="A2087" s="232">
        <v>44110</v>
      </c>
      <c r="B2087" t="s">
        <v>7034</v>
      </c>
      <c r="C2087" t="s">
        <v>6583</v>
      </c>
      <c r="D2087">
        <v>24291</v>
      </c>
      <c r="F2087">
        <v>1091831.8899999999</v>
      </c>
      <c r="G2087" s="8" t="s">
        <v>1362</v>
      </c>
      <c r="H2087" t="s">
        <v>1336</v>
      </c>
      <c r="I2087" s="232" t="s">
        <v>7035</v>
      </c>
      <c r="J2087" s="232"/>
    </row>
    <row r="2088" spans="1:10" hidden="1">
      <c r="A2088" s="232">
        <v>44110</v>
      </c>
      <c r="B2088" t="s">
        <v>7036</v>
      </c>
      <c r="C2088" t="s">
        <v>7037</v>
      </c>
      <c r="D2088">
        <v>7000</v>
      </c>
      <c r="F2088">
        <v>1084831.8899999999</v>
      </c>
      <c r="H2088" t="s">
        <v>1336</v>
      </c>
      <c r="I2088" s="232" t="s">
        <v>7035</v>
      </c>
      <c r="J2088" s="232"/>
    </row>
    <row r="2089" spans="1:10" hidden="1">
      <c r="A2089" s="232">
        <v>44110</v>
      </c>
      <c r="B2089" t="s">
        <v>7038</v>
      </c>
      <c r="C2089" t="s">
        <v>7039</v>
      </c>
      <c r="D2089">
        <v>780</v>
      </c>
      <c r="F2089">
        <v>1084051.8899999999</v>
      </c>
      <c r="H2089" t="s">
        <v>1336</v>
      </c>
      <c r="I2089" s="232" t="s">
        <v>7035</v>
      </c>
      <c r="J2089" s="232"/>
    </row>
    <row r="2090" spans="1:10" hidden="1">
      <c r="A2090" s="232">
        <v>44110</v>
      </c>
      <c r="B2090" t="s">
        <v>7040</v>
      </c>
      <c r="C2090" t="s">
        <v>7041</v>
      </c>
      <c r="D2090">
        <v>126</v>
      </c>
      <c r="F2090">
        <v>1083925.8899999999</v>
      </c>
      <c r="H2090" t="s">
        <v>1336</v>
      </c>
      <c r="I2090" s="232" t="s">
        <v>7035</v>
      </c>
      <c r="J2090" s="232"/>
    </row>
    <row r="2091" spans="1:10" hidden="1">
      <c r="A2091" s="232">
        <v>44111</v>
      </c>
      <c r="B2091" t="s">
        <v>7042</v>
      </c>
      <c r="C2091" t="s">
        <v>7043</v>
      </c>
      <c r="D2091">
        <v>397</v>
      </c>
      <c r="F2091">
        <v>1083528.8899999999</v>
      </c>
      <c r="H2091" t="s">
        <v>1336</v>
      </c>
      <c r="I2091" s="232" t="s">
        <v>7044</v>
      </c>
      <c r="J2091" s="232"/>
    </row>
    <row r="2092" spans="1:10" hidden="1">
      <c r="A2092" s="232">
        <v>44113</v>
      </c>
      <c r="B2092" t="s">
        <v>6682</v>
      </c>
      <c r="C2092" t="s">
        <v>7045</v>
      </c>
      <c r="D2092">
        <v>15000</v>
      </c>
      <c r="F2092">
        <v>1068528.8899999999</v>
      </c>
      <c r="G2092" s="8" t="s">
        <v>1379</v>
      </c>
      <c r="H2092" t="s">
        <v>1336</v>
      </c>
      <c r="I2092" s="232" t="s">
        <v>7046</v>
      </c>
      <c r="J2092" s="232"/>
    </row>
    <row r="2093" spans="1:10" hidden="1">
      <c r="A2093" s="232">
        <v>44113</v>
      </c>
      <c r="B2093" t="s">
        <v>6682</v>
      </c>
      <c r="C2093" t="s">
        <v>7047</v>
      </c>
      <c r="D2093">
        <v>10000</v>
      </c>
      <c r="F2093">
        <v>1058528.8899999999</v>
      </c>
      <c r="G2093" s="8" t="s">
        <v>1379</v>
      </c>
      <c r="H2093" t="s">
        <v>1336</v>
      </c>
      <c r="I2093" s="232" t="s">
        <v>7046</v>
      </c>
      <c r="J2093" s="232"/>
    </row>
    <row r="2094" spans="1:10" hidden="1">
      <c r="A2094" s="232">
        <v>44113</v>
      </c>
      <c r="B2094" t="s">
        <v>7048</v>
      </c>
      <c r="C2094" t="s">
        <v>7049</v>
      </c>
      <c r="D2094">
        <v>1047.5</v>
      </c>
      <c r="F2094">
        <v>1057481.3899999999</v>
      </c>
      <c r="H2094" t="s">
        <v>1336</v>
      </c>
      <c r="I2094" s="232" t="s">
        <v>7046</v>
      </c>
      <c r="J2094" s="232"/>
    </row>
    <row r="2095" spans="1:10" hidden="1">
      <c r="A2095" s="232">
        <v>44114</v>
      </c>
      <c r="B2095" t="s">
        <v>7050</v>
      </c>
      <c r="C2095" t="s">
        <v>7051</v>
      </c>
      <c r="D2095">
        <v>2600</v>
      </c>
      <c r="F2095">
        <v>1054881.3899999999</v>
      </c>
      <c r="H2095" t="s">
        <v>1336</v>
      </c>
      <c r="I2095" s="232" t="s">
        <v>7052</v>
      </c>
      <c r="J2095" s="232"/>
    </row>
    <row r="2096" spans="1:10" hidden="1">
      <c r="A2096" s="232">
        <v>44114</v>
      </c>
      <c r="B2096" t="s">
        <v>7053</v>
      </c>
      <c r="C2096" t="s">
        <v>7054</v>
      </c>
      <c r="D2096">
        <v>1669.86</v>
      </c>
      <c r="F2096">
        <v>1053211.53</v>
      </c>
      <c r="H2096" t="s">
        <v>1336</v>
      </c>
      <c r="I2096" s="232" t="s">
        <v>7052</v>
      </c>
      <c r="J2096" s="232"/>
    </row>
    <row r="2097" spans="1:10" hidden="1">
      <c r="A2097" s="232">
        <v>44119</v>
      </c>
      <c r="B2097" t="s">
        <v>7055</v>
      </c>
      <c r="C2097" t="s">
        <v>7056</v>
      </c>
      <c r="D2097">
        <v>600</v>
      </c>
      <c r="F2097">
        <v>1052611.53</v>
      </c>
      <c r="H2097" t="s">
        <v>1336</v>
      </c>
      <c r="I2097" s="232" t="s">
        <v>7057</v>
      </c>
      <c r="J2097" s="232"/>
    </row>
    <row r="2098" spans="1:10" hidden="1">
      <c r="A2098" s="232">
        <v>44119</v>
      </c>
      <c r="B2098" t="s">
        <v>7058</v>
      </c>
      <c r="C2098" t="s">
        <v>7059</v>
      </c>
      <c r="D2098">
        <v>1500</v>
      </c>
      <c r="F2098">
        <v>1051111.53</v>
      </c>
      <c r="H2098" t="s">
        <v>1336</v>
      </c>
      <c r="I2098" s="232" t="s">
        <v>7057</v>
      </c>
      <c r="J2098" s="232"/>
    </row>
    <row r="2099" spans="1:10" hidden="1">
      <c r="A2099" s="232">
        <v>44121</v>
      </c>
      <c r="B2099" t="s">
        <v>7060</v>
      </c>
      <c r="C2099" t="s">
        <v>7061</v>
      </c>
      <c r="D2099">
        <v>1246.23</v>
      </c>
      <c r="F2099">
        <v>1049865.3</v>
      </c>
      <c r="H2099" t="s">
        <v>1336</v>
      </c>
      <c r="I2099" s="232" t="s">
        <v>7062</v>
      </c>
      <c r="J2099" s="232"/>
    </row>
    <row r="2100" spans="1:10" hidden="1">
      <c r="A2100" s="232">
        <v>44121</v>
      </c>
      <c r="B2100" t="s">
        <v>7063</v>
      </c>
      <c r="C2100" t="s">
        <v>7064</v>
      </c>
      <c r="D2100">
        <v>915.68</v>
      </c>
      <c r="F2100">
        <v>1048949.6200000001</v>
      </c>
      <c r="H2100" t="s">
        <v>1336</v>
      </c>
      <c r="I2100" s="232" t="s">
        <v>7062</v>
      </c>
      <c r="J2100" s="232"/>
    </row>
    <row r="2101" spans="1:10" hidden="1">
      <c r="A2101" s="232">
        <v>44124</v>
      </c>
      <c r="B2101" t="s">
        <v>7065</v>
      </c>
      <c r="C2101" t="s">
        <v>7066</v>
      </c>
      <c r="D2101">
        <v>650</v>
      </c>
      <c r="F2101">
        <v>1048299.62</v>
      </c>
      <c r="H2101" t="s">
        <v>1336</v>
      </c>
      <c r="I2101" s="232" t="s">
        <v>7067</v>
      </c>
      <c r="J2101" s="232"/>
    </row>
    <row r="2102" spans="1:10" hidden="1">
      <c r="A2102" s="232">
        <v>44124</v>
      </c>
      <c r="B2102" t="s">
        <v>7068</v>
      </c>
      <c r="C2102" t="s">
        <v>7069</v>
      </c>
      <c r="D2102">
        <v>421</v>
      </c>
      <c r="F2102">
        <v>1047878.62</v>
      </c>
      <c r="H2102" t="s">
        <v>1336</v>
      </c>
      <c r="I2102" s="232" t="s">
        <v>7067</v>
      </c>
      <c r="J2102" s="232"/>
    </row>
    <row r="2103" spans="1:10" hidden="1">
      <c r="A2103" s="232">
        <v>44125</v>
      </c>
      <c r="B2103" t="s">
        <v>7070</v>
      </c>
      <c r="C2103" t="s">
        <v>7071</v>
      </c>
      <c r="D2103">
        <v>1380.19</v>
      </c>
      <c r="F2103">
        <v>1046498.43</v>
      </c>
      <c r="H2103" t="s">
        <v>1336</v>
      </c>
      <c r="I2103" s="232" t="s">
        <v>7072</v>
      </c>
      <c r="J2103" s="232"/>
    </row>
    <row r="2104" spans="1:10" hidden="1">
      <c r="A2104" s="232">
        <v>44126</v>
      </c>
      <c r="B2104" t="s">
        <v>7073</v>
      </c>
      <c r="C2104" t="s">
        <v>7074</v>
      </c>
      <c r="D2104">
        <v>368</v>
      </c>
      <c r="F2104">
        <v>1046130.43</v>
      </c>
      <c r="H2104" t="s">
        <v>1336</v>
      </c>
      <c r="I2104" s="232" t="s">
        <v>7075</v>
      </c>
      <c r="J2104" s="232"/>
    </row>
    <row r="2105" spans="1:10" hidden="1">
      <c r="A2105" s="232">
        <v>44127</v>
      </c>
      <c r="B2105" t="s">
        <v>7076</v>
      </c>
      <c r="C2105" t="s">
        <v>7077</v>
      </c>
      <c r="D2105">
        <v>368</v>
      </c>
      <c r="F2105">
        <v>1045762.43</v>
      </c>
      <c r="H2105" t="s">
        <v>1336</v>
      </c>
      <c r="I2105" s="232" t="s">
        <v>7078</v>
      </c>
      <c r="J2105" s="232"/>
    </row>
    <row r="2106" spans="1:10" hidden="1">
      <c r="A2106" s="232">
        <v>44127</v>
      </c>
      <c r="B2106" t="s">
        <v>7079</v>
      </c>
      <c r="C2106" t="s">
        <v>7080</v>
      </c>
      <c r="D2106">
        <v>591</v>
      </c>
      <c r="F2106">
        <v>1045171.43</v>
      </c>
      <c r="H2106" t="s">
        <v>1336</v>
      </c>
      <c r="I2106" s="232" t="s">
        <v>7078</v>
      </c>
      <c r="J2106" s="232"/>
    </row>
    <row r="2107" spans="1:10" hidden="1">
      <c r="A2107" s="232">
        <v>44131</v>
      </c>
      <c r="B2107" t="s">
        <v>7081</v>
      </c>
      <c r="C2107" t="s">
        <v>7082</v>
      </c>
      <c r="D2107"/>
      <c r="E2107">
        <v>25000</v>
      </c>
      <c r="F2107">
        <v>1070171.43</v>
      </c>
      <c r="G2107" s="8" t="s">
        <v>1384</v>
      </c>
      <c r="H2107" t="s">
        <v>1336</v>
      </c>
      <c r="I2107" s="232" t="s">
        <v>7083</v>
      </c>
      <c r="J2107" s="232"/>
    </row>
    <row r="2108" spans="1:10" hidden="1">
      <c r="A2108" s="232">
        <v>44131</v>
      </c>
      <c r="B2108" t="s">
        <v>7084</v>
      </c>
      <c r="C2108" t="s">
        <v>7082</v>
      </c>
      <c r="D2108"/>
      <c r="E2108">
        <v>25000</v>
      </c>
      <c r="F2108">
        <v>1095171.43</v>
      </c>
      <c r="G2108" s="8" t="s">
        <v>1384</v>
      </c>
      <c r="H2108" t="s">
        <v>1336</v>
      </c>
      <c r="I2108" s="232" t="s">
        <v>7083</v>
      </c>
      <c r="J2108" s="232"/>
    </row>
    <row r="2109" spans="1:10" hidden="1">
      <c r="A2109" s="232">
        <v>44131</v>
      </c>
      <c r="B2109" t="s">
        <v>7085</v>
      </c>
      <c r="C2109" t="s">
        <v>7082</v>
      </c>
      <c r="D2109"/>
      <c r="E2109">
        <v>25000</v>
      </c>
      <c r="F2109">
        <v>1120171.43</v>
      </c>
      <c r="G2109" s="8" t="s">
        <v>1384</v>
      </c>
      <c r="H2109" t="s">
        <v>1336</v>
      </c>
      <c r="I2109" s="232" t="s">
        <v>7083</v>
      </c>
      <c r="J2109" s="232"/>
    </row>
    <row r="2110" spans="1:10" hidden="1">
      <c r="A2110" s="232">
        <v>44132</v>
      </c>
      <c r="B2110" t="s">
        <v>7086</v>
      </c>
      <c r="C2110" t="s">
        <v>7087</v>
      </c>
      <c r="D2110">
        <v>2000</v>
      </c>
      <c r="F2110">
        <v>1118171.43</v>
      </c>
      <c r="H2110" t="s">
        <v>1336</v>
      </c>
      <c r="I2110" s="232" t="s">
        <v>7088</v>
      </c>
      <c r="J2110" s="232"/>
    </row>
    <row r="2111" spans="1:10" hidden="1">
      <c r="A2111" s="232">
        <v>44132</v>
      </c>
      <c r="B2111" t="s">
        <v>7089</v>
      </c>
      <c r="C2111" t="s">
        <v>7090</v>
      </c>
      <c r="D2111"/>
      <c r="E2111">
        <v>7</v>
      </c>
      <c r="F2111">
        <v>1118178.43</v>
      </c>
      <c r="H2111" t="s">
        <v>1336</v>
      </c>
      <c r="I2111" s="232" t="s">
        <v>7088</v>
      </c>
      <c r="J2111" s="232"/>
    </row>
    <row r="2112" spans="1:10" hidden="1">
      <c r="A2112" s="232">
        <v>44132</v>
      </c>
      <c r="B2112" t="s">
        <v>7091</v>
      </c>
      <c r="C2112" t="s">
        <v>7092</v>
      </c>
      <c r="D2112"/>
      <c r="E2112">
        <v>25000</v>
      </c>
      <c r="F2112">
        <v>1143178.43</v>
      </c>
      <c r="G2112" s="8" t="s">
        <v>1384</v>
      </c>
      <c r="H2112" t="s">
        <v>1336</v>
      </c>
      <c r="I2112" s="232" t="s">
        <v>7088</v>
      </c>
      <c r="J2112" s="232"/>
    </row>
    <row r="2113" spans="1:10" hidden="1">
      <c r="A2113" s="232">
        <v>44134</v>
      </c>
      <c r="B2113" t="s">
        <v>7093</v>
      </c>
      <c r="C2113" t="s">
        <v>7094</v>
      </c>
      <c r="D2113">
        <v>879.75</v>
      </c>
      <c r="F2113">
        <v>1142298.68</v>
      </c>
      <c r="H2113" t="s">
        <v>1336</v>
      </c>
      <c r="I2113" s="232" t="s">
        <v>7095</v>
      </c>
      <c r="J2113" s="232"/>
    </row>
    <row r="2114" spans="1:10" hidden="1">
      <c r="A2114" s="232">
        <v>44134</v>
      </c>
      <c r="B2114" t="s">
        <v>7096</v>
      </c>
      <c r="C2114" t="s">
        <v>7097</v>
      </c>
      <c r="D2114">
        <v>1225.3499999999999</v>
      </c>
      <c r="F2114">
        <v>1141073.33</v>
      </c>
      <c r="H2114" t="s">
        <v>1336</v>
      </c>
      <c r="I2114" s="232" t="s">
        <v>7095</v>
      </c>
      <c r="J2114" s="232"/>
    </row>
    <row r="2115" spans="1:10" hidden="1">
      <c r="A2115" s="232">
        <v>44134</v>
      </c>
      <c r="B2115" t="s">
        <v>7098</v>
      </c>
      <c r="C2115" t="s">
        <v>7099</v>
      </c>
      <c r="D2115"/>
      <c r="E2115">
        <v>6</v>
      </c>
      <c r="F2115">
        <v>1141079.33</v>
      </c>
      <c r="H2115" t="s">
        <v>1336</v>
      </c>
      <c r="I2115" s="232" t="s">
        <v>7095</v>
      </c>
      <c r="J2115" s="232"/>
    </row>
    <row r="2116" spans="1:10" hidden="1">
      <c r="A2116" s="232">
        <v>44137</v>
      </c>
      <c r="B2116" t="s">
        <v>7100</v>
      </c>
      <c r="C2116" t="s">
        <v>7101</v>
      </c>
      <c r="D2116">
        <v>2000</v>
      </c>
      <c r="F2116">
        <v>1139079.33</v>
      </c>
      <c r="H2116" t="s">
        <v>1336</v>
      </c>
      <c r="I2116" s="232" t="s">
        <v>7102</v>
      </c>
      <c r="J2116" s="232"/>
    </row>
    <row r="2117" spans="1:10" hidden="1">
      <c r="A2117" s="232">
        <v>44137</v>
      </c>
      <c r="B2117" t="s">
        <v>7103</v>
      </c>
      <c r="C2117" t="s">
        <v>7104</v>
      </c>
      <c r="D2117">
        <v>3500</v>
      </c>
      <c r="F2117">
        <v>1135579.33</v>
      </c>
      <c r="H2117" t="s">
        <v>1336</v>
      </c>
      <c r="I2117" s="232" t="s">
        <v>7102</v>
      </c>
      <c r="J2117" s="232"/>
    </row>
    <row r="2118" spans="1:10" hidden="1">
      <c r="A2118" s="232">
        <v>44137</v>
      </c>
      <c r="B2118" t="s">
        <v>7105</v>
      </c>
      <c r="C2118" t="s">
        <v>7106</v>
      </c>
      <c r="D2118">
        <v>1335.57</v>
      </c>
      <c r="F2118">
        <v>1134243.76</v>
      </c>
      <c r="H2118" t="s">
        <v>1336</v>
      </c>
      <c r="I2118" s="232" t="s">
        <v>7102</v>
      </c>
      <c r="J2118" s="232"/>
    </row>
    <row r="2119" spans="1:10" hidden="1">
      <c r="A2119" s="232">
        <v>44137</v>
      </c>
      <c r="B2119" t="s">
        <v>7107</v>
      </c>
      <c r="C2119" t="s">
        <v>7108</v>
      </c>
      <c r="D2119"/>
      <c r="E2119">
        <v>35</v>
      </c>
      <c r="F2119">
        <v>1134278.76</v>
      </c>
      <c r="H2119" t="s">
        <v>1336</v>
      </c>
      <c r="I2119" s="232" t="s">
        <v>7102</v>
      </c>
      <c r="J2119" s="232"/>
    </row>
    <row r="2120" spans="1:10" hidden="1">
      <c r="A2120" s="232">
        <v>44138</v>
      </c>
      <c r="B2120" t="s">
        <v>7109</v>
      </c>
      <c r="C2120" t="s">
        <v>7110</v>
      </c>
      <c r="D2120">
        <v>1268.5</v>
      </c>
      <c r="F2120">
        <v>1133010.26</v>
      </c>
      <c r="H2120" t="s">
        <v>1336</v>
      </c>
      <c r="I2120" s="232" t="s">
        <v>7111</v>
      </c>
      <c r="J2120" s="232"/>
    </row>
    <row r="2121" spans="1:10" hidden="1">
      <c r="A2121" s="232">
        <v>44139</v>
      </c>
      <c r="B2121" t="s">
        <v>7112</v>
      </c>
      <c r="C2121" t="s">
        <v>7113</v>
      </c>
      <c r="D2121">
        <v>2167</v>
      </c>
      <c r="F2121">
        <v>1130843.26</v>
      </c>
      <c r="H2121" t="s">
        <v>1336</v>
      </c>
      <c r="I2121" s="232" t="s">
        <v>7114</v>
      </c>
      <c r="J2121" s="232"/>
    </row>
    <row r="2122" spans="1:10" hidden="1">
      <c r="A2122" s="232">
        <v>44140</v>
      </c>
      <c r="B2122" t="s">
        <v>7115</v>
      </c>
      <c r="C2122" t="s">
        <v>6583</v>
      </c>
      <c r="D2122">
        <v>9827</v>
      </c>
      <c r="F2122">
        <v>1121016.26</v>
      </c>
      <c r="G2122" s="8" t="s">
        <v>1362</v>
      </c>
      <c r="H2122" t="s">
        <v>1336</v>
      </c>
      <c r="I2122" s="232" t="s">
        <v>7116</v>
      </c>
      <c r="J2122" s="232"/>
    </row>
    <row r="2123" spans="1:10" hidden="1">
      <c r="A2123" s="232">
        <v>44140</v>
      </c>
      <c r="B2123" t="s">
        <v>7117</v>
      </c>
      <c r="C2123" t="s">
        <v>7118</v>
      </c>
      <c r="D2123">
        <v>100</v>
      </c>
      <c r="F2123">
        <v>1120916.26</v>
      </c>
      <c r="H2123" t="s">
        <v>1336</v>
      </c>
      <c r="I2123" s="232" t="s">
        <v>7116</v>
      </c>
      <c r="J2123" s="232"/>
    </row>
    <row r="2124" spans="1:10" hidden="1">
      <c r="A2124" s="232">
        <v>44140</v>
      </c>
      <c r="B2124" t="s">
        <v>7119</v>
      </c>
      <c r="C2124" t="s">
        <v>7120</v>
      </c>
      <c r="D2124">
        <v>2100</v>
      </c>
      <c r="F2124">
        <v>1118816.26</v>
      </c>
      <c r="H2124" t="s">
        <v>1336</v>
      </c>
      <c r="I2124" s="232" t="s">
        <v>7116</v>
      </c>
      <c r="J2124" s="232"/>
    </row>
    <row r="2125" spans="1:10" hidden="1">
      <c r="A2125" s="232">
        <v>44141</v>
      </c>
      <c r="B2125" t="s">
        <v>7121</v>
      </c>
      <c r="C2125" t="s">
        <v>7122</v>
      </c>
      <c r="D2125">
        <v>732.5</v>
      </c>
      <c r="F2125">
        <v>1118083.76</v>
      </c>
      <c r="H2125" t="s">
        <v>1336</v>
      </c>
      <c r="I2125" s="232" t="s">
        <v>7123</v>
      </c>
      <c r="J2125" s="232"/>
    </row>
    <row r="2126" spans="1:10" hidden="1">
      <c r="A2126" s="232">
        <v>44141</v>
      </c>
      <c r="B2126" t="s">
        <v>7124</v>
      </c>
      <c r="C2126" t="s">
        <v>7125</v>
      </c>
      <c r="D2126">
        <v>450</v>
      </c>
      <c r="F2126">
        <v>1117633.76</v>
      </c>
      <c r="H2126" t="s">
        <v>1336</v>
      </c>
      <c r="I2126" s="232" t="s">
        <v>7123</v>
      </c>
      <c r="J2126" s="232"/>
    </row>
    <row r="2127" spans="1:10" hidden="1">
      <c r="A2127" s="232">
        <v>44143</v>
      </c>
      <c r="B2127" t="s">
        <v>7126</v>
      </c>
      <c r="C2127" t="s">
        <v>7127</v>
      </c>
      <c r="D2127">
        <v>592</v>
      </c>
      <c r="F2127">
        <v>1117041.76</v>
      </c>
      <c r="H2127" t="s">
        <v>1336</v>
      </c>
      <c r="I2127" s="232" t="s">
        <v>7128</v>
      </c>
      <c r="J2127" s="232"/>
    </row>
    <row r="2128" spans="1:10" hidden="1">
      <c r="A2128" s="232">
        <v>44143</v>
      </c>
      <c r="B2128" t="s">
        <v>7129</v>
      </c>
      <c r="C2128" t="s">
        <v>7130</v>
      </c>
      <c r="D2128">
        <v>1389.22</v>
      </c>
      <c r="F2128">
        <v>1115652.54</v>
      </c>
      <c r="H2128" t="s">
        <v>1336</v>
      </c>
      <c r="I2128" s="232" t="s">
        <v>7128</v>
      </c>
      <c r="J2128" s="232"/>
    </row>
    <row r="2129" spans="1:10" hidden="1">
      <c r="A2129" s="232">
        <v>44143</v>
      </c>
      <c r="B2129" t="s">
        <v>6682</v>
      </c>
      <c r="C2129" t="s">
        <v>7131</v>
      </c>
      <c r="D2129">
        <v>15000</v>
      </c>
      <c r="F2129">
        <v>1100652.54</v>
      </c>
      <c r="G2129" s="8" t="s">
        <v>1379</v>
      </c>
      <c r="H2129" t="s">
        <v>1336</v>
      </c>
      <c r="I2129" s="232" t="s">
        <v>7128</v>
      </c>
      <c r="J2129" s="232"/>
    </row>
    <row r="2130" spans="1:10" hidden="1">
      <c r="A2130" s="232">
        <v>44143</v>
      </c>
      <c r="B2130" t="s">
        <v>6682</v>
      </c>
      <c r="C2130" t="s">
        <v>7132</v>
      </c>
      <c r="D2130">
        <v>10000</v>
      </c>
      <c r="F2130">
        <v>1090652.54</v>
      </c>
      <c r="G2130" s="8" t="s">
        <v>1379</v>
      </c>
      <c r="H2130" t="s">
        <v>1336</v>
      </c>
      <c r="I2130" s="232" t="s">
        <v>7128</v>
      </c>
      <c r="J2130" s="232"/>
    </row>
    <row r="2131" spans="1:10" hidden="1">
      <c r="A2131" s="232">
        <v>44147</v>
      </c>
      <c r="B2131" t="s">
        <v>7133</v>
      </c>
      <c r="C2131" t="s">
        <v>7134</v>
      </c>
      <c r="D2131">
        <v>1200</v>
      </c>
      <c r="F2131">
        <v>1089452.54</v>
      </c>
      <c r="H2131" t="s">
        <v>1336</v>
      </c>
      <c r="I2131" s="232" t="s">
        <v>7135</v>
      </c>
      <c r="J2131" s="232"/>
    </row>
    <row r="2132" spans="1:10" hidden="1">
      <c r="A2132" s="232">
        <v>44150</v>
      </c>
      <c r="B2132" t="s">
        <v>7136</v>
      </c>
      <c r="C2132" t="s">
        <v>7137</v>
      </c>
      <c r="D2132">
        <v>5000</v>
      </c>
      <c r="F2132">
        <v>1084452.54</v>
      </c>
      <c r="H2132" t="s">
        <v>1336</v>
      </c>
      <c r="I2132" s="232" t="s">
        <v>7138</v>
      </c>
      <c r="J2132" s="232"/>
    </row>
    <row r="2133" spans="1:10" hidden="1">
      <c r="A2133" s="232">
        <v>44151</v>
      </c>
      <c r="B2133" t="s">
        <v>7139</v>
      </c>
      <c r="C2133" t="s">
        <v>7140</v>
      </c>
      <c r="D2133"/>
      <c r="E2133">
        <v>53999</v>
      </c>
      <c r="F2133">
        <v>1138451.54</v>
      </c>
      <c r="H2133" t="s">
        <v>1336</v>
      </c>
      <c r="I2133" s="232" t="s">
        <v>7141</v>
      </c>
      <c r="J2133" s="232"/>
    </row>
    <row r="2134" spans="1:10" hidden="1">
      <c r="A2134" s="232">
        <v>44151</v>
      </c>
      <c r="B2134" t="s">
        <v>7142</v>
      </c>
      <c r="C2134" t="s">
        <v>7143</v>
      </c>
      <c r="D2134">
        <v>160</v>
      </c>
      <c r="F2134">
        <v>1138291.54</v>
      </c>
      <c r="H2134" t="s">
        <v>1336</v>
      </c>
      <c r="I2134" s="232" t="s">
        <v>7141</v>
      </c>
      <c r="J2134" s="232"/>
    </row>
    <row r="2135" spans="1:10" hidden="1">
      <c r="A2135" s="232">
        <v>44154</v>
      </c>
      <c r="B2135" t="s">
        <v>7144</v>
      </c>
      <c r="C2135" t="s">
        <v>7145</v>
      </c>
      <c r="D2135">
        <v>536</v>
      </c>
      <c r="F2135">
        <v>1137755.54</v>
      </c>
      <c r="H2135" t="s">
        <v>1336</v>
      </c>
      <c r="I2135" s="232" t="s">
        <v>7146</v>
      </c>
      <c r="J2135" s="232"/>
    </row>
    <row r="2136" spans="1:10" hidden="1">
      <c r="A2136" s="232">
        <v>44154</v>
      </c>
      <c r="B2136" t="s">
        <v>7147</v>
      </c>
      <c r="C2136" t="s">
        <v>7148</v>
      </c>
      <c r="D2136">
        <v>420</v>
      </c>
      <c r="F2136">
        <v>1137335.54</v>
      </c>
      <c r="H2136" t="s">
        <v>1336</v>
      </c>
      <c r="I2136" s="232" t="s">
        <v>7146</v>
      </c>
      <c r="J2136" s="232"/>
    </row>
    <row r="2137" spans="1:10" hidden="1">
      <c r="A2137" s="232">
        <v>44154</v>
      </c>
      <c r="B2137" t="s">
        <v>7149</v>
      </c>
      <c r="C2137" t="s">
        <v>7150</v>
      </c>
      <c r="D2137">
        <v>1486</v>
      </c>
      <c r="F2137">
        <v>1135849.54</v>
      </c>
      <c r="H2137" t="s">
        <v>1336</v>
      </c>
      <c r="I2137" s="232" t="s">
        <v>7146</v>
      </c>
      <c r="J2137" s="232"/>
    </row>
    <row r="2138" spans="1:10" hidden="1">
      <c r="A2138" s="232">
        <v>44155</v>
      </c>
      <c r="B2138" t="s">
        <v>7151</v>
      </c>
      <c r="C2138" t="s">
        <v>7152</v>
      </c>
      <c r="D2138">
        <v>825</v>
      </c>
      <c r="F2138">
        <v>1135024.54</v>
      </c>
      <c r="H2138" t="s">
        <v>1336</v>
      </c>
      <c r="I2138" s="232" t="s">
        <v>7153</v>
      </c>
      <c r="J2138" s="232"/>
    </row>
    <row r="2139" spans="1:10" hidden="1">
      <c r="A2139" s="232">
        <v>44155</v>
      </c>
      <c r="B2139" t="s">
        <v>7154</v>
      </c>
      <c r="C2139" t="s">
        <v>7155</v>
      </c>
      <c r="D2139"/>
      <c r="E2139">
        <v>825</v>
      </c>
      <c r="F2139">
        <v>1135849.54</v>
      </c>
      <c r="H2139" t="s">
        <v>1336</v>
      </c>
      <c r="I2139" s="232" t="s">
        <v>7153</v>
      </c>
      <c r="J2139" s="232"/>
    </row>
    <row r="2140" spans="1:10" hidden="1">
      <c r="A2140" s="232">
        <v>44155</v>
      </c>
      <c r="B2140" t="s">
        <v>6682</v>
      </c>
      <c r="C2140" t="s">
        <v>7156</v>
      </c>
      <c r="D2140">
        <v>13900</v>
      </c>
      <c r="F2140">
        <v>1121949.54</v>
      </c>
      <c r="G2140" s="8" t="s">
        <v>1379</v>
      </c>
      <c r="H2140" t="s">
        <v>1336</v>
      </c>
      <c r="I2140" s="232" t="s">
        <v>7153</v>
      </c>
      <c r="J2140" s="232"/>
    </row>
    <row r="2141" spans="1:10" hidden="1">
      <c r="A2141" s="232">
        <v>44155</v>
      </c>
      <c r="B2141" t="s">
        <v>7157</v>
      </c>
      <c r="C2141" t="s">
        <v>7158</v>
      </c>
      <c r="D2141"/>
      <c r="E2141">
        <v>75</v>
      </c>
      <c r="F2141">
        <v>1122024.54</v>
      </c>
      <c r="H2141" t="s">
        <v>1336</v>
      </c>
      <c r="I2141" s="232" t="s">
        <v>7153</v>
      </c>
      <c r="J2141" s="232"/>
    </row>
    <row r="2142" spans="1:10" hidden="1">
      <c r="A2142" s="232">
        <v>44156</v>
      </c>
      <c r="B2142" t="s">
        <v>7159</v>
      </c>
      <c r="C2142" t="s">
        <v>7160</v>
      </c>
      <c r="D2142">
        <v>431</v>
      </c>
      <c r="F2142">
        <v>1121593.54</v>
      </c>
      <c r="H2142" t="s">
        <v>1336</v>
      </c>
      <c r="I2142" s="232" t="s">
        <v>7161</v>
      </c>
      <c r="J2142" s="232"/>
    </row>
    <row r="2143" spans="1:10" hidden="1">
      <c r="A2143" s="232">
        <v>44157</v>
      </c>
      <c r="B2143" t="s">
        <v>7162</v>
      </c>
      <c r="C2143" t="s">
        <v>7163</v>
      </c>
      <c r="D2143">
        <v>500</v>
      </c>
      <c r="F2143">
        <v>1121093.54</v>
      </c>
      <c r="H2143" t="s">
        <v>1336</v>
      </c>
      <c r="I2143" s="232" t="s">
        <v>7164</v>
      </c>
      <c r="J2143" s="232"/>
    </row>
    <row r="2144" spans="1:10" hidden="1">
      <c r="A2144" s="232">
        <v>44157</v>
      </c>
      <c r="B2144" t="s">
        <v>7165</v>
      </c>
      <c r="C2144" t="s">
        <v>7166</v>
      </c>
      <c r="D2144">
        <v>500</v>
      </c>
      <c r="F2144">
        <v>1120593.54</v>
      </c>
      <c r="H2144" t="s">
        <v>1336</v>
      </c>
      <c r="I2144" s="232" t="s">
        <v>7164</v>
      </c>
      <c r="J2144" s="232"/>
    </row>
    <row r="2145" spans="1:10" hidden="1">
      <c r="A2145" s="232">
        <v>44157</v>
      </c>
      <c r="B2145" t="s">
        <v>7167</v>
      </c>
      <c r="C2145" t="s">
        <v>7168</v>
      </c>
      <c r="D2145">
        <v>2205.8200000000002</v>
      </c>
      <c r="F2145">
        <v>1118387.72</v>
      </c>
      <c r="H2145" t="s">
        <v>1336</v>
      </c>
      <c r="I2145" s="232" t="s">
        <v>7164</v>
      </c>
      <c r="J2145" s="232"/>
    </row>
    <row r="2146" spans="1:10" hidden="1">
      <c r="A2146" s="232">
        <v>44160</v>
      </c>
      <c r="B2146" t="s">
        <v>7169</v>
      </c>
      <c r="C2146" t="s">
        <v>7170</v>
      </c>
      <c r="D2146">
        <v>1013</v>
      </c>
      <c r="F2146">
        <v>1117374.72</v>
      </c>
      <c r="H2146" t="s">
        <v>1336</v>
      </c>
      <c r="I2146" s="232" t="s">
        <v>7171</v>
      </c>
      <c r="J2146" s="232"/>
    </row>
    <row r="2147" spans="1:10" hidden="1">
      <c r="A2147" s="232">
        <v>44161</v>
      </c>
      <c r="B2147" t="s">
        <v>7172</v>
      </c>
      <c r="C2147" t="s">
        <v>7173</v>
      </c>
      <c r="D2147"/>
      <c r="E2147">
        <v>25000</v>
      </c>
      <c r="F2147">
        <v>1142374.72</v>
      </c>
      <c r="G2147" s="8" t="s">
        <v>1384</v>
      </c>
      <c r="H2147" t="s">
        <v>1336</v>
      </c>
      <c r="I2147" s="232" t="s">
        <v>7174</v>
      </c>
      <c r="J2147" s="232"/>
    </row>
    <row r="2148" spans="1:10" hidden="1">
      <c r="A2148" s="232">
        <v>44161</v>
      </c>
      <c r="B2148" t="s">
        <v>7175</v>
      </c>
      <c r="C2148" t="s">
        <v>7176</v>
      </c>
      <c r="D2148"/>
      <c r="E2148">
        <v>25000</v>
      </c>
      <c r="F2148">
        <v>1167374.72</v>
      </c>
      <c r="G2148" s="8" t="s">
        <v>1384</v>
      </c>
      <c r="H2148" t="s">
        <v>1336</v>
      </c>
      <c r="I2148" s="232" t="s">
        <v>7174</v>
      </c>
      <c r="J2148" s="232"/>
    </row>
    <row r="2149" spans="1:10" hidden="1">
      <c r="A2149" s="232">
        <v>44161</v>
      </c>
      <c r="B2149" t="s">
        <v>7177</v>
      </c>
      <c r="C2149" t="s">
        <v>7178</v>
      </c>
      <c r="D2149"/>
      <c r="E2149">
        <v>25000</v>
      </c>
      <c r="F2149">
        <v>1192374.72</v>
      </c>
      <c r="G2149" s="8" t="s">
        <v>1384</v>
      </c>
      <c r="H2149" t="s">
        <v>1336</v>
      </c>
      <c r="I2149" s="232" t="s">
        <v>7174</v>
      </c>
      <c r="J2149" s="232"/>
    </row>
    <row r="2150" spans="1:10" hidden="1">
      <c r="A2150" s="232">
        <v>44161</v>
      </c>
      <c r="B2150" t="s">
        <v>7179</v>
      </c>
      <c r="C2150" t="s">
        <v>7180</v>
      </c>
      <c r="D2150"/>
      <c r="E2150">
        <v>25000</v>
      </c>
      <c r="F2150">
        <v>1217374.72</v>
      </c>
      <c r="G2150" s="8" t="s">
        <v>1384</v>
      </c>
      <c r="H2150" t="s">
        <v>1336</v>
      </c>
      <c r="I2150" s="232" t="s">
        <v>7174</v>
      </c>
      <c r="J2150" s="232"/>
    </row>
    <row r="2151" spans="1:10" hidden="1">
      <c r="A2151" s="232">
        <v>44162</v>
      </c>
      <c r="B2151" t="s">
        <v>7181</v>
      </c>
      <c r="C2151" t="s">
        <v>7182</v>
      </c>
      <c r="D2151">
        <v>1000</v>
      </c>
      <c r="F2151">
        <v>1216374.72</v>
      </c>
      <c r="H2151" t="s">
        <v>1336</v>
      </c>
      <c r="I2151" s="232" t="s">
        <v>7183</v>
      </c>
      <c r="J2151" s="232"/>
    </row>
    <row r="2152" spans="1:10" hidden="1">
      <c r="A2152" s="232">
        <v>44163</v>
      </c>
      <c r="B2152" t="s">
        <v>7184</v>
      </c>
      <c r="C2152" t="s">
        <v>7185</v>
      </c>
      <c r="D2152">
        <v>1165.8900000000001</v>
      </c>
      <c r="F2152">
        <v>1215208.83</v>
      </c>
      <c r="H2152" t="s">
        <v>1336</v>
      </c>
      <c r="I2152" s="232" t="s">
        <v>7186</v>
      </c>
      <c r="J2152" s="232"/>
    </row>
    <row r="2153" spans="1:10" hidden="1">
      <c r="A2153" s="232">
        <v>44167</v>
      </c>
      <c r="B2153" t="s">
        <v>7187</v>
      </c>
      <c r="C2153" t="s">
        <v>7188</v>
      </c>
      <c r="D2153">
        <v>139</v>
      </c>
      <c r="F2153">
        <v>1215069.83</v>
      </c>
      <c r="H2153" t="s">
        <v>1336</v>
      </c>
      <c r="I2153" s="232" t="s">
        <v>7189</v>
      </c>
      <c r="J2153" s="232"/>
    </row>
    <row r="2154" spans="1:10" hidden="1">
      <c r="A2154" s="232">
        <v>44167</v>
      </c>
      <c r="B2154" t="s">
        <v>7190</v>
      </c>
      <c r="C2154" t="s">
        <v>7191</v>
      </c>
      <c r="D2154">
        <v>2000</v>
      </c>
      <c r="F2154">
        <v>1213069.83</v>
      </c>
      <c r="H2154" t="s">
        <v>1336</v>
      </c>
      <c r="I2154" s="232" t="s">
        <v>7189</v>
      </c>
      <c r="J2154" s="232"/>
    </row>
    <row r="2155" spans="1:10" hidden="1">
      <c r="A2155" s="232">
        <v>44167</v>
      </c>
      <c r="B2155" t="s">
        <v>7192</v>
      </c>
      <c r="C2155" t="s">
        <v>7193</v>
      </c>
      <c r="D2155">
        <v>3500</v>
      </c>
      <c r="F2155">
        <v>1209569.83</v>
      </c>
      <c r="H2155" t="s">
        <v>1336</v>
      </c>
      <c r="I2155" s="232" t="s">
        <v>7189</v>
      </c>
      <c r="J2155" s="232"/>
    </row>
    <row r="2156" spans="1:10" hidden="1">
      <c r="A2156" s="232">
        <v>44167</v>
      </c>
      <c r="B2156" t="s">
        <v>7194</v>
      </c>
      <c r="C2156" t="s">
        <v>7195</v>
      </c>
      <c r="D2156">
        <v>1268.5</v>
      </c>
      <c r="F2156">
        <v>1208301.33</v>
      </c>
      <c r="H2156" t="s">
        <v>1336</v>
      </c>
      <c r="I2156" s="232" t="s">
        <v>7189</v>
      </c>
      <c r="J2156" s="232"/>
    </row>
    <row r="2157" spans="1:10" hidden="1">
      <c r="A2157" s="232">
        <v>44167</v>
      </c>
      <c r="B2157" t="s">
        <v>7196</v>
      </c>
      <c r="C2157" t="s">
        <v>7197</v>
      </c>
      <c r="D2157">
        <v>1415</v>
      </c>
      <c r="F2157">
        <v>1206886.33</v>
      </c>
      <c r="H2157" t="s">
        <v>1336</v>
      </c>
      <c r="I2157" s="232" t="s">
        <v>7189</v>
      </c>
      <c r="J2157" s="232"/>
    </row>
    <row r="2158" spans="1:10" hidden="1">
      <c r="A2158" s="232">
        <v>44167</v>
      </c>
      <c r="B2158" t="s">
        <v>7198</v>
      </c>
      <c r="C2158" t="s">
        <v>7199</v>
      </c>
      <c r="D2158">
        <v>1513.5</v>
      </c>
      <c r="F2158">
        <v>1205372.83</v>
      </c>
      <c r="H2158" t="s">
        <v>1336</v>
      </c>
      <c r="I2158" s="232" t="s">
        <v>7189</v>
      </c>
      <c r="J2158" s="232"/>
    </row>
    <row r="2159" spans="1:10" hidden="1">
      <c r="A2159" s="232">
        <v>44169</v>
      </c>
      <c r="B2159" t="s">
        <v>7200</v>
      </c>
      <c r="C2159" t="s">
        <v>7201</v>
      </c>
      <c r="D2159">
        <v>757.5</v>
      </c>
      <c r="F2159">
        <v>1204615.33</v>
      </c>
      <c r="H2159" t="s">
        <v>1336</v>
      </c>
      <c r="I2159" s="232" t="s">
        <v>7202</v>
      </c>
      <c r="J2159" s="232"/>
    </row>
    <row r="2160" spans="1:10" hidden="1">
      <c r="A2160" s="232">
        <v>44171</v>
      </c>
      <c r="B2160" t="s">
        <v>7203</v>
      </c>
      <c r="C2160" t="s">
        <v>6583</v>
      </c>
      <c r="D2160">
        <v>44600</v>
      </c>
      <c r="F2160">
        <v>1160015.33</v>
      </c>
      <c r="G2160" s="8" t="s">
        <v>1362</v>
      </c>
      <c r="H2160" t="s">
        <v>1336</v>
      </c>
      <c r="I2160" s="232" t="s">
        <v>7204</v>
      </c>
      <c r="J2160" s="232"/>
    </row>
    <row r="2161" spans="1:10" hidden="1">
      <c r="A2161" s="232">
        <v>44171</v>
      </c>
      <c r="B2161" t="s">
        <v>7205</v>
      </c>
      <c r="C2161" t="s">
        <v>7206</v>
      </c>
      <c r="D2161">
        <v>1200</v>
      </c>
      <c r="F2161">
        <v>1158815.33</v>
      </c>
      <c r="H2161" t="s">
        <v>1336</v>
      </c>
      <c r="I2161" s="232" t="s">
        <v>7204</v>
      </c>
      <c r="J2161" s="232"/>
    </row>
    <row r="2162" spans="1:10" hidden="1">
      <c r="A2162" s="232">
        <v>44171</v>
      </c>
      <c r="B2162" t="s">
        <v>7207</v>
      </c>
      <c r="C2162" t="s">
        <v>7208</v>
      </c>
      <c r="D2162">
        <v>448</v>
      </c>
      <c r="F2162">
        <v>1158367.33</v>
      </c>
      <c r="H2162" t="s">
        <v>1336</v>
      </c>
      <c r="I2162" s="232" t="s">
        <v>7204</v>
      </c>
      <c r="J2162" s="232"/>
    </row>
    <row r="2163" spans="1:10" hidden="1">
      <c r="A2163" s="232">
        <v>44172</v>
      </c>
      <c r="B2163" t="s">
        <v>7209</v>
      </c>
      <c r="C2163" t="s">
        <v>7210</v>
      </c>
      <c r="D2163">
        <v>282</v>
      </c>
      <c r="F2163">
        <v>1158085.33</v>
      </c>
      <c r="H2163" t="s">
        <v>1336</v>
      </c>
      <c r="I2163" s="232" t="s">
        <v>7211</v>
      </c>
      <c r="J2163" s="232"/>
    </row>
    <row r="2164" spans="1:10" hidden="1">
      <c r="A2164" s="232">
        <v>44174</v>
      </c>
      <c r="B2164" t="s">
        <v>6682</v>
      </c>
      <c r="C2164" t="s">
        <v>7212</v>
      </c>
      <c r="D2164">
        <v>15000</v>
      </c>
      <c r="F2164">
        <v>1143085.33</v>
      </c>
      <c r="G2164" s="8" t="s">
        <v>1379</v>
      </c>
      <c r="H2164" t="s">
        <v>1336</v>
      </c>
      <c r="I2164" s="232" t="s">
        <v>7213</v>
      </c>
      <c r="J2164" s="232"/>
    </row>
    <row r="2165" spans="1:10" hidden="1">
      <c r="A2165" s="232">
        <v>44174</v>
      </c>
      <c r="B2165" t="s">
        <v>6682</v>
      </c>
      <c r="C2165" t="s">
        <v>7214</v>
      </c>
      <c r="D2165">
        <v>10000</v>
      </c>
      <c r="F2165">
        <v>1133085.33</v>
      </c>
      <c r="G2165" s="8" t="s">
        <v>1379</v>
      </c>
      <c r="H2165" t="s">
        <v>1336</v>
      </c>
      <c r="I2165" s="232" t="s">
        <v>7213</v>
      </c>
      <c r="J2165" s="232"/>
    </row>
    <row r="2166" spans="1:10" hidden="1">
      <c r="A2166" s="232">
        <v>44174</v>
      </c>
      <c r="B2166" t="s">
        <v>7215</v>
      </c>
      <c r="C2166" t="s">
        <v>7216</v>
      </c>
      <c r="D2166">
        <v>20</v>
      </c>
      <c r="F2166">
        <v>1133065.33</v>
      </c>
      <c r="H2166" t="s">
        <v>1336</v>
      </c>
      <c r="I2166" s="232" t="s">
        <v>7213</v>
      </c>
      <c r="J2166" s="232"/>
    </row>
    <row r="2167" spans="1:10" hidden="1">
      <c r="A2167" s="232">
        <v>44176</v>
      </c>
      <c r="B2167" t="s">
        <v>7217</v>
      </c>
      <c r="C2167" t="s">
        <v>7218</v>
      </c>
      <c r="D2167">
        <v>2222.48</v>
      </c>
      <c r="F2167">
        <v>1130842.8500000001</v>
      </c>
      <c r="H2167" t="s">
        <v>1336</v>
      </c>
      <c r="I2167" s="232" t="s">
        <v>7219</v>
      </c>
      <c r="J2167" s="232"/>
    </row>
    <row r="2168" spans="1:10" hidden="1">
      <c r="A2168" s="232">
        <v>44180</v>
      </c>
      <c r="B2168" t="s">
        <v>7220</v>
      </c>
      <c r="C2168" t="s">
        <v>7221</v>
      </c>
      <c r="D2168">
        <v>15000</v>
      </c>
      <c r="F2168">
        <v>1115842.8500000001</v>
      </c>
      <c r="H2168" t="s">
        <v>1336</v>
      </c>
      <c r="I2168" s="232" t="s">
        <v>7222</v>
      </c>
      <c r="J2168" s="232"/>
    </row>
    <row r="2169" spans="1:10" hidden="1">
      <c r="A2169" s="232">
        <v>44180</v>
      </c>
      <c r="B2169" t="s">
        <v>7223</v>
      </c>
      <c r="C2169" t="s">
        <v>7224</v>
      </c>
      <c r="D2169"/>
      <c r="E2169">
        <v>15000</v>
      </c>
      <c r="F2169">
        <v>1130842.8500000001</v>
      </c>
      <c r="H2169" t="s">
        <v>1336</v>
      </c>
      <c r="I2169" s="232" t="s">
        <v>7222</v>
      </c>
      <c r="J2169" s="232"/>
    </row>
    <row r="2170" spans="1:10" hidden="1">
      <c r="A2170" s="232">
        <v>44181</v>
      </c>
      <c r="B2170" t="s">
        <v>7225</v>
      </c>
      <c r="C2170" t="s">
        <v>7226</v>
      </c>
      <c r="D2170">
        <v>1573.35</v>
      </c>
      <c r="F2170">
        <v>1129269.5</v>
      </c>
      <c r="H2170" t="s">
        <v>1336</v>
      </c>
      <c r="I2170" s="232" t="s">
        <v>7227</v>
      </c>
      <c r="J2170" s="232"/>
    </row>
    <row r="2171" spans="1:10" hidden="1">
      <c r="A2171" s="232">
        <v>44181</v>
      </c>
      <c r="B2171" t="s">
        <v>7228</v>
      </c>
      <c r="C2171" t="s">
        <v>7229</v>
      </c>
      <c r="D2171">
        <v>590</v>
      </c>
      <c r="F2171">
        <v>1128679.5</v>
      </c>
      <c r="H2171" t="s">
        <v>1336</v>
      </c>
      <c r="I2171" s="232" t="s">
        <v>7227</v>
      </c>
      <c r="J2171" s="232"/>
    </row>
    <row r="2172" spans="1:10" hidden="1">
      <c r="A2172" s="232">
        <v>44182</v>
      </c>
      <c r="B2172" t="s">
        <v>7230</v>
      </c>
      <c r="C2172" t="s">
        <v>7231</v>
      </c>
      <c r="D2172">
        <v>377</v>
      </c>
      <c r="F2172">
        <v>1128302.5</v>
      </c>
      <c r="H2172" t="s">
        <v>1336</v>
      </c>
      <c r="I2172" s="232" t="s">
        <v>7232</v>
      </c>
      <c r="J2172" s="232"/>
    </row>
    <row r="2173" spans="1:10" hidden="1">
      <c r="A2173" s="232">
        <v>44182</v>
      </c>
      <c r="B2173" t="s">
        <v>7233</v>
      </c>
      <c r="C2173" t="s">
        <v>7234</v>
      </c>
      <c r="D2173">
        <v>135</v>
      </c>
      <c r="F2173">
        <v>1128167.5</v>
      </c>
      <c r="H2173" t="s">
        <v>1336</v>
      </c>
      <c r="I2173" s="232" t="s">
        <v>7232</v>
      </c>
      <c r="J2173" s="232"/>
    </row>
    <row r="2174" spans="1:10" hidden="1">
      <c r="A2174" s="232">
        <v>44182</v>
      </c>
      <c r="B2174" t="s">
        <v>7235</v>
      </c>
      <c r="C2174" t="s">
        <v>7236</v>
      </c>
      <c r="D2174">
        <v>443</v>
      </c>
      <c r="F2174">
        <v>1127724.5</v>
      </c>
      <c r="H2174" t="s">
        <v>1336</v>
      </c>
      <c r="I2174" s="232" t="s">
        <v>7232</v>
      </c>
      <c r="J2174" s="232"/>
    </row>
    <row r="2175" spans="1:10" hidden="1">
      <c r="A2175" s="232">
        <v>44182</v>
      </c>
      <c r="B2175" t="s">
        <v>7237</v>
      </c>
      <c r="C2175" t="s">
        <v>7238</v>
      </c>
      <c r="D2175">
        <v>1206</v>
      </c>
      <c r="F2175">
        <v>1126518.5</v>
      </c>
      <c r="H2175" t="s">
        <v>1336</v>
      </c>
      <c r="I2175" s="232" t="s">
        <v>7232</v>
      </c>
      <c r="J2175" s="232"/>
    </row>
    <row r="2176" spans="1:10" hidden="1">
      <c r="A2176" s="232">
        <v>44183</v>
      </c>
      <c r="B2176" t="s">
        <v>7239</v>
      </c>
      <c r="C2176" t="s">
        <v>7240</v>
      </c>
      <c r="D2176">
        <v>510</v>
      </c>
      <c r="F2176">
        <v>1126008.5</v>
      </c>
      <c r="H2176" t="s">
        <v>1336</v>
      </c>
      <c r="I2176" s="232" t="s">
        <v>7241</v>
      </c>
      <c r="J2176" s="232"/>
    </row>
    <row r="2177" spans="1:10" hidden="1">
      <c r="A2177" s="232">
        <v>44183</v>
      </c>
      <c r="B2177" t="s">
        <v>7242</v>
      </c>
      <c r="C2177" t="s">
        <v>7243</v>
      </c>
      <c r="D2177">
        <v>2797</v>
      </c>
      <c r="F2177">
        <v>1123211.5</v>
      </c>
      <c r="H2177" t="s">
        <v>1336</v>
      </c>
      <c r="I2177" s="232" t="s">
        <v>7241</v>
      </c>
      <c r="J2177" s="232"/>
    </row>
    <row r="2178" spans="1:10" hidden="1">
      <c r="A2178" s="232">
        <v>44185</v>
      </c>
      <c r="B2178" t="s">
        <v>7244</v>
      </c>
      <c r="C2178" t="s">
        <v>7245</v>
      </c>
      <c r="D2178">
        <v>734</v>
      </c>
      <c r="F2178">
        <v>1122477.5</v>
      </c>
      <c r="H2178" t="s">
        <v>1336</v>
      </c>
      <c r="I2178" s="232" t="s">
        <v>7246</v>
      </c>
      <c r="J2178" s="232"/>
    </row>
    <row r="2179" spans="1:10" hidden="1">
      <c r="A2179" s="232">
        <v>44186</v>
      </c>
      <c r="B2179" t="s">
        <v>6682</v>
      </c>
      <c r="C2179" t="s">
        <v>7247</v>
      </c>
      <c r="D2179">
        <v>13900</v>
      </c>
      <c r="F2179">
        <v>1108577.5</v>
      </c>
      <c r="G2179" s="8" t="s">
        <v>1379</v>
      </c>
      <c r="H2179" t="s">
        <v>1336</v>
      </c>
      <c r="I2179" s="232" t="s">
        <v>7248</v>
      </c>
      <c r="J2179" s="232"/>
    </row>
    <row r="2180" spans="1:10" hidden="1">
      <c r="A2180" s="232">
        <v>44186</v>
      </c>
      <c r="B2180" t="s">
        <v>7249</v>
      </c>
      <c r="C2180" t="s">
        <v>7250</v>
      </c>
      <c r="D2180">
        <v>90</v>
      </c>
      <c r="F2180">
        <v>1108487.5</v>
      </c>
      <c r="H2180" t="s">
        <v>1336</v>
      </c>
      <c r="I2180" s="232" t="s">
        <v>7248</v>
      </c>
      <c r="J2180" s="232"/>
    </row>
    <row r="2181" spans="1:10" hidden="1">
      <c r="A2181" s="232">
        <v>44186</v>
      </c>
      <c r="B2181" t="s">
        <v>7251</v>
      </c>
      <c r="C2181" t="s">
        <v>7252</v>
      </c>
      <c r="D2181"/>
      <c r="E2181">
        <v>270</v>
      </c>
      <c r="F2181">
        <v>1108757.5</v>
      </c>
      <c r="H2181" t="s">
        <v>1336</v>
      </c>
      <c r="I2181" s="232" t="s">
        <v>7248</v>
      </c>
      <c r="J2181" s="232"/>
    </row>
    <row r="2182" spans="1:10" hidden="1">
      <c r="A2182" s="232">
        <v>44186</v>
      </c>
      <c r="B2182" t="s">
        <v>7253</v>
      </c>
      <c r="C2182" t="s">
        <v>7254</v>
      </c>
      <c r="D2182"/>
      <c r="E2182">
        <v>270</v>
      </c>
      <c r="F2182">
        <v>1109027.5</v>
      </c>
      <c r="H2182" t="s">
        <v>1336</v>
      </c>
      <c r="I2182" s="232" t="s">
        <v>7248</v>
      </c>
      <c r="J2182" s="232"/>
    </row>
    <row r="2183" spans="1:10" hidden="1">
      <c r="A2183" s="232">
        <v>44186</v>
      </c>
      <c r="B2183" t="s">
        <v>7255</v>
      </c>
      <c r="C2183" t="s">
        <v>7256</v>
      </c>
      <c r="D2183">
        <v>540</v>
      </c>
      <c r="F2183">
        <v>1108487.5</v>
      </c>
      <c r="H2183" t="s">
        <v>1336</v>
      </c>
      <c r="I2183" s="232" t="s">
        <v>7248</v>
      </c>
      <c r="J2183" s="232"/>
    </row>
    <row r="2184" spans="1:10" hidden="1">
      <c r="A2184" s="232">
        <v>44186</v>
      </c>
      <c r="B2184" t="s">
        <v>7257</v>
      </c>
      <c r="C2184" t="s">
        <v>7258</v>
      </c>
      <c r="D2184"/>
      <c r="E2184">
        <v>90</v>
      </c>
      <c r="F2184">
        <v>1108577.5</v>
      </c>
      <c r="H2184" t="s">
        <v>1336</v>
      </c>
      <c r="I2184" s="232" t="s">
        <v>7248</v>
      </c>
      <c r="J2184" s="232"/>
    </row>
    <row r="2185" spans="1:10" hidden="1">
      <c r="A2185" s="232">
        <v>44187</v>
      </c>
      <c r="B2185" t="s">
        <v>7259</v>
      </c>
      <c r="C2185" t="s">
        <v>7260</v>
      </c>
      <c r="D2185">
        <v>1475.54</v>
      </c>
      <c r="F2185">
        <v>1107101.96</v>
      </c>
      <c r="H2185" t="s">
        <v>1336</v>
      </c>
      <c r="I2185" s="232" t="s">
        <v>7261</v>
      </c>
      <c r="J2185" s="232"/>
    </row>
    <row r="2186" spans="1:10" hidden="1">
      <c r="A2186" s="232">
        <v>44188</v>
      </c>
      <c r="B2186" t="s">
        <v>7262</v>
      </c>
      <c r="C2186" t="s">
        <v>7263</v>
      </c>
      <c r="D2186"/>
      <c r="E2186">
        <v>230</v>
      </c>
      <c r="F2186">
        <v>1107331.96</v>
      </c>
      <c r="H2186" t="s">
        <v>1336</v>
      </c>
      <c r="I2186" s="232" t="s">
        <v>7264</v>
      </c>
      <c r="J2186" s="232"/>
    </row>
    <row r="2187" spans="1:10" hidden="1">
      <c r="A2187" s="232">
        <v>44188</v>
      </c>
      <c r="B2187" t="s">
        <v>7265</v>
      </c>
      <c r="C2187" t="s">
        <v>7266</v>
      </c>
      <c r="D2187"/>
      <c r="E2187">
        <v>230</v>
      </c>
      <c r="F2187">
        <v>1107561.96</v>
      </c>
      <c r="H2187" t="s">
        <v>1336</v>
      </c>
      <c r="I2187" s="232" t="s">
        <v>7264</v>
      </c>
      <c r="J2187" s="232"/>
    </row>
    <row r="2188" spans="1:10" hidden="1">
      <c r="A2188" s="232">
        <v>44189</v>
      </c>
      <c r="B2188" t="s">
        <v>7267</v>
      </c>
      <c r="C2188" t="s">
        <v>7268</v>
      </c>
      <c r="D2188">
        <v>792</v>
      </c>
      <c r="F2188">
        <v>1106769.96</v>
      </c>
      <c r="H2188" t="s">
        <v>1336</v>
      </c>
      <c r="I2188" s="232" t="s">
        <v>7269</v>
      </c>
      <c r="J2188" s="232"/>
    </row>
    <row r="2189" spans="1:10" hidden="1">
      <c r="A2189" s="232">
        <v>44189</v>
      </c>
      <c r="B2189" t="s">
        <v>7270</v>
      </c>
      <c r="C2189" t="s">
        <v>7271</v>
      </c>
      <c r="D2189">
        <v>2883.5</v>
      </c>
      <c r="F2189">
        <v>1103886.46</v>
      </c>
      <c r="H2189" t="s">
        <v>1336</v>
      </c>
      <c r="I2189" s="232" t="s">
        <v>7269</v>
      </c>
      <c r="J2189" s="232"/>
    </row>
    <row r="2190" spans="1:10" hidden="1">
      <c r="A2190" s="232">
        <v>44189</v>
      </c>
      <c r="B2190" t="s">
        <v>7272</v>
      </c>
      <c r="C2190" t="s">
        <v>7273</v>
      </c>
      <c r="D2190">
        <v>80</v>
      </c>
      <c r="F2190">
        <v>1103806.46</v>
      </c>
      <c r="H2190" t="s">
        <v>1336</v>
      </c>
      <c r="I2190" s="232" t="s">
        <v>7269</v>
      </c>
      <c r="J2190" s="232"/>
    </row>
    <row r="2191" spans="1:10" hidden="1">
      <c r="A2191" s="232">
        <v>44189</v>
      </c>
      <c r="B2191" t="s">
        <v>7274</v>
      </c>
      <c r="C2191" t="s">
        <v>7275</v>
      </c>
      <c r="D2191"/>
      <c r="E2191">
        <v>25000</v>
      </c>
      <c r="F2191">
        <v>1128806.46</v>
      </c>
      <c r="G2191" s="8" t="s">
        <v>1384</v>
      </c>
      <c r="H2191" t="s">
        <v>1336</v>
      </c>
      <c r="I2191" s="232" t="s">
        <v>7269</v>
      </c>
      <c r="J2191" s="232"/>
    </row>
    <row r="2192" spans="1:10" hidden="1">
      <c r="A2192" s="232">
        <v>44189</v>
      </c>
      <c r="B2192" t="s">
        <v>7276</v>
      </c>
      <c r="C2192" t="s">
        <v>7277</v>
      </c>
      <c r="D2192"/>
      <c r="E2192">
        <v>25000</v>
      </c>
      <c r="F2192">
        <v>1153806.46</v>
      </c>
      <c r="G2192" s="8" t="s">
        <v>1384</v>
      </c>
      <c r="H2192" t="s">
        <v>1336</v>
      </c>
      <c r="I2192" s="232" t="s">
        <v>7269</v>
      </c>
      <c r="J2192" s="232"/>
    </row>
    <row r="2193" spans="1:10" hidden="1">
      <c r="A2193" s="232">
        <v>44189</v>
      </c>
      <c r="B2193" t="s">
        <v>7278</v>
      </c>
      <c r="C2193" t="s">
        <v>7279</v>
      </c>
      <c r="D2193"/>
      <c r="E2193">
        <v>25000</v>
      </c>
      <c r="F2193">
        <v>1178806.46</v>
      </c>
      <c r="G2193" s="8" t="s">
        <v>1384</v>
      </c>
      <c r="H2193" t="s">
        <v>1336</v>
      </c>
      <c r="I2193" s="232" t="s">
        <v>7269</v>
      </c>
      <c r="J2193" s="232"/>
    </row>
    <row r="2194" spans="1:10" hidden="1">
      <c r="A2194" s="232">
        <v>44189</v>
      </c>
      <c r="B2194" t="s">
        <v>7280</v>
      </c>
      <c r="C2194" t="s">
        <v>7281</v>
      </c>
      <c r="D2194"/>
      <c r="E2194">
        <v>25000</v>
      </c>
      <c r="F2194">
        <v>1203806.46</v>
      </c>
      <c r="G2194" s="8" t="s">
        <v>1384</v>
      </c>
      <c r="H2194" t="s">
        <v>1336</v>
      </c>
      <c r="I2194" s="232" t="s">
        <v>7269</v>
      </c>
      <c r="J2194" s="232"/>
    </row>
    <row r="2195" spans="1:10" hidden="1">
      <c r="A2195" s="232">
        <v>44190</v>
      </c>
      <c r="B2195" t="s">
        <v>7282</v>
      </c>
      <c r="C2195" t="s">
        <v>7283</v>
      </c>
      <c r="D2195">
        <v>147</v>
      </c>
      <c r="F2195">
        <v>1203659.46</v>
      </c>
      <c r="H2195" t="s">
        <v>1336</v>
      </c>
      <c r="I2195" s="232" t="s">
        <v>7284</v>
      </c>
      <c r="J2195" s="232"/>
    </row>
    <row r="2196" spans="1:10" hidden="1">
      <c r="A2196" s="232">
        <v>44191</v>
      </c>
      <c r="B2196" t="s">
        <v>7285</v>
      </c>
      <c r="C2196" t="s">
        <v>7286</v>
      </c>
      <c r="D2196">
        <v>603</v>
      </c>
      <c r="F2196">
        <v>1203056.46</v>
      </c>
      <c r="H2196" t="s">
        <v>1336</v>
      </c>
      <c r="I2196" s="232" t="s">
        <v>7287</v>
      </c>
      <c r="J2196" s="232"/>
    </row>
    <row r="2197" spans="1:10" hidden="1">
      <c r="A2197" s="232">
        <v>44191</v>
      </c>
      <c r="B2197" t="s">
        <v>7288</v>
      </c>
      <c r="C2197" t="s">
        <v>7289</v>
      </c>
      <c r="D2197">
        <v>855</v>
      </c>
      <c r="F2197">
        <v>1202201.46</v>
      </c>
      <c r="H2197" t="s">
        <v>1336</v>
      </c>
      <c r="I2197" s="232" t="s">
        <v>7287</v>
      </c>
      <c r="J2197" s="232"/>
    </row>
    <row r="2198" spans="1:10" hidden="1">
      <c r="A2198" s="232">
        <v>44191</v>
      </c>
      <c r="B2198" t="s">
        <v>7290</v>
      </c>
      <c r="C2198" t="s">
        <v>7291</v>
      </c>
      <c r="D2198">
        <v>1038</v>
      </c>
      <c r="F2198">
        <v>1201163.46</v>
      </c>
      <c r="H2198" t="s">
        <v>1336</v>
      </c>
      <c r="I2198" s="232" t="s">
        <v>7287</v>
      </c>
      <c r="J2198" s="232"/>
    </row>
    <row r="2199" spans="1:10" hidden="1">
      <c r="A2199" s="232">
        <v>44191</v>
      </c>
      <c r="B2199" t="s">
        <v>7292</v>
      </c>
      <c r="C2199" t="s">
        <v>7293</v>
      </c>
      <c r="D2199">
        <v>975</v>
      </c>
      <c r="F2199">
        <v>1200188.46</v>
      </c>
      <c r="H2199" t="s">
        <v>1336</v>
      </c>
      <c r="I2199" s="232" t="s">
        <v>7287</v>
      </c>
      <c r="J2199" s="232"/>
    </row>
    <row r="2200" spans="1:10" hidden="1">
      <c r="A2200" s="232">
        <v>44192</v>
      </c>
      <c r="B2200" t="s">
        <v>7294</v>
      </c>
      <c r="C2200" t="s">
        <v>7295</v>
      </c>
      <c r="D2200">
        <v>1000</v>
      </c>
      <c r="F2200">
        <v>1199188.46</v>
      </c>
      <c r="H2200" t="s">
        <v>1336</v>
      </c>
      <c r="I2200" s="232" t="s">
        <v>7296</v>
      </c>
      <c r="J2200" s="232"/>
    </row>
    <row r="2201" spans="1:10" hidden="1">
      <c r="A2201" s="232">
        <v>44193</v>
      </c>
      <c r="B2201" t="s">
        <v>7297</v>
      </c>
      <c r="C2201" t="s">
        <v>7298</v>
      </c>
      <c r="D2201">
        <v>630</v>
      </c>
      <c r="F2201">
        <v>1198558.46</v>
      </c>
      <c r="H2201" t="s">
        <v>1336</v>
      </c>
      <c r="I2201" s="232" t="s">
        <v>7299</v>
      </c>
      <c r="J2201" s="232"/>
    </row>
    <row r="2202" spans="1:10" hidden="1">
      <c r="A2202" s="232">
        <v>44193</v>
      </c>
      <c r="B2202" t="s">
        <v>7300</v>
      </c>
      <c r="C2202" t="s">
        <v>7301</v>
      </c>
      <c r="D2202">
        <v>1080</v>
      </c>
      <c r="F2202">
        <v>1197478.46</v>
      </c>
      <c r="H2202" t="s">
        <v>1336</v>
      </c>
      <c r="I2202" s="232" t="s">
        <v>7299</v>
      </c>
      <c r="J2202" s="232"/>
    </row>
    <row r="2203" spans="1:10" hidden="1">
      <c r="A2203" s="232">
        <v>44193</v>
      </c>
      <c r="B2203" t="s">
        <v>7302</v>
      </c>
      <c r="C2203" t="s">
        <v>7303</v>
      </c>
      <c r="D2203">
        <v>1625</v>
      </c>
      <c r="F2203">
        <v>1195853.46</v>
      </c>
      <c r="H2203" t="s">
        <v>1336</v>
      </c>
      <c r="I2203" s="232" t="s">
        <v>7299</v>
      </c>
      <c r="J2203" s="232"/>
    </row>
    <row r="2204" spans="1:10" hidden="1">
      <c r="A2204" s="232">
        <v>44193</v>
      </c>
      <c r="B2204" t="s">
        <v>7304</v>
      </c>
      <c r="C2204" t="s">
        <v>7305</v>
      </c>
      <c r="D2204">
        <v>982.67</v>
      </c>
      <c r="F2204">
        <v>1194870.79</v>
      </c>
      <c r="H2204" t="s">
        <v>1336</v>
      </c>
      <c r="I2204" s="232" t="s">
        <v>7299</v>
      </c>
      <c r="J2204" s="232"/>
    </row>
    <row r="2205" spans="1:10" hidden="1">
      <c r="A2205" s="232">
        <v>44193</v>
      </c>
      <c r="B2205" t="s">
        <v>7306</v>
      </c>
      <c r="C2205" t="s">
        <v>7307</v>
      </c>
      <c r="D2205"/>
      <c r="E2205">
        <v>9</v>
      </c>
      <c r="F2205">
        <v>1194879.79</v>
      </c>
      <c r="H2205" t="s">
        <v>1336</v>
      </c>
      <c r="I2205" s="232" t="s">
        <v>7299</v>
      </c>
      <c r="J2205" s="232"/>
    </row>
    <row r="2206" spans="1:10" hidden="1">
      <c r="A2206" s="232">
        <v>44194</v>
      </c>
      <c r="B2206" t="s">
        <v>7308</v>
      </c>
      <c r="C2206" t="s">
        <v>7309</v>
      </c>
      <c r="D2206">
        <v>409</v>
      </c>
      <c r="F2206">
        <v>1194470.79</v>
      </c>
      <c r="H2206" t="s">
        <v>1336</v>
      </c>
      <c r="I2206" s="232" t="s">
        <v>7310</v>
      </c>
      <c r="J2206" s="232"/>
    </row>
    <row r="2207" spans="1:10" hidden="1">
      <c r="A2207" s="232">
        <v>44195</v>
      </c>
      <c r="B2207" t="s">
        <v>7311</v>
      </c>
      <c r="C2207" t="s">
        <v>7312</v>
      </c>
      <c r="D2207">
        <v>423</v>
      </c>
      <c r="F2207">
        <v>1194047.79</v>
      </c>
      <c r="H2207" t="s">
        <v>1336</v>
      </c>
      <c r="I2207" s="232" t="s">
        <v>7313</v>
      </c>
      <c r="J2207" s="232"/>
    </row>
    <row r="2208" spans="1:10" hidden="1">
      <c r="A2208" s="232">
        <v>44196</v>
      </c>
      <c r="B2208" t="s">
        <v>7314</v>
      </c>
      <c r="C2208" t="s">
        <v>7315</v>
      </c>
      <c r="D2208">
        <v>970</v>
      </c>
      <c r="F2208">
        <v>1193077.79</v>
      </c>
      <c r="H2208" t="s">
        <v>1336</v>
      </c>
      <c r="I2208" s="232" t="s">
        <v>7316</v>
      </c>
      <c r="J2208" s="232"/>
    </row>
    <row r="2209" spans="1:10" hidden="1">
      <c r="A2209" s="232">
        <v>44196</v>
      </c>
      <c r="B2209" t="s">
        <v>7317</v>
      </c>
      <c r="C2209" t="s">
        <v>7318</v>
      </c>
      <c r="D2209">
        <v>205</v>
      </c>
      <c r="F2209">
        <v>1192872.79</v>
      </c>
      <c r="H2209" t="s">
        <v>1336</v>
      </c>
      <c r="I2209" s="232" t="s">
        <v>7316</v>
      </c>
      <c r="J2209" s="232"/>
    </row>
    <row r="2210" spans="1:10" hidden="1">
      <c r="A2210" s="232">
        <v>44197</v>
      </c>
      <c r="B2210" t="s">
        <v>6682</v>
      </c>
      <c r="C2210" t="s">
        <v>4256</v>
      </c>
      <c r="D2210"/>
      <c r="E2210">
        <v>8465</v>
      </c>
      <c r="F2210">
        <v>1201337.79</v>
      </c>
      <c r="G2210" s="8" t="s">
        <v>1368</v>
      </c>
      <c r="H2210" t="s">
        <v>1336</v>
      </c>
      <c r="I2210" s="232" t="s">
        <v>7319</v>
      </c>
      <c r="J2210" s="232"/>
    </row>
    <row r="2211" spans="1:10" hidden="1">
      <c r="A2211" s="232">
        <v>44197</v>
      </c>
      <c r="B2211" t="s">
        <v>7320</v>
      </c>
      <c r="C2211" t="s">
        <v>7321</v>
      </c>
      <c r="D2211">
        <v>1500</v>
      </c>
      <c r="F2211">
        <v>1199837.79</v>
      </c>
      <c r="H2211" t="s">
        <v>1336</v>
      </c>
      <c r="I2211" s="232" t="s">
        <v>7319</v>
      </c>
      <c r="J2211" s="232"/>
    </row>
    <row r="2212" spans="1:10" hidden="1">
      <c r="A2212" s="232">
        <v>44197</v>
      </c>
      <c r="B2212" t="s">
        <v>7322</v>
      </c>
      <c r="C2212" t="s">
        <v>7323</v>
      </c>
      <c r="D2212">
        <v>433</v>
      </c>
      <c r="F2212">
        <v>1199404.79</v>
      </c>
      <c r="H2212" t="s">
        <v>1336</v>
      </c>
      <c r="I2212" s="232" t="s">
        <v>7319</v>
      </c>
      <c r="J2212" s="232"/>
    </row>
    <row r="2213" spans="1:10" hidden="1">
      <c r="A2213" s="232">
        <v>44198</v>
      </c>
      <c r="B2213" t="s">
        <v>7324</v>
      </c>
      <c r="C2213" t="s">
        <v>7325</v>
      </c>
      <c r="D2213">
        <v>343</v>
      </c>
      <c r="F2213">
        <v>1199061.79</v>
      </c>
      <c r="H2213" t="s">
        <v>1336</v>
      </c>
      <c r="I2213" s="232" t="s">
        <v>7326</v>
      </c>
      <c r="J2213" s="232"/>
    </row>
    <row r="2214" spans="1:10" hidden="1">
      <c r="A2214" s="232">
        <v>44199</v>
      </c>
      <c r="B2214" t="s">
        <v>7327</v>
      </c>
      <c r="C2214" t="s">
        <v>7328</v>
      </c>
      <c r="D2214">
        <v>3500</v>
      </c>
      <c r="F2214">
        <v>1195561.79</v>
      </c>
      <c r="H2214" t="s">
        <v>1336</v>
      </c>
      <c r="I2214" s="232" t="s">
        <v>7329</v>
      </c>
      <c r="J2214" s="232"/>
    </row>
    <row r="2215" spans="1:10" hidden="1">
      <c r="A2215" s="232">
        <v>44199</v>
      </c>
      <c r="B2215" t="s">
        <v>7330</v>
      </c>
      <c r="C2215" t="s">
        <v>7331</v>
      </c>
      <c r="D2215">
        <v>2000</v>
      </c>
      <c r="F2215">
        <v>1193561.79</v>
      </c>
      <c r="H2215" t="s">
        <v>1336</v>
      </c>
      <c r="I2215" s="232" t="s">
        <v>7329</v>
      </c>
      <c r="J2215" s="232"/>
    </row>
    <row r="2216" spans="1:10" hidden="1">
      <c r="A2216" s="232">
        <v>44200</v>
      </c>
      <c r="B2216" t="s">
        <v>7332</v>
      </c>
      <c r="C2216" t="s">
        <v>7333</v>
      </c>
      <c r="D2216"/>
      <c r="E2216">
        <v>230</v>
      </c>
      <c r="F2216">
        <v>1193791.79</v>
      </c>
      <c r="H2216" t="s">
        <v>1336</v>
      </c>
      <c r="I2216" s="232" t="s">
        <v>7334</v>
      </c>
      <c r="J2216" s="232"/>
    </row>
    <row r="2217" spans="1:10" hidden="1">
      <c r="A2217" s="232">
        <v>44201</v>
      </c>
      <c r="B2217" t="s">
        <v>7335</v>
      </c>
      <c r="C2217" t="s">
        <v>7336</v>
      </c>
      <c r="D2217">
        <v>1190</v>
      </c>
      <c r="F2217">
        <v>1192601.79</v>
      </c>
      <c r="H2217" t="s">
        <v>1336</v>
      </c>
      <c r="I2217" s="232" t="s">
        <v>7337</v>
      </c>
      <c r="J2217" s="232"/>
    </row>
    <row r="2218" spans="1:10" hidden="1">
      <c r="A2218" s="232">
        <v>44201</v>
      </c>
      <c r="B2218" t="s">
        <v>7338</v>
      </c>
      <c r="C2218" t="s">
        <v>7339</v>
      </c>
      <c r="D2218">
        <v>231</v>
      </c>
      <c r="F2218">
        <v>1192370.79</v>
      </c>
      <c r="H2218" t="s">
        <v>1336</v>
      </c>
      <c r="I2218" s="232" t="s">
        <v>7337</v>
      </c>
      <c r="J2218" s="232"/>
    </row>
    <row r="2219" spans="1:10" hidden="1">
      <c r="A2219" s="232">
        <v>44201</v>
      </c>
      <c r="B2219" t="s">
        <v>7340</v>
      </c>
      <c r="C2219" t="s">
        <v>6583</v>
      </c>
      <c r="D2219">
        <v>75697</v>
      </c>
      <c r="F2219">
        <v>1116673.79</v>
      </c>
      <c r="G2219" s="8" t="s">
        <v>1362</v>
      </c>
      <c r="H2219" t="s">
        <v>1336</v>
      </c>
      <c r="I2219" s="232" t="s">
        <v>7337</v>
      </c>
      <c r="J2219" s="232"/>
    </row>
    <row r="2220" spans="1:10" hidden="1">
      <c r="A2220" s="232">
        <v>44201</v>
      </c>
      <c r="B2220" t="s">
        <v>7341</v>
      </c>
      <c r="C2220" t="s">
        <v>7342</v>
      </c>
      <c r="D2220">
        <v>1200</v>
      </c>
      <c r="F2220">
        <v>1115473.79</v>
      </c>
      <c r="H2220" t="s">
        <v>1336</v>
      </c>
      <c r="I2220" s="232" t="s">
        <v>7337</v>
      </c>
      <c r="J2220" s="232"/>
    </row>
    <row r="2221" spans="1:10" hidden="1">
      <c r="A2221" s="232">
        <v>44201</v>
      </c>
      <c r="B2221" t="s">
        <v>7343</v>
      </c>
      <c r="C2221" t="s">
        <v>7344</v>
      </c>
      <c r="D2221">
        <v>800</v>
      </c>
      <c r="F2221">
        <v>1114673.79</v>
      </c>
      <c r="H2221" t="s">
        <v>1336</v>
      </c>
      <c r="I2221" s="232" t="s">
        <v>7337</v>
      </c>
      <c r="J2221" s="232"/>
    </row>
    <row r="2222" spans="1:10" hidden="1">
      <c r="A2222" s="232">
        <v>44204</v>
      </c>
      <c r="B2222" t="s">
        <v>7345</v>
      </c>
      <c r="C2222" t="s">
        <v>7346</v>
      </c>
      <c r="D2222"/>
      <c r="E2222">
        <v>100</v>
      </c>
      <c r="F2222">
        <v>1114773.79</v>
      </c>
      <c r="H2222" t="s">
        <v>1336</v>
      </c>
      <c r="I2222" s="232" t="s">
        <v>7347</v>
      </c>
      <c r="J2222" s="232"/>
    </row>
    <row r="2223" spans="1:10" hidden="1">
      <c r="A2223" s="232">
        <v>44204</v>
      </c>
      <c r="B2223" t="s">
        <v>7348</v>
      </c>
      <c r="C2223" t="s">
        <v>7349</v>
      </c>
      <c r="D2223"/>
      <c r="E2223">
        <v>100</v>
      </c>
      <c r="F2223">
        <v>1114873.79</v>
      </c>
      <c r="H2223" t="s">
        <v>1336</v>
      </c>
      <c r="I2223" s="232" t="s">
        <v>7347</v>
      </c>
      <c r="J2223" s="232"/>
    </row>
    <row r="2224" spans="1:10" hidden="1">
      <c r="A2224" s="232">
        <v>44204</v>
      </c>
      <c r="B2224" t="s">
        <v>7350</v>
      </c>
      <c r="C2224" t="s">
        <v>7351</v>
      </c>
      <c r="D2224">
        <v>242</v>
      </c>
      <c r="F2224">
        <v>1114631.79</v>
      </c>
      <c r="H2224" t="s">
        <v>1336</v>
      </c>
      <c r="I2224" s="232" t="s">
        <v>7347</v>
      </c>
      <c r="J2224" s="232"/>
    </row>
    <row r="2225" spans="1:10" hidden="1">
      <c r="A2225" s="232">
        <v>44205</v>
      </c>
      <c r="B2225" t="s">
        <v>6682</v>
      </c>
      <c r="C2225" t="s">
        <v>7352</v>
      </c>
      <c r="D2225">
        <v>15000</v>
      </c>
      <c r="F2225">
        <v>1099631.79</v>
      </c>
      <c r="G2225" s="8" t="s">
        <v>1379</v>
      </c>
      <c r="H2225" t="s">
        <v>1336</v>
      </c>
      <c r="I2225" s="232" t="s">
        <v>7353</v>
      </c>
      <c r="J2225" s="232"/>
    </row>
    <row r="2226" spans="1:10" hidden="1">
      <c r="A2226" s="232">
        <v>44205</v>
      </c>
      <c r="B2226" t="s">
        <v>6682</v>
      </c>
      <c r="C2226" t="s">
        <v>7354</v>
      </c>
      <c r="D2226">
        <v>10000</v>
      </c>
      <c r="F2226">
        <v>1089631.79</v>
      </c>
      <c r="G2226" s="8" t="s">
        <v>1379</v>
      </c>
      <c r="H2226" t="s">
        <v>1336</v>
      </c>
      <c r="I2226" s="232" t="s">
        <v>7353</v>
      </c>
      <c r="J2226" s="232"/>
    </row>
    <row r="2227" spans="1:10" hidden="1">
      <c r="A2227" s="232">
        <v>44205</v>
      </c>
      <c r="B2227" t="s">
        <v>7355</v>
      </c>
      <c r="C2227" t="s">
        <v>7356</v>
      </c>
      <c r="D2227">
        <v>1405</v>
      </c>
      <c r="F2227">
        <v>1088226.79</v>
      </c>
      <c r="H2227" t="s">
        <v>1336</v>
      </c>
      <c r="I2227" s="232" t="s">
        <v>7353</v>
      </c>
      <c r="J2227" s="232"/>
    </row>
    <row r="2228" spans="1:10" hidden="1">
      <c r="A2228" s="232">
        <v>44209</v>
      </c>
      <c r="B2228" t="s">
        <v>7357</v>
      </c>
      <c r="C2228" t="s">
        <v>7358</v>
      </c>
      <c r="D2228">
        <v>1441</v>
      </c>
      <c r="F2228">
        <v>1086785.79</v>
      </c>
      <c r="H2228" t="s">
        <v>1336</v>
      </c>
      <c r="I2228" s="232" t="s">
        <v>7359</v>
      </c>
      <c r="J2228" s="232"/>
    </row>
    <row r="2229" spans="1:10" hidden="1">
      <c r="A2229" s="232">
        <v>44209</v>
      </c>
      <c r="B2229" t="s">
        <v>7360</v>
      </c>
      <c r="C2229" t="s">
        <v>7361</v>
      </c>
      <c r="D2229"/>
      <c r="E2229">
        <v>1341</v>
      </c>
      <c r="F2229">
        <v>1088126.79</v>
      </c>
      <c r="H2229" t="s">
        <v>1336</v>
      </c>
      <c r="I2229" s="232" t="s">
        <v>7359</v>
      </c>
      <c r="J2229" s="232"/>
    </row>
    <row r="2230" spans="1:10" hidden="1">
      <c r="A2230" s="232">
        <v>44211</v>
      </c>
      <c r="B2230" t="s">
        <v>7362</v>
      </c>
      <c r="C2230" t="s">
        <v>7363</v>
      </c>
      <c r="D2230">
        <v>1392</v>
      </c>
      <c r="F2230">
        <v>1086734.79</v>
      </c>
      <c r="H2230" t="s">
        <v>1336</v>
      </c>
      <c r="I2230" s="232" t="s">
        <v>7364</v>
      </c>
      <c r="J2230" s="232"/>
    </row>
    <row r="2231" spans="1:10" hidden="1">
      <c r="A2231" s="232">
        <v>44212</v>
      </c>
      <c r="B2231" t="s">
        <v>7365</v>
      </c>
      <c r="C2231" t="s">
        <v>7366</v>
      </c>
      <c r="D2231">
        <v>249</v>
      </c>
      <c r="F2231">
        <v>1086485.79</v>
      </c>
      <c r="H2231" t="s">
        <v>1336</v>
      </c>
      <c r="I2231" s="232" t="s">
        <v>7367</v>
      </c>
      <c r="J2231" s="232"/>
    </row>
    <row r="2232" spans="1:10" hidden="1">
      <c r="A2232" s="232">
        <v>44212</v>
      </c>
      <c r="B2232" t="s">
        <v>7368</v>
      </c>
      <c r="C2232" t="s">
        <v>7369</v>
      </c>
      <c r="D2232">
        <v>251</v>
      </c>
      <c r="F2232">
        <v>1086234.79</v>
      </c>
      <c r="H2232" t="s">
        <v>1336</v>
      </c>
      <c r="I2232" s="232" t="s">
        <v>7367</v>
      </c>
      <c r="J2232" s="232"/>
    </row>
    <row r="2233" spans="1:10" hidden="1">
      <c r="A2233" s="232">
        <v>44212</v>
      </c>
      <c r="B2233" t="s">
        <v>7370</v>
      </c>
      <c r="C2233" t="s">
        <v>7371</v>
      </c>
      <c r="D2233">
        <v>125</v>
      </c>
      <c r="F2233">
        <v>1086109.79</v>
      </c>
      <c r="H2233" t="s">
        <v>1336</v>
      </c>
      <c r="I2233" s="232" t="s">
        <v>7367</v>
      </c>
      <c r="J2233" s="232"/>
    </row>
    <row r="2234" spans="1:10" hidden="1">
      <c r="A2234" s="232">
        <v>44212</v>
      </c>
      <c r="B2234" t="s">
        <v>7372</v>
      </c>
      <c r="C2234" t="s">
        <v>7373</v>
      </c>
      <c r="D2234">
        <v>435</v>
      </c>
      <c r="F2234">
        <v>1085674.79</v>
      </c>
      <c r="H2234" t="s">
        <v>1336</v>
      </c>
      <c r="I2234" s="232" t="s">
        <v>7367</v>
      </c>
      <c r="J2234" s="232"/>
    </row>
    <row r="2235" spans="1:10" hidden="1">
      <c r="A2235" s="232">
        <v>44214</v>
      </c>
      <c r="B2235" t="s">
        <v>7374</v>
      </c>
      <c r="C2235" t="s">
        <v>7375</v>
      </c>
      <c r="D2235">
        <v>400</v>
      </c>
      <c r="F2235">
        <v>1085274.79</v>
      </c>
      <c r="H2235" t="s">
        <v>1336</v>
      </c>
      <c r="I2235" s="232" t="s">
        <v>7376</v>
      </c>
      <c r="J2235" s="232"/>
    </row>
    <row r="2236" spans="1:10" hidden="1">
      <c r="A2236" s="232">
        <v>44216</v>
      </c>
      <c r="B2236" t="s">
        <v>7377</v>
      </c>
      <c r="C2236" t="s">
        <v>7378</v>
      </c>
      <c r="D2236">
        <v>1183</v>
      </c>
      <c r="F2236">
        <v>1084091.79</v>
      </c>
      <c r="H2236" t="s">
        <v>1336</v>
      </c>
      <c r="I2236" s="232" t="s">
        <v>7379</v>
      </c>
      <c r="J2236" s="232"/>
    </row>
    <row r="2237" spans="1:10" hidden="1">
      <c r="A2237" s="232">
        <v>44217</v>
      </c>
      <c r="B2237" t="s">
        <v>6682</v>
      </c>
      <c r="C2237" t="s">
        <v>7380</v>
      </c>
      <c r="D2237">
        <v>13900</v>
      </c>
      <c r="F2237">
        <v>1070191.79</v>
      </c>
      <c r="G2237" s="8" t="s">
        <v>1379</v>
      </c>
      <c r="H2237" t="s">
        <v>1336</v>
      </c>
      <c r="I2237" s="232" t="s">
        <v>7381</v>
      </c>
      <c r="J2237" s="232"/>
    </row>
    <row r="2238" spans="1:10" hidden="1">
      <c r="A2238" s="232">
        <v>44218</v>
      </c>
      <c r="B2238" t="s">
        <v>7382</v>
      </c>
      <c r="C2238" t="s">
        <v>7383</v>
      </c>
      <c r="D2238">
        <v>2750</v>
      </c>
      <c r="F2238">
        <v>1067441.79</v>
      </c>
      <c r="H2238" t="s">
        <v>1336</v>
      </c>
      <c r="I2238" s="232" t="s">
        <v>7384</v>
      </c>
      <c r="J2238" s="232"/>
    </row>
    <row r="2239" spans="1:10" hidden="1">
      <c r="A2239" s="232">
        <v>44219</v>
      </c>
      <c r="B2239" t="s">
        <v>7385</v>
      </c>
      <c r="C2239" t="s">
        <v>7386</v>
      </c>
      <c r="D2239">
        <v>36</v>
      </c>
      <c r="F2239">
        <v>1067405.79</v>
      </c>
      <c r="H2239" t="s">
        <v>1336</v>
      </c>
      <c r="I2239" s="232" t="s">
        <v>7387</v>
      </c>
      <c r="J2239" s="232"/>
    </row>
    <row r="2240" spans="1:10" hidden="1">
      <c r="A2240" s="232">
        <v>44219</v>
      </c>
      <c r="B2240" t="s">
        <v>7388</v>
      </c>
      <c r="C2240" t="s">
        <v>7389</v>
      </c>
      <c r="D2240"/>
      <c r="E2240">
        <v>374</v>
      </c>
      <c r="F2240">
        <v>1067779.79</v>
      </c>
      <c r="H2240" t="s">
        <v>1336</v>
      </c>
      <c r="I2240" s="232" t="s">
        <v>7387</v>
      </c>
      <c r="J2240" s="232"/>
    </row>
    <row r="2241" spans="1:10" hidden="1">
      <c r="A2241" s="232">
        <v>44219</v>
      </c>
      <c r="B2241" t="s">
        <v>7390</v>
      </c>
      <c r="C2241" t="s">
        <v>7391</v>
      </c>
      <c r="D2241">
        <v>550</v>
      </c>
      <c r="F2241">
        <v>1067229.79</v>
      </c>
      <c r="H2241" t="s">
        <v>1336</v>
      </c>
      <c r="I2241" s="232" t="s">
        <v>7387</v>
      </c>
      <c r="J2241" s="232"/>
    </row>
    <row r="2242" spans="1:10" hidden="1">
      <c r="A2242" s="232">
        <v>44221</v>
      </c>
      <c r="B2242" t="s">
        <v>7392</v>
      </c>
      <c r="C2242" t="s">
        <v>7393</v>
      </c>
      <c r="D2242"/>
      <c r="E2242">
        <v>8</v>
      </c>
      <c r="F2242">
        <v>1067237.79</v>
      </c>
      <c r="H2242" t="s">
        <v>1336</v>
      </c>
      <c r="I2242" s="232" t="s">
        <v>7394</v>
      </c>
      <c r="J2242" s="232"/>
    </row>
    <row r="2243" spans="1:10" hidden="1">
      <c r="A2243" s="232">
        <v>44221</v>
      </c>
      <c r="B2243" t="s">
        <v>7395</v>
      </c>
      <c r="C2243" t="s">
        <v>7396</v>
      </c>
      <c r="D2243"/>
      <c r="E2243">
        <v>25000</v>
      </c>
      <c r="F2243">
        <v>1092237.79</v>
      </c>
      <c r="G2243" s="8" t="s">
        <v>1384</v>
      </c>
      <c r="H2243" t="s">
        <v>1336</v>
      </c>
      <c r="I2243" s="232" t="s">
        <v>7394</v>
      </c>
      <c r="J2243" s="232"/>
    </row>
    <row r="2244" spans="1:10" hidden="1">
      <c r="A2244" s="232">
        <v>44221</v>
      </c>
      <c r="B2244" t="s">
        <v>7397</v>
      </c>
      <c r="C2244" t="s">
        <v>7398</v>
      </c>
      <c r="D2244"/>
      <c r="E2244">
        <v>25000</v>
      </c>
      <c r="F2244">
        <v>1117237.79</v>
      </c>
      <c r="G2244" s="8" t="s">
        <v>1384</v>
      </c>
      <c r="H2244" t="s">
        <v>1336</v>
      </c>
      <c r="I2244" s="232" t="s">
        <v>7394</v>
      </c>
      <c r="J2244" s="232"/>
    </row>
    <row r="2245" spans="1:10" hidden="1">
      <c r="A2245" s="232">
        <v>44221</v>
      </c>
      <c r="B2245" t="s">
        <v>7399</v>
      </c>
      <c r="C2245" t="s">
        <v>7400</v>
      </c>
      <c r="D2245"/>
      <c r="E2245">
        <v>25000</v>
      </c>
      <c r="F2245">
        <v>1142237.79</v>
      </c>
      <c r="G2245" s="8" t="s">
        <v>1384</v>
      </c>
      <c r="H2245" t="s">
        <v>1336</v>
      </c>
      <c r="I2245" s="232" t="s">
        <v>7394</v>
      </c>
      <c r="J2245" s="232"/>
    </row>
    <row r="2246" spans="1:10" hidden="1">
      <c r="A2246" s="232">
        <v>44221</v>
      </c>
      <c r="B2246" t="s">
        <v>7401</v>
      </c>
      <c r="C2246" t="s">
        <v>7402</v>
      </c>
      <c r="D2246">
        <v>87</v>
      </c>
      <c r="F2246">
        <v>1142150.79</v>
      </c>
      <c r="H2246" t="s">
        <v>1336</v>
      </c>
      <c r="I2246" s="232" t="s">
        <v>7394</v>
      </c>
      <c r="J2246" s="232"/>
    </row>
    <row r="2247" spans="1:10" hidden="1">
      <c r="A2247" s="232">
        <v>44221</v>
      </c>
      <c r="B2247" t="s">
        <v>7403</v>
      </c>
      <c r="C2247" t="s">
        <v>7404</v>
      </c>
      <c r="D2247">
        <v>70</v>
      </c>
      <c r="F2247">
        <v>1142080.79</v>
      </c>
      <c r="H2247" t="s">
        <v>1336</v>
      </c>
      <c r="I2247" s="232" t="s">
        <v>7394</v>
      </c>
      <c r="J2247" s="232"/>
    </row>
    <row r="2248" spans="1:10" hidden="1">
      <c r="A2248" s="232">
        <v>44223</v>
      </c>
      <c r="B2248" t="s">
        <v>7405</v>
      </c>
      <c r="C2248" t="s">
        <v>7406</v>
      </c>
      <c r="D2248"/>
      <c r="E2248">
        <v>25000</v>
      </c>
      <c r="F2248">
        <v>1167080.79</v>
      </c>
      <c r="G2248" s="8" t="s">
        <v>1384</v>
      </c>
      <c r="H2248" t="s">
        <v>1336</v>
      </c>
      <c r="I2248" s="232" t="s">
        <v>7407</v>
      </c>
      <c r="J2248" s="232"/>
    </row>
    <row r="2249" spans="1:10" hidden="1">
      <c r="A2249" s="232">
        <v>44224</v>
      </c>
      <c r="B2249" t="s">
        <v>7408</v>
      </c>
      <c r="C2249" t="s">
        <v>7409</v>
      </c>
      <c r="D2249">
        <v>3476</v>
      </c>
      <c r="F2249">
        <v>1163604.79</v>
      </c>
      <c r="H2249" t="s">
        <v>1336</v>
      </c>
      <c r="I2249" s="232" t="s">
        <v>7410</v>
      </c>
      <c r="J2249" s="232"/>
    </row>
    <row r="2250" spans="1:10" hidden="1">
      <c r="A2250" s="232">
        <v>44226</v>
      </c>
      <c r="B2250" t="s">
        <v>7411</v>
      </c>
      <c r="C2250" t="s">
        <v>7412</v>
      </c>
      <c r="D2250">
        <v>405</v>
      </c>
      <c r="F2250">
        <v>1163199.79</v>
      </c>
      <c r="H2250" t="s">
        <v>1336</v>
      </c>
      <c r="I2250" s="232" t="s">
        <v>7413</v>
      </c>
      <c r="J2250" s="232"/>
    </row>
    <row r="2251" spans="1:10" hidden="1">
      <c r="A2251" s="232">
        <v>44228</v>
      </c>
      <c r="B2251" t="s">
        <v>7414</v>
      </c>
      <c r="C2251" t="s">
        <v>7415</v>
      </c>
      <c r="D2251">
        <v>2000</v>
      </c>
      <c r="F2251">
        <v>1161199.79</v>
      </c>
      <c r="H2251" t="s">
        <v>1336</v>
      </c>
      <c r="I2251" s="232" t="s">
        <v>7416</v>
      </c>
      <c r="J2251" s="232"/>
    </row>
    <row r="2252" spans="1:10" hidden="1">
      <c r="A2252" s="232">
        <v>44228</v>
      </c>
      <c r="B2252" t="s">
        <v>7417</v>
      </c>
      <c r="C2252" t="s">
        <v>7418</v>
      </c>
      <c r="D2252">
        <v>3500</v>
      </c>
      <c r="F2252">
        <v>1157699.79</v>
      </c>
      <c r="H2252" t="s">
        <v>1336</v>
      </c>
      <c r="I2252" s="232" t="s">
        <v>7416</v>
      </c>
      <c r="J2252" s="232"/>
    </row>
    <row r="2253" spans="1:10" hidden="1">
      <c r="A2253" s="232">
        <v>44228</v>
      </c>
      <c r="B2253" t="s">
        <v>7419</v>
      </c>
      <c r="C2253" t="s">
        <v>7420</v>
      </c>
      <c r="D2253">
        <v>1200</v>
      </c>
      <c r="F2253">
        <v>1156499.79</v>
      </c>
      <c r="H2253" t="s">
        <v>1336</v>
      </c>
      <c r="I2253" s="232" t="s">
        <v>7416</v>
      </c>
      <c r="J2253" s="232"/>
    </row>
    <row r="2254" spans="1:10" hidden="1">
      <c r="A2254" s="232">
        <v>44232</v>
      </c>
      <c r="B2254" t="s">
        <v>7421</v>
      </c>
      <c r="C2254" t="s">
        <v>6583</v>
      </c>
      <c r="D2254">
        <v>48758</v>
      </c>
      <c r="F2254">
        <v>1107741.79</v>
      </c>
      <c r="G2254" s="8" t="s">
        <v>1362</v>
      </c>
      <c r="H2254" t="s">
        <v>1336</v>
      </c>
      <c r="I2254" s="232" t="s">
        <v>7422</v>
      </c>
      <c r="J2254" s="232"/>
    </row>
    <row r="2255" spans="1:10" hidden="1">
      <c r="A2255" s="232">
        <v>44232</v>
      </c>
      <c r="B2255" t="s">
        <v>7423</v>
      </c>
      <c r="C2255" t="s">
        <v>7424</v>
      </c>
      <c r="D2255">
        <v>508</v>
      </c>
      <c r="F2255">
        <v>1107233.79</v>
      </c>
      <c r="H2255" t="s">
        <v>1336</v>
      </c>
      <c r="I2255" s="232" t="s">
        <v>7422</v>
      </c>
      <c r="J2255" s="232"/>
    </row>
    <row r="2256" spans="1:10" hidden="1">
      <c r="A2256" s="232">
        <v>44233</v>
      </c>
      <c r="B2256" t="s">
        <v>7425</v>
      </c>
      <c r="C2256" t="s">
        <v>7426</v>
      </c>
      <c r="D2256">
        <v>155</v>
      </c>
      <c r="F2256">
        <v>1107078.79</v>
      </c>
      <c r="H2256" t="s">
        <v>1336</v>
      </c>
      <c r="I2256" s="232" t="s">
        <v>7427</v>
      </c>
      <c r="J2256" s="232"/>
    </row>
    <row r="2257" spans="1:10" hidden="1">
      <c r="A2257" s="232">
        <v>44233</v>
      </c>
      <c r="B2257" t="s">
        <v>7428</v>
      </c>
      <c r="C2257" t="s">
        <v>7429</v>
      </c>
      <c r="D2257">
        <v>280</v>
      </c>
      <c r="F2257">
        <v>1106798.79</v>
      </c>
      <c r="H2257" t="s">
        <v>1336</v>
      </c>
      <c r="I2257" s="232" t="s">
        <v>7427</v>
      </c>
      <c r="J2257" s="232"/>
    </row>
    <row r="2258" spans="1:10" hidden="1">
      <c r="A2258" s="232">
        <v>44235</v>
      </c>
      <c r="B2258" t="s">
        <v>7430</v>
      </c>
      <c r="C2258" t="s">
        <v>7431</v>
      </c>
      <c r="D2258">
        <v>313</v>
      </c>
      <c r="F2258">
        <v>1106485.79</v>
      </c>
      <c r="H2258" t="s">
        <v>1336</v>
      </c>
      <c r="I2258" s="232" t="s">
        <v>7432</v>
      </c>
      <c r="J2258" s="232"/>
    </row>
    <row r="2259" spans="1:10" hidden="1">
      <c r="A2259" s="232">
        <v>44236</v>
      </c>
      <c r="B2259" t="s">
        <v>6682</v>
      </c>
      <c r="C2259" t="s">
        <v>7433</v>
      </c>
      <c r="D2259">
        <v>15000</v>
      </c>
      <c r="F2259">
        <v>1091485.79</v>
      </c>
      <c r="G2259" s="8" t="s">
        <v>1379</v>
      </c>
      <c r="H2259" t="s">
        <v>1336</v>
      </c>
      <c r="I2259" s="232" t="s">
        <v>7434</v>
      </c>
      <c r="J2259" s="232"/>
    </row>
    <row r="2260" spans="1:10" hidden="1">
      <c r="A2260" s="232">
        <v>44236</v>
      </c>
      <c r="B2260" t="s">
        <v>6682</v>
      </c>
      <c r="C2260" t="s">
        <v>7435</v>
      </c>
      <c r="D2260">
        <v>10000</v>
      </c>
      <c r="F2260">
        <v>1081485.79</v>
      </c>
      <c r="G2260" s="8" t="s">
        <v>1379</v>
      </c>
      <c r="H2260" t="s">
        <v>1336</v>
      </c>
      <c r="I2260" s="232" t="s">
        <v>7434</v>
      </c>
      <c r="J2260" s="232"/>
    </row>
    <row r="2261" spans="1:10" hidden="1">
      <c r="A2261" s="232">
        <v>44237</v>
      </c>
      <c r="B2261" t="s">
        <v>7436</v>
      </c>
      <c r="C2261" t="s">
        <v>7437</v>
      </c>
      <c r="D2261">
        <v>587</v>
      </c>
      <c r="F2261">
        <v>1080898.79</v>
      </c>
      <c r="H2261" t="s">
        <v>1336</v>
      </c>
      <c r="I2261" s="232" t="s">
        <v>7438</v>
      </c>
      <c r="J2261" s="232"/>
    </row>
    <row r="2262" spans="1:10" hidden="1">
      <c r="A2262" s="232">
        <v>44238</v>
      </c>
      <c r="B2262" t="s">
        <v>7439</v>
      </c>
      <c r="C2262" t="s">
        <v>7440</v>
      </c>
      <c r="D2262">
        <v>1222</v>
      </c>
      <c r="F2262">
        <v>1079676.79</v>
      </c>
      <c r="H2262" t="s">
        <v>1336</v>
      </c>
      <c r="I2262" s="232" t="s">
        <v>7441</v>
      </c>
      <c r="J2262" s="232"/>
    </row>
    <row r="2263" spans="1:10" hidden="1">
      <c r="A2263" s="232">
        <v>44238</v>
      </c>
      <c r="B2263" t="s">
        <v>7442</v>
      </c>
      <c r="C2263" t="s">
        <v>7443</v>
      </c>
      <c r="D2263">
        <v>557</v>
      </c>
      <c r="F2263">
        <v>1079119.79</v>
      </c>
      <c r="H2263" t="s">
        <v>1336</v>
      </c>
      <c r="I2263" s="232" t="s">
        <v>7441</v>
      </c>
      <c r="J2263" s="232"/>
    </row>
    <row r="2264" spans="1:10" hidden="1">
      <c r="A2264" s="232">
        <v>44240</v>
      </c>
      <c r="B2264" t="s">
        <v>7444</v>
      </c>
      <c r="C2264" t="s">
        <v>7445</v>
      </c>
      <c r="D2264">
        <v>63</v>
      </c>
      <c r="F2264">
        <v>1079056.79</v>
      </c>
      <c r="H2264" t="s">
        <v>1336</v>
      </c>
      <c r="I2264" s="232" t="s">
        <v>7446</v>
      </c>
      <c r="J2264" s="232"/>
    </row>
    <row r="2265" spans="1:10" hidden="1">
      <c r="A2265" s="232">
        <v>44240</v>
      </c>
      <c r="B2265" t="s">
        <v>7447</v>
      </c>
      <c r="C2265" t="s">
        <v>7448</v>
      </c>
      <c r="D2265">
        <v>4600</v>
      </c>
      <c r="F2265">
        <v>1074456.79</v>
      </c>
      <c r="H2265" t="s">
        <v>1336</v>
      </c>
      <c r="I2265" s="232" t="s">
        <v>7446</v>
      </c>
      <c r="J2265" s="232"/>
    </row>
    <row r="2266" spans="1:10" hidden="1">
      <c r="A2266" s="232">
        <v>44243</v>
      </c>
      <c r="B2266" t="s">
        <v>7449</v>
      </c>
      <c r="C2266" t="s">
        <v>7450</v>
      </c>
      <c r="D2266">
        <v>1047</v>
      </c>
      <c r="F2266">
        <v>1073409.79</v>
      </c>
      <c r="H2266" t="s">
        <v>1336</v>
      </c>
      <c r="I2266" s="232" t="s">
        <v>7451</v>
      </c>
      <c r="J2266" s="232"/>
    </row>
    <row r="2267" spans="1:10" hidden="1">
      <c r="A2267" s="232">
        <v>44244</v>
      </c>
      <c r="B2267" t="s">
        <v>7452</v>
      </c>
      <c r="C2267" t="s">
        <v>7453</v>
      </c>
      <c r="D2267">
        <v>729</v>
      </c>
      <c r="F2267">
        <v>1072680.79</v>
      </c>
      <c r="H2267" t="s">
        <v>1336</v>
      </c>
      <c r="I2267" s="232" t="s">
        <v>7454</v>
      </c>
      <c r="J2267" s="232"/>
    </row>
    <row r="2268" spans="1:10" hidden="1">
      <c r="A2268" s="232">
        <v>44244</v>
      </c>
      <c r="B2268" t="s">
        <v>7455</v>
      </c>
      <c r="C2268" t="s">
        <v>7456</v>
      </c>
      <c r="D2268">
        <v>342</v>
      </c>
      <c r="F2268">
        <v>1072338.79</v>
      </c>
      <c r="H2268" t="s">
        <v>1336</v>
      </c>
      <c r="I2268" s="232" t="s">
        <v>7454</v>
      </c>
      <c r="J2268" s="232"/>
    </row>
    <row r="2269" spans="1:10" hidden="1">
      <c r="A2269" s="232">
        <v>44246</v>
      </c>
      <c r="B2269" t="s">
        <v>7457</v>
      </c>
      <c r="C2269" t="s">
        <v>7458</v>
      </c>
      <c r="D2269">
        <v>3400</v>
      </c>
      <c r="F2269">
        <v>1068938.79</v>
      </c>
      <c r="H2269" t="s">
        <v>1336</v>
      </c>
      <c r="I2269" s="232" t="s">
        <v>7459</v>
      </c>
      <c r="J2269" s="232"/>
    </row>
    <row r="2270" spans="1:10" hidden="1">
      <c r="A2270" s="232">
        <v>44248</v>
      </c>
      <c r="B2270" t="s">
        <v>6682</v>
      </c>
      <c r="C2270" t="s">
        <v>7460</v>
      </c>
      <c r="D2270">
        <v>13900</v>
      </c>
      <c r="F2270">
        <v>1055038.79</v>
      </c>
      <c r="G2270" s="8" t="s">
        <v>1379</v>
      </c>
      <c r="H2270" t="s">
        <v>1336</v>
      </c>
      <c r="I2270" s="232" t="s">
        <v>7461</v>
      </c>
      <c r="J2270" s="232"/>
    </row>
    <row r="2271" spans="1:10" hidden="1">
      <c r="A2271" s="232">
        <v>44248</v>
      </c>
      <c r="B2271" t="s">
        <v>7462</v>
      </c>
      <c r="C2271" t="s">
        <v>7463</v>
      </c>
      <c r="D2271">
        <v>600</v>
      </c>
      <c r="F2271">
        <v>1054438.79</v>
      </c>
      <c r="H2271" t="s">
        <v>1336</v>
      </c>
      <c r="I2271" s="232" t="s">
        <v>7461</v>
      </c>
      <c r="J2271" s="232"/>
    </row>
    <row r="2272" spans="1:10" hidden="1">
      <c r="A2272" s="232">
        <v>44249</v>
      </c>
      <c r="B2272" t="s">
        <v>7464</v>
      </c>
      <c r="C2272" t="s">
        <v>7465</v>
      </c>
      <c r="D2272">
        <v>490</v>
      </c>
      <c r="F2272">
        <v>1053948.79</v>
      </c>
      <c r="H2272" t="s">
        <v>1336</v>
      </c>
      <c r="I2272" s="232" t="s">
        <v>7466</v>
      </c>
      <c r="J2272" s="232"/>
    </row>
    <row r="2273" spans="1:10" hidden="1">
      <c r="A2273" s="232">
        <v>44250</v>
      </c>
      <c r="B2273" t="s">
        <v>7467</v>
      </c>
      <c r="C2273" t="s">
        <v>7468</v>
      </c>
      <c r="D2273">
        <v>160</v>
      </c>
      <c r="F2273">
        <v>1053788.79</v>
      </c>
      <c r="H2273" t="s">
        <v>1336</v>
      </c>
      <c r="I2273" s="232" t="s">
        <v>7469</v>
      </c>
      <c r="J2273" s="232"/>
    </row>
    <row r="2274" spans="1:10" hidden="1">
      <c r="A2274" s="232">
        <v>44250</v>
      </c>
      <c r="B2274" t="s">
        <v>7470</v>
      </c>
      <c r="C2274" t="s">
        <v>7471</v>
      </c>
      <c r="D2274"/>
      <c r="E2274">
        <v>8</v>
      </c>
      <c r="F2274">
        <v>1053796.79</v>
      </c>
      <c r="H2274" t="s">
        <v>1336</v>
      </c>
      <c r="I2274" s="232" t="s">
        <v>7469</v>
      </c>
      <c r="J2274" s="232"/>
    </row>
    <row r="2275" spans="1:10" hidden="1">
      <c r="A2275" s="232">
        <v>44251</v>
      </c>
      <c r="B2275" t="s">
        <v>7472</v>
      </c>
      <c r="C2275" t="s">
        <v>7473</v>
      </c>
      <c r="D2275">
        <v>2700</v>
      </c>
      <c r="F2275">
        <v>1051096.79</v>
      </c>
      <c r="H2275" t="s">
        <v>1336</v>
      </c>
      <c r="I2275" s="232" t="s">
        <v>7474</v>
      </c>
      <c r="J2275" s="232"/>
    </row>
    <row r="2276" spans="1:10" hidden="1">
      <c r="A2276" s="232">
        <v>44253</v>
      </c>
      <c r="B2276" t="s">
        <v>7475</v>
      </c>
      <c r="C2276" t="s">
        <v>7476</v>
      </c>
      <c r="D2276"/>
      <c r="E2276">
        <v>25000</v>
      </c>
      <c r="F2276">
        <v>1076096.79</v>
      </c>
      <c r="G2276" s="8" t="s">
        <v>1384</v>
      </c>
      <c r="H2276" t="s">
        <v>1336</v>
      </c>
      <c r="I2276" s="232" t="s">
        <v>7477</v>
      </c>
      <c r="J2276" s="232"/>
    </row>
    <row r="2277" spans="1:10" hidden="1">
      <c r="A2277" s="232">
        <v>44253</v>
      </c>
      <c r="B2277" t="s">
        <v>7478</v>
      </c>
      <c r="C2277" t="s">
        <v>7479</v>
      </c>
      <c r="D2277"/>
      <c r="E2277">
        <v>25000</v>
      </c>
      <c r="F2277">
        <v>1101096.79</v>
      </c>
      <c r="G2277" s="8" t="s">
        <v>1384</v>
      </c>
      <c r="H2277" t="s">
        <v>1336</v>
      </c>
      <c r="I2277" s="232" t="s">
        <v>7477</v>
      </c>
      <c r="J2277" s="232"/>
    </row>
    <row r="2278" spans="1:10" hidden="1">
      <c r="A2278" s="232">
        <v>44253</v>
      </c>
      <c r="B2278" t="s">
        <v>7480</v>
      </c>
      <c r="C2278" t="s">
        <v>7481</v>
      </c>
      <c r="D2278"/>
      <c r="E2278">
        <v>25000</v>
      </c>
      <c r="F2278">
        <v>1126096.79</v>
      </c>
      <c r="G2278" s="8" t="s">
        <v>1384</v>
      </c>
      <c r="H2278" t="s">
        <v>1336</v>
      </c>
      <c r="I2278" s="232" t="s">
        <v>7477</v>
      </c>
      <c r="J2278" s="232"/>
    </row>
    <row r="2279" spans="1:10" hidden="1">
      <c r="A2279" s="232">
        <v>44254</v>
      </c>
      <c r="B2279" t="s">
        <v>7482</v>
      </c>
      <c r="C2279" t="s">
        <v>7483</v>
      </c>
      <c r="D2279">
        <v>225.76</v>
      </c>
      <c r="F2279">
        <v>1125871.03</v>
      </c>
      <c r="H2279" t="s">
        <v>1336</v>
      </c>
      <c r="I2279" s="232" t="s">
        <v>7484</v>
      </c>
      <c r="J2279" s="232"/>
    </row>
    <row r="2280" spans="1:10" hidden="1">
      <c r="A2280" s="232">
        <v>44254</v>
      </c>
      <c r="B2280" t="s">
        <v>7485</v>
      </c>
      <c r="C2280" t="s">
        <v>7486</v>
      </c>
      <c r="D2280">
        <v>194.24</v>
      </c>
      <c r="F2280">
        <v>1125676.79</v>
      </c>
      <c r="H2280" t="s">
        <v>1336</v>
      </c>
      <c r="I2280" s="232" t="s">
        <v>7484</v>
      </c>
      <c r="J2280" s="232"/>
    </row>
    <row r="2281" spans="1:10" hidden="1">
      <c r="A2281" s="232">
        <v>44254</v>
      </c>
      <c r="B2281" t="s">
        <v>7487</v>
      </c>
      <c r="C2281" t="s">
        <v>7488</v>
      </c>
      <c r="D2281">
        <v>710</v>
      </c>
      <c r="F2281">
        <v>1124966.79</v>
      </c>
      <c r="H2281" t="s">
        <v>1336</v>
      </c>
      <c r="I2281" s="232" t="s">
        <v>7484</v>
      </c>
      <c r="J2281" s="232"/>
    </row>
    <row r="2282" spans="1:10" hidden="1">
      <c r="A2282" s="232">
        <v>44255</v>
      </c>
      <c r="B2282" t="s">
        <v>7489</v>
      </c>
      <c r="C2282" t="s">
        <v>7490</v>
      </c>
      <c r="D2282"/>
      <c r="E2282">
        <v>25000</v>
      </c>
      <c r="F2282">
        <v>1149966.79</v>
      </c>
      <c r="G2282" s="8" t="s">
        <v>1384</v>
      </c>
      <c r="H2282" t="s">
        <v>1336</v>
      </c>
      <c r="I2282" s="232" t="s">
        <v>7491</v>
      </c>
      <c r="J2282" s="232"/>
    </row>
    <row r="2283" spans="1:10" hidden="1">
      <c r="A2283" s="232">
        <v>44257</v>
      </c>
      <c r="B2283" t="s">
        <v>7492</v>
      </c>
      <c r="C2283" t="s">
        <v>7493</v>
      </c>
      <c r="D2283">
        <v>3500</v>
      </c>
      <c r="F2283">
        <v>1146466.79</v>
      </c>
      <c r="H2283" t="s">
        <v>1336</v>
      </c>
      <c r="I2283" s="232" t="s">
        <v>7494</v>
      </c>
      <c r="J2283" s="232"/>
    </row>
    <row r="2284" spans="1:10" hidden="1">
      <c r="A2284" s="232">
        <v>44257</v>
      </c>
      <c r="B2284" t="s">
        <v>7495</v>
      </c>
      <c r="C2284" t="s">
        <v>7496</v>
      </c>
      <c r="D2284">
        <v>1200</v>
      </c>
      <c r="F2284">
        <v>1145266.79</v>
      </c>
      <c r="H2284" t="s">
        <v>1336</v>
      </c>
      <c r="I2284" s="232" t="s">
        <v>7494</v>
      </c>
      <c r="J2284" s="232"/>
    </row>
    <row r="2285" spans="1:10" hidden="1">
      <c r="A2285" s="232">
        <v>44258</v>
      </c>
      <c r="B2285" t="s">
        <v>7497</v>
      </c>
      <c r="C2285" t="s">
        <v>7498</v>
      </c>
      <c r="D2285">
        <v>2000</v>
      </c>
      <c r="F2285">
        <v>1143266.79</v>
      </c>
      <c r="H2285" t="s">
        <v>1336</v>
      </c>
      <c r="I2285" s="232" t="s">
        <v>7499</v>
      </c>
      <c r="J2285" s="232"/>
    </row>
    <row r="2286" spans="1:10" hidden="1">
      <c r="A2286" s="232">
        <v>44258</v>
      </c>
      <c r="B2286" t="s">
        <v>7500</v>
      </c>
      <c r="C2286" t="s">
        <v>7501</v>
      </c>
      <c r="D2286">
        <v>1198</v>
      </c>
      <c r="F2286">
        <v>1142068.79</v>
      </c>
      <c r="H2286" t="s">
        <v>1336</v>
      </c>
      <c r="I2286" s="232" t="s">
        <v>7499</v>
      </c>
      <c r="J2286" s="232"/>
    </row>
    <row r="2287" spans="1:10" hidden="1">
      <c r="A2287" s="232">
        <v>44258</v>
      </c>
      <c r="B2287" t="s">
        <v>7502</v>
      </c>
      <c r="C2287" t="s">
        <v>7503</v>
      </c>
      <c r="D2287">
        <v>2000</v>
      </c>
      <c r="F2287">
        <v>1140068.79</v>
      </c>
      <c r="H2287" t="s">
        <v>1336</v>
      </c>
      <c r="I2287" s="232" t="s">
        <v>7499</v>
      </c>
      <c r="J2287" s="232"/>
    </row>
    <row r="2288" spans="1:10" hidden="1">
      <c r="A2288" s="232">
        <v>44259</v>
      </c>
      <c r="B2288" t="s">
        <v>7504</v>
      </c>
      <c r="C2288" t="s">
        <v>7505</v>
      </c>
      <c r="D2288"/>
      <c r="E2288">
        <v>599</v>
      </c>
      <c r="F2288">
        <v>1140667.79</v>
      </c>
      <c r="H2288" t="s">
        <v>1336</v>
      </c>
      <c r="I2288" s="232" t="s">
        <v>7506</v>
      </c>
      <c r="J2288" s="232"/>
    </row>
    <row r="2289" spans="1:10" hidden="1">
      <c r="A2289" s="232">
        <v>44260</v>
      </c>
      <c r="B2289" t="s">
        <v>7507</v>
      </c>
      <c r="C2289" t="s">
        <v>7508</v>
      </c>
      <c r="D2289">
        <v>3000</v>
      </c>
      <c r="F2289">
        <v>1137667.79</v>
      </c>
      <c r="H2289" t="s">
        <v>1336</v>
      </c>
      <c r="I2289" s="232" t="s">
        <v>7509</v>
      </c>
      <c r="J2289" s="232"/>
    </row>
    <row r="2290" spans="1:10" hidden="1">
      <c r="A2290" s="232">
        <v>44260</v>
      </c>
      <c r="B2290" t="s">
        <v>7510</v>
      </c>
      <c r="C2290" t="s">
        <v>7511</v>
      </c>
      <c r="D2290">
        <v>1268.5</v>
      </c>
      <c r="F2290">
        <v>1136399.29</v>
      </c>
      <c r="H2290" t="s">
        <v>1336</v>
      </c>
      <c r="I2290" s="232" t="s">
        <v>7509</v>
      </c>
      <c r="J2290" s="232"/>
    </row>
    <row r="2291" spans="1:10" hidden="1">
      <c r="A2291" s="232">
        <v>44261</v>
      </c>
      <c r="B2291" t="s">
        <v>7512</v>
      </c>
      <c r="C2291" t="s">
        <v>7513</v>
      </c>
      <c r="D2291">
        <v>1500</v>
      </c>
      <c r="F2291">
        <v>1134899.29</v>
      </c>
      <c r="H2291" t="s">
        <v>1336</v>
      </c>
      <c r="I2291" s="232" t="s">
        <v>7514</v>
      </c>
      <c r="J2291" s="232"/>
    </row>
    <row r="2292" spans="1:10" hidden="1">
      <c r="A2292" s="232">
        <v>44262</v>
      </c>
      <c r="B2292" t="s">
        <v>7515</v>
      </c>
      <c r="C2292" t="s">
        <v>7516</v>
      </c>
      <c r="D2292">
        <v>2429</v>
      </c>
      <c r="F2292">
        <v>1132470.29</v>
      </c>
      <c r="H2292" t="s">
        <v>1336</v>
      </c>
      <c r="I2292" s="232" t="s">
        <v>7517</v>
      </c>
      <c r="J2292" s="232"/>
    </row>
    <row r="2293" spans="1:10" hidden="1">
      <c r="A2293" s="232">
        <v>44263</v>
      </c>
      <c r="B2293" t="s">
        <v>7518</v>
      </c>
      <c r="C2293" t="s">
        <v>6583</v>
      </c>
      <c r="D2293">
        <v>35210</v>
      </c>
      <c r="F2293">
        <v>1097260.29</v>
      </c>
      <c r="G2293" s="8" t="s">
        <v>1362</v>
      </c>
      <c r="H2293" t="s">
        <v>1336</v>
      </c>
      <c r="I2293" s="232" t="s">
        <v>7519</v>
      </c>
      <c r="J2293" s="232"/>
    </row>
    <row r="2294" spans="1:10" hidden="1">
      <c r="A2294" s="232">
        <v>44263</v>
      </c>
      <c r="B2294" t="s">
        <v>7520</v>
      </c>
      <c r="C2294" t="s">
        <v>7521</v>
      </c>
      <c r="D2294">
        <v>5890</v>
      </c>
      <c r="F2294">
        <v>1091370.29</v>
      </c>
      <c r="H2294" t="s">
        <v>1336</v>
      </c>
      <c r="I2294" s="232" t="s">
        <v>7519</v>
      </c>
      <c r="J2294" s="232"/>
    </row>
    <row r="2295" spans="1:10" hidden="1">
      <c r="A2295" s="232">
        <v>44263</v>
      </c>
      <c r="B2295" t="s">
        <v>7522</v>
      </c>
      <c r="C2295" t="s">
        <v>7523</v>
      </c>
      <c r="D2295">
        <v>6210</v>
      </c>
      <c r="F2295">
        <v>1085160.29</v>
      </c>
      <c r="H2295" t="s">
        <v>1336</v>
      </c>
      <c r="I2295" s="232" t="s">
        <v>7519</v>
      </c>
      <c r="J2295" s="232"/>
    </row>
    <row r="2296" spans="1:10" hidden="1">
      <c r="A2296" s="232">
        <v>44263</v>
      </c>
      <c r="B2296" t="s">
        <v>7524</v>
      </c>
      <c r="C2296" t="s">
        <v>7525</v>
      </c>
      <c r="D2296">
        <v>994</v>
      </c>
      <c r="F2296">
        <v>1084166.29</v>
      </c>
      <c r="H2296" t="s">
        <v>1336</v>
      </c>
      <c r="I2296" s="232" t="s">
        <v>7519</v>
      </c>
      <c r="J2296" s="232"/>
    </row>
    <row r="2297" spans="1:10" hidden="1">
      <c r="A2297" s="232">
        <v>44264</v>
      </c>
      <c r="B2297" t="s">
        <v>6682</v>
      </c>
      <c r="C2297" t="s">
        <v>7526</v>
      </c>
      <c r="D2297">
        <v>15000</v>
      </c>
      <c r="F2297">
        <v>1069166.29</v>
      </c>
      <c r="G2297" s="8" t="s">
        <v>1379</v>
      </c>
      <c r="H2297" t="s">
        <v>1336</v>
      </c>
      <c r="I2297" s="232" t="s">
        <v>7527</v>
      </c>
      <c r="J2297" s="232"/>
    </row>
    <row r="2298" spans="1:10" hidden="1">
      <c r="A2298" s="232">
        <v>44264</v>
      </c>
      <c r="B2298" t="s">
        <v>6682</v>
      </c>
      <c r="C2298" t="s">
        <v>7528</v>
      </c>
      <c r="D2298">
        <v>10000</v>
      </c>
      <c r="F2298">
        <v>1059166.29</v>
      </c>
      <c r="G2298" s="8" t="s">
        <v>1379</v>
      </c>
      <c r="H2298" t="s">
        <v>1336</v>
      </c>
      <c r="I2298" s="232" t="s">
        <v>7527</v>
      </c>
      <c r="J2298" s="232"/>
    </row>
    <row r="2299" spans="1:10" hidden="1">
      <c r="A2299" s="232">
        <v>44265</v>
      </c>
      <c r="B2299" t="s">
        <v>7529</v>
      </c>
      <c r="C2299" t="s">
        <v>7530</v>
      </c>
      <c r="D2299">
        <v>200</v>
      </c>
      <c r="F2299">
        <v>1058966.29</v>
      </c>
      <c r="H2299" t="s">
        <v>1336</v>
      </c>
      <c r="I2299" s="232" t="s">
        <v>7531</v>
      </c>
      <c r="J2299" s="232"/>
    </row>
    <row r="2300" spans="1:10" hidden="1">
      <c r="A2300" s="232">
        <v>44265</v>
      </c>
      <c r="B2300" t="s">
        <v>7532</v>
      </c>
      <c r="C2300" t="s">
        <v>7533</v>
      </c>
      <c r="D2300"/>
      <c r="E2300">
        <v>0.01</v>
      </c>
      <c r="F2300">
        <v>1058966.3</v>
      </c>
      <c r="H2300" t="s">
        <v>1336</v>
      </c>
      <c r="I2300" s="232" t="s">
        <v>7531</v>
      </c>
      <c r="J2300" s="232"/>
    </row>
    <row r="2301" spans="1:10" hidden="1">
      <c r="A2301" s="232">
        <v>44268</v>
      </c>
      <c r="B2301" t="s">
        <v>7534</v>
      </c>
      <c r="C2301" t="s">
        <v>7535</v>
      </c>
      <c r="D2301">
        <v>205</v>
      </c>
      <c r="F2301">
        <v>1058761.3</v>
      </c>
      <c r="H2301" t="s">
        <v>1336</v>
      </c>
      <c r="I2301" s="232" t="s">
        <v>7536</v>
      </c>
      <c r="J2301" s="232"/>
    </row>
    <row r="2302" spans="1:10" hidden="1">
      <c r="A2302" s="232">
        <v>44272</v>
      </c>
      <c r="B2302" t="s">
        <v>7537</v>
      </c>
      <c r="C2302" t="s">
        <v>7538</v>
      </c>
      <c r="D2302"/>
      <c r="E2302">
        <v>3000</v>
      </c>
      <c r="F2302">
        <v>1061761.3</v>
      </c>
      <c r="H2302" t="s">
        <v>1336</v>
      </c>
      <c r="I2302" s="232" t="s">
        <v>7539</v>
      </c>
      <c r="J2302" s="232"/>
    </row>
    <row r="2303" spans="1:10" hidden="1">
      <c r="A2303" s="232">
        <v>44273</v>
      </c>
      <c r="B2303" t="s">
        <v>7540</v>
      </c>
      <c r="C2303" t="s">
        <v>7541</v>
      </c>
      <c r="D2303">
        <v>500</v>
      </c>
      <c r="F2303">
        <v>1061261.3</v>
      </c>
      <c r="H2303" t="s">
        <v>1336</v>
      </c>
      <c r="I2303" s="232" t="s">
        <v>7542</v>
      </c>
      <c r="J2303" s="232"/>
    </row>
    <row r="2304" spans="1:10" hidden="1">
      <c r="A2304" s="232">
        <v>44273</v>
      </c>
      <c r="B2304" t="s">
        <v>7543</v>
      </c>
      <c r="C2304" t="s">
        <v>7544</v>
      </c>
      <c r="D2304">
        <v>500</v>
      </c>
      <c r="F2304">
        <v>1060761.3</v>
      </c>
      <c r="H2304" t="s">
        <v>1336</v>
      </c>
      <c r="I2304" s="232" t="s">
        <v>7542</v>
      </c>
      <c r="J2304" s="232"/>
    </row>
    <row r="2305" spans="1:10" hidden="1">
      <c r="A2305" s="232">
        <v>44274</v>
      </c>
      <c r="B2305" t="s">
        <v>7545</v>
      </c>
      <c r="C2305" t="s">
        <v>7546</v>
      </c>
      <c r="D2305">
        <v>769</v>
      </c>
      <c r="F2305">
        <v>1059992.3</v>
      </c>
      <c r="H2305" t="s">
        <v>1336</v>
      </c>
      <c r="I2305" s="232" t="s">
        <v>7547</v>
      </c>
      <c r="J2305" s="232"/>
    </row>
    <row r="2306" spans="1:10" hidden="1">
      <c r="A2306" s="232">
        <v>44274</v>
      </c>
      <c r="B2306" t="s">
        <v>7548</v>
      </c>
      <c r="C2306" t="s">
        <v>7549</v>
      </c>
      <c r="D2306">
        <v>250</v>
      </c>
      <c r="F2306">
        <v>1059742.3</v>
      </c>
      <c r="H2306" t="s">
        <v>1336</v>
      </c>
      <c r="I2306" s="232" t="s">
        <v>7547</v>
      </c>
      <c r="J2306" s="232"/>
    </row>
    <row r="2307" spans="1:10" hidden="1">
      <c r="A2307" s="232">
        <v>44274</v>
      </c>
      <c r="B2307" t="s">
        <v>7550</v>
      </c>
      <c r="C2307" t="s">
        <v>7551</v>
      </c>
      <c r="D2307">
        <v>113</v>
      </c>
      <c r="F2307">
        <v>1059629.3</v>
      </c>
      <c r="H2307" t="s">
        <v>1336</v>
      </c>
      <c r="I2307" s="232" t="s">
        <v>7547</v>
      </c>
      <c r="J2307" s="232"/>
    </row>
    <row r="2308" spans="1:10" hidden="1">
      <c r="A2308" s="232">
        <v>44276</v>
      </c>
      <c r="B2308" t="s">
        <v>6682</v>
      </c>
      <c r="C2308" t="s">
        <v>7552</v>
      </c>
      <c r="D2308">
        <v>13900</v>
      </c>
      <c r="F2308">
        <v>1045729.3</v>
      </c>
      <c r="G2308" s="8" t="s">
        <v>1379</v>
      </c>
      <c r="H2308" t="s">
        <v>1336</v>
      </c>
      <c r="I2308" s="232" t="s">
        <v>7553</v>
      </c>
      <c r="J2308" s="232"/>
    </row>
    <row r="2309" spans="1:10" hidden="1">
      <c r="A2309" s="232">
        <v>44276</v>
      </c>
      <c r="B2309" t="s">
        <v>7554</v>
      </c>
      <c r="C2309" t="s">
        <v>7555</v>
      </c>
      <c r="D2309">
        <v>2066</v>
      </c>
      <c r="F2309">
        <v>1043663.3</v>
      </c>
      <c r="H2309" t="s">
        <v>1336</v>
      </c>
      <c r="I2309" s="232" t="s">
        <v>7553</v>
      </c>
      <c r="J2309" s="232"/>
    </row>
    <row r="2310" spans="1:10" hidden="1">
      <c r="A2310" s="232">
        <v>44276</v>
      </c>
      <c r="B2310" t="s">
        <v>7556</v>
      </c>
      <c r="C2310" t="s">
        <v>7557</v>
      </c>
      <c r="D2310">
        <v>1349</v>
      </c>
      <c r="F2310">
        <v>1042314.3</v>
      </c>
      <c r="H2310" t="s">
        <v>1336</v>
      </c>
      <c r="I2310" s="232" t="s">
        <v>7553</v>
      </c>
      <c r="J2310" s="232"/>
    </row>
    <row r="2311" spans="1:10" hidden="1">
      <c r="A2311" s="232">
        <v>44276</v>
      </c>
      <c r="B2311" t="s">
        <v>7558</v>
      </c>
      <c r="C2311" t="s">
        <v>7559</v>
      </c>
      <c r="D2311">
        <v>147</v>
      </c>
      <c r="F2311">
        <v>1042167.3</v>
      </c>
      <c r="H2311" t="s">
        <v>1336</v>
      </c>
      <c r="I2311" s="232" t="s">
        <v>7553</v>
      </c>
      <c r="J2311" s="232"/>
    </row>
    <row r="2312" spans="1:10" hidden="1">
      <c r="A2312" s="232">
        <v>44277</v>
      </c>
      <c r="B2312" t="s">
        <v>7560</v>
      </c>
      <c r="C2312" t="s">
        <v>7561</v>
      </c>
      <c r="D2312">
        <v>421</v>
      </c>
      <c r="F2312">
        <v>1041746.3</v>
      </c>
      <c r="H2312" t="s">
        <v>1336</v>
      </c>
      <c r="I2312" s="232" t="s">
        <v>7562</v>
      </c>
      <c r="J2312" s="232"/>
    </row>
    <row r="2313" spans="1:10" hidden="1">
      <c r="A2313" s="232">
        <v>44277</v>
      </c>
      <c r="B2313" t="s">
        <v>7563</v>
      </c>
      <c r="C2313" t="s">
        <v>7564</v>
      </c>
      <c r="D2313">
        <v>10</v>
      </c>
      <c r="F2313">
        <v>1041736.3</v>
      </c>
      <c r="H2313" t="s">
        <v>1336</v>
      </c>
      <c r="I2313" s="232" t="s">
        <v>7562</v>
      </c>
      <c r="J2313" s="232"/>
    </row>
    <row r="2314" spans="1:10" hidden="1">
      <c r="A2314" s="232">
        <v>44278</v>
      </c>
      <c r="B2314" t="s">
        <v>7565</v>
      </c>
      <c r="C2314" t="s">
        <v>7566</v>
      </c>
      <c r="D2314" s="69">
        <v>32000</v>
      </c>
      <c r="F2314">
        <v>1009736.3</v>
      </c>
      <c r="G2314" s="8" t="s">
        <v>1372</v>
      </c>
      <c r="H2314" t="s">
        <v>1336</v>
      </c>
      <c r="I2314" s="232" t="s">
        <v>7567</v>
      </c>
      <c r="J2314" s="232"/>
    </row>
    <row r="2315" spans="1:10" hidden="1">
      <c r="A2315" s="232">
        <v>44280</v>
      </c>
      <c r="B2315" t="s">
        <v>7568</v>
      </c>
      <c r="C2315" t="s">
        <v>7569</v>
      </c>
      <c r="D2315" s="69">
        <v>10250</v>
      </c>
      <c r="F2315">
        <v>999486.3</v>
      </c>
      <c r="G2315" s="8" t="s">
        <v>1372</v>
      </c>
      <c r="H2315" t="s">
        <v>1336</v>
      </c>
      <c r="I2315" s="232" t="s">
        <v>7570</v>
      </c>
      <c r="J2315" s="232"/>
    </row>
    <row r="2316" spans="1:10" hidden="1">
      <c r="A2316" s="232">
        <v>44281</v>
      </c>
      <c r="B2316" t="s">
        <v>7571</v>
      </c>
      <c r="C2316" t="s">
        <v>7572</v>
      </c>
      <c r="D2316"/>
      <c r="E2316">
        <v>3</v>
      </c>
      <c r="F2316">
        <v>999489.3</v>
      </c>
      <c r="H2316" t="s">
        <v>1336</v>
      </c>
      <c r="I2316" s="232" t="s">
        <v>7573</v>
      </c>
      <c r="J2316" s="232"/>
    </row>
    <row r="2317" spans="1:10" hidden="1">
      <c r="A2317" s="232">
        <v>44281</v>
      </c>
      <c r="B2317" t="s">
        <v>7574</v>
      </c>
      <c r="C2317" t="s">
        <v>7575</v>
      </c>
      <c r="D2317"/>
      <c r="E2317">
        <v>6</v>
      </c>
      <c r="F2317">
        <v>999495.3</v>
      </c>
      <c r="H2317" t="s">
        <v>1336</v>
      </c>
      <c r="I2317" s="232" t="s">
        <v>7573</v>
      </c>
      <c r="J2317" s="232"/>
    </row>
    <row r="2318" spans="1:10" hidden="1">
      <c r="A2318" s="232">
        <v>44281</v>
      </c>
      <c r="B2318" t="s">
        <v>7576</v>
      </c>
      <c r="C2318" t="s">
        <v>7577</v>
      </c>
      <c r="D2318"/>
      <c r="E2318">
        <v>3</v>
      </c>
      <c r="F2318">
        <v>999498.3</v>
      </c>
      <c r="H2318" t="s">
        <v>1336</v>
      </c>
      <c r="I2318" s="232" t="s">
        <v>7573</v>
      </c>
      <c r="J2318" s="232"/>
    </row>
    <row r="2319" spans="1:10" hidden="1">
      <c r="A2319" s="232">
        <v>44281</v>
      </c>
      <c r="B2319" t="s">
        <v>7578</v>
      </c>
      <c r="C2319" t="s">
        <v>7579</v>
      </c>
      <c r="D2319"/>
      <c r="E2319">
        <v>500000</v>
      </c>
      <c r="F2319">
        <v>1499498.3</v>
      </c>
      <c r="G2319" s="8" t="s">
        <v>1384</v>
      </c>
      <c r="H2319" t="s">
        <v>1336</v>
      </c>
      <c r="I2319" s="232" t="s">
        <v>7573</v>
      </c>
      <c r="J2319" s="232"/>
    </row>
    <row r="2320" spans="1:10" hidden="1">
      <c r="A2320" s="232">
        <v>44282</v>
      </c>
      <c r="B2320" t="s">
        <v>7580</v>
      </c>
      <c r="C2320" t="s">
        <v>7581</v>
      </c>
      <c r="D2320">
        <v>4000</v>
      </c>
      <c r="F2320">
        <v>1495498.3</v>
      </c>
      <c r="H2320" t="s">
        <v>1336</v>
      </c>
      <c r="I2320" s="232" t="s">
        <v>7582</v>
      </c>
      <c r="J2320" s="232"/>
    </row>
    <row r="2321" spans="1:10" hidden="1">
      <c r="A2321" s="232">
        <v>44282</v>
      </c>
      <c r="B2321" t="s">
        <v>7583</v>
      </c>
      <c r="C2321" t="s">
        <v>7584</v>
      </c>
      <c r="D2321">
        <v>186</v>
      </c>
      <c r="F2321">
        <v>1495312.3</v>
      </c>
      <c r="H2321" t="s">
        <v>1336</v>
      </c>
      <c r="I2321" s="232" t="s">
        <v>7582</v>
      </c>
      <c r="J2321" s="232"/>
    </row>
    <row r="2322" spans="1:10" hidden="1">
      <c r="A2322" s="232">
        <v>44283</v>
      </c>
      <c r="B2322" t="s">
        <v>7585</v>
      </c>
      <c r="C2322" t="s">
        <v>7586</v>
      </c>
      <c r="D2322">
        <v>170</v>
      </c>
      <c r="F2322">
        <v>1495142.3</v>
      </c>
      <c r="H2322" t="s">
        <v>1336</v>
      </c>
      <c r="I2322" s="232" t="s">
        <v>7587</v>
      </c>
      <c r="J2322" s="232"/>
    </row>
    <row r="2323" spans="1:10" hidden="1">
      <c r="A2323" s="232">
        <v>44284</v>
      </c>
      <c r="B2323" t="s">
        <v>7588</v>
      </c>
      <c r="C2323" t="s">
        <v>7589</v>
      </c>
      <c r="D2323">
        <v>281</v>
      </c>
      <c r="F2323">
        <v>1494861.3</v>
      </c>
      <c r="H2323" t="s">
        <v>1336</v>
      </c>
      <c r="I2323" s="232" t="s">
        <v>7590</v>
      </c>
      <c r="J2323" s="232"/>
    </row>
    <row r="2324" spans="1:10" hidden="1">
      <c r="A2324" s="232">
        <v>44286</v>
      </c>
      <c r="B2324" t="s">
        <v>7591</v>
      </c>
      <c r="C2324" t="s">
        <v>7592</v>
      </c>
      <c r="D2324">
        <v>4249</v>
      </c>
      <c r="F2324">
        <v>1490612.3</v>
      </c>
      <c r="H2324" t="s">
        <v>1336</v>
      </c>
      <c r="I2324" s="232" t="s">
        <v>7593</v>
      </c>
      <c r="J2324" s="232"/>
    </row>
    <row r="2325" spans="1:10" hidden="1">
      <c r="A2325" s="232">
        <v>44286</v>
      </c>
      <c r="B2325" t="s">
        <v>7594</v>
      </c>
      <c r="C2325" t="s">
        <v>7595</v>
      </c>
      <c r="D2325">
        <v>70</v>
      </c>
      <c r="F2325">
        <v>1490542.3</v>
      </c>
      <c r="H2325" t="s">
        <v>1336</v>
      </c>
      <c r="I2325" s="232" t="s">
        <v>7593</v>
      </c>
      <c r="J2325" s="232"/>
    </row>
    <row r="2326" spans="1:10" hidden="1">
      <c r="A2326" s="232">
        <v>44287</v>
      </c>
      <c r="B2326" t="s">
        <v>6682</v>
      </c>
      <c r="C2326" t="s">
        <v>4256</v>
      </c>
      <c r="D2326"/>
      <c r="E2326">
        <v>8303</v>
      </c>
      <c r="F2326">
        <v>1498845.3</v>
      </c>
      <c r="G2326" s="8" t="s">
        <v>1368</v>
      </c>
      <c r="H2326" t="s">
        <v>1336</v>
      </c>
      <c r="I2326" s="232" t="s">
        <v>7596</v>
      </c>
      <c r="J2326" s="232"/>
    </row>
    <row r="2327" spans="1:10" hidden="1">
      <c r="A2327" s="234">
        <v>44287</v>
      </c>
      <c r="C2327" s="228" t="s">
        <v>7597</v>
      </c>
      <c r="D2327" s="228">
        <v>1444</v>
      </c>
      <c r="E2327" s="228"/>
      <c r="H2327" t="s">
        <v>1336</v>
      </c>
      <c r="I2327" s="234" t="s">
        <v>7596</v>
      </c>
      <c r="J2327" s="232"/>
    </row>
    <row r="2328" spans="1:10" hidden="1">
      <c r="A2328" s="234">
        <v>44288</v>
      </c>
      <c r="C2328" s="228" t="s">
        <v>7598</v>
      </c>
      <c r="D2328" s="228">
        <v>3500</v>
      </c>
      <c r="E2328" s="228"/>
      <c r="H2328" t="s">
        <v>1336</v>
      </c>
      <c r="I2328" s="234" t="s">
        <v>7599</v>
      </c>
      <c r="J2328" s="232"/>
    </row>
    <row r="2329" spans="1:10" hidden="1">
      <c r="A2329" s="234">
        <v>44288</v>
      </c>
      <c r="C2329" s="228" t="s">
        <v>7600</v>
      </c>
      <c r="D2329" s="228">
        <v>2000</v>
      </c>
      <c r="E2329" s="228"/>
      <c r="H2329" t="s">
        <v>1336</v>
      </c>
      <c r="I2329" s="234" t="s">
        <v>7599</v>
      </c>
      <c r="J2329" s="232"/>
    </row>
    <row r="2330" spans="1:10" hidden="1">
      <c r="A2330" s="234">
        <v>44288</v>
      </c>
      <c r="C2330" s="228" t="s">
        <v>7601</v>
      </c>
      <c r="D2330" s="228">
        <v>1000</v>
      </c>
      <c r="E2330" s="228"/>
      <c r="H2330" t="s">
        <v>1336</v>
      </c>
      <c r="I2330" s="234" t="s">
        <v>7599</v>
      </c>
      <c r="J2330" s="232"/>
    </row>
    <row r="2331" spans="1:10" hidden="1">
      <c r="A2331" s="234">
        <v>44288</v>
      </c>
      <c r="C2331" s="228" t="s">
        <v>7602</v>
      </c>
      <c r="D2331" s="228">
        <v>1200</v>
      </c>
      <c r="E2331" s="228"/>
      <c r="H2331" t="s">
        <v>1336</v>
      </c>
      <c r="I2331" s="234" t="s">
        <v>7599</v>
      </c>
      <c r="J2331" s="232"/>
    </row>
    <row r="2332" spans="1:10" hidden="1">
      <c r="A2332" s="234">
        <v>44288</v>
      </c>
      <c r="C2332" s="228" t="s">
        <v>7603</v>
      </c>
      <c r="D2332" s="228">
        <v>1268.5</v>
      </c>
      <c r="E2332" s="228"/>
      <c r="H2332" t="s">
        <v>1336</v>
      </c>
      <c r="I2332" s="234" t="s">
        <v>7599</v>
      </c>
      <c r="J2332" s="232"/>
    </row>
    <row r="2333" spans="1:10" hidden="1">
      <c r="A2333" s="234">
        <v>44288</v>
      </c>
      <c r="C2333" s="228" t="s">
        <v>7604</v>
      </c>
      <c r="D2333" s="228">
        <v>3000</v>
      </c>
      <c r="E2333" s="228"/>
      <c r="H2333" t="s">
        <v>1336</v>
      </c>
      <c r="I2333" s="234" t="s">
        <v>7599</v>
      </c>
      <c r="J2333" s="232"/>
    </row>
    <row r="2334" spans="1:10" hidden="1">
      <c r="A2334" s="234">
        <v>44289</v>
      </c>
      <c r="C2334" s="228" t="s">
        <v>7605</v>
      </c>
      <c r="D2334" s="323">
        <v>10250</v>
      </c>
      <c r="E2334" s="228"/>
      <c r="G2334" s="8" t="s">
        <v>1372</v>
      </c>
      <c r="H2334" t="s">
        <v>1336</v>
      </c>
      <c r="I2334" s="234" t="s">
        <v>7606</v>
      </c>
      <c r="J2334" s="232"/>
    </row>
    <row r="2335" spans="1:10" hidden="1">
      <c r="A2335" s="234">
        <v>44289</v>
      </c>
      <c r="C2335" s="228" t="s">
        <v>7607</v>
      </c>
      <c r="D2335" s="228">
        <v>838</v>
      </c>
      <c r="E2335" s="228"/>
      <c r="H2335" t="s">
        <v>1336</v>
      </c>
      <c r="I2335" s="234" t="s">
        <v>7606</v>
      </c>
      <c r="J2335" s="232"/>
    </row>
    <row r="2336" spans="1:10" hidden="1">
      <c r="A2336" s="234">
        <v>44289</v>
      </c>
      <c r="C2336" s="228" t="s">
        <v>7608</v>
      </c>
      <c r="D2336" s="228">
        <v>2999</v>
      </c>
      <c r="E2336" s="228"/>
      <c r="H2336" t="s">
        <v>1336</v>
      </c>
      <c r="I2336" s="234" t="s">
        <v>7606</v>
      </c>
      <c r="J2336" s="232"/>
    </row>
    <row r="2337" spans="1:10" hidden="1">
      <c r="A2337" s="234">
        <v>44290</v>
      </c>
      <c r="C2337" s="228" t="s">
        <v>7609</v>
      </c>
      <c r="D2337" s="228">
        <v>270</v>
      </c>
      <c r="E2337" s="228"/>
      <c r="H2337" t="s">
        <v>1336</v>
      </c>
      <c r="I2337" s="234" t="s">
        <v>7610</v>
      </c>
      <c r="J2337" s="232"/>
    </row>
    <row r="2338" spans="1:10" hidden="1">
      <c r="A2338" s="234">
        <v>44291</v>
      </c>
      <c r="C2338" s="228" t="s">
        <v>6583</v>
      </c>
      <c r="D2338" s="228">
        <v>44156</v>
      </c>
      <c r="E2338" s="228"/>
      <c r="G2338" s="8" t="s">
        <v>1362</v>
      </c>
      <c r="H2338" t="s">
        <v>1336</v>
      </c>
      <c r="I2338" s="234" t="s">
        <v>7611</v>
      </c>
      <c r="J2338" s="232"/>
    </row>
    <row r="2339" spans="1:10" hidden="1">
      <c r="A2339" s="234">
        <v>44291</v>
      </c>
      <c r="C2339" s="228" t="s">
        <v>7612</v>
      </c>
      <c r="D2339" s="228">
        <v>540</v>
      </c>
      <c r="E2339" s="228"/>
      <c r="H2339" t="s">
        <v>1336</v>
      </c>
      <c r="I2339" s="234" t="s">
        <v>7611</v>
      </c>
      <c r="J2339" s="232"/>
    </row>
    <row r="2340" spans="1:10" hidden="1">
      <c r="A2340" s="234">
        <v>44292</v>
      </c>
      <c r="C2340" s="228" t="s">
        <v>7613</v>
      </c>
      <c r="D2340" s="228">
        <v>3273</v>
      </c>
      <c r="E2340" s="228"/>
      <c r="H2340" t="s">
        <v>1336</v>
      </c>
      <c r="I2340" s="234" t="s">
        <v>7614</v>
      </c>
      <c r="J2340" s="232"/>
    </row>
    <row r="2341" spans="1:10" hidden="1">
      <c r="A2341" s="234">
        <v>44292</v>
      </c>
      <c r="C2341" s="228" t="s">
        <v>7615</v>
      </c>
      <c r="D2341" s="228">
        <v>1000</v>
      </c>
      <c r="E2341" s="228"/>
      <c r="H2341" t="s">
        <v>1336</v>
      </c>
      <c r="I2341" s="234" t="s">
        <v>7614</v>
      </c>
      <c r="J2341" s="232"/>
    </row>
    <row r="2342" spans="1:10" hidden="1">
      <c r="A2342" s="234">
        <v>44292</v>
      </c>
      <c r="C2342" s="228" t="s">
        <v>7616</v>
      </c>
      <c r="D2342" s="228">
        <v>3264</v>
      </c>
      <c r="E2342" s="228"/>
      <c r="H2342" t="s">
        <v>1336</v>
      </c>
      <c r="I2342" s="234" t="s">
        <v>7614</v>
      </c>
      <c r="J2342" s="232"/>
    </row>
    <row r="2343" spans="1:10" hidden="1">
      <c r="A2343" s="234">
        <v>44293</v>
      </c>
      <c r="C2343" s="228" t="s">
        <v>7617</v>
      </c>
      <c r="D2343" s="228">
        <v>484</v>
      </c>
      <c r="E2343" s="228"/>
      <c r="H2343" t="s">
        <v>1336</v>
      </c>
      <c r="I2343" s="234" t="s">
        <v>7618</v>
      </c>
      <c r="J2343" s="232"/>
    </row>
    <row r="2344" spans="1:10" hidden="1">
      <c r="A2344" s="234">
        <v>44294</v>
      </c>
      <c r="C2344" s="228" t="s">
        <v>7619</v>
      </c>
      <c r="D2344" s="323">
        <v>10250</v>
      </c>
      <c r="E2344" s="228"/>
      <c r="G2344" s="8" t="s">
        <v>1372</v>
      </c>
      <c r="H2344" t="s">
        <v>1336</v>
      </c>
      <c r="I2344" s="234" t="s">
        <v>7620</v>
      </c>
      <c r="J2344" s="232"/>
    </row>
    <row r="2345" spans="1:10" hidden="1">
      <c r="A2345" s="234">
        <v>44294</v>
      </c>
      <c r="C2345" s="228" t="s">
        <v>7621</v>
      </c>
      <c r="D2345" s="228">
        <v>1000</v>
      </c>
      <c r="E2345" s="228"/>
      <c r="H2345" t="s">
        <v>1336</v>
      </c>
      <c r="I2345" s="234" t="s">
        <v>7620</v>
      </c>
      <c r="J2345" s="232"/>
    </row>
    <row r="2346" spans="1:10" hidden="1">
      <c r="A2346" s="234">
        <v>44295</v>
      </c>
      <c r="C2346" s="228" t="s">
        <v>7622</v>
      </c>
      <c r="D2346" s="228">
        <v>15000</v>
      </c>
      <c r="E2346" s="228"/>
      <c r="G2346" s="8" t="s">
        <v>1379</v>
      </c>
      <c r="H2346" t="s">
        <v>1336</v>
      </c>
      <c r="I2346" s="234" t="s">
        <v>7623</v>
      </c>
      <c r="J2346" s="232"/>
    </row>
    <row r="2347" spans="1:10" hidden="1">
      <c r="A2347" s="234">
        <v>44295</v>
      </c>
      <c r="C2347" s="228" t="s">
        <v>7624</v>
      </c>
      <c r="D2347" s="228">
        <v>10000</v>
      </c>
      <c r="E2347" s="228"/>
      <c r="G2347" s="8" t="s">
        <v>1379</v>
      </c>
      <c r="H2347" t="s">
        <v>1336</v>
      </c>
      <c r="I2347" s="234" t="s">
        <v>7623</v>
      </c>
      <c r="J2347" s="232"/>
    </row>
    <row r="2348" spans="1:10" hidden="1">
      <c r="A2348" s="234">
        <v>44295</v>
      </c>
      <c r="C2348" s="228" t="s">
        <v>7625</v>
      </c>
      <c r="D2348" s="228">
        <v>20</v>
      </c>
      <c r="E2348" s="228"/>
      <c r="H2348" t="s">
        <v>1336</v>
      </c>
      <c r="I2348" s="234" t="s">
        <v>7623</v>
      </c>
      <c r="J2348" s="232"/>
    </row>
    <row r="2349" spans="1:10" hidden="1">
      <c r="A2349" s="234">
        <v>44296</v>
      </c>
      <c r="C2349" s="228" t="s">
        <v>7626</v>
      </c>
      <c r="D2349" s="228">
        <v>275</v>
      </c>
      <c r="E2349" s="228"/>
      <c r="H2349" t="s">
        <v>1336</v>
      </c>
      <c r="I2349" s="234" t="s">
        <v>7627</v>
      </c>
      <c r="J2349" s="232"/>
    </row>
    <row r="2350" spans="1:10" hidden="1">
      <c r="A2350" s="234">
        <v>44297</v>
      </c>
      <c r="C2350" s="228" t="s">
        <v>7628</v>
      </c>
      <c r="D2350" s="228">
        <v>252</v>
      </c>
      <c r="E2350" s="228"/>
      <c r="H2350" t="s">
        <v>1336</v>
      </c>
      <c r="I2350" s="234" t="s">
        <v>7629</v>
      </c>
      <c r="J2350" s="232"/>
    </row>
    <row r="2351" spans="1:10" hidden="1">
      <c r="A2351" s="234">
        <v>44297</v>
      </c>
      <c r="C2351" s="228" t="s">
        <v>7630</v>
      </c>
      <c r="D2351" s="228">
        <v>1000</v>
      </c>
      <c r="E2351" s="228"/>
      <c r="H2351" t="s">
        <v>1336</v>
      </c>
      <c r="I2351" s="234" t="s">
        <v>7629</v>
      </c>
      <c r="J2351" s="232"/>
    </row>
    <row r="2352" spans="1:10" hidden="1">
      <c r="A2352" s="234">
        <v>44298</v>
      </c>
      <c r="C2352" s="228" t="s">
        <v>7631</v>
      </c>
      <c r="D2352" s="228">
        <v>1200</v>
      </c>
      <c r="E2352" s="228"/>
      <c r="H2352" t="s">
        <v>1336</v>
      </c>
      <c r="I2352" s="234" t="s">
        <v>7632</v>
      </c>
      <c r="J2352" s="232"/>
    </row>
    <row r="2353" spans="1:10" hidden="1">
      <c r="A2353" s="234">
        <v>44300</v>
      </c>
      <c r="C2353" s="228" t="s">
        <v>7633</v>
      </c>
      <c r="D2353" s="228">
        <v>315</v>
      </c>
      <c r="E2353" s="228"/>
      <c r="H2353" t="s">
        <v>1336</v>
      </c>
      <c r="I2353" s="234" t="s">
        <v>7634</v>
      </c>
      <c r="J2353" s="232"/>
    </row>
    <row r="2354" spans="1:10" hidden="1">
      <c r="A2354" s="234">
        <v>44300</v>
      </c>
      <c r="C2354" s="228" t="s">
        <v>7635</v>
      </c>
      <c r="D2354" s="228">
        <v>1120</v>
      </c>
      <c r="E2354" s="228"/>
      <c r="H2354" t="s">
        <v>1336</v>
      </c>
      <c r="I2354" s="234" t="s">
        <v>7634</v>
      </c>
      <c r="J2354" s="232"/>
    </row>
    <row r="2355" spans="1:10" hidden="1">
      <c r="A2355" s="234">
        <v>44300</v>
      </c>
      <c r="C2355" s="228" t="s">
        <v>7636</v>
      </c>
      <c r="D2355" s="228">
        <v>220</v>
      </c>
      <c r="E2355" s="228"/>
      <c r="H2355" t="s">
        <v>1336</v>
      </c>
      <c r="I2355" s="234" t="s">
        <v>7634</v>
      </c>
      <c r="J2355" s="232"/>
    </row>
    <row r="2356" spans="1:10" hidden="1">
      <c r="A2356" s="234">
        <v>44301</v>
      </c>
      <c r="C2356" s="228" t="s">
        <v>7637</v>
      </c>
      <c r="D2356" s="323">
        <v>10250</v>
      </c>
      <c r="E2356" s="228"/>
      <c r="G2356" s="8" t="s">
        <v>1372</v>
      </c>
      <c r="H2356" t="s">
        <v>1336</v>
      </c>
      <c r="I2356" s="234" t="s">
        <v>7638</v>
      </c>
      <c r="J2356" s="232"/>
    </row>
    <row r="2357" spans="1:10" hidden="1">
      <c r="A2357" s="234">
        <v>44301</v>
      </c>
      <c r="C2357" s="228" t="s">
        <v>7639</v>
      </c>
      <c r="D2357" s="228">
        <v>351</v>
      </c>
      <c r="E2357" s="228"/>
      <c r="H2357" t="s">
        <v>1336</v>
      </c>
      <c r="I2357" s="234" t="s">
        <v>7638</v>
      </c>
      <c r="J2357" s="232"/>
    </row>
    <row r="2358" spans="1:10" hidden="1">
      <c r="A2358" s="234">
        <v>44301</v>
      </c>
      <c r="C2358" s="228" t="s">
        <v>7640</v>
      </c>
      <c r="D2358" s="323">
        <v>10000</v>
      </c>
      <c r="E2358" s="228"/>
      <c r="G2358" s="8" t="s">
        <v>1372</v>
      </c>
      <c r="H2358" t="s">
        <v>1336</v>
      </c>
      <c r="I2358" s="234" t="s">
        <v>7638</v>
      </c>
      <c r="J2358" s="232"/>
    </row>
    <row r="2359" spans="1:10" hidden="1">
      <c r="A2359" s="234">
        <v>44301</v>
      </c>
      <c r="C2359" s="228" t="s">
        <v>7641</v>
      </c>
      <c r="D2359" s="228">
        <v>200</v>
      </c>
      <c r="E2359" s="228"/>
      <c r="H2359" t="s">
        <v>1336</v>
      </c>
      <c r="I2359" s="234" t="s">
        <v>7638</v>
      </c>
      <c r="J2359" s="232"/>
    </row>
    <row r="2360" spans="1:10" hidden="1">
      <c r="A2360" s="234">
        <v>44302</v>
      </c>
      <c r="C2360" s="228" t="s">
        <v>7642</v>
      </c>
      <c r="D2360" s="228">
        <v>1000</v>
      </c>
      <c r="E2360" s="228"/>
      <c r="H2360" t="s">
        <v>1336</v>
      </c>
      <c r="I2360" s="234" t="s">
        <v>7643</v>
      </c>
      <c r="J2360" s="232"/>
    </row>
    <row r="2361" spans="1:10" hidden="1">
      <c r="A2361" s="234">
        <v>44303</v>
      </c>
      <c r="C2361" s="228" t="s">
        <v>7644</v>
      </c>
      <c r="D2361" s="228">
        <v>209.01</v>
      </c>
      <c r="E2361" s="228"/>
      <c r="H2361" t="s">
        <v>1336</v>
      </c>
      <c r="I2361" s="234" t="s">
        <v>7645</v>
      </c>
      <c r="J2361" s="232"/>
    </row>
    <row r="2362" spans="1:10" hidden="1">
      <c r="A2362" s="234">
        <v>44303</v>
      </c>
      <c r="C2362" s="228" t="s">
        <v>7646</v>
      </c>
      <c r="D2362" s="228">
        <v>1042</v>
      </c>
      <c r="E2362" s="228"/>
      <c r="H2362" t="s">
        <v>1336</v>
      </c>
      <c r="I2362" s="234" t="s">
        <v>7645</v>
      </c>
      <c r="J2362" s="232"/>
    </row>
    <row r="2363" spans="1:10" hidden="1">
      <c r="A2363" s="234">
        <v>44303</v>
      </c>
      <c r="C2363" s="228" t="s">
        <v>7647</v>
      </c>
      <c r="D2363" s="228">
        <v>1399</v>
      </c>
      <c r="E2363" s="228"/>
      <c r="H2363" t="s">
        <v>1336</v>
      </c>
      <c r="I2363" s="234" t="s">
        <v>7645</v>
      </c>
      <c r="J2363" s="232"/>
    </row>
    <row r="2364" spans="1:10" hidden="1">
      <c r="A2364" s="234">
        <v>44303</v>
      </c>
      <c r="C2364" s="228" t="s">
        <v>7648</v>
      </c>
      <c r="D2364" s="228">
        <v>650</v>
      </c>
      <c r="E2364" s="228"/>
      <c r="H2364" t="s">
        <v>1336</v>
      </c>
      <c r="I2364" s="234" t="s">
        <v>7645</v>
      </c>
      <c r="J2364" s="232"/>
    </row>
    <row r="2365" spans="1:10" hidden="1">
      <c r="A2365" s="234">
        <v>44303</v>
      </c>
      <c r="C2365" s="228" t="s">
        <v>7649</v>
      </c>
      <c r="D2365" s="228"/>
      <c r="E2365" s="228">
        <v>4</v>
      </c>
      <c r="H2365" t="s">
        <v>1336</v>
      </c>
      <c r="I2365" s="234" t="s">
        <v>7645</v>
      </c>
      <c r="J2365" s="232"/>
    </row>
    <row r="2366" spans="1:10" hidden="1">
      <c r="A2366" s="234">
        <v>44303</v>
      </c>
      <c r="C2366" s="228" t="s">
        <v>7650</v>
      </c>
      <c r="D2366" s="228"/>
      <c r="E2366" s="228">
        <v>2</v>
      </c>
      <c r="H2366" t="s">
        <v>1336</v>
      </c>
      <c r="I2366" s="234" t="s">
        <v>7645</v>
      </c>
      <c r="J2366" s="232"/>
    </row>
    <row r="2367" spans="1:10" hidden="1">
      <c r="A2367" s="234">
        <v>44303</v>
      </c>
      <c r="C2367" s="228" t="s">
        <v>7651</v>
      </c>
      <c r="D2367" s="228"/>
      <c r="E2367" s="228">
        <v>6</v>
      </c>
      <c r="H2367" t="s">
        <v>1336</v>
      </c>
      <c r="I2367" s="234" t="s">
        <v>7645</v>
      </c>
      <c r="J2367" s="232"/>
    </row>
    <row r="2368" spans="1:10" hidden="1">
      <c r="A2368" s="234">
        <v>44304</v>
      </c>
      <c r="C2368" s="228" t="s">
        <v>7652</v>
      </c>
      <c r="D2368" s="228">
        <v>25000</v>
      </c>
      <c r="E2368" s="228"/>
      <c r="H2368" t="s">
        <v>1336</v>
      </c>
      <c r="I2368" s="234" t="s">
        <v>7653</v>
      </c>
      <c r="J2368" s="232"/>
    </row>
    <row r="2369" spans="1:10" hidden="1">
      <c r="A2369" s="234">
        <v>44305</v>
      </c>
      <c r="C2369" s="228" t="s">
        <v>7654</v>
      </c>
      <c r="D2369" s="228">
        <v>617</v>
      </c>
      <c r="E2369" s="228"/>
      <c r="H2369" t="s">
        <v>1336</v>
      </c>
      <c r="I2369" s="234" t="s">
        <v>7655</v>
      </c>
      <c r="J2369" s="232"/>
    </row>
    <row r="2370" spans="1:10" hidden="1">
      <c r="A2370" s="234">
        <v>44305</v>
      </c>
      <c r="C2370" s="228" t="s">
        <v>7656</v>
      </c>
      <c r="D2370" s="228">
        <v>300</v>
      </c>
      <c r="E2370" s="228"/>
      <c r="H2370" t="s">
        <v>1336</v>
      </c>
      <c r="I2370" s="234" t="s">
        <v>7655</v>
      </c>
      <c r="J2370" s="232"/>
    </row>
    <row r="2371" spans="1:10" hidden="1">
      <c r="A2371" s="234">
        <v>44306</v>
      </c>
      <c r="C2371" s="228" t="s">
        <v>7657</v>
      </c>
      <c r="D2371" s="228">
        <v>3000</v>
      </c>
      <c r="E2371" s="228"/>
      <c r="H2371" t="s">
        <v>1336</v>
      </c>
      <c r="I2371" s="234" t="s">
        <v>7658</v>
      </c>
      <c r="J2371" s="232"/>
    </row>
    <row r="2372" spans="1:10" hidden="1">
      <c r="A2372" s="234">
        <v>44306</v>
      </c>
      <c r="C2372" s="228" t="s">
        <v>7659</v>
      </c>
      <c r="D2372" s="228">
        <v>621</v>
      </c>
      <c r="E2372" s="228"/>
      <c r="H2372" t="s">
        <v>1336</v>
      </c>
      <c r="I2372" s="234" t="s">
        <v>7658</v>
      </c>
      <c r="J2372" s="232"/>
    </row>
    <row r="2373" spans="1:10" hidden="1">
      <c r="A2373" s="234">
        <v>44306</v>
      </c>
      <c r="C2373" s="228" t="s">
        <v>7660</v>
      </c>
      <c r="D2373" s="228"/>
      <c r="E2373" s="228">
        <v>209.01</v>
      </c>
      <c r="H2373" t="s">
        <v>1336</v>
      </c>
      <c r="I2373" s="234" t="s">
        <v>7658</v>
      </c>
      <c r="J2373" s="232"/>
    </row>
    <row r="2374" spans="1:10" hidden="1">
      <c r="A2374" s="234">
        <v>44307</v>
      </c>
      <c r="C2374" s="228" t="s">
        <v>7661</v>
      </c>
      <c r="D2374" s="228">
        <v>13900</v>
      </c>
      <c r="E2374" s="228"/>
      <c r="G2374" s="8" t="s">
        <v>1379</v>
      </c>
      <c r="H2374" t="s">
        <v>1336</v>
      </c>
      <c r="I2374" s="234" t="s">
        <v>7662</v>
      </c>
      <c r="J2374" s="232"/>
    </row>
    <row r="2375" spans="1:10" hidden="1">
      <c r="A2375" s="234">
        <v>44307</v>
      </c>
      <c r="C2375" s="228" t="s">
        <v>7663</v>
      </c>
      <c r="D2375" s="228">
        <v>130</v>
      </c>
      <c r="E2375" s="228"/>
      <c r="H2375" t="s">
        <v>1336</v>
      </c>
      <c r="I2375" s="234" t="s">
        <v>7662</v>
      </c>
      <c r="J2375" s="232"/>
    </row>
    <row r="2376" spans="1:10" hidden="1">
      <c r="A2376" s="234">
        <v>44308</v>
      </c>
      <c r="C2376" s="228" t="s">
        <v>7664</v>
      </c>
      <c r="D2376" s="323">
        <v>10250</v>
      </c>
      <c r="E2376" s="228"/>
      <c r="G2376" s="8" t="s">
        <v>1372</v>
      </c>
      <c r="H2376" t="s">
        <v>1336</v>
      </c>
      <c r="I2376" s="234" t="s">
        <v>7665</v>
      </c>
      <c r="J2376" s="232"/>
    </row>
    <row r="2377" spans="1:10" hidden="1">
      <c r="A2377" s="234">
        <v>44308</v>
      </c>
      <c r="C2377" s="228" t="s">
        <v>7666</v>
      </c>
      <c r="D2377" s="228">
        <v>800</v>
      </c>
      <c r="E2377" s="228"/>
      <c r="H2377" t="s">
        <v>1336</v>
      </c>
      <c r="I2377" s="234" t="s">
        <v>7665</v>
      </c>
      <c r="J2377" s="232"/>
    </row>
    <row r="2378" spans="1:10" hidden="1">
      <c r="A2378" s="234">
        <v>44308</v>
      </c>
      <c r="C2378" s="228" t="s">
        <v>7667</v>
      </c>
      <c r="D2378" s="228">
        <v>1467</v>
      </c>
      <c r="E2378" s="228"/>
      <c r="H2378" t="s">
        <v>1336</v>
      </c>
      <c r="I2378" s="234" t="s">
        <v>7665</v>
      </c>
      <c r="J2378" s="232"/>
    </row>
    <row r="2379" spans="1:10" hidden="1">
      <c r="A2379" s="234">
        <v>44311</v>
      </c>
      <c r="C2379" s="228" t="s">
        <v>7668</v>
      </c>
      <c r="D2379" s="228">
        <v>410</v>
      </c>
      <c r="E2379" s="228"/>
      <c r="H2379" t="s">
        <v>1336</v>
      </c>
      <c r="I2379" s="234" t="s">
        <v>7669</v>
      </c>
      <c r="J2379" s="232"/>
    </row>
    <row r="2380" spans="1:10" hidden="1">
      <c r="A2380" s="234">
        <v>44311</v>
      </c>
      <c r="C2380" s="228" t="s">
        <v>7670</v>
      </c>
      <c r="D2380" s="228">
        <v>100</v>
      </c>
      <c r="E2380" s="228"/>
      <c r="H2380" t="s">
        <v>1336</v>
      </c>
      <c r="I2380" s="234" t="s">
        <v>7669</v>
      </c>
      <c r="J2380" s="232"/>
    </row>
    <row r="2381" spans="1:10" hidden="1">
      <c r="A2381" s="234">
        <v>44312</v>
      </c>
      <c r="C2381" s="228" t="s">
        <v>7671</v>
      </c>
      <c r="D2381" s="228">
        <v>720</v>
      </c>
      <c r="E2381" s="228"/>
      <c r="H2381" t="s">
        <v>1336</v>
      </c>
      <c r="I2381" s="234" t="s">
        <v>7672</v>
      </c>
      <c r="J2381" s="232"/>
    </row>
    <row r="2382" spans="1:10" hidden="1">
      <c r="A2382" s="234">
        <v>44312</v>
      </c>
      <c r="C2382" s="228" t="s">
        <v>7673</v>
      </c>
      <c r="D2382" s="228"/>
      <c r="E2382" s="228">
        <v>4</v>
      </c>
      <c r="H2382" t="s">
        <v>1336</v>
      </c>
      <c r="I2382" s="234" t="s">
        <v>7672</v>
      </c>
      <c r="J2382" s="232"/>
    </row>
    <row r="2383" spans="1:10" hidden="1">
      <c r="A2383" s="234">
        <v>44312</v>
      </c>
      <c r="C2383" s="228" t="s">
        <v>7674</v>
      </c>
      <c r="D2383" s="228">
        <v>1200</v>
      </c>
      <c r="E2383" s="228"/>
      <c r="H2383" t="s">
        <v>1336</v>
      </c>
      <c r="I2383" s="234" t="s">
        <v>7672</v>
      </c>
      <c r="J2383" s="232"/>
    </row>
    <row r="2384" spans="1:10" hidden="1">
      <c r="A2384" s="234">
        <v>44312</v>
      </c>
      <c r="C2384" s="228" t="s">
        <v>7675</v>
      </c>
      <c r="D2384" s="228">
        <v>2034.1</v>
      </c>
      <c r="E2384" s="228"/>
      <c r="H2384" t="s">
        <v>1336</v>
      </c>
      <c r="I2384" s="234" t="s">
        <v>7672</v>
      </c>
      <c r="J2384" s="232"/>
    </row>
    <row r="2385" spans="1:10" hidden="1">
      <c r="A2385" s="234">
        <v>44313</v>
      </c>
      <c r="C2385" s="228" t="s">
        <v>7676</v>
      </c>
      <c r="D2385" s="228">
        <v>288</v>
      </c>
      <c r="E2385" s="228"/>
      <c r="H2385" t="s">
        <v>1336</v>
      </c>
      <c r="I2385" s="234" t="s">
        <v>7677</v>
      </c>
      <c r="J2385" s="232"/>
    </row>
    <row r="2386" spans="1:10" hidden="1">
      <c r="A2386" s="234">
        <v>44313</v>
      </c>
      <c r="C2386" s="228" t="s">
        <v>7678</v>
      </c>
      <c r="D2386" s="228">
        <v>1310</v>
      </c>
      <c r="E2386" s="228"/>
      <c r="H2386" t="s">
        <v>1336</v>
      </c>
      <c r="I2386" s="234" t="s">
        <v>7677</v>
      </c>
      <c r="J2386" s="232"/>
    </row>
    <row r="2387" spans="1:10" hidden="1">
      <c r="A2387" s="234">
        <v>44315</v>
      </c>
      <c r="C2387" s="228" t="s">
        <v>7679</v>
      </c>
      <c r="D2387" s="228">
        <v>2000</v>
      </c>
      <c r="E2387" s="228"/>
      <c r="H2387" t="s">
        <v>1336</v>
      </c>
      <c r="I2387" s="234" t="s">
        <v>7680</v>
      </c>
      <c r="J2387" s="232"/>
    </row>
    <row r="2388" spans="1:10" hidden="1">
      <c r="A2388" s="234">
        <v>44315</v>
      </c>
      <c r="C2388" s="228" t="s">
        <v>7681</v>
      </c>
      <c r="D2388" s="228">
        <v>1960</v>
      </c>
      <c r="E2388" s="228"/>
      <c r="H2388" t="s">
        <v>1336</v>
      </c>
      <c r="I2388" s="234" t="s">
        <v>7680</v>
      </c>
      <c r="J2388" s="232"/>
    </row>
    <row r="2389" spans="1:10" hidden="1">
      <c r="A2389" s="234">
        <v>44315</v>
      </c>
      <c r="C2389" s="228" t="s">
        <v>7682</v>
      </c>
      <c r="D2389" s="323">
        <v>10250</v>
      </c>
      <c r="E2389" s="228"/>
      <c r="G2389" s="8" t="s">
        <v>1372</v>
      </c>
      <c r="H2389" t="s">
        <v>1336</v>
      </c>
      <c r="I2389" s="234" t="s">
        <v>7680</v>
      </c>
      <c r="J2389" s="232"/>
    </row>
    <row r="2390" spans="1:10" hidden="1">
      <c r="A2390" s="234">
        <v>44315</v>
      </c>
      <c r="C2390" s="228" t="s">
        <v>7683</v>
      </c>
      <c r="D2390" s="228">
        <v>550</v>
      </c>
      <c r="E2390" s="228"/>
      <c r="H2390" t="s">
        <v>1336</v>
      </c>
      <c r="I2390" s="234" t="s">
        <v>7680</v>
      </c>
      <c r="J2390" s="232"/>
    </row>
    <row r="2391" spans="1:10" hidden="1">
      <c r="A2391" s="234">
        <v>44315</v>
      </c>
      <c r="C2391" s="228" t="s">
        <v>7684</v>
      </c>
      <c r="D2391" s="228">
        <v>724</v>
      </c>
      <c r="E2391" s="228"/>
      <c r="H2391" t="s">
        <v>1336</v>
      </c>
      <c r="I2391" s="234" t="s">
        <v>7680</v>
      </c>
      <c r="J2391" s="232"/>
    </row>
    <row r="2392" spans="1:10" hidden="1">
      <c r="A2392" s="234">
        <v>44315</v>
      </c>
      <c r="C2392" s="228" t="s">
        <v>7685</v>
      </c>
      <c r="D2392" s="228"/>
      <c r="E2392" s="228">
        <v>140000</v>
      </c>
      <c r="G2392" s="8" t="s">
        <v>1384</v>
      </c>
      <c r="H2392" t="s">
        <v>1336</v>
      </c>
      <c r="I2392" s="234" t="s">
        <v>7680</v>
      </c>
      <c r="J2392" s="232"/>
    </row>
    <row r="2393" spans="1:10" hidden="1">
      <c r="A2393" s="234">
        <v>44316</v>
      </c>
      <c r="C2393" s="228" t="s">
        <v>7686</v>
      </c>
      <c r="D2393" s="228">
        <v>212</v>
      </c>
      <c r="E2393" s="228"/>
      <c r="H2393" t="s">
        <v>1336</v>
      </c>
      <c r="I2393" s="234" t="s">
        <v>7687</v>
      </c>
      <c r="J2393" s="232"/>
    </row>
    <row r="2394" spans="1:10" hidden="1">
      <c r="A2394" s="234">
        <v>44316</v>
      </c>
      <c r="C2394" s="228" t="s">
        <v>7688</v>
      </c>
      <c r="D2394" s="228">
        <v>914.69</v>
      </c>
      <c r="E2394" s="228"/>
      <c r="H2394" t="s">
        <v>1336</v>
      </c>
      <c r="I2394" s="234" t="s">
        <v>7687</v>
      </c>
      <c r="J2394" s="232"/>
    </row>
    <row r="2395" spans="1:10" hidden="1">
      <c r="A2395" s="234">
        <v>44316</v>
      </c>
      <c r="C2395" s="228" t="s">
        <v>7689</v>
      </c>
      <c r="D2395" s="228">
        <v>400</v>
      </c>
      <c r="E2395" s="228"/>
      <c r="H2395" t="s">
        <v>1336</v>
      </c>
      <c r="I2395" s="234" t="s">
        <v>7687</v>
      </c>
      <c r="J2395" s="232"/>
    </row>
    <row r="2396" spans="1:10" hidden="1">
      <c r="A2396" s="234">
        <v>44317</v>
      </c>
      <c r="C2396" s="228" t="s">
        <v>7690</v>
      </c>
      <c r="D2396" s="228">
        <v>600</v>
      </c>
      <c r="E2396" s="228"/>
      <c r="H2396" t="s">
        <v>1336</v>
      </c>
      <c r="I2396" s="234" t="s">
        <v>7691</v>
      </c>
      <c r="J2396" s="232"/>
    </row>
    <row r="2397" spans="1:10" hidden="1">
      <c r="A2397" s="234">
        <v>44317</v>
      </c>
      <c r="C2397" s="228" t="s">
        <v>7692</v>
      </c>
      <c r="D2397" s="228">
        <v>1200</v>
      </c>
      <c r="E2397" s="228"/>
      <c r="H2397" t="s">
        <v>1336</v>
      </c>
      <c r="I2397" s="234" t="s">
        <v>7691</v>
      </c>
      <c r="J2397" s="232"/>
    </row>
    <row r="2398" spans="1:10" hidden="1">
      <c r="A2398" s="234">
        <v>44317</v>
      </c>
      <c r="C2398" s="228" t="s">
        <v>7693</v>
      </c>
      <c r="D2398" s="228">
        <v>3500</v>
      </c>
      <c r="E2398" s="228"/>
      <c r="H2398" t="s">
        <v>1336</v>
      </c>
      <c r="I2398" s="234" t="s">
        <v>7691</v>
      </c>
      <c r="J2398" s="232"/>
    </row>
    <row r="2399" spans="1:10" hidden="1">
      <c r="A2399" s="234">
        <v>44317</v>
      </c>
      <c r="C2399" s="228" t="s">
        <v>7694</v>
      </c>
      <c r="D2399" s="228">
        <v>2000</v>
      </c>
      <c r="E2399" s="228"/>
      <c r="H2399" t="s">
        <v>1336</v>
      </c>
      <c r="I2399" s="234" t="s">
        <v>7691</v>
      </c>
      <c r="J2399" s="232"/>
    </row>
    <row r="2400" spans="1:10" hidden="1">
      <c r="A2400" s="234">
        <v>44319</v>
      </c>
      <c r="C2400" s="228" t="s">
        <v>7695</v>
      </c>
      <c r="D2400" s="228">
        <v>844</v>
      </c>
      <c r="E2400" s="228"/>
      <c r="H2400" t="s">
        <v>1336</v>
      </c>
      <c r="I2400" s="234" t="s">
        <v>7696</v>
      </c>
      <c r="J2400" s="232"/>
    </row>
    <row r="2401" spans="1:10" hidden="1">
      <c r="A2401" s="234">
        <v>44320</v>
      </c>
      <c r="C2401" s="228" t="s">
        <v>7697</v>
      </c>
      <c r="D2401" s="228">
        <v>284</v>
      </c>
      <c r="E2401" s="228"/>
      <c r="H2401" t="s">
        <v>1336</v>
      </c>
      <c r="I2401" s="234" t="s">
        <v>7698</v>
      </c>
      <c r="J2401" s="232"/>
    </row>
    <row r="2402" spans="1:10" hidden="1">
      <c r="A2402" s="234">
        <v>44320</v>
      </c>
      <c r="C2402" s="228" t="s">
        <v>7699</v>
      </c>
      <c r="D2402" s="228">
        <v>800</v>
      </c>
      <c r="E2402" s="228"/>
      <c r="H2402" t="s">
        <v>1336</v>
      </c>
      <c r="I2402" s="234" t="s">
        <v>7698</v>
      </c>
      <c r="J2402" s="232"/>
    </row>
    <row r="2403" spans="1:10" hidden="1">
      <c r="A2403" s="234">
        <v>44321</v>
      </c>
      <c r="C2403" s="228" t="s">
        <v>7700</v>
      </c>
      <c r="D2403" s="228">
        <v>1508.66</v>
      </c>
      <c r="E2403" s="228"/>
      <c r="H2403" t="s">
        <v>1336</v>
      </c>
      <c r="I2403" s="234" t="s">
        <v>7701</v>
      </c>
      <c r="J2403" s="232"/>
    </row>
    <row r="2404" spans="1:10" hidden="1">
      <c r="A2404" s="234">
        <v>44322</v>
      </c>
      <c r="C2404" s="228" t="s">
        <v>6583</v>
      </c>
      <c r="D2404" s="228">
        <v>4628</v>
      </c>
      <c r="E2404" s="228"/>
      <c r="G2404" s="8" t="s">
        <v>1362</v>
      </c>
      <c r="H2404" t="s">
        <v>1336</v>
      </c>
      <c r="I2404" s="234" t="s">
        <v>7702</v>
      </c>
      <c r="J2404" s="232"/>
    </row>
    <row r="2405" spans="1:10" hidden="1">
      <c r="A2405" s="234">
        <v>44322</v>
      </c>
      <c r="C2405" s="228" t="s">
        <v>7703</v>
      </c>
      <c r="D2405" s="323">
        <v>10250</v>
      </c>
      <c r="E2405" s="228"/>
      <c r="G2405" s="8" t="s">
        <v>1372</v>
      </c>
      <c r="H2405" t="s">
        <v>1336</v>
      </c>
      <c r="I2405" s="234" t="s">
        <v>7702</v>
      </c>
      <c r="J2405" s="232"/>
    </row>
    <row r="2406" spans="1:10" hidden="1">
      <c r="A2406" s="234">
        <v>44322</v>
      </c>
      <c r="C2406" s="228" t="s">
        <v>7704</v>
      </c>
      <c r="D2406" s="228">
        <v>508</v>
      </c>
      <c r="E2406" s="228"/>
      <c r="H2406" t="s">
        <v>1336</v>
      </c>
      <c r="I2406" s="234" t="s">
        <v>7702</v>
      </c>
      <c r="J2406" s="232"/>
    </row>
    <row r="2407" spans="1:10" hidden="1">
      <c r="A2407" s="234">
        <v>44322</v>
      </c>
      <c r="C2407" s="228" t="s">
        <v>7705</v>
      </c>
      <c r="D2407" s="228">
        <v>504</v>
      </c>
      <c r="E2407" s="228"/>
      <c r="H2407" t="s">
        <v>1336</v>
      </c>
      <c r="I2407" s="234" t="s">
        <v>7702</v>
      </c>
      <c r="J2407" s="232"/>
    </row>
    <row r="2408" spans="1:10" hidden="1">
      <c r="A2408" s="234">
        <v>44323</v>
      </c>
      <c r="C2408" s="228" t="s">
        <v>7706</v>
      </c>
      <c r="D2408" s="228">
        <v>81484</v>
      </c>
      <c r="E2408" s="228"/>
      <c r="H2408" t="s">
        <v>1336</v>
      </c>
      <c r="I2408" s="234" t="s">
        <v>7707</v>
      </c>
      <c r="J2408" s="232"/>
    </row>
    <row r="2409" spans="1:10" hidden="1">
      <c r="A2409" s="234">
        <v>44323</v>
      </c>
      <c r="C2409" s="228" t="s">
        <v>7708</v>
      </c>
      <c r="D2409" s="228">
        <v>1268.5</v>
      </c>
      <c r="E2409" s="228"/>
      <c r="H2409" t="s">
        <v>1336</v>
      </c>
      <c r="I2409" s="234" t="s">
        <v>7707</v>
      </c>
      <c r="J2409" s="232"/>
    </row>
    <row r="2410" spans="1:10" hidden="1">
      <c r="A2410" s="234">
        <v>44323</v>
      </c>
      <c r="C2410" s="228" t="s">
        <v>7709</v>
      </c>
      <c r="D2410" s="228"/>
      <c r="E2410" s="228">
        <v>4</v>
      </c>
      <c r="H2410" t="s">
        <v>1336</v>
      </c>
      <c r="I2410" s="234" t="s">
        <v>7707</v>
      </c>
      <c r="J2410" s="232"/>
    </row>
    <row r="2411" spans="1:10" hidden="1">
      <c r="A2411" s="234">
        <v>44323</v>
      </c>
      <c r="C2411" s="228" t="s">
        <v>7710</v>
      </c>
      <c r="D2411" s="228"/>
      <c r="E2411" s="228">
        <v>3</v>
      </c>
      <c r="H2411" t="s">
        <v>1336</v>
      </c>
      <c r="I2411" s="234" t="s">
        <v>7707</v>
      </c>
      <c r="J2411" s="232"/>
    </row>
    <row r="2412" spans="1:10" hidden="1">
      <c r="A2412" s="234">
        <v>44324</v>
      </c>
      <c r="C2412" s="228" t="s">
        <v>7711</v>
      </c>
      <c r="D2412" s="228">
        <v>568.54999999999995</v>
      </c>
      <c r="E2412" s="228"/>
      <c r="H2412" t="s">
        <v>1336</v>
      </c>
      <c r="I2412" s="234" t="s">
        <v>7712</v>
      </c>
      <c r="J2412" s="232"/>
    </row>
    <row r="2413" spans="1:10" hidden="1">
      <c r="A2413" s="234">
        <v>44325</v>
      </c>
      <c r="C2413" s="228" t="s">
        <v>7713</v>
      </c>
      <c r="D2413" s="228">
        <v>15000</v>
      </c>
      <c r="E2413" s="228"/>
      <c r="G2413" s="8" t="s">
        <v>1379</v>
      </c>
      <c r="H2413" t="s">
        <v>1336</v>
      </c>
      <c r="I2413" s="234" t="s">
        <v>7714</v>
      </c>
      <c r="J2413" s="232"/>
    </row>
    <row r="2414" spans="1:10" hidden="1">
      <c r="A2414" s="234">
        <v>44325</v>
      </c>
      <c r="C2414" s="228" t="s">
        <v>7715</v>
      </c>
      <c r="D2414" s="228">
        <v>10000</v>
      </c>
      <c r="E2414" s="228"/>
      <c r="G2414" s="8" t="s">
        <v>1379</v>
      </c>
      <c r="H2414" t="s">
        <v>1336</v>
      </c>
      <c r="I2414" s="234" t="s">
        <v>7714</v>
      </c>
      <c r="J2414" s="232"/>
    </row>
    <row r="2415" spans="1:10" hidden="1">
      <c r="A2415" s="234">
        <v>44325</v>
      </c>
      <c r="C2415" s="228" t="s">
        <v>7716</v>
      </c>
      <c r="D2415" s="228">
        <v>282</v>
      </c>
      <c r="E2415" s="228"/>
      <c r="H2415" t="s">
        <v>1336</v>
      </c>
      <c r="I2415" s="234" t="s">
        <v>7714</v>
      </c>
      <c r="J2415" s="232"/>
    </row>
    <row r="2416" spans="1:10" hidden="1">
      <c r="A2416" s="234">
        <v>44326</v>
      </c>
      <c r="C2416" s="228" t="s">
        <v>7717</v>
      </c>
      <c r="D2416" s="228">
        <v>620</v>
      </c>
      <c r="E2416" s="228"/>
      <c r="H2416" t="s">
        <v>1336</v>
      </c>
      <c r="I2416" s="234" t="s">
        <v>7718</v>
      </c>
      <c r="J2416" s="232"/>
    </row>
    <row r="2417" spans="1:10" hidden="1">
      <c r="A2417" s="234">
        <v>44326</v>
      </c>
      <c r="C2417" s="228" t="s">
        <v>7719</v>
      </c>
      <c r="D2417" s="228"/>
      <c r="E2417" s="228">
        <v>0.38</v>
      </c>
      <c r="H2417" t="s">
        <v>1336</v>
      </c>
      <c r="I2417" s="234" t="s">
        <v>7718</v>
      </c>
      <c r="J2417" s="232"/>
    </row>
    <row r="2418" spans="1:10" hidden="1">
      <c r="A2418" s="234">
        <v>44326</v>
      </c>
      <c r="C2418" s="228" t="s">
        <v>7720</v>
      </c>
      <c r="D2418" s="228">
        <v>897</v>
      </c>
      <c r="E2418" s="228"/>
      <c r="H2418" t="s">
        <v>1336</v>
      </c>
      <c r="I2418" s="234" t="s">
        <v>7718</v>
      </c>
      <c r="J2418" s="232"/>
    </row>
    <row r="2419" spans="1:10" hidden="1">
      <c r="A2419" s="234">
        <v>44327</v>
      </c>
      <c r="C2419" s="228" t="s">
        <v>7721</v>
      </c>
      <c r="D2419" s="228">
        <v>1093</v>
      </c>
      <c r="E2419" s="228"/>
      <c r="H2419" t="s">
        <v>1336</v>
      </c>
      <c r="I2419" s="234" t="s">
        <v>7722</v>
      </c>
      <c r="J2419" s="232"/>
    </row>
    <row r="2420" spans="1:10" hidden="1">
      <c r="A2420" s="234">
        <v>44329</v>
      </c>
      <c r="C2420" s="228" t="s">
        <v>7723</v>
      </c>
      <c r="D2420" s="323">
        <v>10250</v>
      </c>
      <c r="E2420" s="228"/>
      <c r="G2420" s="8" t="s">
        <v>1372</v>
      </c>
      <c r="H2420" t="s">
        <v>1336</v>
      </c>
      <c r="I2420" s="234" t="s">
        <v>7724</v>
      </c>
      <c r="J2420" s="232"/>
    </row>
    <row r="2421" spans="1:10" hidden="1">
      <c r="A2421" s="234">
        <v>44330</v>
      </c>
      <c r="C2421" s="228" t="s">
        <v>7725</v>
      </c>
      <c r="D2421" s="228">
        <v>800</v>
      </c>
      <c r="E2421" s="228"/>
      <c r="H2421" t="s">
        <v>1336</v>
      </c>
      <c r="I2421" s="234" t="s">
        <v>7726</v>
      </c>
      <c r="J2421" s="232"/>
    </row>
    <row r="2422" spans="1:10" hidden="1">
      <c r="A2422" s="234">
        <v>44331</v>
      </c>
      <c r="C2422" s="228" t="s">
        <v>7727</v>
      </c>
      <c r="D2422" s="228">
        <v>2594.16</v>
      </c>
      <c r="E2422" s="228"/>
      <c r="H2422" t="s">
        <v>1336</v>
      </c>
      <c r="I2422" s="234" t="s">
        <v>7728</v>
      </c>
      <c r="J2422" s="232"/>
    </row>
    <row r="2423" spans="1:10" hidden="1">
      <c r="A2423" s="234">
        <v>44331</v>
      </c>
      <c r="C2423" s="228" t="s">
        <v>7729</v>
      </c>
      <c r="D2423" s="228">
        <v>490</v>
      </c>
      <c r="E2423" s="228"/>
      <c r="H2423" t="s">
        <v>1336</v>
      </c>
      <c r="I2423" s="234" t="s">
        <v>7728</v>
      </c>
      <c r="J2423" s="232"/>
    </row>
    <row r="2424" spans="1:10" hidden="1">
      <c r="A2424" s="234">
        <v>44332</v>
      </c>
      <c r="C2424" s="228" t="s">
        <v>7730</v>
      </c>
      <c r="D2424" s="228">
        <v>379</v>
      </c>
      <c r="E2424" s="228"/>
      <c r="H2424" t="s">
        <v>1336</v>
      </c>
      <c r="I2424" s="234" t="s">
        <v>7731</v>
      </c>
      <c r="J2424" s="232"/>
    </row>
    <row r="2425" spans="1:10" hidden="1">
      <c r="A2425" s="234">
        <v>44333</v>
      </c>
      <c r="C2425" s="228" t="s">
        <v>7732</v>
      </c>
      <c r="D2425" s="228">
        <v>908.79</v>
      </c>
      <c r="E2425" s="228"/>
      <c r="H2425" t="s">
        <v>1336</v>
      </c>
      <c r="I2425" s="234" t="s">
        <v>7733</v>
      </c>
      <c r="J2425" s="232"/>
    </row>
    <row r="2426" spans="1:10" hidden="1">
      <c r="A2426" s="234">
        <v>44336</v>
      </c>
      <c r="C2426" s="228" t="s">
        <v>7734</v>
      </c>
      <c r="D2426" s="228">
        <v>350</v>
      </c>
      <c r="E2426" s="228"/>
      <c r="H2426" t="s">
        <v>1336</v>
      </c>
      <c r="I2426" s="234" t="s">
        <v>7735</v>
      </c>
      <c r="J2426" s="232"/>
    </row>
    <row r="2427" spans="1:10" hidden="1">
      <c r="A2427" s="234">
        <v>44336</v>
      </c>
      <c r="C2427" s="228" t="s">
        <v>7736</v>
      </c>
      <c r="D2427" s="323">
        <v>10250</v>
      </c>
      <c r="E2427" s="228"/>
      <c r="G2427" s="8" t="s">
        <v>1372</v>
      </c>
      <c r="H2427" t="s">
        <v>1336</v>
      </c>
      <c r="I2427" s="234" t="s">
        <v>7735</v>
      </c>
      <c r="J2427" s="232"/>
    </row>
    <row r="2428" spans="1:10" hidden="1">
      <c r="A2428" s="234">
        <v>44337</v>
      </c>
      <c r="C2428" s="228" t="s">
        <v>7737</v>
      </c>
      <c r="D2428" s="228">
        <v>13900</v>
      </c>
      <c r="E2428" s="228"/>
      <c r="G2428" s="8" t="s">
        <v>1379</v>
      </c>
      <c r="H2428" t="s">
        <v>1336</v>
      </c>
      <c r="I2428" s="234" t="s">
        <v>7738</v>
      </c>
      <c r="J2428" s="232"/>
    </row>
    <row r="2429" spans="1:10" hidden="1">
      <c r="A2429" s="234">
        <v>44337</v>
      </c>
      <c r="C2429" s="228" t="s">
        <v>7739</v>
      </c>
      <c r="D2429" s="228">
        <v>643</v>
      </c>
      <c r="E2429" s="228"/>
      <c r="H2429" t="s">
        <v>1336</v>
      </c>
      <c r="I2429" s="234" t="s">
        <v>7738</v>
      </c>
      <c r="J2429" s="232"/>
    </row>
    <row r="2430" spans="1:10" hidden="1">
      <c r="A2430" s="234">
        <v>44337</v>
      </c>
      <c r="C2430" s="228" t="s">
        <v>7740</v>
      </c>
      <c r="D2430" s="228">
        <v>7000</v>
      </c>
      <c r="E2430" s="228"/>
      <c r="H2430" t="s">
        <v>1336</v>
      </c>
      <c r="I2430" s="234" t="s">
        <v>7738</v>
      </c>
      <c r="J2430" s="232"/>
    </row>
    <row r="2431" spans="1:10" hidden="1">
      <c r="A2431" s="234">
        <v>44338</v>
      </c>
      <c r="C2431" s="228" t="s">
        <v>7741</v>
      </c>
      <c r="D2431" s="228">
        <v>1797.99</v>
      </c>
      <c r="E2431" s="228"/>
      <c r="H2431" t="s">
        <v>1336</v>
      </c>
      <c r="I2431" s="234" t="s">
        <v>7742</v>
      </c>
      <c r="J2431" s="232"/>
    </row>
    <row r="2432" spans="1:10" hidden="1">
      <c r="A2432" s="234">
        <v>44339</v>
      </c>
      <c r="C2432" s="228" t="s">
        <v>7743</v>
      </c>
      <c r="D2432" s="228">
        <v>436</v>
      </c>
      <c r="E2432" s="228"/>
      <c r="H2432" t="s">
        <v>1336</v>
      </c>
      <c r="I2432" s="234" t="s">
        <v>7744</v>
      </c>
      <c r="J2432" s="232"/>
    </row>
    <row r="2433" spans="1:10" hidden="1">
      <c r="A2433" s="234">
        <v>44339</v>
      </c>
      <c r="C2433" s="228" t="s">
        <v>7745</v>
      </c>
      <c r="D2433" s="228">
        <v>520</v>
      </c>
      <c r="E2433" s="228"/>
      <c r="H2433" t="s">
        <v>1336</v>
      </c>
      <c r="I2433" s="234" t="s">
        <v>7744</v>
      </c>
      <c r="J2433" s="232"/>
    </row>
    <row r="2434" spans="1:10" hidden="1">
      <c r="A2434" s="234">
        <v>44339</v>
      </c>
      <c r="C2434" s="228" t="s">
        <v>7746</v>
      </c>
      <c r="D2434" s="228">
        <v>1845.53</v>
      </c>
      <c r="E2434" s="228"/>
      <c r="H2434" t="s">
        <v>1336</v>
      </c>
      <c r="I2434" s="234" t="s">
        <v>7744</v>
      </c>
      <c r="J2434" s="232"/>
    </row>
    <row r="2435" spans="1:10" hidden="1">
      <c r="A2435" s="234">
        <v>44339</v>
      </c>
      <c r="C2435" s="228" t="s">
        <v>7747</v>
      </c>
      <c r="D2435" s="228">
        <v>98</v>
      </c>
      <c r="E2435" s="228"/>
      <c r="H2435" t="s">
        <v>1336</v>
      </c>
      <c r="I2435" s="234" t="s">
        <v>7744</v>
      </c>
      <c r="J2435" s="232"/>
    </row>
    <row r="2436" spans="1:10" hidden="1">
      <c r="A2436" s="234">
        <v>44341</v>
      </c>
      <c r="C2436" s="228" t="s">
        <v>7748</v>
      </c>
      <c r="D2436" s="228"/>
      <c r="E2436" s="228">
        <v>140000</v>
      </c>
      <c r="G2436" s="8" t="s">
        <v>1384</v>
      </c>
      <c r="H2436" t="s">
        <v>1336</v>
      </c>
      <c r="I2436" s="234" t="s">
        <v>7749</v>
      </c>
      <c r="J2436" s="232"/>
    </row>
    <row r="2437" spans="1:10" hidden="1">
      <c r="A2437" s="234">
        <v>44342</v>
      </c>
      <c r="C2437" s="228" t="s">
        <v>7750</v>
      </c>
      <c r="D2437" s="228">
        <v>418</v>
      </c>
      <c r="E2437" s="228"/>
      <c r="H2437" t="s">
        <v>1336</v>
      </c>
      <c r="I2437" s="234" t="s">
        <v>7751</v>
      </c>
      <c r="J2437" s="232"/>
    </row>
    <row r="2438" spans="1:10" hidden="1">
      <c r="A2438" s="234">
        <v>44342</v>
      </c>
      <c r="C2438" s="228" t="s">
        <v>7752</v>
      </c>
      <c r="D2438" s="228">
        <v>312</v>
      </c>
      <c r="E2438" s="228"/>
      <c r="H2438" t="s">
        <v>1336</v>
      </c>
      <c r="I2438" s="234" t="s">
        <v>7751</v>
      </c>
      <c r="J2438" s="232"/>
    </row>
    <row r="2439" spans="1:10" hidden="1">
      <c r="A2439" s="234">
        <v>44342</v>
      </c>
      <c r="C2439" s="228" t="s">
        <v>7753</v>
      </c>
      <c r="D2439" s="228">
        <v>350</v>
      </c>
      <c r="E2439" s="228"/>
      <c r="H2439" t="s">
        <v>1336</v>
      </c>
      <c r="I2439" s="234" t="s">
        <v>7751</v>
      </c>
      <c r="J2439" s="232"/>
    </row>
    <row r="2440" spans="1:10" hidden="1">
      <c r="A2440" s="234">
        <v>44343</v>
      </c>
      <c r="C2440" s="228" t="s">
        <v>7754</v>
      </c>
      <c r="D2440" s="323">
        <v>10250</v>
      </c>
      <c r="E2440" s="228"/>
      <c r="G2440" s="8" t="s">
        <v>1372</v>
      </c>
      <c r="H2440" t="s">
        <v>1336</v>
      </c>
      <c r="I2440" s="234" t="s">
        <v>7755</v>
      </c>
      <c r="J2440" s="232"/>
    </row>
    <row r="2441" spans="1:10" hidden="1">
      <c r="A2441" s="234">
        <v>44345</v>
      </c>
      <c r="C2441" s="228" t="s">
        <v>7756</v>
      </c>
      <c r="D2441" s="228">
        <v>300</v>
      </c>
      <c r="E2441" s="228"/>
      <c r="H2441" t="s">
        <v>1336</v>
      </c>
      <c r="I2441" s="234" t="s">
        <v>7757</v>
      </c>
      <c r="J2441" s="232"/>
    </row>
    <row r="2442" spans="1:10" hidden="1">
      <c r="A2442" s="234">
        <v>44346</v>
      </c>
      <c r="C2442" s="228" t="s">
        <v>7758</v>
      </c>
      <c r="D2442" s="228">
        <v>540</v>
      </c>
      <c r="E2442" s="228"/>
      <c r="H2442" t="s">
        <v>1336</v>
      </c>
      <c r="I2442" s="234" t="s">
        <v>7759</v>
      </c>
      <c r="J2442" s="232"/>
    </row>
    <row r="2443" spans="1:10" hidden="1">
      <c r="A2443" s="234">
        <v>44346</v>
      </c>
      <c r="C2443" s="228" t="s">
        <v>7760</v>
      </c>
      <c r="D2443" s="228">
        <v>779.52</v>
      </c>
      <c r="E2443" s="228"/>
      <c r="H2443" t="s">
        <v>1336</v>
      </c>
      <c r="I2443" s="234" t="s">
        <v>7759</v>
      </c>
      <c r="J2443" s="232"/>
    </row>
    <row r="2444" spans="1:10" hidden="1">
      <c r="A2444" s="234">
        <v>44347</v>
      </c>
      <c r="C2444" s="228" t="s">
        <v>7761</v>
      </c>
      <c r="D2444" s="228">
        <v>664</v>
      </c>
      <c r="E2444" s="228"/>
      <c r="H2444" t="s">
        <v>1336</v>
      </c>
      <c r="I2444" s="234" t="s">
        <v>7762</v>
      </c>
      <c r="J2444" s="232"/>
    </row>
    <row r="2445" spans="1:10" hidden="1">
      <c r="A2445" s="234">
        <v>44347</v>
      </c>
      <c r="C2445" s="228" t="s">
        <v>7763</v>
      </c>
      <c r="D2445" s="228">
        <v>622</v>
      </c>
      <c r="E2445" s="228"/>
      <c r="H2445" t="s">
        <v>1336</v>
      </c>
      <c r="I2445" s="234" t="s">
        <v>7762</v>
      </c>
      <c r="J2445" s="232"/>
    </row>
    <row r="2446" spans="1:10" hidden="1">
      <c r="A2446" s="234">
        <v>44347</v>
      </c>
      <c r="C2446" s="228" t="s">
        <v>7764</v>
      </c>
      <c r="D2446" s="228"/>
      <c r="E2446" s="228">
        <v>104</v>
      </c>
      <c r="H2446" t="s">
        <v>1336</v>
      </c>
      <c r="I2446" s="234" t="s">
        <v>7762</v>
      </c>
      <c r="J2446" s="232"/>
    </row>
    <row r="2447" spans="1:10" hidden="1">
      <c r="A2447" s="234">
        <v>44347</v>
      </c>
      <c r="C2447" s="228" t="s">
        <v>7765</v>
      </c>
      <c r="D2447" s="228"/>
      <c r="E2447" s="228">
        <v>104</v>
      </c>
      <c r="H2447" t="s">
        <v>1336</v>
      </c>
      <c r="I2447" s="234" t="s">
        <v>7762</v>
      </c>
      <c r="J2447" s="232"/>
    </row>
    <row r="2448" spans="1:10" hidden="1">
      <c r="A2448" s="234">
        <v>44347</v>
      </c>
      <c r="C2448" s="228" t="s">
        <v>7766</v>
      </c>
      <c r="D2448" s="228"/>
      <c r="E2448" s="228">
        <v>103</v>
      </c>
      <c r="H2448" t="s">
        <v>1336</v>
      </c>
      <c r="I2448" s="234" t="s">
        <v>7762</v>
      </c>
      <c r="J2448" s="232"/>
    </row>
    <row r="2449" spans="1:10" hidden="1">
      <c r="A2449" s="234">
        <v>44347</v>
      </c>
      <c r="C2449" s="228" t="s">
        <v>7767</v>
      </c>
      <c r="D2449" s="228"/>
      <c r="E2449" s="228">
        <v>105</v>
      </c>
      <c r="H2449" t="s">
        <v>1336</v>
      </c>
      <c r="I2449" s="234" t="s">
        <v>7762</v>
      </c>
      <c r="J2449" s="232"/>
    </row>
    <row r="2450" spans="1:10" hidden="1">
      <c r="A2450" s="234">
        <v>44348</v>
      </c>
      <c r="C2450" s="228" t="s">
        <v>7768</v>
      </c>
      <c r="D2450" s="228">
        <v>3500</v>
      </c>
      <c r="E2450" s="228"/>
      <c r="H2450" t="s">
        <v>1336</v>
      </c>
      <c r="I2450" s="234" t="s">
        <v>7769</v>
      </c>
      <c r="J2450" s="232"/>
    </row>
    <row r="2451" spans="1:10" hidden="1">
      <c r="A2451" s="234">
        <v>44348</v>
      </c>
      <c r="C2451" s="228" t="s">
        <v>7770</v>
      </c>
      <c r="D2451" s="228">
        <v>2000</v>
      </c>
      <c r="E2451" s="228"/>
      <c r="H2451" t="s">
        <v>1336</v>
      </c>
      <c r="I2451" s="234" t="s">
        <v>7769</v>
      </c>
      <c r="J2451" s="232"/>
    </row>
    <row r="2452" spans="1:10" hidden="1">
      <c r="A2452" s="234">
        <v>44348</v>
      </c>
      <c r="C2452" s="228" t="s">
        <v>7771</v>
      </c>
      <c r="D2452" s="228">
        <v>800</v>
      </c>
      <c r="E2452" s="228"/>
      <c r="H2452" t="s">
        <v>1336</v>
      </c>
      <c r="I2452" s="234" t="s">
        <v>7769</v>
      </c>
      <c r="J2452" s="232"/>
    </row>
    <row r="2453" spans="1:10" hidden="1">
      <c r="A2453" s="234">
        <v>44348</v>
      </c>
      <c r="C2453" s="228" t="s">
        <v>7772</v>
      </c>
      <c r="D2453" s="228">
        <v>859</v>
      </c>
      <c r="E2453" s="228"/>
      <c r="H2453" t="s">
        <v>1336</v>
      </c>
      <c r="I2453" s="234" t="s">
        <v>7769</v>
      </c>
      <c r="J2453" s="232"/>
    </row>
    <row r="2454" spans="1:10" hidden="1">
      <c r="A2454" s="234">
        <v>44348</v>
      </c>
      <c r="C2454" s="228" t="s">
        <v>7773</v>
      </c>
      <c r="D2454" s="228"/>
      <c r="E2454" s="228">
        <v>4</v>
      </c>
      <c r="H2454" t="s">
        <v>1336</v>
      </c>
      <c r="I2454" s="234" t="s">
        <v>7769</v>
      </c>
      <c r="J2454" s="232"/>
    </row>
    <row r="2455" spans="1:10" hidden="1">
      <c r="A2455" s="234">
        <v>44348</v>
      </c>
      <c r="C2455" s="228" t="s">
        <v>7774</v>
      </c>
      <c r="D2455" s="228"/>
      <c r="E2455" s="228">
        <v>6</v>
      </c>
      <c r="H2455" t="s">
        <v>1336</v>
      </c>
      <c r="I2455" s="234" t="s">
        <v>7769</v>
      </c>
      <c r="J2455" s="232"/>
    </row>
    <row r="2456" spans="1:10" hidden="1">
      <c r="A2456" s="234">
        <v>44349</v>
      </c>
      <c r="C2456" s="228" t="s">
        <v>7775</v>
      </c>
      <c r="D2456" s="228">
        <v>999</v>
      </c>
      <c r="E2456" s="228"/>
      <c r="H2456" t="s">
        <v>1336</v>
      </c>
      <c r="I2456" s="234" t="s">
        <v>7776</v>
      </c>
      <c r="J2456" s="232"/>
    </row>
    <row r="2457" spans="1:10" hidden="1">
      <c r="A2457" s="234">
        <v>44349</v>
      </c>
      <c r="C2457" s="228" t="s">
        <v>7777</v>
      </c>
      <c r="D2457" s="228">
        <v>3500</v>
      </c>
      <c r="E2457" s="228"/>
      <c r="H2457" t="s">
        <v>1336</v>
      </c>
      <c r="I2457" s="234" t="s">
        <v>7776</v>
      </c>
      <c r="J2457" s="232"/>
    </row>
    <row r="2458" spans="1:10" hidden="1">
      <c r="A2458" s="234">
        <v>44349</v>
      </c>
      <c r="C2458" s="228" t="s">
        <v>7778</v>
      </c>
      <c r="D2458" s="228">
        <v>1200</v>
      </c>
      <c r="E2458" s="228"/>
      <c r="H2458" t="s">
        <v>1336</v>
      </c>
      <c r="I2458" s="234" t="s">
        <v>7776</v>
      </c>
      <c r="J2458" s="232"/>
    </row>
    <row r="2459" spans="1:10" hidden="1">
      <c r="A2459" s="234">
        <v>44349</v>
      </c>
      <c r="C2459" s="228" t="s">
        <v>7779</v>
      </c>
      <c r="D2459" s="228">
        <v>1268.5</v>
      </c>
      <c r="E2459" s="228"/>
      <c r="H2459" t="s">
        <v>1336</v>
      </c>
      <c r="I2459" s="234" t="s">
        <v>7776</v>
      </c>
      <c r="J2459" s="232"/>
    </row>
    <row r="2460" spans="1:10" hidden="1">
      <c r="A2460" s="234">
        <v>44350</v>
      </c>
      <c r="C2460" s="228" t="s">
        <v>7780</v>
      </c>
      <c r="D2460" s="228">
        <v>983.11</v>
      </c>
      <c r="E2460" s="228"/>
      <c r="H2460" t="s">
        <v>1336</v>
      </c>
      <c r="I2460" s="234" t="s">
        <v>7781</v>
      </c>
      <c r="J2460" s="232"/>
    </row>
    <row r="2461" spans="1:10" hidden="1">
      <c r="A2461" s="234">
        <v>44350</v>
      </c>
      <c r="C2461" s="228" t="s">
        <v>7782</v>
      </c>
      <c r="D2461" s="228">
        <v>275.25</v>
      </c>
      <c r="E2461" s="228"/>
      <c r="H2461" t="s">
        <v>1336</v>
      </c>
      <c r="I2461" s="234" t="s">
        <v>7781</v>
      </c>
      <c r="J2461" s="232"/>
    </row>
    <row r="2462" spans="1:10" hidden="1">
      <c r="A2462" s="234">
        <v>44350</v>
      </c>
      <c r="C2462" s="228" t="s">
        <v>7783</v>
      </c>
      <c r="D2462" s="323">
        <v>10250</v>
      </c>
      <c r="E2462" s="228"/>
      <c r="G2462" s="8" t="s">
        <v>1372</v>
      </c>
      <c r="H2462" t="s">
        <v>1336</v>
      </c>
      <c r="I2462" s="234" t="s">
        <v>7781</v>
      </c>
      <c r="J2462" s="232"/>
    </row>
    <row r="2463" spans="1:10" hidden="1">
      <c r="A2463" s="234">
        <v>44350</v>
      </c>
      <c r="C2463" s="228" t="s">
        <v>7784</v>
      </c>
      <c r="D2463" s="228">
        <v>479</v>
      </c>
      <c r="E2463" s="228"/>
      <c r="H2463" t="s">
        <v>1336</v>
      </c>
      <c r="I2463" s="234" t="s">
        <v>7781</v>
      </c>
      <c r="J2463" s="232"/>
    </row>
    <row r="2464" spans="1:10" hidden="1">
      <c r="A2464" s="234">
        <v>44351</v>
      </c>
      <c r="C2464" s="228" t="s">
        <v>7785</v>
      </c>
      <c r="D2464" s="228">
        <v>1186</v>
      </c>
      <c r="E2464" s="228"/>
      <c r="H2464" t="s">
        <v>1336</v>
      </c>
      <c r="I2464" s="234" t="s">
        <v>7786</v>
      </c>
      <c r="J2464" s="232"/>
    </row>
    <row r="2465" spans="1:10" hidden="1">
      <c r="A2465" s="234">
        <v>44352</v>
      </c>
      <c r="C2465" s="228" t="s">
        <v>6583</v>
      </c>
      <c r="D2465" s="228">
        <v>11045</v>
      </c>
      <c r="E2465" s="228"/>
      <c r="G2465" s="8" t="s">
        <v>1362</v>
      </c>
      <c r="H2465" t="s">
        <v>1336</v>
      </c>
      <c r="I2465" s="234" t="s">
        <v>7787</v>
      </c>
      <c r="J2465" s="232"/>
    </row>
    <row r="2466" spans="1:10" hidden="1">
      <c r="A2466" s="234">
        <v>44353</v>
      </c>
      <c r="C2466" s="228" t="s">
        <v>7788</v>
      </c>
      <c r="D2466" s="228">
        <v>838</v>
      </c>
      <c r="E2466" s="228"/>
      <c r="H2466" t="s">
        <v>1336</v>
      </c>
      <c r="I2466" s="234" t="s">
        <v>7789</v>
      </c>
      <c r="J2466" s="232"/>
    </row>
    <row r="2467" spans="1:10" hidden="1">
      <c r="A2467" s="234">
        <v>44354</v>
      </c>
      <c r="C2467" s="228" t="s">
        <v>7790</v>
      </c>
      <c r="D2467" s="228">
        <v>500</v>
      </c>
      <c r="E2467" s="228"/>
      <c r="H2467" t="s">
        <v>1336</v>
      </c>
      <c r="I2467" s="234" t="s">
        <v>7791</v>
      </c>
      <c r="J2467" s="232"/>
    </row>
    <row r="2468" spans="1:10" hidden="1">
      <c r="A2468" s="234">
        <v>44355</v>
      </c>
      <c r="C2468" s="228" t="s">
        <v>7792</v>
      </c>
      <c r="D2468" s="228">
        <v>190</v>
      </c>
      <c r="E2468" s="228"/>
      <c r="H2468" t="s">
        <v>1336</v>
      </c>
      <c r="I2468" s="234" t="s">
        <v>7793</v>
      </c>
      <c r="J2468" s="232"/>
    </row>
    <row r="2469" spans="1:10" hidden="1">
      <c r="A2469" s="234">
        <v>44355</v>
      </c>
      <c r="C2469" s="228" t="s">
        <v>7794</v>
      </c>
      <c r="D2469" s="228">
        <v>167</v>
      </c>
      <c r="E2469" s="228"/>
      <c r="H2469" t="s">
        <v>1336</v>
      </c>
      <c r="I2469" s="234" t="s">
        <v>7793</v>
      </c>
      <c r="J2469" s="232"/>
    </row>
    <row r="2470" spans="1:10" hidden="1">
      <c r="A2470" s="234">
        <v>44355</v>
      </c>
      <c r="C2470" s="228" t="s">
        <v>7795</v>
      </c>
      <c r="D2470" s="228">
        <v>1199</v>
      </c>
      <c r="E2470" s="228"/>
      <c r="H2470" t="s">
        <v>1336</v>
      </c>
      <c r="I2470" s="234" t="s">
        <v>7793</v>
      </c>
      <c r="J2470" s="232"/>
    </row>
    <row r="2471" spans="1:10" hidden="1">
      <c r="A2471" s="234">
        <v>44356</v>
      </c>
      <c r="C2471" s="228" t="s">
        <v>7796</v>
      </c>
      <c r="D2471" s="228">
        <v>15000</v>
      </c>
      <c r="E2471" s="228"/>
      <c r="G2471" s="8" t="s">
        <v>1379</v>
      </c>
      <c r="H2471" t="s">
        <v>1336</v>
      </c>
      <c r="I2471" s="234" t="s">
        <v>7797</v>
      </c>
      <c r="J2471" s="232"/>
    </row>
    <row r="2472" spans="1:10" hidden="1">
      <c r="A2472" s="234">
        <v>44356</v>
      </c>
      <c r="C2472" s="228" t="s">
        <v>7798</v>
      </c>
      <c r="D2472" s="228">
        <v>10000</v>
      </c>
      <c r="E2472" s="228"/>
      <c r="G2472" s="8" t="s">
        <v>1379</v>
      </c>
      <c r="H2472" t="s">
        <v>1336</v>
      </c>
      <c r="I2472" s="234" t="s">
        <v>7797</v>
      </c>
      <c r="J2472" s="232"/>
    </row>
    <row r="2473" spans="1:10" hidden="1">
      <c r="A2473" s="234">
        <v>44356</v>
      </c>
      <c r="C2473" s="228" t="s">
        <v>7799</v>
      </c>
      <c r="D2473" s="228">
        <v>341.08</v>
      </c>
      <c r="E2473" s="228"/>
      <c r="H2473" t="s">
        <v>1336</v>
      </c>
      <c r="I2473" s="234" t="s">
        <v>7797</v>
      </c>
      <c r="J2473" s="232"/>
    </row>
    <row r="2474" spans="1:10" hidden="1">
      <c r="A2474" s="234">
        <v>44357</v>
      </c>
      <c r="C2474" s="228" t="s">
        <v>7800</v>
      </c>
      <c r="D2474" s="323">
        <v>10250</v>
      </c>
      <c r="E2474" s="228"/>
      <c r="G2474" s="8" t="s">
        <v>1372</v>
      </c>
      <c r="H2474" t="s">
        <v>1336</v>
      </c>
      <c r="I2474" s="234" t="s">
        <v>7801</v>
      </c>
      <c r="J2474" s="232"/>
    </row>
    <row r="2475" spans="1:10" hidden="1">
      <c r="A2475" s="234">
        <v>44357</v>
      </c>
      <c r="C2475" s="228" t="s">
        <v>7802</v>
      </c>
      <c r="D2475" s="228">
        <v>590</v>
      </c>
      <c r="E2475" s="228"/>
      <c r="H2475" t="s">
        <v>1336</v>
      </c>
      <c r="I2475" s="234" t="s">
        <v>7801</v>
      </c>
      <c r="J2475" s="232"/>
    </row>
    <row r="2476" spans="1:10" hidden="1">
      <c r="A2476" s="234">
        <v>44357</v>
      </c>
      <c r="C2476" s="228" t="s">
        <v>7803</v>
      </c>
      <c r="D2476" s="228">
        <v>447</v>
      </c>
      <c r="E2476" s="228"/>
      <c r="H2476" t="s">
        <v>1336</v>
      </c>
      <c r="I2476" s="234" t="s">
        <v>7801</v>
      </c>
      <c r="J2476" s="232"/>
    </row>
    <row r="2477" spans="1:10" hidden="1">
      <c r="A2477" s="234">
        <v>44358</v>
      </c>
      <c r="C2477" s="228" t="s">
        <v>7804</v>
      </c>
      <c r="D2477" s="228">
        <v>365</v>
      </c>
      <c r="E2477" s="228"/>
      <c r="H2477" t="s">
        <v>1336</v>
      </c>
      <c r="I2477" s="234" t="s">
        <v>7805</v>
      </c>
      <c r="J2477" s="232"/>
    </row>
    <row r="2478" spans="1:10" hidden="1">
      <c r="A2478" s="234">
        <v>44359</v>
      </c>
      <c r="C2478" s="228" t="s">
        <v>7806</v>
      </c>
      <c r="D2478" s="228">
        <v>181</v>
      </c>
      <c r="E2478" s="228"/>
      <c r="H2478" t="s">
        <v>1336</v>
      </c>
      <c r="I2478" s="234" t="s">
        <v>7807</v>
      </c>
      <c r="J2478" s="232"/>
    </row>
    <row r="2479" spans="1:10" hidden="1">
      <c r="A2479" s="234">
        <v>44359</v>
      </c>
      <c r="C2479" s="228" t="s">
        <v>7808</v>
      </c>
      <c r="D2479" s="228">
        <v>133</v>
      </c>
      <c r="E2479" s="228"/>
      <c r="H2479" t="s">
        <v>1336</v>
      </c>
      <c r="I2479" s="234" t="s">
        <v>7807</v>
      </c>
      <c r="J2479" s="232"/>
    </row>
    <row r="2480" spans="1:10" hidden="1">
      <c r="A2480" s="234">
        <v>44359</v>
      </c>
      <c r="C2480" s="228" t="s">
        <v>7809</v>
      </c>
      <c r="D2480" s="228">
        <v>480</v>
      </c>
      <c r="E2480" s="228"/>
      <c r="H2480" t="s">
        <v>1336</v>
      </c>
      <c r="I2480" s="234" t="s">
        <v>7807</v>
      </c>
      <c r="J2480" s="232"/>
    </row>
    <row r="2481" spans="1:10" hidden="1">
      <c r="A2481" s="234">
        <v>44359</v>
      </c>
      <c r="C2481" s="228" t="s">
        <v>7810</v>
      </c>
      <c r="D2481" s="228">
        <v>20</v>
      </c>
      <c r="E2481" s="228"/>
      <c r="H2481" t="s">
        <v>1336</v>
      </c>
      <c r="I2481" s="234" t="s">
        <v>7807</v>
      </c>
      <c r="J2481" s="232"/>
    </row>
    <row r="2482" spans="1:10" hidden="1">
      <c r="A2482" s="234">
        <v>44359</v>
      </c>
      <c r="C2482" s="228" t="s">
        <v>7811</v>
      </c>
      <c r="D2482" s="228"/>
      <c r="E2482" s="228">
        <v>150</v>
      </c>
      <c r="H2482" t="s">
        <v>1336</v>
      </c>
      <c r="I2482" s="234" t="s">
        <v>7807</v>
      </c>
      <c r="J2482" s="232"/>
    </row>
    <row r="2483" spans="1:10" hidden="1">
      <c r="A2483" s="234">
        <v>44360</v>
      </c>
      <c r="C2483" s="228" t="s">
        <v>7812</v>
      </c>
      <c r="D2483" s="228">
        <v>522</v>
      </c>
      <c r="E2483" s="228"/>
      <c r="H2483" t="s">
        <v>1336</v>
      </c>
      <c r="I2483" s="234" t="s">
        <v>7813</v>
      </c>
      <c r="J2483" s="232"/>
    </row>
    <row r="2484" spans="1:10" hidden="1">
      <c r="A2484" s="234">
        <v>44362</v>
      </c>
      <c r="C2484" s="228" t="s">
        <v>7814</v>
      </c>
      <c r="D2484" s="228"/>
      <c r="E2484" s="228">
        <v>18750</v>
      </c>
      <c r="H2484" t="s">
        <v>1336</v>
      </c>
      <c r="I2484" s="234" t="s">
        <v>7815</v>
      </c>
      <c r="J2484" s="232"/>
    </row>
    <row r="2485" spans="1:10" hidden="1">
      <c r="A2485" s="234">
        <v>44362</v>
      </c>
      <c r="C2485" s="228" t="s">
        <v>7816</v>
      </c>
      <c r="D2485" s="228">
        <v>18750</v>
      </c>
      <c r="E2485" s="228"/>
      <c r="H2485" t="s">
        <v>1336</v>
      </c>
      <c r="I2485" s="234" t="s">
        <v>7815</v>
      </c>
      <c r="J2485" s="232"/>
    </row>
    <row r="2486" spans="1:10" hidden="1">
      <c r="A2486" s="234">
        <v>44362</v>
      </c>
      <c r="C2486" s="228" t="s">
        <v>7817</v>
      </c>
      <c r="D2486" s="228">
        <v>350</v>
      </c>
      <c r="E2486" s="228"/>
      <c r="H2486" t="s">
        <v>1336</v>
      </c>
      <c r="I2486" s="234" t="s">
        <v>7815</v>
      </c>
      <c r="J2486" s="232"/>
    </row>
    <row r="2487" spans="1:10" hidden="1">
      <c r="A2487" s="234">
        <v>44363</v>
      </c>
      <c r="C2487" s="228" t="s">
        <v>7818</v>
      </c>
      <c r="D2487" s="228">
        <v>419</v>
      </c>
      <c r="E2487" s="228"/>
      <c r="H2487" t="s">
        <v>1336</v>
      </c>
      <c r="I2487" s="234" t="s">
        <v>7819</v>
      </c>
      <c r="J2487" s="232"/>
    </row>
    <row r="2488" spans="1:10" hidden="1">
      <c r="A2488" s="234">
        <v>44364</v>
      </c>
      <c r="C2488" s="228" t="s">
        <v>7820</v>
      </c>
      <c r="D2488" s="323">
        <v>10250</v>
      </c>
      <c r="E2488" s="228"/>
      <c r="G2488" s="8" t="s">
        <v>1372</v>
      </c>
      <c r="H2488" t="s">
        <v>1336</v>
      </c>
      <c r="I2488" s="234" t="s">
        <v>7821</v>
      </c>
      <c r="J2488" s="232"/>
    </row>
    <row r="2489" spans="1:10" hidden="1">
      <c r="A2489" s="234">
        <v>44364</v>
      </c>
      <c r="C2489" s="228" t="s">
        <v>7822</v>
      </c>
      <c r="D2489" s="228">
        <v>1081</v>
      </c>
      <c r="E2489" s="228"/>
      <c r="H2489" t="s">
        <v>1336</v>
      </c>
      <c r="I2489" s="234" t="s">
        <v>7821</v>
      </c>
      <c r="J2489" s="232"/>
    </row>
    <row r="2490" spans="1:10" hidden="1">
      <c r="A2490" s="234">
        <v>44364</v>
      </c>
      <c r="C2490" s="228" t="s">
        <v>7823</v>
      </c>
      <c r="D2490" s="228"/>
      <c r="E2490" s="228">
        <v>81</v>
      </c>
      <c r="H2490" t="s">
        <v>1336</v>
      </c>
      <c r="I2490" s="234" t="s">
        <v>7821</v>
      </c>
      <c r="J2490" s="232"/>
    </row>
    <row r="2491" spans="1:10" hidden="1">
      <c r="A2491" s="234">
        <v>44365</v>
      </c>
      <c r="C2491" s="228" t="s">
        <v>7824</v>
      </c>
      <c r="D2491" s="228">
        <v>422</v>
      </c>
      <c r="E2491" s="228"/>
      <c r="H2491" t="s">
        <v>1336</v>
      </c>
      <c r="I2491" s="234" t="s">
        <v>7825</v>
      </c>
      <c r="J2491" s="232"/>
    </row>
    <row r="2492" spans="1:10" hidden="1">
      <c r="A2492" s="234">
        <v>44365</v>
      </c>
      <c r="C2492" s="228" t="s">
        <v>7826</v>
      </c>
      <c r="D2492" s="228">
        <v>650</v>
      </c>
      <c r="E2492" s="228"/>
      <c r="H2492" t="s">
        <v>1336</v>
      </c>
      <c r="I2492" s="234" t="s">
        <v>7825</v>
      </c>
      <c r="J2492" s="232"/>
    </row>
    <row r="2493" spans="1:10" hidden="1">
      <c r="A2493" s="234">
        <v>44366</v>
      </c>
      <c r="C2493" s="228" t="s">
        <v>7827</v>
      </c>
      <c r="D2493" s="228">
        <v>158</v>
      </c>
      <c r="E2493" s="228"/>
      <c r="H2493" t="s">
        <v>1336</v>
      </c>
      <c r="I2493" s="234" t="s">
        <v>7828</v>
      </c>
      <c r="J2493" s="232"/>
    </row>
    <row r="2494" spans="1:10" hidden="1">
      <c r="A2494" s="234">
        <v>44366</v>
      </c>
      <c r="C2494" s="228" t="s">
        <v>7829</v>
      </c>
      <c r="D2494" s="228">
        <v>913</v>
      </c>
      <c r="E2494" s="228"/>
      <c r="H2494" t="s">
        <v>1336</v>
      </c>
      <c r="I2494" s="234" t="s">
        <v>7828</v>
      </c>
      <c r="J2494" s="232"/>
    </row>
    <row r="2495" spans="1:10" hidden="1">
      <c r="A2495" s="234">
        <v>44368</v>
      </c>
      <c r="C2495" s="228" t="s">
        <v>7830</v>
      </c>
      <c r="D2495" s="228">
        <v>13900</v>
      </c>
      <c r="E2495" s="228"/>
      <c r="G2495" s="8" t="s">
        <v>1379</v>
      </c>
      <c r="H2495" t="s">
        <v>1336</v>
      </c>
      <c r="I2495" s="234" t="s">
        <v>7831</v>
      </c>
      <c r="J2495" s="232"/>
    </row>
    <row r="2496" spans="1:10" hidden="1">
      <c r="A2496" s="234">
        <v>44369</v>
      </c>
      <c r="C2496" s="228" t="s">
        <v>7832</v>
      </c>
      <c r="D2496" s="228">
        <v>1213</v>
      </c>
      <c r="E2496" s="228"/>
      <c r="H2496" t="s">
        <v>1336</v>
      </c>
      <c r="I2496" s="234" t="s">
        <v>7833</v>
      </c>
      <c r="J2496" s="232"/>
    </row>
    <row r="2497" spans="1:10" hidden="1">
      <c r="A2497" s="234">
        <v>44369</v>
      </c>
      <c r="C2497" s="228" t="s">
        <v>7834</v>
      </c>
      <c r="D2497" s="228">
        <v>400</v>
      </c>
      <c r="E2497" s="228"/>
      <c r="H2497" t="s">
        <v>1336</v>
      </c>
      <c r="I2497" s="234" t="s">
        <v>7833</v>
      </c>
      <c r="J2497" s="232"/>
    </row>
    <row r="2498" spans="1:10" hidden="1">
      <c r="A2498" s="234">
        <v>44370</v>
      </c>
      <c r="C2498" s="228" t="s">
        <v>7835</v>
      </c>
      <c r="D2498" s="228">
        <v>720</v>
      </c>
      <c r="E2498" s="228"/>
      <c r="H2498" t="s">
        <v>1336</v>
      </c>
      <c r="I2498" s="234" t="s">
        <v>7836</v>
      </c>
      <c r="J2498" s="232"/>
    </row>
    <row r="2499" spans="1:10" hidden="1">
      <c r="A2499" s="234">
        <v>44370</v>
      </c>
      <c r="C2499" s="228" t="s">
        <v>7837</v>
      </c>
      <c r="D2499" s="228"/>
      <c r="E2499" s="228">
        <v>6</v>
      </c>
      <c r="H2499" t="s">
        <v>1336</v>
      </c>
      <c r="I2499" s="234" t="s">
        <v>7836</v>
      </c>
      <c r="J2499" s="232"/>
    </row>
    <row r="2500" spans="1:10" hidden="1">
      <c r="A2500" s="234">
        <v>44370</v>
      </c>
      <c r="C2500" s="228" t="s">
        <v>7838</v>
      </c>
      <c r="D2500" s="228"/>
      <c r="E2500" s="228">
        <v>5</v>
      </c>
      <c r="H2500" t="s">
        <v>1336</v>
      </c>
      <c r="I2500" s="234" t="s">
        <v>7836</v>
      </c>
      <c r="J2500" s="232"/>
    </row>
    <row r="2501" spans="1:10" hidden="1">
      <c r="A2501" s="234">
        <v>44370</v>
      </c>
      <c r="C2501" s="228" t="s">
        <v>7839</v>
      </c>
      <c r="D2501" s="228"/>
      <c r="E2501" s="228">
        <v>2</v>
      </c>
      <c r="H2501" t="s">
        <v>1336</v>
      </c>
      <c r="I2501" s="234" t="s">
        <v>7836</v>
      </c>
      <c r="J2501" s="232"/>
    </row>
    <row r="2502" spans="1:10" hidden="1">
      <c r="A2502" s="234">
        <v>44370</v>
      </c>
      <c r="C2502" s="228" t="s">
        <v>7840</v>
      </c>
      <c r="D2502" s="228">
        <v>3450</v>
      </c>
      <c r="E2502" s="228"/>
      <c r="H2502" t="s">
        <v>1336</v>
      </c>
      <c r="I2502" s="234" t="s">
        <v>7836</v>
      </c>
      <c r="J2502" s="232"/>
    </row>
    <row r="2503" spans="1:10" hidden="1">
      <c r="A2503" s="234">
        <v>44371</v>
      </c>
      <c r="C2503" s="228" t="s">
        <v>7841</v>
      </c>
      <c r="D2503" s="228">
        <v>1007.95</v>
      </c>
      <c r="E2503" s="228"/>
      <c r="H2503" t="s">
        <v>1336</v>
      </c>
      <c r="I2503" s="234" t="s">
        <v>7842</v>
      </c>
      <c r="J2503" s="232"/>
    </row>
    <row r="2504" spans="1:10" hidden="1">
      <c r="A2504" s="234">
        <v>44371</v>
      </c>
      <c r="C2504" s="228" t="s">
        <v>7843</v>
      </c>
      <c r="D2504" s="323">
        <v>10250</v>
      </c>
      <c r="E2504" s="228"/>
      <c r="G2504" s="8" t="s">
        <v>1372</v>
      </c>
      <c r="H2504" t="s">
        <v>1336</v>
      </c>
      <c r="I2504" s="234" t="s">
        <v>7842</v>
      </c>
      <c r="J2504" s="232"/>
    </row>
    <row r="2505" spans="1:10" hidden="1">
      <c r="A2505" s="234">
        <v>44372</v>
      </c>
      <c r="C2505" s="228" t="s">
        <v>7844</v>
      </c>
      <c r="D2505" s="228"/>
      <c r="E2505" s="228">
        <v>140000</v>
      </c>
      <c r="G2505" s="8" t="s">
        <v>1384</v>
      </c>
      <c r="H2505" t="s">
        <v>1336</v>
      </c>
      <c r="I2505" s="234" t="s">
        <v>7845</v>
      </c>
      <c r="J2505" s="232"/>
    </row>
    <row r="2506" spans="1:10" hidden="1">
      <c r="A2506" s="234">
        <v>44372</v>
      </c>
      <c r="C2506" s="228" t="s">
        <v>7846</v>
      </c>
      <c r="D2506" s="228">
        <v>195</v>
      </c>
      <c r="E2506" s="228"/>
      <c r="H2506" t="s">
        <v>1336</v>
      </c>
      <c r="I2506" s="234" t="s">
        <v>7845</v>
      </c>
      <c r="J2506" s="232"/>
    </row>
    <row r="2507" spans="1:10" hidden="1">
      <c r="A2507" s="234">
        <v>44373</v>
      </c>
      <c r="C2507" s="228" t="s">
        <v>7847</v>
      </c>
      <c r="D2507" s="228">
        <v>158</v>
      </c>
      <c r="E2507" s="228"/>
      <c r="H2507" t="s">
        <v>1336</v>
      </c>
      <c r="I2507" s="234" t="s">
        <v>7848</v>
      </c>
      <c r="J2507" s="232"/>
    </row>
    <row r="2508" spans="1:10" hidden="1">
      <c r="A2508" s="234">
        <v>44374</v>
      </c>
      <c r="C2508" s="228" t="s">
        <v>7849</v>
      </c>
      <c r="D2508" s="228">
        <v>1610.05</v>
      </c>
      <c r="E2508" s="228"/>
      <c r="H2508" t="s">
        <v>1336</v>
      </c>
      <c r="I2508" s="234" t="s">
        <v>7850</v>
      </c>
      <c r="J2508" s="232"/>
    </row>
    <row r="2509" spans="1:10" hidden="1">
      <c r="A2509" s="234">
        <v>44374</v>
      </c>
      <c r="C2509" s="228" t="s">
        <v>7851</v>
      </c>
      <c r="D2509" s="228">
        <v>611</v>
      </c>
      <c r="E2509" s="228"/>
      <c r="H2509" t="s">
        <v>1336</v>
      </c>
      <c r="I2509" s="234" t="s">
        <v>7850</v>
      </c>
      <c r="J2509" s="232"/>
    </row>
    <row r="2510" spans="1:10" hidden="1">
      <c r="A2510" s="234">
        <v>44374</v>
      </c>
      <c r="C2510" s="228" t="s">
        <v>7852</v>
      </c>
      <c r="D2510" s="228">
        <v>3500</v>
      </c>
      <c r="E2510" s="228"/>
      <c r="H2510" t="s">
        <v>1336</v>
      </c>
      <c r="I2510" s="234" t="s">
        <v>7850</v>
      </c>
      <c r="J2510" s="232"/>
    </row>
    <row r="2511" spans="1:10" hidden="1">
      <c r="A2511" s="234">
        <v>44374</v>
      </c>
      <c r="C2511" s="228" t="s">
        <v>7853</v>
      </c>
      <c r="D2511" s="228">
        <v>1561.86</v>
      </c>
      <c r="E2511" s="228"/>
      <c r="H2511" t="s">
        <v>1336</v>
      </c>
      <c r="I2511" s="234" t="s">
        <v>7850</v>
      </c>
      <c r="J2511" s="232"/>
    </row>
    <row r="2512" spans="1:10" hidden="1">
      <c r="A2512" s="234">
        <v>44375</v>
      </c>
      <c r="C2512" s="228" t="s">
        <v>7854</v>
      </c>
      <c r="D2512" s="228">
        <v>1457</v>
      </c>
      <c r="E2512" s="228"/>
      <c r="H2512" t="s">
        <v>1336</v>
      </c>
      <c r="I2512" s="234" t="s">
        <v>7855</v>
      </c>
      <c r="J2512" s="232"/>
    </row>
    <row r="2513" spans="1:10" hidden="1">
      <c r="A2513" s="234">
        <v>44377</v>
      </c>
      <c r="C2513" s="228" t="s">
        <v>7856</v>
      </c>
      <c r="D2513" s="228">
        <v>500</v>
      </c>
      <c r="E2513" s="228"/>
      <c r="H2513" t="s">
        <v>1336</v>
      </c>
      <c r="I2513" s="234" t="s">
        <v>7857</v>
      </c>
      <c r="J2513" s="232"/>
    </row>
    <row r="2514" spans="1:10" hidden="1">
      <c r="A2514" s="234">
        <v>44377</v>
      </c>
      <c r="C2514" s="228" t="s">
        <v>7858</v>
      </c>
      <c r="D2514" s="228">
        <v>450</v>
      </c>
      <c r="E2514" s="228"/>
      <c r="H2514" t="s">
        <v>1336</v>
      </c>
      <c r="I2514" s="234" t="s">
        <v>7857</v>
      </c>
      <c r="J2514" s="232"/>
    </row>
    <row r="2515" spans="1:10" hidden="1">
      <c r="A2515" s="234">
        <v>44378</v>
      </c>
      <c r="C2515" s="228" t="s">
        <v>4256</v>
      </c>
      <c r="D2515" s="228"/>
      <c r="E2515" s="228">
        <v>9902</v>
      </c>
      <c r="G2515" s="8" t="s">
        <v>1368</v>
      </c>
      <c r="H2515" t="s">
        <v>1336</v>
      </c>
      <c r="I2515" s="234" t="s">
        <v>7859</v>
      </c>
      <c r="J2515" s="232"/>
    </row>
    <row r="2516" spans="1:10" hidden="1">
      <c r="A2516" s="234">
        <v>44378</v>
      </c>
      <c r="C2516" s="228" t="s">
        <v>7860</v>
      </c>
      <c r="D2516" s="228">
        <v>740</v>
      </c>
      <c r="E2516" s="228"/>
      <c r="H2516" t="s">
        <v>1336</v>
      </c>
      <c r="I2516" s="234" t="s">
        <v>7859</v>
      </c>
      <c r="J2516" s="232"/>
    </row>
    <row r="2517" spans="1:10" hidden="1">
      <c r="A2517" s="234">
        <v>44378</v>
      </c>
      <c r="C2517" s="228" t="s">
        <v>7861</v>
      </c>
      <c r="D2517" s="323">
        <v>10250</v>
      </c>
      <c r="E2517" s="228"/>
      <c r="G2517" s="8" t="s">
        <v>1372</v>
      </c>
      <c r="H2517" t="s">
        <v>1336</v>
      </c>
      <c r="I2517" s="234" t="s">
        <v>7859</v>
      </c>
      <c r="J2517" s="232"/>
    </row>
    <row r="2518" spans="1:10" hidden="1">
      <c r="A2518" s="234">
        <v>44379</v>
      </c>
      <c r="C2518" s="228" t="s">
        <v>7862</v>
      </c>
      <c r="D2518" s="228">
        <v>2000</v>
      </c>
      <c r="E2518" s="228"/>
      <c r="H2518" t="s">
        <v>1336</v>
      </c>
      <c r="I2518" s="234" t="s">
        <v>7863</v>
      </c>
      <c r="J2518" s="232"/>
    </row>
    <row r="2519" spans="1:10" hidden="1">
      <c r="A2519" s="234">
        <v>44379</v>
      </c>
      <c r="C2519" s="228" t="s">
        <v>7864</v>
      </c>
      <c r="D2519" s="228">
        <v>3500</v>
      </c>
      <c r="E2519" s="228"/>
      <c r="H2519" t="s">
        <v>1336</v>
      </c>
      <c r="I2519" s="234" t="s">
        <v>7863</v>
      </c>
      <c r="J2519" s="232"/>
    </row>
    <row r="2520" spans="1:10" hidden="1">
      <c r="A2520" s="234">
        <v>44379</v>
      </c>
      <c r="C2520" s="228" t="s">
        <v>7865</v>
      </c>
      <c r="D2520" s="228">
        <v>1200</v>
      </c>
      <c r="E2520" s="228"/>
      <c r="H2520" t="s">
        <v>1336</v>
      </c>
      <c r="I2520" s="234" t="s">
        <v>7863</v>
      </c>
      <c r="J2520" s="232"/>
    </row>
    <row r="2521" spans="1:10" hidden="1">
      <c r="A2521" s="234">
        <v>44379</v>
      </c>
      <c r="C2521" s="228" t="s">
        <v>7866</v>
      </c>
      <c r="D2521" s="228">
        <v>507</v>
      </c>
      <c r="E2521" s="228"/>
      <c r="H2521" t="s">
        <v>1336</v>
      </c>
      <c r="I2521" s="234" t="s">
        <v>7863</v>
      </c>
      <c r="J2521" s="232"/>
    </row>
    <row r="2522" spans="1:10" hidden="1">
      <c r="A2522" s="234">
        <v>44379</v>
      </c>
      <c r="C2522" s="228" t="s">
        <v>7867</v>
      </c>
      <c r="D2522" s="228"/>
      <c r="E2522" s="228">
        <v>507</v>
      </c>
      <c r="H2522" t="s">
        <v>1336</v>
      </c>
      <c r="I2522" s="234" t="s">
        <v>7863</v>
      </c>
      <c r="J2522" s="232"/>
    </row>
    <row r="2523" spans="1:10" hidden="1">
      <c r="A2523" s="234">
        <v>44383</v>
      </c>
      <c r="C2523" s="228" t="s">
        <v>6583</v>
      </c>
      <c r="D2523" s="228">
        <v>2295</v>
      </c>
      <c r="E2523" s="228"/>
      <c r="G2523" s="8" t="s">
        <v>1362</v>
      </c>
      <c r="H2523" t="s">
        <v>1336</v>
      </c>
      <c r="I2523" s="234" t="s">
        <v>7868</v>
      </c>
      <c r="J2523" s="232"/>
    </row>
    <row r="2524" spans="1:10" hidden="1">
      <c r="A2524" s="234">
        <v>44383</v>
      </c>
      <c r="C2524" s="228" t="s">
        <v>7869</v>
      </c>
      <c r="D2524" s="228">
        <v>1033</v>
      </c>
      <c r="E2524" s="228"/>
      <c r="H2524" t="s">
        <v>1336</v>
      </c>
      <c r="I2524" s="234" t="s">
        <v>7868</v>
      </c>
      <c r="J2524" s="232"/>
    </row>
    <row r="2525" spans="1:10" hidden="1">
      <c r="A2525" s="234">
        <v>44383</v>
      </c>
      <c r="C2525" s="228" t="s">
        <v>7870</v>
      </c>
      <c r="D2525" s="228">
        <v>647.71</v>
      </c>
      <c r="E2525" s="228"/>
      <c r="H2525" t="s">
        <v>1336</v>
      </c>
      <c r="I2525" s="234" t="s">
        <v>7868</v>
      </c>
      <c r="J2525" s="232"/>
    </row>
    <row r="2526" spans="1:10" hidden="1">
      <c r="A2526" s="234">
        <v>44383</v>
      </c>
      <c r="C2526" s="228" t="s">
        <v>7871</v>
      </c>
      <c r="D2526" s="228"/>
      <c r="E2526" s="228">
        <v>47</v>
      </c>
      <c r="H2526" t="s">
        <v>1336</v>
      </c>
      <c r="I2526" s="234" t="s">
        <v>7868</v>
      </c>
      <c r="J2526" s="232"/>
    </row>
    <row r="2527" spans="1:10" hidden="1">
      <c r="A2527" s="234">
        <v>44384</v>
      </c>
      <c r="C2527" s="228" t="s">
        <v>7872</v>
      </c>
      <c r="D2527" s="228">
        <v>1268.5</v>
      </c>
      <c r="E2527" s="228"/>
      <c r="H2527" t="s">
        <v>1336</v>
      </c>
      <c r="I2527" s="234" t="s">
        <v>7873</v>
      </c>
      <c r="J2527" s="232"/>
    </row>
    <row r="2528" spans="1:10" hidden="1">
      <c r="A2528" s="234">
        <v>44385</v>
      </c>
      <c r="C2528" s="228" t="s">
        <v>7874</v>
      </c>
      <c r="D2528" s="323">
        <v>10250</v>
      </c>
      <c r="E2528" s="228"/>
      <c r="G2528" s="8" t="s">
        <v>1372</v>
      </c>
      <c r="H2528" t="s">
        <v>1336</v>
      </c>
      <c r="I2528" s="234" t="s">
        <v>7875</v>
      </c>
      <c r="J2528" s="232"/>
    </row>
    <row r="2529" spans="1:10" hidden="1">
      <c r="A2529" s="234">
        <v>44385</v>
      </c>
      <c r="C2529" s="228" t="s">
        <v>7876</v>
      </c>
      <c r="D2529" s="228">
        <v>657</v>
      </c>
      <c r="E2529" s="228"/>
      <c r="H2529" t="s">
        <v>1336</v>
      </c>
      <c r="I2529" s="234" t="s">
        <v>7875</v>
      </c>
      <c r="J2529" s="232"/>
    </row>
    <row r="2530" spans="1:10" hidden="1">
      <c r="A2530" s="234">
        <v>44386</v>
      </c>
      <c r="C2530" s="228" t="s">
        <v>7877</v>
      </c>
      <c r="D2530" s="228">
        <v>15000</v>
      </c>
      <c r="E2530" s="228"/>
      <c r="G2530" s="8" t="s">
        <v>1379</v>
      </c>
      <c r="H2530" t="s">
        <v>1336</v>
      </c>
      <c r="I2530" s="234" t="s">
        <v>7878</v>
      </c>
      <c r="J2530" s="232"/>
    </row>
    <row r="2531" spans="1:10" hidden="1">
      <c r="A2531" s="234">
        <v>44386</v>
      </c>
      <c r="C2531" s="228" t="s">
        <v>7879</v>
      </c>
      <c r="D2531" s="228">
        <v>10000</v>
      </c>
      <c r="E2531" s="228"/>
      <c r="G2531" s="8" t="s">
        <v>1379</v>
      </c>
      <c r="H2531" t="s">
        <v>1336</v>
      </c>
      <c r="I2531" s="234" t="s">
        <v>7878</v>
      </c>
      <c r="J2531" s="232"/>
    </row>
    <row r="2532" spans="1:10" hidden="1">
      <c r="A2532" s="234">
        <v>44386</v>
      </c>
      <c r="C2532" s="228" t="s">
        <v>7880</v>
      </c>
      <c r="D2532" s="228">
        <v>499</v>
      </c>
      <c r="E2532" s="228"/>
      <c r="H2532" t="s">
        <v>1336</v>
      </c>
      <c r="I2532" s="234" t="s">
        <v>7878</v>
      </c>
      <c r="J2532" s="232"/>
    </row>
    <row r="2533" spans="1:10" hidden="1">
      <c r="A2533" s="234">
        <v>44386</v>
      </c>
      <c r="C2533" s="228" t="s">
        <v>7881</v>
      </c>
      <c r="D2533" s="228">
        <v>367</v>
      </c>
      <c r="E2533" s="228"/>
      <c r="H2533" t="s">
        <v>1336</v>
      </c>
      <c r="I2533" s="234" t="s">
        <v>7878</v>
      </c>
      <c r="J2533" s="232"/>
    </row>
    <row r="2534" spans="1:10" hidden="1">
      <c r="A2534" s="234">
        <v>44387</v>
      </c>
      <c r="C2534" s="228" t="s">
        <v>7882</v>
      </c>
      <c r="D2534" s="228">
        <v>220</v>
      </c>
      <c r="E2534" s="228"/>
      <c r="H2534" t="s">
        <v>1336</v>
      </c>
      <c r="I2534" s="234" t="s">
        <v>7883</v>
      </c>
      <c r="J2534" s="232"/>
    </row>
    <row r="2535" spans="1:10" hidden="1">
      <c r="A2535" s="234">
        <v>44390</v>
      </c>
      <c r="C2535" s="228" t="s">
        <v>7884</v>
      </c>
      <c r="D2535" s="228">
        <v>1127</v>
      </c>
      <c r="E2535" s="228"/>
      <c r="H2535" t="s">
        <v>1336</v>
      </c>
      <c r="I2535" s="234" t="s">
        <v>7885</v>
      </c>
      <c r="J2535" s="232"/>
    </row>
    <row r="2536" spans="1:10" hidden="1">
      <c r="A2536" s="234">
        <v>44390</v>
      </c>
      <c r="C2536" s="228" t="s">
        <v>7886</v>
      </c>
      <c r="D2536" s="228">
        <v>1321</v>
      </c>
      <c r="E2536" s="228"/>
      <c r="H2536" t="s">
        <v>1336</v>
      </c>
      <c r="I2536" s="234" t="s">
        <v>7885</v>
      </c>
      <c r="J2536" s="232"/>
    </row>
    <row r="2537" spans="1:10" hidden="1">
      <c r="A2537" s="234">
        <v>44390</v>
      </c>
      <c r="C2537" s="228" t="s">
        <v>7887</v>
      </c>
      <c r="D2537" s="228">
        <v>627</v>
      </c>
      <c r="E2537" s="228"/>
      <c r="H2537" t="s">
        <v>1336</v>
      </c>
      <c r="I2537" s="234" t="s">
        <v>7885</v>
      </c>
      <c r="J2537" s="232"/>
    </row>
    <row r="2538" spans="1:10" hidden="1">
      <c r="A2538" s="234">
        <v>44391</v>
      </c>
      <c r="C2538" s="228" t="s">
        <v>7888</v>
      </c>
      <c r="D2538" s="228">
        <v>501</v>
      </c>
      <c r="E2538" s="228"/>
      <c r="H2538" t="s">
        <v>1336</v>
      </c>
      <c r="I2538" s="234" t="s">
        <v>7889</v>
      </c>
      <c r="J2538" s="232"/>
    </row>
    <row r="2539" spans="1:10" hidden="1">
      <c r="A2539" s="234">
        <v>44392</v>
      </c>
      <c r="C2539" s="228" t="s">
        <v>7890</v>
      </c>
      <c r="D2539" s="323">
        <v>10250</v>
      </c>
      <c r="E2539" s="228"/>
      <c r="G2539" s="8" t="s">
        <v>1372</v>
      </c>
      <c r="H2539" t="s">
        <v>1336</v>
      </c>
      <c r="I2539" s="234" t="s">
        <v>7891</v>
      </c>
      <c r="J2539" s="232"/>
    </row>
    <row r="2540" spans="1:10" hidden="1">
      <c r="A2540" s="234">
        <v>44392</v>
      </c>
      <c r="C2540" s="228" t="s">
        <v>7892</v>
      </c>
      <c r="D2540" s="228">
        <v>906.52</v>
      </c>
      <c r="E2540" s="228"/>
      <c r="H2540" t="s">
        <v>1336</v>
      </c>
      <c r="I2540" s="234" t="s">
        <v>7891</v>
      </c>
      <c r="J2540" s="232"/>
    </row>
    <row r="2541" spans="1:10" hidden="1">
      <c r="A2541" s="234">
        <v>44393</v>
      </c>
      <c r="C2541" s="228" t="s">
        <v>7893</v>
      </c>
      <c r="D2541" s="228">
        <v>782</v>
      </c>
      <c r="E2541" s="228"/>
      <c r="H2541" t="s">
        <v>1336</v>
      </c>
      <c r="I2541" s="234" t="s">
        <v>7894</v>
      </c>
      <c r="J2541" s="232"/>
    </row>
    <row r="2542" spans="1:10" hidden="1">
      <c r="A2542" s="234">
        <v>44394</v>
      </c>
      <c r="C2542" s="228" t="s">
        <v>7895</v>
      </c>
      <c r="D2542" s="228">
        <v>1026.54</v>
      </c>
      <c r="E2542" s="228"/>
      <c r="H2542" t="s">
        <v>1336</v>
      </c>
      <c r="I2542" s="234" t="s">
        <v>7896</v>
      </c>
      <c r="J2542" s="232"/>
    </row>
    <row r="2543" spans="1:10" hidden="1">
      <c r="A2543" s="234">
        <v>44395</v>
      </c>
      <c r="C2543" s="228" t="s">
        <v>7897</v>
      </c>
      <c r="D2543" s="228">
        <v>220</v>
      </c>
      <c r="E2543" s="228"/>
      <c r="H2543" t="s">
        <v>1336</v>
      </c>
      <c r="I2543" s="234" t="s">
        <v>7898</v>
      </c>
      <c r="J2543" s="232"/>
    </row>
    <row r="2544" spans="1:10" hidden="1">
      <c r="A2544" s="234">
        <v>44395</v>
      </c>
      <c r="C2544" s="228" t="s">
        <v>7899</v>
      </c>
      <c r="D2544" s="228">
        <v>863</v>
      </c>
      <c r="E2544" s="228"/>
      <c r="H2544" t="s">
        <v>1336</v>
      </c>
      <c r="I2544" s="234" t="s">
        <v>7898</v>
      </c>
      <c r="J2544" s="232"/>
    </row>
    <row r="2545" spans="1:10" hidden="1">
      <c r="A2545" s="234">
        <v>44395</v>
      </c>
      <c r="C2545" s="228" t="s">
        <v>7900</v>
      </c>
      <c r="D2545" s="228"/>
      <c r="E2545" s="228">
        <v>4</v>
      </c>
      <c r="H2545" t="s">
        <v>1336</v>
      </c>
      <c r="I2545" s="234" t="s">
        <v>7898</v>
      </c>
      <c r="J2545" s="232"/>
    </row>
    <row r="2546" spans="1:10" hidden="1">
      <c r="A2546" s="234">
        <v>44395</v>
      </c>
      <c r="C2546" s="228" t="s">
        <v>7901</v>
      </c>
      <c r="D2546" s="228">
        <v>471</v>
      </c>
      <c r="E2546" s="228"/>
      <c r="H2546" t="s">
        <v>1336</v>
      </c>
      <c r="I2546" s="234" t="s">
        <v>7898</v>
      </c>
      <c r="J2546" s="232"/>
    </row>
    <row r="2547" spans="1:10" hidden="1">
      <c r="A2547" s="234">
        <v>44395</v>
      </c>
      <c r="C2547" s="228" t="s">
        <v>7902</v>
      </c>
      <c r="D2547" s="228">
        <v>393</v>
      </c>
      <c r="E2547" s="228"/>
      <c r="H2547" t="s">
        <v>1336</v>
      </c>
      <c r="I2547" s="234" t="s">
        <v>7898</v>
      </c>
      <c r="J2547" s="232"/>
    </row>
    <row r="2548" spans="1:10" hidden="1">
      <c r="A2548" s="234">
        <v>44396</v>
      </c>
      <c r="C2548" s="228" t="s">
        <v>7903</v>
      </c>
      <c r="D2548" s="228">
        <v>470</v>
      </c>
      <c r="E2548" s="228"/>
      <c r="H2548" t="s">
        <v>1336</v>
      </c>
      <c r="I2548" s="234" t="s">
        <v>7904</v>
      </c>
      <c r="J2548" s="232"/>
    </row>
    <row r="2549" spans="1:10" hidden="1">
      <c r="A2549" s="234">
        <v>44397</v>
      </c>
      <c r="C2549" s="228" t="s">
        <v>7905</v>
      </c>
      <c r="D2549" s="228">
        <v>857</v>
      </c>
      <c r="E2549" s="228"/>
      <c r="H2549" t="s">
        <v>1336</v>
      </c>
      <c r="I2549" s="234" t="s">
        <v>7906</v>
      </c>
      <c r="J2549" s="232"/>
    </row>
    <row r="2550" spans="1:10" hidden="1">
      <c r="A2550" s="234">
        <v>44398</v>
      </c>
      <c r="C2550" s="228" t="s">
        <v>7907</v>
      </c>
      <c r="D2550" s="228">
        <v>13900</v>
      </c>
      <c r="E2550" s="228"/>
      <c r="G2550" s="8" t="s">
        <v>1379</v>
      </c>
      <c r="H2550" t="s">
        <v>1336</v>
      </c>
      <c r="I2550" s="234" t="s">
        <v>7908</v>
      </c>
      <c r="J2550" s="232"/>
    </row>
    <row r="2551" spans="1:10" hidden="1">
      <c r="A2551" s="234">
        <v>44398</v>
      </c>
      <c r="C2551" s="228" t="s">
        <v>7909</v>
      </c>
      <c r="D2551" s="228">
        <v>149</v>
      </c>
      <c r="E2551" s="228"/>
      <c r="H2551" t="s">
        <v>1336</v>
      </c>
      <c r="I2551" s="234" t="s">
        <v>7908</v>
      </c>
      <c r="J2551" s="232"/>
    </row>
    <row r="2552" spans="1:10" hidden="1">
      <c r="A2552" s="234">
        <v>44398</v>
      </c>
      <c r="C2552" s="228" t="s">
        <v>7910</v>
      </c>
      <c r="D2552" s="228">
        <v>1259</v>
      </c>
      <c r="E2552" s="228"/>
      <c r="H2552" t="s">
        <v>1336</v>
      </c>
      <c r="I2552" s="234" t="s">
        <v>7908</v>
      </c>
      <c r="J2552" s="232"/>
    </row>
    <row r="2553" spans="1:10" hidden="1">
      <c r="A2553" s="234">
        <v>44399</v>
      </c>
      <c r="C2553" s="228" t="s">
        <v>7911</v>
      </c>
      <c r="D2553" s="228">
        <v>98</v>
      </c>
      <c r="E2553" s="228"/>
      <c r="H2553" t="s">
        <v>1336</v>
      </c>
      <c r="I2553" s="234" t="s">
        <v>7912</v>
      </c>
      <c r="J2553" s="232"/>
    </row>
    <row r="2554" spans="1:10" hidden="1">
      <c r="A2554" s="234">
        <v>44399</v>
      </c>
      <c r="C2554" s="228" t="s">
        <v>7913</v>
      </c>
      <c r="D2554" s="323">
        <v>10250</v>
      </c>
      <c r="E2554" s="228"/>
      <c r="G2554" s="8" t="s">
        <v>1372</v>
      </c>
      <c r="H2554" t="s">
        <v>1336</v>
      </c>
      <c r="I2554" s="234" t="s">
        <v>7912</v>
      </c>
      <c r="J2554" s="232"/>
    </row>
    <row r="2555" spans="1:10" hidden="1">
      <c r="A2555" s="234">
        <v>44401</v>
      </c>
      <c r="C2555" s="228" t="s">
        <v>7914</v>
      </c>
      <c r="D2555" s="228">
        <v>1271.7</v>
      </c>
      <c r="E2555" s="228"/>
      <c r="H2555" t="s">
        <v>1336</v>
      </c>
      <c r="I2555" s="234" t="s">
        <v>7915</v>
      </c>
      <c r="J2555" s="232"/>
    </row>
    <row r="2556" spans="1:10" hidden="1">
      <c r="A2556" s="234">
        <v>44402</v>
      </c>
      <c r="C2556" s="228" t="s">
        <v>7916</v>
      </c>
      <c r="D2556" s="228">
        <v>212</v>
      </c>
      <c r="E2556" s="228"/>
      <c r="H2556" t="s">
        <v>1336</v>
      </c>
      <c r="I2556" s="234" t="s">
        <v>7917</v>
      </c>
      <c r="J2556" s="232"/>
    </row>
    <row r="2557" spans="1:10" hidden="1">
      <c r="A2557" s="234">
        <v>44403</v>
      </c>
      <c r="C2557" s="228" t="s">
        <v>7918</v>
      </c>
      <c r="D2557" s="228"/>
      <c r="E2557" s="228">
        <v>140000</v>
      </c>
      <c r="G2557" s="8" t="s">
        <v>1384</v>
      </c>
      <c r="H2557" t="s">
        <v>1336</v>
      </c>
      <c r="I2557" s="234" t="s">
        <v>7919</v>
      </c>
      <c r="J2557" s="232"/>
    </row>
    <row r="2558" spans="1:10" hidden="1">
      <c r="A2558" s="234">
        <v>44406</v>
      </c>
      <c r="C2558" s="228" t="s">
        <v>7920</v>
      </c>
      <c r="D2558" s="228">
        <v>2762.9</v>
      </c>
      <c r="E2558" s="228"/>
      <c r="H2558" t="s">
        <v>1336</v>
      </c>
      <c r="I2558" s="234" t="s">
        <v>7921</v>
      </c>
      <c r="J2558" s="232"/>
    </row>
    <row r="2559" spans="1:10" hidden="1">
      <c r="A2559" s="234">
        <v>44406</v>
      </c>
      <c r="C2559" s="228" t="s">
        <v>7922</v>
      </c>
      <c r="D2559" s="228">
        <v>102.6</v>
      </c>
      <c r="E2559" s="228"/>
      <c r="H2559" t="s">
        <v>1336</v>
      </c>
      <c r="I2559" s="234" t="s">
        <v>7921</v>
      </c>
      <c r="J2559" s="232"/>
    </row>
    <row r="2560" spans="1:10" hidden="1">
      <c r="A2560" s="234">
        <v>44406</v>
      </c>
      <c r="C2560" s="228" t="s">
        <v>7923</v>
      </c>
      <c r="D2560" s="323">
        <v>10250</v>
      </c>
      <c r="E2560" s="228"/>
      <c r="G2560" s="8" t="s">
        <v>1372</v>
      </c>
      <c r="H2560" t="s">
        <v>1336</v>
      </c>
      <c r="I2560" s="234" t="s">
        <v>7921</v>
      </c>
      <c r="J2560" s="232"/>
    </row>
    <row r="2561" spans="1:10" hidden="1">
      <c r="A2561" s="234">
        <v>44409</v>
      </c>
      <c r="C2561" s="228" t="s">
        <v>7924</v>
      </c>
      <c r="D2561" s="228">
        <v>2000</v>
      </c>
      <c r="E2561" s="228"/>
      <c r="H2561" t="s">
        <v>1336</v>
      </c>
      <c r="I2561" s="234" t="s">
        <v>7925</v>
      </c>
      <c r="J2561" s="232"/>
    </row>
    <row r="2562" spans="1:10" hidden="1">
      <c r="A2562" s="234">
        <v>44409</v>
      </c>
      <c r="C2562" s="228" t="s">
        <v>7926</v>
      </c>
      <c r="D2562" s="228">
        <v>3500</v>
      </c>
      <c r="E2562" s="228"/>
      <c r="H2562" t="s">
        <v>1336</v>
      </c>
      <c r="I2562" s="234" t="s">
        <v>7925</v>
      </c>
      <c r="J2562" s="232"/>
    </row>
    <row r="2563" spans="1:10" hidden="1">
      <c r="A2563" s="234">
        <v>44409</v>
      </c>
      <c r="C2563" s="228" t="s">
        <v>7927</v>
      </c>
      <c r="D2563" s="228">
        <v>1200</v>
      </c>
      <c r="E2563" s="228"/>
      <c r="H2563" t="s">
        <v>1336</v>
      </c>
      <c r="I2563" s="234" t="s">
        <v>7925</v>
      </c>
      <c r="J2563" s="232"/>
    </row>
    <row r="2564" spans="1:10" hidden="1">
      <c r="A2564" s="234">
        <v>44409</v>
      </c>
      <c r="C2564" s="228" t="s">
        <v>7928</v>
      </c>
      <c r="D2564" s="228">
        <v>30</v>
      </c>
      <c r="E2564" s="228"/>
      <c r="H2564" t="s">
        <v>1336</v>
      </c>
      <c r="I2564" s="234" t="s">
        <v>7925</v>
      </c>
      <c r="J2564" s="232"/>
    </row>
    <row r="2565" spans="1:10" hidden="1">
      <c r="A2565" s="234">
        <v>44409</v>
      </c>
      <c r="C2565" s="228" t="s">
        <v>7929</v>
      </c>
      <c r="D2565" s="228"/>
      <c r="E2565" s="228">
        <v>3</v>
      </c>
      <c r="H2565" t="s">
        <v>1336</v>
      </c>
      <c r="I2565" s="234" t="s">
        <v>7925</v>
      </c>
      <c r="J2565" s="232"/>
    </row>
    <row r="2566" spans="1:10" hidden="1">
      <c r="A2566" s="234">
        <v>44409</v>
      </c>
      <c r="C2566" s="228" t="s">
        <v>7930</v>
      </c>
      <c r="D2566" s="228"/>
      <c r="E2566" s="228">
        <v>3</v>
      </c>
      <c r="H2566" t="s">
        <v>1336</v>
      </c>
      <c r="I2566" s="234" t="s">
        <v>7925</v>
      </c>
      <c r="J2566" s="232"/>
    </row>
    <row r="2567" spans="1:10" hidden="1">
      <c r="A2567" s="234">
        <v>44409</v>
      </c>
      <c r="C2567" s="228" t="s">
        <v>7931</v>
      </c>
      <c r="D2567" s="228">
        <v>2300</v>
      </c>
      <c r="E2567" s="228"/>
      <c r="H2567" t="s">
        <v>1336</v>
      </c>
      <c r="I2567" s="234" t="s">
        <v>7925</v>
      </c>
      <c r="J2567" s="232"/>
    </row>
    <row r="2568" spans="1:10" hidden="1">
      <c r="A2568" s="234">
        <v>44410</v>
      </c>
      <c r="C2568" s="228" t="s">
        <v>7932</v>
      </c>
      <c r="D2568" s="228">
        <v>226</v>
      </c>
      <c r="E2568" s="228"/>
      <c r="H2568" t="s">
        <v>1336</v>
      </c>
      <c r="I2568" s="234" t="s">
        <v>7933</v>
      </c>
      <c r="J2568" s="232"/>
    </row>
    <row r="2569" spans="1:10" hidden="1">
      <c r="A2569" s="234">
        <v>44410</v>
      </c>
      <c r="C2569" s="228" t="s">
        <v>7934</v>
      </c>
      <c r="D2569" s="228">
        <v>1268.5</v>
      </c>
      <c r="E2569" s="228"/>
      <c r="H2569" t="s">
        <v>1336</v>
      </c>
      <c r="I2569" s="234" t="s">
        <v>7933</v>
      </c>
      <c r="J2569" s="232"/>
    </row>
    <row r="2570" spans="1:10" hidden="1">
      <c r="A2570" s="234">
        <v>44411</v>
      </c>
      <c r="C2570" s="228" t="s">
        <v>7935</v>
      </c>
      <c r="D2570" s="228">
        <v>166</v>
      </c>
      <c r="E2570" s="228"/>
      <c r="H2570" t="s">
        <v>1336</v>
      </c>
      <c r="I2570" s="234" t="s">
        <v>7936</v>
      </c>
      <c r="J2570" s="232"/>
    </row>
    <row r="2571" spans="1:10" hidden="1">
      <c r="A2571" s="234">
        <v>44411</v>
      </c>
      <c r="C2571" s="228" t="s">
        <v>7937</v>
      </c>
      <c r="D2571" s="228">
        <v>178</v>
      </c>
      <c r="E2571" s="228"/>
      <c r="H2571" t="s">
        <v>1336</v>
      </c>
      <c r="I2571" s="234" t="s">
        <v>7936</v>
      </c>
      <c r="J2571" s="232"/>
    </row>
    <row r="2572" spans="1:10" hidden="1">
      <c r="A2572" s="234">
        <v>44412</v>
      </c>
      <c r="C2572" s="228" t="s">
        <v>7938</v>
      </c>
      <c r="D2572" s="228">
        <v>742.6</v>
      </c>
      <c r="E2572" s="228"/>
      <c r="H2572" t="s">
        <v>1336</v>
      </c>
      <c r="I2572" s="234" t="s">
        <v>7939</v>
      </c>
      <c r="J2572" s="232"/>
    </row>
    <row r="2573" spans="1:10" hidden="1">
      <c r="A2573" s="234">
        <v>44412</v>
      </c>
      <c r="C2573" s="228" t="s">
        <v>7940</v>
      </c>
      <c r="D2573" s="228"/>
      <c r="E2573" s="228">
        <v>2</v>
      </c>
      <c r="H2573" t="s">
        <v>1336</v>
      </c>
      <c r="I2573" s="234" t="s">
        <v>7939</v>
      </c>
      <c r="J2573" s="232"/>
    </row>
    <row r="2574" spans="1:10" hidden="1">
      <c r="A2574" s="234">
        <v>44412</v>
      </c>
      <c r="C2574" s="228" t="s">
        <v>7941</v>
      </c>
      <c r="D2574" s="228">
        <v>304</v>
      </c>
      <c r="E2574" s="228"/>
      <c r="H2574" t="s">
        <v>1336</v>
      </c>
      <c r="I2574" s="234" t="s">
        <v>7939</v>
      </c>
      <c r="J2574" s="232"/>
    </row>
    <row r="2575" spans="1:10" hidden="1">
      <c r="A2575" s="234">
        <v>44413</v>
      </c>
      <c r="C2575" s="228" t="s">
        <v>6583</v>
      </c>
      <c r="D2575" s="228">
        <v>12207</v>
      </c>
      <c r="E2575" s="228"/>
      <c r="G2575" s="8" t="s">
        <v>1362</v>
      </c>
      <c r="H2575" t="s">
        <v>1336</v>
      </c>
      <c r="I2575" s="234" t="s">
        <v>7942</v>
      </c>
      <c r="J2575" s="232"/>
    </row>
    <row r="2576" spans="1:10" hidden="1">
      <c r="A2576" s="234">
        <v>44413</v>
      </c>
      <c r="C2576" s="228" t="s">
        <v>7943</v>
      </c>
      <c r="D2576" s="323">
        <v>10250</v>
      </c>
      <c r="E2576" s="228"/>
      <c r="G2576" s="8" t="s">
        <v>1372</v>
      </c>
      <c r="H2576" t="s">
        <v>1336</v>
      </c>
      <c r="I2576" s="234" t="s">
        <v>7942</v>
      </c>
      <c r="J2576" s="232"/>
    </row>
    <row r="2577" spans="1:10" hidden="1">
      <c r="A2577" s="234">
        <v>44413</v>
      </c>
      <c r="C2577" s="228" t="s">
        <v>7944</v>
      </c>
      <c r="D2577" s="228">
        <v>600</v>
      </c>
      <c r="E2577" s="228"/>
      <c r="H2577" t="s">
        <v>1336</v>
      </c>
      <c r="I2577" s="234" t="s">
        <v>7942</v>
      </c>
      <c r="J2577" s="232"/>
    </row>
    <row r="2578" spans="1:10" hidden="1">
      <c r="A2578" s="234">
        <v>44413</v>
      </c>
      <c r="C2578" s="228" t="s">
        <v>7945</v>
      </c>
      <c r="D2578" s="228">
        <v>1500</v>
      </c>
      <c r="E2578" s="228"/>
      <c r="H2578" t="s">
        <v>1336</v>
      </c>
      <c r="I2578" s="234" t="s">
        <v>7942</v>
      </c>
      <c r="J2578" s="232"/>
    </row>
    <row r="2579" spans="1:10" hidden="1">
      <c r="A2579" s="234">
        <v>44414</v>
      </c>
      <c r="C2579" s="228" t="s">
        <v>7946</v>
      </c>
      <c r="D2579" s="228">
        <v>1323.7</v>
      </c>
      <c r="E2579" s="228"/>
      <c r="H2579" t="s">
        <v>1336</v>
      </c>
      <c r="I2579" s="234" t="s">
        <v>7947</v>
      </c>
      <c r="J2579" s="232"/>
    </row>
    <row r="2580" spans="1:10" hidden="1">
      <c r="A2580" s="234">
        <v>44417</v>
      </c>
      <c r="C2580" s="228" t="s">
        <v>7948</v>
      </c>
      <c r="D2580" s="228">
        <v>15000</v>
      </c>
      <c r="E2580" s="228"/>
      <c r="G2580" s="8" t="s">
        <v>1379</v>
      </c>
      <c r="H2580" t="s">
        <v>1336</v>
      </c>
      <c r="I2580" s="234" t="s">
        <v>7949</v>
      </c>
      <c r="J2580" s="232"/>
    </row>
    <row r="2581" spans="1:10" hidden="1">
      <c r="A2581" s="234">
        <v>44417</v>
      </c>
      <c r="C2581" s="228" t="s">
        <v>7950</v>
      </c>
      <c r="D2581" s="228">
        <v>10000</v>
      </c>
      <c r="E2581" s="228"/>
      <c r="G2581" s="8" t="s">
        <v>1379</v>
      </c>
      <c r="H2581" t="s">
        <v>1336</v>
      </c>
      <c r="I2581" s="234" t="s">
        <v>7949</v>
      </c>
      <c r="J2581" s="232"/>
    </row>
    <row r="2582" spans="1:10" hidden="1">
      <c r="A2582" s="234">
        <v>44417</v>
      </c>
      <c r="C2582" s="228" t="s">
        <v>7951</v>
      </c>
      <c r="D2582" s="228">
        <v>245</v>
      </c>
      <c r="E2582" s="228"/>
      <c r="H2582" t="s">
        <v>1336</v>
      </c>
      <c r="I2582" s="234" t="s">
        <v>7949</v>
      </c>
      <c r="J2582" s="232"/>
    </row>
    <row r="2583" spans="1:10" hidden="1">
      <c r="A2583" s="234">
        <v>44417</v>
      </c>
      <c r="C2583" s="228" t="s">
        <v>7952</v>
      </c>
      <c r="D2583" s="228">
        <v>705.1</v>
      </c>
      <c r="E2583" s="228"/>
      <c r="H2583" t="s">
        <v>1336</v>
      </c>
      <c r="I2583" s="234" t="s">
        <v>7949</v>
      </c>
      <c r="J2583" s="232"/>
    </row>
    <row r="2584" spans="1:10" hidden="1">
      <c r="A2584" s="234">
        <v>44419</v>
      </c>
      <c r="C2584" s="228" t="s">
        <v>7953</v>
      </c>
      <c r="D2584" s="228">
        <v>399</v>
      </c>
      <c r="E2584" s="228"/>
      <c r="H2584" t="s">
        <v>1336</v>
      </c>
      <c r="I2584" s="234" t="s">
        <v>7954</v>
      </c>
      <c r="J2584" s="232"/>
    </row>
    <row r="2585" spans="1:10" hidden="1">
      <c r="A2585" s="234">
        <v>44420</v>
      </c>
      <c r="C2585" s="228" t="s">
        <v>7955</v>
      </c>
      <c r="D2585" s="323">
        <v>10250</v>
      </c>
      <c r="E2585" s="228"/>
      <c r="G2585" s="8" t="s">
        <v>1372</v>
      </c>
      <c r="H2585" t="s">
        <v>1336</v>
      </c>
      <c r="I2585" s="234" t="s">
        <v>7956</v>
      </c>
      <c r="J2585" s="232"/>
    </row>
    <row r="2586" spans="1:10" hidden="1">
      <c r="A2586" s="234">
        <v>44422</v>
      </c>
      <c r="C2586" s="228" t="s">
        <v>7957</v>
      </c>
      <c r="D2586" s="228">
        <v>3196</v>
      </c>
      <c r="E2586" s="228"/>
      <c r="H2586" t="s">
        <v>1336</v>
      </c>
      <c r="I2586" s="234" t="s">
        <v>7958</v>
      </c>
      <c r="J2586" s="232"/>
    </row>
    <row r="2587" spans="1:10" hidden="1">
      <c r="A2587" s="234">
        <v>44422</v>
      </c>
      <c r="C2587" s="228" t="s">
        <v>7959</v>
      </c>
      <c r="D2587" s="228">
        <v>99</v>
      </c>
      <c r="E2587" s="228"/>
      <c r="H2587" t="s">
        <v>1336</v>
      </c>
      <c r="I2587" s="234" t="s">
        <v>7958</v>
      </c>
      <c r="J2587" s="232"/>
    </row>
    <row r="2588" spans="1:10" hidden="1">
      <c r="A2588" s="234">
        <v>44422</v>
      </c>
      <c r="C2588" s="228" t="s">
        <v>7960</v>
      </c>
      <c r="D2588" s="228">
        <v>3500</v>
      </c>
      <c r="E2588" s="228"/>
      <c r="H2588" t="s">
        <v>1336</v>
      </c>
      <c r="I2588" s="234" t="s">
        <v>7958</v>
      </c>
      <c r="J2588" s="232"/>
    </row>
    <row r="2589" spans="1:10" hidden="1">
      <c r="A2589" s="234">
        <v>44427</v>
      </c>
      <c r="C2589" s="228" t="s">
        <v>7961</v>
      </c>
      <c r="D2589" s="323">
        <v>10250</v>
      </c>
      <c r="E2589" s="228"/>
      <c r="G2589" s="8" t="s">
        <v>1372</v>
      </c>
      <c r="H2589" t="s">
        <v>1336</v>
      </c>
      <c r="I2589" s="234" t="s">
        <v>7962</v>
      </c>
      <c r="J2589" s="232"/>
    </row>
    <row r="2590" spans="1:10" hidden="1">
      <c r="A2590" s="234">
        <v>44427</v>
      </c>
      <c r="C2590" s="228" t="s">
        <v>7963</v>
      </c>
      <c r="D2590" s="228">
        <v>2550</v>
      </c>
      <c r="E2590" s="228"/>
      <c r="H2590" t="s">
        <v>1336</v>
      </c>
      <c r="I2590" s="234" t="s">
        <v>7962</v>
      </c>
      <c r="J2590" s="232"/>
    </row>
    <row r="2591" spans="1:10" hidden="1">
      <c r="A2591" s="234">
        <v>44429</v>
      </c>
      <c r="C2591" s="228" t="s">
        <v>7964</v>
      </c>
      <c r="D2591" s="228">
        <v>13900</v>
      </c>
      <c r="E2591" s="228"/>
      <c r="G2591" s="8" t="s">
        <v>1379</v>
      </c>
      <c r="H2591" t="s">
        <v>1336</v>
      </c>
      <c r="I2591" s="234" t="s">
        <v>7965</v>
      </c>
      <c r="J2591" s="232"/>
    </row>
    <row r="2592" spans="1:10" hidden="1">
      <c r="A2592" s="234">
        <v>44429</v>
      </c>
      <c r="C2592" s="228" t="s">
        <v>7966</v>
      </c>
      <c r="D2592" s="228"/>
      <c r="E2592" s="228">
        <v>500</v>
      </c>
      <c r="H2592" t="s">
        <v>1336</v>
      </c>
      <c r="I2592" s="234" t="s">
        <v>7965</v>
      </c>
      <c r="J2592" s="232"/>
    </row>
    <row r="2593" spans="1:10" hidden="1">
      <c r="A2593" s="234">
        <v>44430</v>
      </c>
      <c r="C2593" s="228" t="s">
        <v>7967</v>
      </c>
      <c r="D2593" s="228">
        <v>1508.22</v>
      </c>
      <c r="E2593" s="228"/>
      <c r="H2593" t="s">
        <v>1336</v>
      </c>
      <c r="I2593" s="234" t="s">
        <v>7968</v>
      </c>
      <c r="J2593" s="232"/>
    </row>
    <row r="2594" spans="1:10" hidden="1">
      <c r="A2594" s="234">
        <v>44434</v>
      </c>
      <c r="C2594" s="228" t="s">
        <v>7969</v>
      </c>
      <c r="D2594" s="323">
        <v>10250</v>
      </c>
      <c r="E2594" s="228"/>
      <c r="G2594" s="8" t="s">
        <v>1372</v>
      </c>
      <c r="H2594" t="s">
        <v>1336</v>
      </c>
      <c r="I2594" s="234" t="s">
        <v>7970</v>
      </c>
      <c r="J2594" s="232"/>
    </row>
    <row r="2595" spans="1:10" hidden="1">
      <c r="A2595" s="234">
        <v>44434</v>
      </c>
      <c r="C2595" s="228" t="s">
        <v>7971</v>
      </c>
      <c r="D2595" s="228"/>
      <c r="E2595" s="228">
        <v>140000</v>
      </c>
      <c r="G2595" s="8" t="s">
        <v>1384</v>
      </c>
      <c r="H2595" t="s">
        <v>1336</v>
      </c>
      <c r="I2595" s="234" t="s">
        <v>7970</v>
      </c>
      <c r="J2595" s="232"/>
    </row>
    <row r="2596" spans="1:10" hidden="1">
      <c r="A2596" s="234">
        <v>44434</v>
      </c>
      <c r="C2596" s="228" t="s">
        <v>7972</v>
      </c>
      <c r="D2596" s="228">
        <v>5000</v>
      </c>
      <c r="E2596" s="228"/>
      <c r="H2596" t="s">
        <v>1336</v>
      </c>
      <c r="I2596" s="234" t="s">
        <v>7970</v>
      </c>
      <c r="J2596" s="232"/>
    </row>
    <row r="2597" spans="1:10" hidden="1">
      <c r="A2597" s="234">
        <v>44435</v>
      </c>
      <c r="C2597" s="228" t="s">
        <v>7973</v>
      </c>
      <c r="D2597" s="228">
        <v>1448</v>
      </c>
      <c r="E2597" s="228"/>
      <c r="H2597" t="s">
        <v>1336</v>
      </c>
      <c r="I2597" s="234" t="s">
        <v>7974</v>
      </c>
      <c r="J2597" s="232"/>
    </row>
    <row r="2598" spans="1:10" hidden="1">
      <c r="A2598" s="234">
        <v>44435</v>
      </c>
      <c r="C2598" s="228" t="s">
        <v>7975</v>
      </c>
      <c r="D2598" s="228">
        <v>355</v>
      </c>
      <c r="E2598" s="228"/>
      <c r="H2598" t="s">
        <v>1336</v>
      </c>
      <c r="I2598" s="234" t="s">
        <v>7974</v>
      </c>
      <c r="J2598" s="232"/>
    </row>
    <row r="2599" spans="1:10" hidden="1">
      <c r="A2599" s="234">
        <v>44435</v>
      </c>
      <c r="C2599" s="228" t="s">
        <v>7976</v>
      </c>
      <c r="D2599" s="228">
        <v>15190</v>
      </c>
      <c r="E2599" s="228"/>
      <c r="H2599" t="s">
        <v>1336</v>
      </c>
      <c r="I2599" s="234" t="s">
        <v>7974</v>
      </c>
      <c r="J2599" s="232"/>
    </row>
    <row r="2600" spans="1:10" hidden="1">
      <c r="A2600" s="234">
        <v>44435</v>
      </c>
      <c r="C2600" s="228" t="s">
        <v>7977</v>
      </c>
      <c r="D2600" s="228"/>
      <c r="E2600" s="228">
        <v>18750</v>
      </c>
      <c r="G2600" s="8" t="s">
        <v>1380</v>
      </c>
      <c r="H2600" t="s">
        <v>1336</v>
      </c>
      <c r="I2600" s="234" t="s">
        <v>7974</v>
      </c>
      <c r="J2600" s="232"/>
    </row>
    <row r="2601" spans="1:10" hidden="1">
      <c r="A2601" s="234">
        <v>44437</v>
      </c>
      <c r="C2601" s="228" t="s">
        <v>7978</v>
      </c>
      <c r="D2601" s="228">
        <v>870</v>
      </c>
      <c r="E2601" s="228"/>
      <c r="H2601" t="s">
        <v>1336</v>
      </c>
      <c r="I2601" s="234" t="s">
        <v>7979</v>
      </c>
      <c r="J2601" s="232"/>
    </row>
    <row r="2602" spans="1:10" hidden="1">
      <c r="A2602" s="234">
        <v>44437</v>
      </c>
      <c r="C2602" s="228" t="s">
        <v>7980</v>
      </c>
      <c r="D2602" s="228">
        <v>2588</v>
      </c>
      <c r="E2602" s="228"/>
      <c r="H2602" t="s">
        <v>1336</v>
      </c>
      <c r="I2602" s="234" t="s">
        <v>7979</v>
      </c>
      <c r="J2602" s="232"/>
    </row>
    <row r="2603" spans="1:10" hidden="1">
      <c r="A2603" s="234">
        <v>44439</v>
      </c>
      <c r="C2603" s="228" t="s">
        <v>7981</v>
      </c>
      <c r="D2603" s="228">
        <v>926</v>
      </c>
      <c r="E2603" s="228"/>
      <c r="H2603" t="s">
        <v>1336</v>
      </c>
      <c r="I2603" s="234" t="s">
        <v>7982</v>
      </c>
      <c r="J2603" s="232"/>
    </row>
    <row r="2604" spans="1:10" hidden="1">
      <c r="A2604" s="234">
        <v>44440</v>
      </c>
      <c r="C2604" s="228" t="s">
        <v>7983</v>
      </c>
      <c r="D2604" s="228">
        <v>3500</v>
      </c>
      <c r="E2604" s="228"/>
      <c r="H2604" t="s">
        <v>1336</v>
      </c>
      <c r="I2604" s="234" t="s">
        <v>7984</v>
      </c>
      <c r="J2604" s="232"/>
    </row>
    <row r="2605" spans="1:10" hidden="1">
      <c r="A2605" s="234">
        <v>44440</v>
      </c>
      <c r="C2605" s="228" t="s">
        <v>7985</v>
      </c>
      <c r="D2605" s="228">
        <v>2000</v>
      </c>
      <c r="E2605" s="228"/>
      <c r="H2605" t="s">
        <v>1336</v>
      </c>
      <c r="I2605" s="234" t="s">
        <v>7984</v>
      </c>
      <c r="J2605" s="232"/>
    </row>
    <row r="2606" spans="1:10" hidden="1">
      <c r="A2606" s="234">
        <v>44440</v>
      </c>
      <c r="C2606" s="228" t="s">
        <v>7986</v>
      </c>
      <c r="D2606" s="228"/>
      <c r="E2606" s="228">
        <v>3</v>
      </c>
      <c r="H2606" t="s">
        <v>1336</v>
      </c>
      <c r="I2606" s="234" t="s">
        <v>7984</v>
      </c>
      <c r="J2606" s="232"/>
    </row>
    <row r="2607" spans="1:10" hidden="1">
      <c r="A2607" s="234">
        <v>44440</v>
      </c>
      <c r="C2607" s="228" t="s">
        <v>7987</v>
      </c>
      <c r="D2607" s="228">
        <v>1500</v>
      </c>
      <c r="E2607" s="228"/>
      <c r="H2607" t="s">
        <v>1336</v>
      </c>
      <c r="I2607" s="234" t="s">
        <v>7984</v>
      </c>
      <c r="J2607" s="232"/>
    </row>
    <row r="2608" spans="1:10" hidden="1">
      <c r="A2608" s="234">
        <v>44440</v>
      </c>
      <c r="C2608" s="228" t="s">
        <v>7988</v>
      </c>
      <c r="D2608" s="228">
        <v>100</v>
      </c>
      <c r="E2608" s="228"/>
      <c r="H2608" t="s">
        <v>1336</v>
      </c>
      <c r="I2608" s="234" t="s">
        <v>7984</v>
      </c>
      <c r="J2608" s="232"/>
    </row>
    <row r="2609" spans="1:10" hidden="1">
      <c r="A2609" s="234">
        <v>44440</v>
      </c>
      <c r="C2609" s="228" t="s">
        <v>7989</v>
      </c>
      <c r="D2609" s="228">
        <v>20000</v>
      </c>
      <c r="E2609" s="228"/>
      <c r="G2609" s="8" t="s">
        <v>1358</v>
      </c>
      <c r="H2609" t="s">
        <v>1336</v>
      </c>
      <c r="I2609" s="234" t="s">
        <v>7984</v>
      </c>
      <c r="J2609" s="232"/>
    </row>
    <row r="2610" spans="1:10" hidden="1">
      <c r="A2610" s="234">
        <v>44441</v>
      </c>
      <c r="C2610" s="228" t="s">
        <v>7990</v>
      </c>
      <c r="D2610" s="323">
        <v>10250</v>
      </c>
      <c r="E2610" s="228"/>
      <c r="G2610" s="8" t="s">
        <v>1372</v>
      </c>
      <c r="H2610" t="s">
        <v>1336</v>
      </c>
      <c r="I2610" s="234" t="s">
        <v>7991</v>
      </c>
      <c r="J2610" s="232"/>
    </row>
    <row r="2611" spans="1:10" hidden="1">
      <c r="A2611" s="234">
        <v>44442</v>
      </c>
      <c r="C2611" s="228" t="s">
        <v>7992</v>
      </c>
      <c r="D2611" s="228"/>
      <c r="E2611" s="228">
        <v>31450</v>
      </c>
      <c r="H2611" t="s">
        <v>1336</v>
      </c>
      <c r="I2611" s="234" t="s">
        <v>7993</v>
      </c>
      <c r="J2611" s="232"/>
    </row>
    <row r="2612" spans="1:10" hidden="1">
      <c r="A2612" s="234">
        <v>44442</v>
      </c>
      <c r="C2612" s="228" t="s">
        <v>7994</v>
      </c>
      <c r="D2612" s="228">
        <v>31450</v>
      </c>
      <c r="E2612" s="228"/>
      <c r="H2612" t="s">
        <v>1336</v>
      </c>
      <c r="I2612" s="234" t="s">
        <v>7993</v>
      </c>
      <c r="J2612" s="232"/>
    </row>
    <row r="2613" spans="1:10" hidden="1">
      <c r="A2613" s="234">
        <v>44444</v>
      </c>
      <c r="C2613" s="228" t="s">
        <v>6583</v>
      </c>
      <c r="D2613" s="228">
        <v>12569</v>
      </c>
      <c r="E2613" s="228"/>
      <c r="G2613" s="8" t="s">
        <v>1362</v>
      </c>
      <c r="H2613" t="s">
        <v>1336</v>
      </c>
      <c r="I2613" s="234" t="s">
        <v>7995</v>
      </c>
      <c r="J2613" s="232"/>
    </row>
    <row r="2614" spans="1:10" hidden="1">
      <c r="A2614" s="234">
        <v>44444</v>
      </c>
      <c r="C2614" s="228" t="s">
        <v>7996</v>
      </c>
      <c r="D2614" s="228">
        <v>146.5</v>
      </c>
      <c r="E2614" s="228"/>
      <c r="H2614" t="s">
        <v>1336</v>
      </c>
      <c r="I2614" s="234" t="s">
        <v>7995</v>
      </c>
      <c r="J2614" s="232"/>
    </row>
    <row r="2615" spans="1:10" hidden="1">
      <c r="A2615" s="234">
        <v>44444</v>
      </c>
      <c r="C2615" s="228" t="s">
        <v>7997</v>
      </c>
      <c r="D2615" s="228">
        <v>500</v>
      </c>
      <c r="E2615" s="228"/>
      <c r="H2615" t="s">
        <v>1336</v>
      </c>
      <c r="I2615" s="234" t="s">
        <v>7995</v>
      </c>
      <c r="J2615" s="232"/>
    </row>
    <row r="2616" spans="1:10" hidden="1">
      <c r="A2616" s="234">
        <v>44444</v>
      </c>
      <c r="C2616" s="228" t="s">
        <v>7998</v>
      </c>
      <c r="D2616" s="228">
        <v>140</v>
      </c>
      <c r="E2616" s="228"/>
      <c r="H2616" t="s">
        <v>1336</v>
      </c>
      <c r="I2616" s="234" t="s">
        <v>7995</v>
      </c>
      <c r="J2616" s="232"/>
    </row>
    <row r="2617" spans="1:10" hidden="1">
      <c r="A2617" s="234">
        <v>44445</v>
      </c>
      <c r="C2617" s="228" t="s">
        <v>7999</v>
      </c>
      <c r="D2617" s="228">
        <v>1055.2</v>
      </c>
      <c r="E2617" s="228"/>
      <c r="H2617" t="s">
        <v>1336</v>
      </c>
      <c r="I2617" s="234" t="s">
        <v>8000</v>
      </c>
      <c r="J2617" s="232"/>
    </row>
    <row r="2618" spans="1:10" hidden="1">
      <c r="A2618" s="234">
        <v>44446</v>
      </c>
      <c r="C2618" s="228" t="s">
        <v>8001</v>
      </c>
      <c r="D2618" s="228">
        <v>250</v>
      </c>
      <c r="E2618" s="228"/>
      <c r="H2618" t="s">
        <v>1336</v>
      </c>
      <c r="I2618" s="234" t="s">
        <v>8002</v>
      </c>
      <c r="J2618" s="232"/>
    </row>
    <row r="2619" spans="1:10" hidden="1">
      <c r="A2619" s="234">
        <v>44447</v>
      </c>
      <c r="C2619" s="228" t="s">
        <v>8003</v>
      </c>
      <c r="D2619" s="228"/>
      <c r="E2619" s="228">
        <v>155708</v>
      </c>
      <c r="G2619" s="8" t="s">
        <v>1379</v>
      </c>
      <c r="H2619" t="s">
        <v>1336</v>
      </c>
      <c r="I2619" s="234" t="s">
        <v>8004</v>
      </c>
      <c r="J2619" s="232"/>
    </row>
    <row r="2620" spans="1:10" hidden="1">
      <c r="A2620" s="234">
        <v>44447</v>
      </c>
      <c r="C2620" s="228" t="s">
        <v>8005</v>
      </c>
      <c r="D2620" s="228">
        <v>635</v>
      </c>
      <c r="E2620" s="228"/>
      <c r="H2620" t="s">
        <v>1336</v>
      </c>
      <c r="I2620" s="234" t="s">
        <v>8004</v>
      </c>
      <c r="J2620" s="232"/>
    </row>
    <row r="2621" spans="1:10" hidden="1">
      <c r="A2621" s="234">
        <v>44447</v>
      </c>
      <c r="C2621" s="228" t="s">
        <v>8006</v>
      </c>
      <c r="D2621" s="228">
        <v>1268.5</v>
      </c>
      <c r="E2621" s="228"/>
      <c r="H2621" t="s">
        <v>1336</v>
      </c>
      <c r="I2621" s="234" t="s">
        <v>8004</v>
      </c>
      <c r="J2621" s="232"/>
    </row>
    <row r="2622" spans="1:10" hidden="1">
      <c r="A2622" s="234">
        <v>44448</v>
      </c>
      <c r="C2622" s="228" t="s">
        <v>8007</v>
      </c>
      <c r="D2622" s="228"/>
      <c r="E2622" s="228">
        <v>50000</v>
      </c>
      <c r="G2622" s="8" t="s">
        <v>1384</v>
      </c>
      <c r="H2622" t="s">
        <v>1336</v>
      </c>
      <c r="I2622" s="234" t="s">
        <v>8008</v>
      </c>
      <c r="J2622" s="232"/>
    </row>
    <row r="2623" spans="1:10" hidden="1">
      <c r="A2623" s="234">
        <v>44448</v>
      </c>
      <c r="C2623" s="228" t="s">
        <v>8009</v>
      </c>
      <c r="D2623" s="228">
        <v>403</v>
      </c>
      <c r="E2623" s="228"/>
      <c r="H2623" t="s">
        <v>1336</v>
      </c>
      <c r="I2623" s="234" t="s">
        <v>8008</v>
      </c>
      <c r="J2623" s="232"/>
    </row>
    <row r="2624" spans="1:10" hidden="1">
      <c r="A2624" s="234">
        <v>44448</v>
      </c>
      <c r="C2624" s="228" t="s">
        <v>8010</v>
      </c>
      <c r="D2624" s="323">
        <v>10250</v>
      </c>
      <c r="E2624" s="228"/>
      <c r="G2624" s="8" t="s">
        <v>1372</v>
      </c>
      <c r="H2624" t="s">
        <v>1336</v>
      </c>
      <c r="I2624" s="234" t="s">
        <v>8008</v>
      </c>
      <c r="J2624" s="232"/>
    </row>
    <row r="2625" spans="1:10" hidden="1">
      <c r="A2625" s="234">
        <v>44450</v>
      </c>
      <c r="C2625" s="228" t="s">
        <v>8011</v>
      </c>
      <c r="D2625" s="228">
        <v>380</v>
      </c>
      <c r="E2625" s="228"/>
      <c r="H2625" t="s">
        <v>1336</v>
      </c>
      <c r="I2625" s="234" t="s">
        <v>8012</v>
      </c>
      <c r="J2625" s="232"/>
    </row>
    <row r="2626" spans="1:10" hidden="1">
      <c r="A2626" s="234">
        <v>44459</v>
      </c>
      <c r="C2626" s="228" t="s">
        <v>8013</v>
      </c>
      <c r="D2626" s="228">
        <v>187</v>
      </c>
      <c r="E2626" s="228"/>
      <c r="H2626" t="s">
        <v>1336</v>
      </c>
      <c r="I2626" s="234" t="s">
        <v>8014</v>
      </c>
      <c r="J2626" s="232"/>
    </row>
    <row r="2627" spans="1:10" hidden="1">
      <c r="A2627" s="234">
        <v>44459</v>
      </c>
      <c r="C2627" s="228" t="s">
        <v>8015</v>
      </c>
      <c r="D2627" s="228">
        <v>767</v>
      </c>
      <c r="E2627" s="228"/>
      <c r="H2627" t="s">
        <v>1336</v>
      </c>
      <c r="I2627" s="234" t="s">
        <v>8014</v>
      </c>
      <c r="J2627" s="232"/>
    </row>
    <row r="2628" spans="1:10" hidden="1">
      <c r="A2628" s="234">
        <v>44459</v>
      </c>
      <c r="C2628" s="228" t="s">
        <v>8016</v>
      </c>
      <c r="D2628" s="228">
        <v>767</v>
      </c>
      <c r="E2628" s="228"/>
      <c r="H2628" t="s">
        <v>1336</v>
      </c>
      <c r="I2628" s="234" t="s">
        <v>8014</v>
      </c>
      <c r="J2628" s="232"/>
    </row>
    <row r="2629" spans="1:10" hidden="1">
      <c r="A2629" s="234">
        <v>44460</v>
      </c>
      <c r="C2629" s="228" t="s">
        <v>8017</v>
      </c>
      <c r="D2629" s="228">
        <v>13900</v>
      </c>
      <c r="E2629" s="228"/>
      <c r="G2629" s="8" t="s">
        <v>1379</v>
      </c>
      <c r="H2629" t="s">
        <v>1336</v>
      </c>
      <c r="I2629" s="234" t="s">
        <v>8018</v>
      </c>
      <c r="J2629" s="232"/>
    </row>
    <row r="2630" spans="1:10" hidden="1">
      <c r="A2630" s="234">
        <v>44462</v>
      </c>
      <c r="C2630" s="228" t="s">
        <v>8019</v>
      </c>
      <c r="D2630" s="323">
        <v>10250</v>
      </c>
      <c r="E2630" s="228"/>
      <c r="G2630" s="8" t="s">
        <v>1372</v>
      </c>
      <c r="H2630" t="s">
        <v>1336</v>
      </c>
      <c r="I2630" s="234" t="s">
        <v>8020</v>
      </c>
      <c r="J2630" s="232"/>
    </row>
    <row r="2631" spans="1:10" hidden="1">
      <c r="A2631" s="234">
        <v>44462</v>
      </c>
      <c r="C2631" s="228" t="s">
        <v>8021</v>
      </c>
      <c r="D2631" s="228">
        <v>2500</v>
      </c>
      <c r="E2631" s="228"/>
      <c r="H2631" t="s">
        <v>1336</v>
      </c>
      <c r="I2631" s="234" t="s">
        <v>8020</v>
      </c>
      <c r="J2631" s="232"/>
    </row>
    <row r="2632" spans="1:10" hidden="1">
      <c r="A2632" s="234">
        <v>44462</v>
      </c>
      <c r="C2632" s="228" t="s">
        <v>8022</v>
      </c>
      <c r="D2632" s="228">
        <v>1162.5999999999999</v>
      </c>
      <c r="E2632" s="228"/>
      <c r="H2632" t="s">
        <v>1336</v>
      </c>
      <c r="I2632" s="234" t="s">
        <v>8020</v>
      </c>
      <c r="J2632" s="232"/>
    </row>
    <row r="2633" spans="1:10" hidden="1">
      <c r="A2633" s="234">
        <v>44463</v>
      </c>
      <c r="C2633" s="228" t="s">
        <v>8023</v>
      </c>
      <c r="D2633" s="228"/>
      <c r="E2633" s="228">
        <v>140000</v>
      </c>
      <c r="G2633" s="8" t="s">
        <v>1384</v>
      </c>
      <c r="H2633" t="s">
        <v>1336</v>
      </c>
      <c r="I2633" s="234" t="s">
        <v>8024</v>
      </c>
      <c r="J2633" s="232"/>
    </row>
    <row r="2634" spans="1:10" hidden="1">
      <c r="A2634" s="234">
        <v>44463</v>
      </c>
      <c r="C2634" s="228" t="s">
        <v>8025</v>
      </c>
      <c r="D2634" s="228"/>
      <c r="E2634" s="228">
        <v>767</v>
      </c>
      <c r="H2634" t="s">
        <v>1336</v>
      </c>
      <c r="I2634" s="234" t="s">
        <v>8024</v>
      </c>
      <c r="J2634" s="232"/>
    </row>
    <row r="2635" spans="1:10" hidden="1">
      <c r="A2635" s="234">
        <v>44464</v>
      </c>
      <c r="C2635" s="228" t="s">
        <v>8026</v>
      </c>
      <c r="D2635" s="228">
        <v>13900</v>
      </c>
      <c r="E2635" s="228"/>
      <c r="G2635" s="8" t="s">
        <v>1379</v>
      </c>
      <c r="H2635" t="s">
        <v>1336</v>
      </c>
      <c r="I2635" s="234" t="s">
        <v>8027</v>
      </c>
      <c r="J2635" s="232"/>
    </row>
    <row r="2636" spans="1:10" hidden="1">
      <c r="A2636" s="234">
        <v>44467</v>
      </c>
      <c r="C2636" s="228" t="s">
        <v>8028</v>
      </c>
      <c r="D2636" s="228"/>
      <c r="E2636" s="228">
        <v>400000</v>
      </c>
      <c r="G2636" s="8" t="s">
        <v>1358</v>
      </c>
      <c r="H2636" t="s">
        <v>1336</v>
      </c>
      <c r="I2636" s="234" t="s">
        <v>8029</v>
      </c>
      <c r="J2636" s="232"/>
    </row>
    <row r="2637" spans="1:10" hidden="1">
      <c r="A2637" s="234">
        <v>44468</v>
      </c>
      <c r="C2637" s="228" t="s">
        <v>8030</v>
      </c>
      <c r="D2637" s="228">
        <v>950</v>
      </c>
      <c r="E2637" s="228"/>
      <c r="H2637" t="s">
        <v>1336</v>
      </c>
      <c r="I2637" s="234" t="s">
        <v>8031</v>
      </c>
      <c r="J2637" s="232"/>
    </row>
    <row r="2638" spans="1:10" hidden="1">
      <c r="A2638" s="234">
        <v>44470</v>
      </c>
      <c r="C2638" s="228" t="s">
        <v>8032</v>
      </c>
      <c r="D2638" s="228">
        <v>2000</v>
      </c>
      <c r="E2638" s="228"/>
      <c r="H2638" t="s">
        <v>1336</v>
      </c>
      <c r="I2638" s="234" t="s">
        <v>8033</v>
      </c>
      <c r="J2638" s="232"/>
    </row>
    <row r="2639" spans="1:10" hidden="1">
      <c r="A2639" s="234">
        <v>44470</v>
      </c>
      <c r="C2639" s="228" t="s">
        <v>8034</v>
      </c>
      <c r="D2639" s="228">
        <v>3500</v>
      </c>
      <c r="E2639" s="228"/>
      <c r="H2639" t="s">
        <v>1336</v>
      </c>
      <c r="I2639" s="234" t="s">
        <v>8033</v>
      </c>
      <c r="J2639" s="232"/>
    </row>
    <row r="2640" spans="1:10" hidden="1">
      <c r="A2640" s="234">
        <v>44470</v>
      </c>
      <c r="C2640" s="228" t="s">
        <v>8035</v>
      </c>
      <c r="D2640" s="228">
        <v>20000</v>
      </c>
      <c r="E2640" s="228"/>
      <c r="G2640" s="8" t="s">
        <v>1358</v>
      </c>
      <c r="H2640" t="s">
        <v>1336</v>
      </c>
      <c r="I2640" s="234" t="s">
        <v>8033</v>
      </c>
      <c r="J2640" s="232"/>
    </row>
    <row r="2641" spans="1:10" hidden="1">
      <c r="A2641" s="234">
        <v>44471</v>
      </c>
      <c r="C2641" s="228" t="s">
        <v>8036</v>
      </c>
      <c r="D2641" s="228">
        <v>100</v>
      </c>
      <c r="E2641" s="228"/>
      <c r="H2641" t="s">
        <v>1336</v>
      </c>
      <c r="I2641" s="234" t="s">
        <v>8037</v>
      </c>
      <c r="J2641" s="232"/>
    </row>
    <row r="2642" spans="1:10" hidden="1">
      <c r="A2642" s="234">
        <v>44471</v>
      </c>
      <c r="C2642" s="228" t="s">
        <v>8038</v>
      </c>
      <c r="D2642" s="228">
        <v>1268.5</v>
      </c>
      <c r="E2642" s="228"/>
      <c r="H2642" t="s">
        <v>1336</v>
      </c>
      <c r="I2642" s="234" t="s">
        <v>8037</v>
      </c>
      <c r="J2642" s="232"/>
    </row>
    <row r="2643" spans="1:10" hidden="1">
      <c r="A2643" s="234">
        <v>44471</v>
      </c>
      <c r="C2643" s="228" t="s">
        <v>8039</v>
      </c>
      <c r="D2643" s="228">
        <v>945</v>
      </c>
      <c r="E2643" s="228"/>
      <c r="H2643" t="s">
        <v>1336</v>
      </c>
      <c r="I2643" s="234" t="s">
        <v>8037</v>
      </c>
      <c r="J2643" s="232"/>
    </row>
    <row r="2644" spans="1:10" hidden="1">
      <c r="A2644" s="234">
        <v>44471</v>
      </c>
      <c r="C2644" s="228" t="s">
        <v>8040</v>
      </c>
      <c r="D2644" s="228"/>
      <c r="E2644" s="228">
        <v>2500</v>
      </c>
      <c r="H2644" t="s">
        <v>1336</v>
      </c>
      <c r="I2644" s="234" t="s">
        <v>8037</v>
      </c>
      <c r="J2644" s="232"/>
    </row>
    <row r="2645" spans="1:10" hidden="1">
      <c r="A2645" s="234">
        <v>44471</v>
      </c>
      <c r="C2645" s="228" t="s">
        <v>8041</v>
      </c>
      <c r="D2645" s="228">
        <v>1600</v>
      </c>
      <c r="E2645" s="228"/>
      <c r="H2645" t="s">
        <v>1336</v>
      </c>
      <c r="I2645" s="234" t="s">
        <v>8037</v>
      </c>
      <c r="J2645" s="232"/>
    </row>
    <row r="2646" spans="1:10" hidden="1">
      <c r="A2646" s="234">
        <v>44473</v>
      </c>
      <c r="C2646" s="228" t="s">
        <v>8042</v>
      </c>
      <c r="D2646" s="228">
        <v>1500</v>
      </c>
      <c r="E2646" s="228"/>
      <c r="H2646" t="s">
        <v>1336</v>
      </c>
      <c r="I2646" s="234" t="s">
        <v>8043</v>
      </c>
      <c r="J2646" s="232"/>
    </row>
    <row r="2647" spans="1:10" hidden="1">
      <c r="A2647" s="234">
        <v>44473</v>
      </c>
      <c r="C2647" s="228" t="s">
        <v>8044</v>
      </c>
      <c r="D2647" s="228">
        <v>1626.73</v>
      </c>
      <c r="E2647" s="228"/>
      <c r="H2647" t="s">
        <v>1336</v>
      </c>
      <c r="I2647" s="234" t="s">
        <v>8043</v>
      </c>
      <c r="J2647" s="232"/>
    </row>
    <row r="2648" spans="1:10" hidden="1">
      <c r="A2648" s="234">
        <v>44474</v>
      </c>
      <c r="C2648" s="228" t="s">
        <v>8045</v>
      </c>
      <c r="D2648" s="228">
        <v>559</v>
      </c>
      <c r="E2648" s="228"/>
      <c r="H2648" t="s">
        <v>1336</v>
      </c>
      <c r="I2648" s="234" t="s">
        <v>8046</v>
      </c>
      <c r="J2648" s="232"/>
    </row>
    <row r="2649" spans="1:10" hidden="1">
      <c r="A2649" s="234">
        <v>44474</v>
      </c>
      <c r="C2649" s="228" t="s">
        <v>8047</v>
      </c>
      <c r="D2649" s="228">
        <v>849.81</v>
      </c>
      <c r="E2649" s="228"/>
      <c r="H2649" t="s">
        <v>1336</v>
      </c>
      <c r="I2649" s="234" t="s">
        <v>8046</v>
      </c>
      <c r="J2649" s="232"/>
    </row>
    <row r="2650" spans="1:10" hidden="1">
      <c r="A2650" s="234">
        <v>44475</v>
      </c>
      <c r="C2650" s="228" t="s">
        <v>6583</v>
      </c>
      <c r="D2650" s="228">
        <v>15331</v>
      </c>
      <c r="E2650" s="228"/>
      <c r="G2650" s="8" t="s">
        <v>1362</v>
      </c>
      <c r="H2650" t="s">
        <v>1336</v>
      </c>
      <c r="I2650" s="234" t="s">
        <v>8048</v>
      </c>
      <c r="J2650" s="232"/>
    </row>
    <row r="2651" spans="1:10" hidden="1">
      <c r="A2651" s="234">
        <v>44476</v>
      </c>
      <c r="C2651" s="228" t="s">
        <v>8049</v>
      </c>
      <c r="D2651" s="323">
        <v>10250</v>
      </c>
      <c r="E2651" s="228"/>
      <c r="G2651" s="8" t="s">
        <v>1372</v>
      </c>
      <c r="H2651" t="s">
        <v>1336</v>
      </c>
      <c r="I2651" s="234" t="s">
        <v>8050</v>
      </c>
      <c r="J2651" s="232"/>
    </row>
    <row r="2652" spans="1:10" hidden="1">
      <c r="A2652" s="234">
        <v>44482</v>
      </c>
      <c r="C2652" s="228" t="s">
        <v>8051</v>
      </c>
      <c r="D2652" s="228">
        <v>105</v>
      </c>
      <c r="E2652" s="228"/>
      <c r="H2652" t="s">
        <v>1336</v>
      </c>
      <c r="I2652" s="234" t="s">
        <v>8052</v>
      </c>
      <c r="J2652" s="232"/>
    </row>
    <row r="2653" spans="1:10" hidden="1">
      <c r="A2653" s="234">
        <v>44482</v>
      </c>
      <c r="C2653" s="228" t="s">
        <v>8053</v>
      </c>
      <c r="D2653" s="228">
        <v>1680</v>
      </c>
      <c r="E2653" s="228"/>
      <c r="H2653" t="s">
        <v>1336</v>
      </c>
      <c r="I2653" s="234" t="s">
        <v>8052</v>
      </c>
      <c r="J2653" s="232"/>
    </row>
    <row r="2654" spans="1:10" hidden="1">
      <c r="A2654" s="234">
        <v>44482</v>
      </c>
      <c r="C2654" s="228" t="s">
        <v>8054</v>
      </c>
      <c r="D2654" s="228">
        <v>5000</v>
      </c>
      <c r="E2654" s="228"/>
      <c r="H2654" t="s">
        <v>1336</v>
      </c>
      <c r="I2654" s="234" t="s">
        <v>8052</v>
      </c>
      <c r="J2654" s="232"/>
    </row>
    <row r="2655" spans="1:10" hidden="1">
      <c r="A2655" s="234">
        <v>44483</v>
      </c>
      <c r="C2655" s="228" t="s">
        <v>8055</v>
      </c>
      <c r="D2655" s="323">
        <v>10250</v>
      </c>
      <c r="E2655" s="228"/>
      <c r="G2655" s="8" t="s">
        <v>1372</v>
      </c>
      <c r="H2655" t="s">
        <v>1336</v>
      </c>
      <c r="I2655" s="234" t="s">
        <v>8056</v>
      </c>
      <c r="J2655" s="232"/>
    </row>
    <row r="2656" spans="1:10" hidden="1">
      <c r="A2656" s="234">
        <v>44485</v>
      </c>
      <c r="C2656" s="228" t="s">
        <v>8057</v>
      </c>
      <c r="D2656" s="228">
        <v>20000</v>
      </c>
      <c r="E2656" s="228"/>
      <c r="G2656" s="8" t="s">
        <v>1358</v>
      </c>
      <c r="H2656" t="s">
        <v>1336</v>
      </c>
      <c r="I2656" s="234" t="s">
        <v>8058</v>
      </c>
      <c r="J2656" s="232"/>
    </row>
    <row r="2657" spans="1:10" hidden="1">
      <c r="A2657" s="234">
        <v>44486</v>
      </c>
      <c r="C2657" s="228" t="s">
        <v>8059</v>
      </c>
      <c r="D2657" s="228">
        <v>343.59</v>
      </c>
      <c r="E2657" s="228"/>
      <c r="H2657" t="s">
        <v>1336</v>
      </c>
      <c r="I2657" s="234" t="s">
        <v>8060</v>
      </c>
      <c r="J2657" s="232"/>
    </row>
    <row r="2658" spans="1:10" hidden="1">
      <c r="A2658" s="234">
        <v>44486</v>
      </c>
      <c r="C2658" s="228" t="s">
        <v>8061</v>
      </c>
      <c r="D2658" s="228">
        <v>2000</v>
      </c>
      <c r="E2658" s="228"/>
      <c r="H2658" t="s">
        <v>1336</v>
      </c>
      <c r="I2658" s="234" t="s">
        <v>8060</v>
      </c>
      <c r="J2658" s="232"/>
    </row>
    <row r="2659" spans="1:10" hidden="1">
      <c r="A2659" s="234">
        <v>44488</v>
      </c>
      <c r="C2659" s="228" t="s">
        <v>8062</v>
      </c>
      <c r="D2659" s="228">
        <v>1400</v>
      </c>
      <c r="E2659" s="228"/>
      <c r="H2659" t="s">
        <v>1336</v>
      </c>
      <c r="I2659" s="234" t="s">
        <v>8063</v>
      </c>
      <c r="J2659" s="232"/>
    </row>
    <row r="2660" spans="1:10" hidden="1">
      <c r="A2660" s="234">
        <v>44489</v>
      </c>
      <c r="C2660" s="228" t="s">
        <v>8064</v>
      </c>
      <c r="D2660" s="228">
        <v>741.97</v>
      </c>
      <c r="E2660" s="228"/>
      <c r="H2660" t="s">
        <v>1336</v>
      </c>
      <c r="I2660" s="234" t="s">
        <v>8065</v>
      </c>
      <c r="J2660" s="232"/>
    </row>
    <row r="2661" spans="1:10" hidden="1">
      <c r="A2661" s="234">
        <v>44490</v>
      </c>
      <c r="C2661" s="228" t="s">
        <v>8066</v>
      </c>
      <c r="D2661" s="228">
        <v>13900</v>
      </c>
      <c r="E2661" s="228"/>
      <c r="G2661" s="8" t="s">
        <v>1379</v>
      </c>
      <c r="H2661" t="s">
        <v>1336</v>
      </c>
      <c r="I2661" s="234" t="s">
        <v>8067</v>
      </c>
      <c r="J2661" s="232"/>
    </row>
    <row r="2662" spans="1:10" hidden="1">
      <c r="A2662" s="234">
        <v>44490</v>
      </c>
      <c r="C2662" s="228" t="s">
        <v>8068</v>
      </c>
      <c r="D2662" s="323">
        <v>10250</v>
      </c>
      <c r="E2662" s="228"/>
      <c r="G2662" s="8" t="s">
        <v>1372</v>
      </c>
      <c r="H2662" t="s">
        <v>1336</v>
      </c>
      <c r="I2662" s="234" t="s">
        <v>8067</v>
      </c>
      <c r="J2662" s="232"/>
    </row>
    <row r="2663" spans="1:10" hidden="1">
      <c r="A2663" s="234">
        <v>44491</v>
      </c>
      <c r="C2663" s="228" t="s">
        <v>8069</v>
      </c>
      <c r="D2663" s="228">
        <v>20000</v>
      </c>
      <c r="E2663" s="228"/>
      <c r="G2663" s="8" t="s">
        <v>1358</v>
      </c>
      <c r="H2663" t="s">
        <v>1336</v>
      </c>
      <c r="I2663" s="234" t="s">
        <v>8070</v>
      </c>
      <c r="J2663" s="232"/>
    </row>
    <row r="2664" spans="1:10" hidden="1">
      <c r="A2664" s="234">
        <v>44493</v>
      </c>
      <c r="C2664" s="228" t="s">
        <v>8071</v>
      </c>
      <c r="D2664" s="228">
        <v>1162.6500000000001</v>
      </c>
      <c r="E2664" s="228"/>
      <c r="H2664" t="s">
        <v>1336</v>
      </c>
      <c r="I2664" s="234" t="s">
        <v>8072</v>
      </c>
      <c r="J2664" s="232"/>
    </row>
    <row r="2665" spans="1:10" hidden="1">
      <c r="A2665" s="234">
        <v>44495</v>
      </c>
      <c r="C2665" s="228" t="s">
        <v>8073</v>
      </c>
      <c r="D2665" s="228">
        <v>13900</v>
      </c>
      <c r="E2665" s="228"/>
      <c r="G2665" s="8" t="s">
        <v>1379</v>
      </c>
      <c r="H2665" t="s">
        <v>1336</v>
      </c>
      <c r="I2665" s="234" t="s">
        <v>8074</v>
      </c>
      <c r="J2665" s="232"/>
    </row>
    <row r="2666" spans="1:10" hidden="1">
      <c r="A2666" s="234">
        <v>44495</v>
      </c>
      <c r="C2666" s="228" t="s">
        <v>8075</v>
      </c>
      <c r="D2666" s="228">
        <v>224.62</v>
      </c>
      <c r="E2666" s="228"/>
      <c r="H2666" t="s">
        <v>1336</v>
      </c>
      <c r="I2666" s="234" t="s">
        <v>8074</v>
      </c>
      <c r="J2666" s="232"/>
    </row>
    <row r="2667" spans="1:10" hidden="1">
      <c r="A2667" s="234">
        <v>44495</v>
      </c>
      <c r="C2667" s="228" t="s">
        <v>8076</v>
      </c>
      <c r="D2667" s="228"/>
      <c r="E2667" s="228">
        <v>140000</v>
      </c>
      <c r="G2667" s="8" t="s">
        <v>1384</v>
      </c>
      <c r="H2667" t="s">
        <v>1336</v>
      </c>
      <c r="I2667" s="234" t="s">
        <v>8074</v>
      </c>
      <c r="J2667" s="232"/>
    </row>
    <row r="2668" spans="1:10" hidden="1">
      <c r="A2668" s="234">
        <v>44497</v>
      </c>
      <c r="C2668" s="228" t="s">
        <v>8077</v>
      </c>
      <c r="D2668" s="323">
        <v>10250</v>
      </c>
      <c r="E2668" s="228"/>
      <c r="G2668" s="8" t="s">
        <v>1372</v>
      </c>
      <c r="H2668" t="s">
        <v>1336</v>
      </c>
      <c r="I2668" s="234" t="s">
        <v>8078</v>
      </c>
      <c r="J2668" s="232"/>
    </row>
    <row r="2669" spans="1:10" hidden="1">
      <c r="A2669" s="234">
        <v>44497</v>
      </c>
      <c r="C2669" s="228" t="s">
        <v>8079</v>
      </c>
      <c r="D2669" s="228">
        <v>600</v>
      </c>
      <c r="E2669" s="228"/>
      <c r="H2669" t="s">
        <v>1336</v>
      </c>
      <c r="I2669" s="234" t="s">
        <v>8078</v>
      </c>
      <c r="J2669" s="232"/>
    </row>
    <row r="2670" spans="1:10" hidden="1">
      <c r="A2670" s="234">
        <v>44498</v>
      </c>
      <c r="C2670" s="228" t="s">
        <v>8080</v>
      </c>
      <c r="D2670" s="228">
        <v>1500</v>
      </c>
      <c r="E2670" s="228"/>
      <c r="H2670" t="s">
        <v>1336</v>
      </c>
      <c r="I2670" s="234" t="s">
        <v>8081</v>
      </c>
      <c r="J2670" s="232"/>
    </row>
    <row r="2671" spans="1:10" hidden="1">
      <c r="A2671" s="235">
        <v>44473</v>
      </c>
      <c r="C2671" s="229" t="s">
        <v>8082</v>
      </c>
      <c r="D2671" s="230">
        <v>1200</v>
      </c>
      <c r="E2671" s="230">
        <v>0</v>
      </c>
      <c r="H2671" t="s">
        <v>1050</v>
      </c>
      <c r="I2671" s="235" t="s">
        <v>8083</v>
      </c>
      <c r="J2671" s="232"/>
    </row>
    <row r="2672" spans="1:10" hidden="1">
      <c r="A2672" s="235">
        <v>44473</v>
      </c>
      <c r="C2672" s="229" t="s">
        <v>6431</v>
      </c>
      <c r="D2672" s="230">
        <v>3507</v>
      </c>
      <c r="E2672" s="230">
        <v>0</v>
      </c>
      <c r="G2672" s="8" t="s">
        <v>1379</v>
      </c>
      <c r="H2672" t="s">
        <v>1050</v>
      </c>
      <c r="I2672" s="235" t="s">
        <v>8083</v>
      </c>
      <c r="J2672" s="232"/>
    </row>
    <row r="2673" spans="1:10" hidden="1">
      <c r="A2673" s="235">
        <v>44473</v>
      </c>
      <c r="C2673" s="229" t="s">
        <v>6434</v>
      </c>
      <c r="D2673" s="230">
        <v>3500</v>
      </c>
      <c r="E2673" s="230">
        <v>0</v>
      </c>
      <c r="G2673" s="8" t="s">
        <v>1379</v>
      </c>
      <c r="H2673" t="s">
        <v>1050</v>
      </c>
      <c r="I2673" s="235" t="s">
        <v>8083</v>
      </c>
      <c r="J2673" s="232"/>
    </row>
    <row r="2674" spans="1:10" hidden="1">
      <c r="A2674" s="235">
        <v>44476</v>
      </c>
      <c r="C2674" s="229" t="s">
        <v>8084</v>
      </c>
      <c r="D2674" s="230">
        <v>0</v>
      </c>
      <c r="E2674" s="230">
        <v>9772.36</v>
      </c>
      <c r="G2674" s="8" t="s">
        <v>1375</v>
      </c>
      <c r="H2674" t="s">
        <v>1050</v>
      </c>
      <c r="I2674" s="235" t="s">
        <v>8085</v>
      </c>
      <c r="J2674" s="232"/>
    </row>
    <row r="2675" spans="1:10" hidden="1">
      <c r="A2675" s="235">
        <v>44490</v>
      </c>
      <c r="C2675" s="229" t="s">
        <v>6431</v>
      </c>
      <c r="D2675" s="230">
        <v>13910</v>
      </c>
      <c r="E2675" s="230">
        <v>0</v>
      </c>
      <c r="G2675" s="8" t="s">
        <v>1379</v>
      </c>
      <c r="H2675" t="s">
        <v>1050</v>
      </c>
      <c r="I2675" s="235" t="s">
        <v>8086</v>
      </c>
      <c r="J2675" s="232"/>
    </row>
    <row r="2676" spans="1:10" hidden="1">
      <c r="A2676" s="235">
        <v>44490</v>
      </c>
      <c r="C2676" s="229" t="s">
        <v>8087</v>
      </c>
      <c r="D2676" s="230">
        <v>41667</v>
      </c>
      <c r="E2676" s="230">
        <v>0</v>
      </c>
      <c r="G2676" s="8" t="s">
        <v>1381</v>
      </c>
      <c r="H2676" t="s">
        <v>1050</v>
      </c>
      <c r="I2676" s="235" t="s">
        <v>8086</v>
      </c>
      <c r="J2676" s="232"/>
    </row>
    <row r="2677" spans="1:10" hidden="1">
      <c r="A2677" s="235">
        <v>44497</v>
      </c>
      <c r="C2677" s="229" t="s">
        <v>8088</v>
      </c>
      <c r="D2677" s="230">
        <v>25000</v>
      </c>
      <c r="E2677" s="230">
        <v>0</v>
      </c>
      <c r="G2677" s="8" t="s">
        <v>1381</v>
      </c>
      <c r="H2677" t="s">
        <v>1050</v>
      </c>
      <c r="I2677" s="235" t="s">
        <v>8089</v>
      </c>
      <c r="J2677" s="232"/>
    </row>
    <row r="2678" spans="1:10" hidden="1">
      <c r="A2678" s="232">
        <v>44498</v>
      </c>
      <c r="C2678" t="s">
        <v>8080</v>
      </c>
      <c r="D2678">
        <v>1500</v>
      </c>
      <c r="H2678" t="s">
        <v>1336</v>
      </c>
    </row>
    <row r="2679" spans="1:10" hidden="1">
      <c r="A2679" s="232">
        <v>44501</v>
      </c>
      <c r="C2679" t="s">
        <v>8090</v>
      </c>
      <c r="D2679">
        <v>1600</v>
      </c>
      <c r="H2679" t="s">
        <v>1336</v>
      </c>
    </row>
    <row r="2680" spans="1:10" hidden="1">
      <c r="A2680" s="232">
        <v>44501</v>
      </c>
      <c r="C2680" t="s">
        <v>8091</v>
      </c>
      <c r="D2680">
        <v>3500</v>
      </c>
      <c r="H2680" t="s">
        <v>1336</v>
      </c>
    </row>
    <row r="2681" spans="1:10" hidden="1">
      <c r="A2681" s="232">
        <v>44501</v>
      </c>
      <c r="C2681" t="s">
        <v>8092</v>
      </c>
      <c r="D2681">
        <v>1500</v>
      </c>
      <c r="H2681" t="s">
        <v>1336</v>
      </c>
    </row>
    <row r="2682" spans="1:10" hidden="1">
      <c r="A2682" s="232">
        <v>44502</v>
      </c>
      <c r="C2682" t="s">
        <v>8093</v>
      </c>
      <c r="D2682">
        <v>1453.9</v>
      </c>
      <c r="H2682" t="s">
        <v>1336</v>
      </c>
    </row>
    <row r="2683" spans="1:10" hidden="1">
      <c r="A2683" s="232">
        <v>44502</v>
      </c>
      <c r="C2683" t="s">
        <v>8094</v>
      </c>
      <c r="D2683">
        <v>2000</v>
      </c>
      <c r="H2683" t="s">
        <v>1336</v>
      </c>
    </row>
    <row r="2684" spans="1:10" hidden="1">
      <c r="A2684" s="232">
        <v>44502</v>
      </c>
      <c r="C2684" t="s">
        <v>8095</v>
      </c>
      <c r="D2684">
        <v>1500</v>
      </c>
      <c r="H2684" t="s">
        <v>1336</v>
      </c>
    </row>
    <row r="2685" spans="1:10" hidden="1">
      <c r="A2685" s="232">
        <v>44504</v>
      </c>
      <c r="C2685" t="s">
        <v>8096</v>
      </c>
      <c r="D2685" s="69">
        <v>10250</v>
      </c>
      <c r="G2685" s="8" t="s">
        <v>1372</v>
      </c>
      <c r="H2685" t="s">
        <v>1336</v>
      </c>
    </row>
    <row r="2686" spans="1:10" hidden="1">
      <c r="A2686" s="232">
        <v>44505</v>
      </c>
      <c r="C2686" t="s">
        <v>6583</v>
      </c>
      <c r="D2686">
        <v>18593</v>
      </c>
      <c r="G2686" s="8" t="s">
        <v>1362</v>
      </c>
      <c r="H2686" t="s">
        <v>1336</v>
      </c>
    </row>
    <row r="2687" spans="1:10" hidden="1">
      <c r="A2687" s="232">
        <v>44505</v>
      </c>
      <c r="C2687" t="s">
        <v>8097</v>
      </c>
      <c r="D2687">
        <v>2400</v>
      </c>
      <c r="H2687" t="s">
        <v>1336</v>
      </c>
    </row>
    <row r="2688" spans="1:10" hidden="1">
      <c r="A2688" s="232">
        <v>44506</v>
      </c>
      <c r="C2688" t="s">
        <v>8098</v>
      </c>
      <c r="D2688">
        <v>1268.5</v>
      </c>
      <c r="H2688" t="s">
        <v>1336</v>
      </c>
    </row>
    <row r="2689" spans="1:8" hidden="1">
      <c r="A2689" s="232">
        <v>44507</v>
      </c>
      <c r="C2689" t="s">
        <v>8099</v>
      </c>
      <c r="D2689">
        <v>831.11</v>
      </c>
      <c r="H2689" t="s">
        <v>1336</v>
      </c>
    </row>
    <row r="2690" spans="1:8" hidden="1">
      <c r="A2690" s="232">
        <v>44507</v>
      </c>
      <c r="C2690" t="s">
        <v>8100</v>
      </c>
      <c r="D2690"/>
      <c r="E2690">
        <v>831.11</v>
      </c>
      <c r="H2690" t="s">
        <v>1336</v>
      </c>
    </row>
    <row r="2691" spans="1:8" hidden="1">
      <c r="A2691" s="232">
        <v>44507</v>
      </c>
      <c r="C2691" t="s">
        <v>8101</v>
      </c>
      <c r="D2691">
        <v>903.28</v>
      </c>
      <c r="H2691" t="s">
        <v>1336</v>
      </c>
    </row>
    <row r="2692" spans="1:8" hidden="1">
      <c r="A2692" s="232">
        <v>44508</v>
      </c>
      <c r="C2692" t="s">
        <v>8102</v>
      </c>
      <c r="D2692">
        <v>1145</v>
      </c>
      <c r="H2692" t="s">
        <v>1336</v>
      </c>
    </row>
    <row r="2693" spans="1:8" hidden="1">
      <c r="A2693" s="232">
        <v>44508</v>
      </c>
      <c r="C2693" t="s">
        <v>8103</v>
      </c>
      <c r="D2693">
        <v>1145</v>
      </c>
      <c r="H2693" t="s">
        <v>1336</v>
      </c>
    </row>
    <row r="2694" spans="1:8" hidden="1">
      <c r="A2694" s="232">
        <v>44508</v>
      </c>
      <c r="C2694" t="s">
        <v>8104</v>
      </c>
      <c r="D2694">
        <v>1145</v>
      </c>
      <c r="H2694" t="s">
        <v>1336</v>
      </c>
    </row>
    <row r="2695" spans="1:8" hidden="1">
      <c r="A2695" s="232">
        <v>44509</v>
      </c>
      <c r="C2695" t="s">
        <v>8105</v>
      </c>
      <c r="D2695">
        <v>248</v>
      </c>
      <c r="H2695" t="s">
        <v>1336</v>
      </c>
    </row>
    <row r="2696" spans="1:8" hidden="1">
      <c r="A2696" s="232">
        <v>44510</v>
      </c>
      <c r="C2696" t="s">
        <v>8106</v>
      </c>
      <c r="D2696">
        <v>1500</v>
      </c>
      <c r="H2696" t="s">
        <v>1336</v>
      </c>
    </row>
    <row r="2697" spans="1:8" hidden="1">
      <c r="A2697" s="232">
        <v>44510</v>
      </c>
      <c r="C2697" t="s">
        <v>8107</v>
      </c>
      <c r="D2697">
        <v>474</v>
      </c>
      <c r="H2697" t="s">
        <v>1336</v>
      </c>
    </row>
    <row r="2698" spans="1:8" hidden="1">
      <c r="A2698" s="232">
        <v>44510</v>
      </c>
      <c r="C2698" t="s">
        <v>8108</v>
      </c>
      <c r="D2698">
        <v>1439</v>
      </c>
      <c r="H2698" t="s">
        <v>1336</v>
      </c>
    </row>
    <row r="2699" spans="1:8" hidden="1">
      <c r="A2699" s="232">
        <v>44511</v>
      </c>
      <c r="C2699" t="s">
        <v>8109</v>
      </c>
      <c r="D2699" s="69">
        <v>10250</v>
      </c>
      <c r="G2699" s="8" t="s">
        <v>1372</v>
      </c>
      <c r="H2699" t="s">
        <v>1336</v>
      </c>
    </row>
    <row r="2700" spans="1:8" hidden="1">
      <c r="A2700" s="232">
        <v>44512</v>
      </c>
      <c r="C2700" t="s">
        <v>8110</v>
      </c>
      <c r="D2700">
        <v>239</v>
      </c>
      <c r="H2700" t="s">
        <v>1336</v>
      </c>
    </row>
    <row r="2701" spans="1:8" hidden="1">
      <c r="A2701" s="232">
        <v>44512</v>
      </c>
      <c r="C2701" t="s">
        <v>8111</v>
      </c>
      <c r="D2701"/>
      <c r="E2701">
        <v>7500</v>
      </c>
      <c r="H2701" t="s">
        <v>1336</v>
      </c>
    </row>
    <row r="2702" spans="1:8" hidden="1">
      <c r="A2702" s="232">
        <v>44513</v>
      </c>
      <c r="C2702" t="s">
        <v>8112</v>
      </c>
      <c r="D2702">
        <v>3108</v>
      </c>
      <c r="H2702" t="s">
        <v>1336</v>
      </c>
    </row>
    <row r="2703" spans="1:8" hidden="1">
      <c r="A2703" s="232">
        <v>44514</v>
      </c>
      <c r="C2703" t="s">
        <v>8113</v>
      </c>
      <c r="D2703">
        <v>724</v>
      </c>
      <c r="H2703" t="s">
        <v>1336</v>
      </c>
    </row>
    <row r="2704" spans="1:8" hidden="1">
      <c r="A2704" s="232">
        <v>44516</v>
      </c>
      <c r="C2704" t="s">
        <v>8114</v>
      </c>
      <c r="D2704">
        <v>415.34</v>
      </c>
      <c r="H2704" t="s">
        <v>1336</v>
      </c>
    </row>
    <row r="2705" spans="1:8" hidden="1">
      <c r="A2705" s="232">
        <v>44517</v>
      </c>
      <c r="C2705" t="s">
        <v>8115</v>
      </c>
      <c r="D2705">
        <v>645</v>
      </c>
      <c r="H2705" t="s">
        <v>1336</v>
      </c>
    </row>
    <row r="2706" spans="1:8" hidden="1">
      <c r="A2706" s="232">
        <v>44517</v>
      </c>
      <c r="C2706" t="s">
        <v>8116</v>
      </c>
      <c r="D2706">
        <v>695</v>
      </c>
      <c r="H2706" t="s">
        <v>1336</v>
      </c>
    </row>
    <row r="2707" spans="1:8" hidden="1">
      <c r="A2707" s="232">
        <v>44518</v>
      </c>
      <c r="C2707" t="s">
        <v>8117</v>
      </c>
      <c r="D2707" s="69">
        <v>10250</v>
      </c>
      <c r="G2707" s="8" t="s">
        <v>1372</v>
      </c>
      <c r="H2707" t="s">
        <v>1336</v>
      </c>
    </row>
    <row r="2708" spans="1:8" hidden="1">
      <c r="A2708" s="232">
        <v>44519</v>
      </c>
      <c r="C2708" t="s">
        <v>8118</v>
      </c>
      <c r="D2708">
        <v>895</v>
      </c>
      <c r="H2708" t="s">
        <v>1336</v>
      </c>
    </row>
    <row r="2709" spans="1:8" hidden="1">
      <c r="A2709" s="232">
        <v>44520</v>
      </c>
      <c r="C2709" t="s">
        <v>8119</v>
      </c>
      <c r="D2709"/>
      <c r="E2709">
        <v>171291</v>
      </c>
      <c r="G2709" s="8" t="s">
        <v>1379</v>
      </c>
      <c r="H2709" t="s">
        <v>1336</v>
      </c>
    </row>
    <row r="2710" spans="1:8" hidden="1">
      <c r="A2710" s="232">
        <v>44521</v>
      </c>
      <c r="C2710" t="s">
        <v>8120</v>
      </c>
      <c r="D2710">
        <v>550</v>
      </c>
      <c r="H2710" t="s">
        <v>1336</v>
      </c>
    </row>
    <row r="2711" spans="1:8" hidden="1">
      <c r="A2711" s="232">
        <v>44521</v>
      </c>
      <c r="C2711" t="s">
        <v>8121</v>
      </c>
      <c r="D2711">
        <v>550</v>
      </c>
      <c r="H2711" t="s">
        <v>1336</v>
      </c>
    </row>
    <row r="2712" spans="1:8" hidden="1">
      <c r="A2712" s="232">
        <v>44521</v>
      </c>
      <c r="C2712" t="s">
        <v>8122</v>
      </c>
      <c r="D2712">
        <v>50000</v>
      </c>
      <c r="H2712" t="s">
        <v>1336</v>
      </c>
    </row>
    <row r="2713" spans="1:8" hidden="1">
      <c r="A2713" s="232">
        <v>44522</v>
      </c>
      <c r="C2713" t="s">
        <v>8123</v>
      </c>
      <c r="D2713">
        <v>1942.2</v>
      </c>
      <c r="H2713" t="s">
        <v>1336</v>
      </c>
    </row>
    <row r="2714" spans="1:8" hidden="1">
      <c r="A2714" s="232">
        <v>44523</v>
      </c>
      <c r="C2714" t="s">
        <v>8124</v>
      </c>
      <c r="D2714">
        <v>5750</v>
      </c>
      <c r="H2714" t="s">
        <v>1336</v>
      </c>
    </row>
    <row r="2715" spans="1:8" hidden="1">
      <c r="A2715" s="232">
        <v>44525</v>
      </c>
      <c r="C2715" t="s">
        <v>8125</v>
      </c>
      <c r="D2715"/>
      <c r="E2715">
        <v>17000</v>
      </c>
      <c r="H2715" t="s">
        <v>1336</v>
      </c>
    </row>
    <row r="2716" spans="1:8" hidden="1">
      <c r="A2716" s="232">
        <v>44525</v>
      </c>
      <c r="C2716" t="s">
        <v>8126</v>
      </c>
      <c r="D2716" s="69">
        <v>17000</v>
      </c>
      <c r="G2716" s="8" t="s">
        <v>1372</v>
      </c>
      <c r="H2716" t="s">
        <v>1336</v>
      </c>
    </row>
    <row r="2717" spans="1:8" hidden="1">
      <c r="A2717" s="232">
        <v>44525</v>
      </c>
      <c r="C2717" t="s">
        <v>8127</v>
      </c>
      <c r="D2717" s="69">
        <v>10250</v>
      </c>
      <c r="G2717" s="8" t="s">
        <v>1372</v>
      </c>
      <c r="H2717" t="s">
        <v>1336</v>
      </c>
    </row>
    <row r="2718" spans="1:8" hidden="1">
      <c r="A2718" s="232">
        <v>44526</v>
      </c>
      <c r="C2718" t="s">
        <v>8128</v>
      </c>
      <c r="D2718">
        <v>13900</v>
      </c>
      <c r="G2718" s="8" t="s">
        <v>1379</v>
      </c>
      <c r="H2718" t="s">
        <v>1336</v>
      </c>
    </row>
    <row r="2719" spans="1:8" hidden="1">
      <c r="A2719" s="232">
        <v>44526</v>
      </c>
      <c r="C2719" t="s">
        <v>8129</v>
      </c>
      <c r="D2719"/>
      <c r="E2719">
        <v>140000</v>
      </c>
      <c r="G2719" s="8" t="s">
        <v>1384</v>
      </c>
      <c r="H2719" t="s">
        <v>1336</v>
      </c>
    </row>
    <row r="2720" spans="1:8" hidden="1">
      <c r="A2720" s="232">
        <v>44526</v>
      </c>
      <c r="C2720" t="s">
        <v>8130</v>
      </c>
      <c r="D2720">
        <v>2721</v>
      </c>
      <c r="H2720" t="s">
        <v>1336</v>
      </c>
    </row>
    <row r="2721" spans="1:8" hidden="1">
      <c r="A2721" s="232">
        <v>44526</v>
      </c>
      <c r="C2721" t="s">
        <v>8131</v>
      </c>
      <c r="D2721"/>
      <c r="E2721">
        <v>2721</v>
      </c>
      <c r="H2721" t="s">
        <v>1336</v>
      </c>
    </row>
    <row r="2722" spans="1:8" hidden="1">
      <c r="A2722" s="232">
        <v>44526</v>
      </c>
      <c r="C2722" t="s">
        <v>8132</v>
      </c>
      <c r="D2722">
        <v>1040</v>
      </c>
      <c r="H2722" t="s">
        <v>1336</v>
      </c>
    </row>
    <row r="2723" spans="1:8" hidden="1">
      <c r="A2723" s="232">
        <v>44527</v>
      </c>
      <c r="C2723" t="s">
        <v>8133</v>
      </c>
      <c r="D2723">
        <v>2900</v>
      </c>
      <c r="H2723" t="s">
        <v>1336</v>
      </c>
    </row>
    <row r="2724" spans="1:8" hidden="1">
      <c r="A2724" s="232">
        <v>44528</v>
      </c>
      <c r="C2724" t="s">
        <v>8134</v>
      </c>
      <c r="D2724">
        <v>395</v>
      </c>
      <c r="H2724" t="s">
        <v>1336</v>
      </c>
    </row>
    <row r="2725" spans="1:8" hidden="1">
      <c r="A2725" s="232">
        <v>44528</v>
      </c>
      <c r="C2725" t="s">
        <v>8135</v>
      </c>
      <c r="D2725">
        <v>710</v>
      </c>
      <c r="H2725" t="s">
        <v>1336</v>
      </c>
    </row>
    <row r="2726" spans="1:8" hidden="1">
      <c r="A2726" s="232">
        <v>44531</v>
      </c>
      <c r="C2726" t="s">
        <v>8136</v>
      </c>
      <c r="D2726">
        <v>969</v>
      </c>
      <c r="H2726" t="s">
        <v>1336</v>
      </c>
    </row>
    <row r="2727" spans="1:8" hidden="1">
      <c r="A2727" s="232">
        <v>44531</v>
      </c>
      <c r="C2727" t="s">
        <v>8137</v>
      </c>
      <c r="D2727">
        <v>2000</v>
      </c>
      <c r="H2727" t="s">
        <v>1336</v>
      </c>
    </row>
    <row r="2728" spans="1:8" hidden="1">
      <c r="A2728" s="232">
        <v>44531</v>
      </c>
      <c r="C2728" t="s">
        <v>8138</v>
      </c>
      <c r="D2728">
        <v>5000</v>
      </c>
      <c r="H2728" t="s">
        <v>1336</v>
      </c>
    </row>
    <row r="2729" spans="1:8" hidden="1">
      <c r="A2729" s="232">
        <v>44531</v>
      </c>
      <c r="C2729" t="s">
        <v>8139</v>
      </c>
      <c r="D2729">
        <v>20000</v>
      </c>
      <c r="G2729" s="8" t="s">
        <v>1358</v>
      </c>
      <c r="H2729" t="s">
        <v>1336</v>
      </c>
    </row>
    <row r="2730" spans="1:8" hidden="1">
      <c r="A2730" s="232">
        <v>44531</v>
      </c>
      <c r="C2730" t="s">
        <v>8140</v>
      </c>
      <c r="D2730">
        <v>1500</v>
      </c>
      <c r="H2730" t="s">
        <v>1336</v>
      </c>
    </row>
    <row r="2731" spans="1:8" hidden="1">
      <c r="A2731" s="232">
        <v>44532</v>
      </c>
      <c r="C2731" t="s">
        <v>8141</v>
      </c>
      <c r="D2731">
        <v>1268.5</v>
      </c>
      <c r="H2731" t="s">
        <v>1336</v>
      </c>
    </row>
    <row r="2732" spans="1:8" hidden="1">
      <c r="A2732" s="232">
        <v>44532</v>
      </c>
      <c r="C2732" t="s">
        <v>8142</v>
      </c>
      <c r="D2732" s="69">
        <v>10250</v>
      </c>
      <c r="G2732" s="8" t="s">
        <v>1372</v>
      </c>
      <c r="H2732" t="s">
        <v>1336</v>
      </c>
    </row>
    <row r="2733" spans="1:8" hidden="1">
      <c r="A2733" s="232">
        <v>44536</v>
      </c>
      <c r="C2733" t="s">
        <v>6583</v>
      </c>
      <c r="D2733">
        <v>35589</v>
      </c>
      <c r="G2733" s="8" t="s">
        <v>1362</v>
      </c>
      <c r="H2733" t="s">
        <v>1336</v>
      </c>
    </row>
    <row r="2734" spans="1:8" hidden="1">
      <c r="A2734" s="232">
        <v>44537</v>
      </c>
      <c r="C2734" t="s">
        <v>8143</v>
      </c>
      <c r="D2734">
        <v>2059.31</v>
      </c>
      <c r="H2734" t="s">
        <v>1336</v>
      </c>
    </row>
    <row r="2735" spans="1:8" hidden="1">
      <c r="A2735" s="232">
        <v>44537</v>
      </c>
      <c r="C2735" t="s">
        <v>8144</v>
      </c>
      <c r="D2735">
        <v>265.5</v>
      </c>
      <c r="H2735" t="s">
        <v>1336</v>
      </c>
    </row>
    <row r="2736" spans="1:8" hidden="1">
      <c r="A2736" s="232">
        <v>44537</v>
      </c>
      <c r="C2736" t="s">
        <v>8145</v>
      </c>
      <c r="D2736">
        <v>555</v>
      </c>
      <c r="H2736" t="s">
        <v>1336</v>
      </c>
    </row>
    <row r="2737" spans="1:8" hidden="1">
      <c r="A2737" s="232">
        <v>44537</v>
      </c>
      <c r="C2737" t="s">
        <v>8146</v>
      </c>
      <c r="D2737">
        <v>825</v>
      </c>
      <c r="H2737" t="s">
        <v>1336</v>
      </c>
    </row>
    <row r="2738" spans="1:8" hidden="1">
      <c r="A2738" s="232">
        <v>44538</v>
      </c>
      <c r="C2738" t="s">
        <v>8147</v>
      </c>
      <c r="D2738">
        <v>256</v>
      </c>
      <c r="H2738" t="s">
        <v>1336</v>
      </c>
    </row>
    <row r="2739" spans="1:8" hidden="1">
      <c r="A2739" s="232">
        <v>44538</v>
      </c>
      <c r="C2739" t="s">
        <v>8148</v>
      </c>
      <c r="D2739">
        <v>450</v>
      </c>
      <c r="H2739" t="s">
        <v>1336</v>
      </c>
    </row>
    <row r="2740" spans="1:8" hidden="1">
      <c r="A2740" s="232">
        <v>44539</v>
      </c>
      <c r="C2740" t="s">
        <v>8149</v>
      </c>
      <c r="D2740" s="69">
        <v>10250</v>
      </c>
      <c r="G2740" s="8" t="s">
        <v>1372</v>
      </c>
      <c r="H2740" t="s">
        <v>1336</v>
      </c>
    </row>
    <row r="2741" spans="1:8" hidden="1">
      <c r="A2741" s="232">
        <v>44541</v>
      </c>
      <c r="C2741" t="s">
        <v>8150</v>
      </c>
      <c r="D2741">
        <v>220</v>
      </c>
      <c r="H2741" t="s">
        <v>1336</v>
      </c>
    </row>
    <row r="2742" spans="1:8" hidden="1">
      <c r="A2742" s="232">
        <v>44541</v>
      </c>
      <c r="C2742" t="s">
        <v>8151</v>
      </c>
      <c r="D2742">
        <v>99</v>
      </c>
      <c r="H2742" t="s">
        <v>1336</v>
      </c>
    </row>
    <row r="2743" spans="1:8" hidden="1">
      <c r="A2743" s="232">
        <v>44542</v>
      </c>
      <c r="C2743" t="s">
        <v>8152</v>
      </c>
      <c r="D2743">
        <v>105</v>
      </c>
      <c r="H2743" t="s">
        <v>1336</v>
      </c>
    </row>
    <row r="2744" spans="1:8" hidden="1">
      <c r="A2744" s="232">
        <v>44542</v>
      </c>
      <c r="C2744" t="s">
        <v>8153</v>
      </c>
      <c r="D2744">
        <v>180</v>
      </c>
      <c r="H2744" t="s">
        <v>1336</v>
      </c>
    </row>
    <row r="2745" spans="1:8" hidden="1">
      <c r="A2745" s="232">
        <v>44542</v>
      </c>
      <c r="C2745" t="s">
        <v>8154</v>
      </c>
      <c r="D2745">
        <v>1500</v>
      </c>
      <c r="H2745" t="s">
        <v>1336</v>
      </c>
    </row>
    <row r="2746" spans="1:8" hidden="1">
      <c r="A2746" s="232">
        <v>44544</v>
      </c>
      <c r="C2746" t="s">
        <v>8155</v>
      </c>
      <c r="D2746">
        <v>82300</v>
      </c>
      <c r="H2746" t="s">
        <v>1336</v>
      </c>
    </row>
    <row r="2747" spans="1:8" hidden="1">
      <c r="A2747" s="232">
        <v>44545</v>
      </c>
      <c r="C2747" t="s">
        <v>8156</v>
      </c>
      <c r="D2747">
        <v>741.74</v>
      </c>
      <c r="H2747" t="s">
        <v>1336</v>
      </c>
    </row>
    <row r="2748" spans="1:8" hidden="1">
      <c r="A2748" s="232">
        <v>44545</v>
      </c>
      <c r="C2748" t="s">
        <v>8157</v>
      </c>
      <c r="D2748">
        <v>335.16</v>
      </c>
      <c r="H2748" t="s">
        <v>1336</v>
      </c>
    </row>
    <row r="2749" spans="1:8" hidden="1">
      <c r="A2749" s="232">
        <v>44545</v>
      </c>
      <c r="C2749" t="s">
        <v>8158</v>
      </c>
      <c r="D2749">
        <v>355</v>
      </c>
      <c r="H2749" t="s">
        <v>1336</v>
      </c>
    </row>
    <row r="2750" spans="1:8" hidden="1">
      <c r="A2750" s="232">
        <v>44546</v>
      </c>
      <c r="C2750" t="s">
        <v>8159</v>
      </c>
      <c r="D2750">
        <v>4957</v>
      </c>
      <c r="H2750" t="s">
        <v>1336</v>
      </c>
    </row>
    <row r="2751" spans="1:8" hidden="1">
      <c r="A2751" s="232">
        <v>44546</v>
      </c>
      <c r="C2751" t="s">
        <v>8160</v>
      </c>
      <c r="D2751" s="69">
        <v>10250</v>
      </c>
      <c r="G2751" s="8" t="s">
        <v>1372</v>
      </c>
      <c r="H2751" t="s">
        <v>1336</v>
      </c>
    </row>
    <row r="2752" spans="1:8" hidden="1">
      <c r="A2752" s="232">
        <v>44546</v>
      </c>
      <c r="C2752" t="s">
        <v>8161</v>
      </c>
      <c r="D2752">
        <v>3000</v>
      </c>
      <c r="H2752" t="s">
        <v>1336</v>
      </c>
    </row>
    <row r="2753" spans="1:8" hidden="1">
      <c r="A2753" s="232">
        <v>44547</v>
      </c>
      <c r="C2753" t="s">
        <v>8162</v>
      </c>
      <c r="D2753">
        <v>149</v>
      </c>
      <c r="H2753" t="s">
        <v>1336</v>
      </c>
    </row>
    <row r="2754" spans="1:8" hidden="1">
      <c r="A2754" s="232">
        <v>44548</v>
      </c>
      <c r="C2754" t="s">
        <v>8163</v>
      </c>
      <c r="D2754">
        <v>1104.56</v>
      </c>
      <c r="H2754" t="s">
        <v>1336</v>
      </c>
    </row>
    <row r="2755" spans="1:8" hidden="1">
      <c r="A2755" s="232">
        <v>44548</v>
      </c>
      <c r="C2755" t="s">
        <v>8164</v>
      </c>
      <c r="D2755"/>
      <c r="E2755">
        <v>3</v>
      </c>
      <c r="H2755" t="s">
        <v>1336</v>
      </c>
    </row>
    <row r="2756" spans="1:8" hidden="1">
      <c r="A2756" s="232">
        <v>44548</v>
      </c>
      <c r="C2756" t="s">
        <v>8165</v>
      </c>
      <c r="D2756"/>
      <c r="E2756">
        <v>5</v>
      </c>
      <c r="H2756" t="s">
        <v>1336</v>
      </c>
    </row>
    <row r="2757" spans="1:8" hidden="1">
      <c r="A2757" s="232">
        <v>44548</v>
      </c>
      <c r="C2757" t="s">
        <v>8166</v>
      </c>
      <c r="D2757">
        <v>1720</v>
      </c>
      <c r="H2757" t="s">
        <v>1336</v>
      </c>
    </row>
    <row r="2758" spans="1:8" hidden="1">
      <c r="A2758" s="232">
        <v>44550</v>
      </c>
      <c r="C2758" t="s">
        <v>8167</v>
      </c>
      <c r="D2758">
        <v>700</v>
      </c>
      <c r="H2758" t="s">
        <v>1336</v>
      </c>
    </row>
    <row r="2759" spans="1:8" hidden="1">
      <c r="A2759" s="232">
        <v>44551</v>
      </c>
      <c r="C2759" t="s">
        <v>8168</v>
      </c>
      <c r="D2759">
        <v>675.93</v>
      </c>
      <c r="H2759" t="s">
        <v>1336</v>
      </c>
    </row>
    <row r="2760" spans="1:8" hidden="1">
      <c r="A2760" s="232">
        <v>44552</v>
      </c>
      <c r="C2760" t="s">
        <v>8169</v>
      </c>
      <c r="D2760">
        <v>165</v>
      </c>
      <c r="H2760" t="s">
        <v>1336</v>
      </c>
    </row>
    <row r="2761" spans="1:8" hidden="1">
      <c r="A2761" s="232">
        <v>44553</v>
      </c>
      <c r="C2761" t="s">
        <v>8170</v>
      </c>
      <c r="D2761" s="69">
        <v>10250</v>
      </c>
      <c r="G2761" s="8" t="s">
        <v>1372</v>
      </c>
      <c r="H2761" t="s">
        <v>1336</v>
      </c>
    </row>
    <row r="2762" spans="1:8" hidden="1">
      <c r="A2762" s="232">
        <v>44553</v>
      </c>
      <c r="C2762" t="s">
        <v>8171</v>
      </c>
      <c r="D2762">
        <v>262</v>
      </c>
      <c r="H2762" t="s">
        <v>1336</v>
      </c>
    </row>
    <row r="2763" spans="1:8" hidden="1">
      <c r="A2763" s="232">
        <v>44554</v>
      </c>
      <c r="C2763" t="s">
        <v>8172</v>
      </c>
      <c r="D2763">
        <v>2625</v>
      </c>
      <c r="H2763" t="s">
        <v>1336</v>
      </c>
    </row>
    <row r="2764" spans="1:8" hidden="1">
      <c r="A2764" s="232">
        <v>44554</v>
      </c>
      <c r="C2764" t="s">
        <v>8173</v>
      </c>
      <c r="D2764">
        <v>1400</v>
      </c>
      <c r="H2764" t="s">
        <v>1336</v>
      </c>
    </row>
    <row r="2765" spans="1:8" hidden="1">
      <c r="A2765" s="232">
        <v>44554</v>
      </c>
      <c r="C2765" t="s">
        <v>8174</v>
      </c>
      <c r="D2765"/>
      <c r="E2765">
        <v>140000</v>
      </c>
      <c r="G2765" s="8" t="s">
        <v>1384</v>
      </c>
      <c r="H2765" t="s">
        <v>1336</v>
      </c>
    </row>
    <row r="2766" spans="1:8" hidden="1">
      <c r="A2766" s="232">
        <v>44555</v>
      </c>
      <c r="C2766" t="s">
        <v>8175</v>
      </c>
      <c r="D2766">
        <v>2250</v>
      </c>
      <c r="H2766" t="s">
        <v>1336</v>
      </c>
    </row>
    <row r="2767" spans="1:8" hidden="1">
      <c r="A2767" s="232">
        <v>44555</v>
      </c>
      <c r="C2767" t="s">
        <v>8176</v>
      </c>
      <c r="D2767">
        <v>13900</v>
      </c>
      <c r="G2767" s="8" t="s">
        <v>1379</v>
      </c>
      <c r="H2767" t="s">
        <v>1336</v>
      </c>
    </row>
    <row r="2768" spans="1:8" hidden="1">
      <c r="A2768" s="232">
        <v>44556</v>
      </c>
      <c r="C2768" t="s">
        <v>8177</v>
      </c>
      <c r="D2768">
        <v>100</v>
      </c>
      <c r="H2768" t="s">
        <v>1336</v>
      </c>
    </row>
    <row r="2769" spans="1:8" hidden="1">
      <c r="A2769" s="232">
        <v>44560</v>
      </c>
      <c r="C2769" t="s">
        <v>8178</v>
      </c>
      <c r="D2769" s="69">
        <v>10250</v>
      </c>
      <c r="G2769" s="8" t="s">
        <v>1372</v>
      </c>
      <c r="H2769" t="s">
        <v>1336</v>
      </c>
    </row>
    <row r="2770" spans="1:8" hidden="1">
      <c r="A2770" s="232">
        <v>44562</v>
      </c>
      <c r="C2770" t="s">
        <v>4256</v>
      </c>
      <c r="D2770"/>
      <c r="E2770">
        <v>15168</v>
      </c>
      <c r="G2770" s="8" t="s">
        <v>1368</v>
      </c>
      <c r="H2770" t="s">
        <v>1336</v>
      </c>
    </row>
    <row r="2771" spans="1:8" hidden="1">
      <c r="A2771" s="232">
        <v>44563</v>
      </c>
      <c r="C2771" t="s">
        <v>8179</v>
      </c>
      <c r="D2771">
        <v>725</v>
      </c>
      <c r="H2771" t="s">
        <v>1336</v>
      </c>
    </row>
    <row r="2772" spans="1:8" hidden="1">
      <c r="A2772" s="232">
        <v>44564</v>
      </c>
      <c r="C2772" t="s">
        <v>8180</v>
      </c>
      <c r="D2772">
        <v>2000</v>
      </c>
      <c r="H2772" t="s">
        <v>1336</v>
      </c>
    </row>
    <row r="2773" spans="1:8" hidden="1">
      <c r="A2773" s="232">
        <v>44564</v>
      </c>
      <c r="C2773" t="s">
        <v>8181</v>
      </c>
      <c r="D2773">
        <v>1500</v>
      </c>
      <c r="H2773" t="s">
        <v>1336</v>
      </c>
    </row>
    <row r="2774" spans="1:8" hidden="1">
      <c r="A2774" s="232">
        <v>44564</v>
      </c>
      <c r="C2774" t="s">
        <v>8182</v>
      </c>
      <c r="D2774">
        <v>20000</v>
      </c>
      <c r="G2774" s="8" t="s">
        <v>1358</v>
      </c>
      <c r="H2774" t="s">
        <v>1336</v>
      </c>
    </row>
    <row r="2775" spans="1:8" hidden="1">
      <c r="A2775" s="232">
        <v>44564</v>
      </c>
      <c r="C2775" t="s">
        <v>8183</v>
      </c>
      <c r="D2775"/>
      <c r="E2775">
        <v>6</v>
      </c>
      <c r="H2775" t="s">
        <v>1336</v>
      </c>
    </row>
    <row r="2776" spans="1:8" hidden="1">
      <c r="A2776" s="232">
        <v>44564</v>
      </c>
      <c r="C2776" t="s">
        <v>8184</v>
      </c>
      <c r="D2776">
        <v>5000</v>
      </c>
      <c r="H2776" t="s">
        <v>1336</v>
      </c>
    </row>
    <row r="2777" spans="1:8" hidden="1">
      <c r="A2777" s="232">
        <v>44564</v>
      </c>
      <c r="C2777" t="s">
        <v>8185</v>
      </c>
      <c r="D2777">
        <v>2211</v>
      </c>
      <c r="H2777" t="s">
        <v>1336</v>
      </c>
    </row>
    <row r="2778" spans="1:8" hidden="1">
      <c r="A2778" s="232">
        <v>44565</v>
      </c>
      <c r="C2778" t="s">
        <v>8186</v>
      </c>
      <c r="D2778">
        <v>716.3</v>
      </c>
      <c r="H2778" t="s">
        <v>1336</v>
      </c>
    </row>
    <row r="2779" spans="1:8" hidden="1">
      <c r="A2779" s="232">
        <v>44565</v>
      </c>
      <c r="C2779" t="s">
        <v>8187</v>
      </c>
      <c r="D2779"/>
      <c r="E2779">
        <v>2500</v>
      </c>
      <c r="H2779" t="s">
        <v>1336</v>
      </c>
    </row>
    <row r="2780" spans="1:8" hidden="1">
      <c r="A2780" s="232">
        <v>44566</v>
      </c>
      <c r="C2780" t="s">
        <v>6583</v>
      </c>
      <c r="D2780">
        <v>29569</v>
      </c>
      <c r="G2780" s="8" t="s">
        <v>1362</v>
      </c>
      <c r="H2780" t="s">
        <v>1336</v>
      </c>
    </row>
    <row r="2781" spans="1:8" hidden="1">
      <c r="A2781" s="232">
        <v>44566</v>
      </c>
      <c r="C2781" t="s">
        <v>8188</v>
      </c>
      <c r="D2781"/>
      <c r="E2781">
        <v>4000</v>
      </c>
      <c r="H2781" t="s">
        <v>1336</v>
      </c>
    </row>
    <row r="2782" spans="1:8" hidden="1">
      <c r="A2782" s="232">
        <v>44567</v>
      </c>
      <c r="C2782" t="s">
        <v>8189</v>
      </c>
      <c r="D2782" s="69">
        <v>10250</v>
      </c>
      <c r="G2782" s="8" t="s">
        <v>1372</v>
      </c>
      <c r="H2782" t="s">
        <v>1336</v>
      </c>
    </row>
    <row r="2783" spans="1:8" hidden="1">
      <c r="A2783" s="232">
        <v>44568</v>
      </c>
      <c r="C2783" t="s">
        <v>8190</v>
      </c>
      <c r="D2783">
        <v>1268.5</v>
      </c>
      <c r="H2783" t="s">
        <v>1336</v>
      </c>
    </row>
    <row r="2784" spans="1:8" hidden="1">
      <c r="A2784" s="232">
        <v>44568</v>
      </c>
      <c r="C2784" t="s">
        <v>8191</v>
      </c>
      <c r="D2784">
        <v>346</v>
      </c>
      <c r="H2784" t="s">
        <v>1336</v>
      </c>
    </row>
    <row r="2785" spans="1:8" hidden="1">
      <c r="A2785" s="232">
        <v>44569</v>
      </c>
      <c r="C2785" t="s">
        <v>8192</v>
      </c>
      <c r="D2785">
        <v>1151.55</v>
      </c>
      <c r="H2785" t="s">
        <v>1336</v>
      </c>
    </row>
    <row r="2786" spans="1:8" hidden="1">
      <c r="A2786" s="232">
        <v>44569</v>
      </c>
      <c r="C2786" t="s">
        <v>8193</v>
      </c>
      <c r="D2786">
        <v>71.5</v>
      </c>
      <c r="H2786" t="s">
        <v>1336</v>
      </c>
    </row>
    <row r="2787" spans="1:8" hidden="1">
      <c r="A2787" s="232">
        <v>44571</v>
      </c>
      <c r="C2787" t="s">
        <v>8194</v>
      </c>
      <c r="D2787">
        <v>844.98</v>
      </c>
      <c r="H2787" t="s">
        <v>1336</v>
      </c>
    </row>
    <row r="2788" spans="1:8" hidden="1">
      <c r="A2788" s="232">
        <v>44574</v>
      </c>
      <c r="C2788" t="s">
        <v>8195</v>
      </c>
      <c r="D2788">
        <v>1858.75</v>
      </c>
      <c r="H2788" t="s">
        <v>1336</v>
      </c>
    </row>
    <row r="2789" spans="1:8" hidden="1">
      <c r="A2789" s="232">
        <v>44574</v>
      </c>
      <c r="C2789" t="s">
        <v>8196</v>
      </c>
      <c r="D2789" s="69">
        <v>10250</v>
      </c>
      <c r="G2789" s="8" t="s">
        <v>1372</v>
      </c>
      <c r="H2789" t="s">
        <v>1336</v>
      </c>
    </row>
    <row r="2790" spans="1:8" hidden="1">
      <c r="A2790" s="232">
        <v>44574</v>
      </c>
      <c r="C2790" t="s">
        <v>8197</v>
      </c>
      <c r="D2790">
        <v>5000</v>
      </c>
      <c r="H2790" t="s">
        <v>1336</v>
      </c>
    </row>
    <row r="2791" spans="1:8" hidden="1">
      <c r="A2791" s="232">
        <v>44577</v>
      </c>
      <c r="C2791" t="s">
        <v>8198</v>
      </c>
      <c r="D2791">
        <v>480</v>
      </c>
      <c r="H2791" t="s">
        <v>1336</v>
      </c>
    </row>
    <row r="2792" spans="1:8" hidden="1">
      <c r="A2792" s="232">
        <v>44578</v>
      </c>
      <c r="C2792" t="s">
        <v>8199</v>
      </c>
      <c r="D2792">
        <v>800</v>
      </c>
      <c r="H2792" t="s">
        <v>1336</v>
      </c>
    </row>
    <row r="2793" spans="1:8" hidden="1">
      <c r="A2793" s="232">
        <v>44578</v>
      </c>
      <c r="C2793" t="s">
        <v>8200</v>
      </c>
      <c r="D2793">
        <v>114</v>
      </c>
      <c r="H2793" t="s">
        <v>1336</v>
      </c>
    </row>
    <row r="2794" spans="1:8" hidden="1">
      <c r="A2794" s="232">
        <v>44578</v>
      </c>
      <c r="C2794" t="s">
        <v>8201</v>
      </c>
      <c r="D2794">
        <v>298</v>
      </c>
      <c r="H2794" t="s">
        <v>1336</v>
      </c>
    </row>
    <row r="2795" spans="1:8" hidden="1">
      <c r="A2795" s="232">
        <v>44578</v>
      </c>
      <c r="C2795" t="s">
        <v>8202</v>
      </c>
      <c r="D2795">
        <v>180.5</v>
      </c>
      <c r="H2795" t="s">
        <v>1336</v>
      </c>
    </row>
    <row r="2796" spans="1:8" hidden="1">
      <c r="A2796" s="232">
        <v>44579</v>
      </c>
      <c r="C2796" t="s">
        <v>8203</v>
      </c>
      <c r="D2796">
        <v>9100</v>
      </c>
      <c r="H2796" t="s">
        <v>1336</v>
      </c>
    </row>
    <row r="2797" spans="1:8" hidden="1">
      <c r="A2797" s="232">
        <v>44579</v>
      </c>
      <c r="C2797" t="s">
        <v>8204</v>
      </c>
      <c r="D2797">
        <v>461.65</v>
      </c>
      <c r="H2797" t="s">
        <v>1336</v>
      </c>
    </row>
    <row r="2798" spans="1:8" hidden="1">
      <c r="A2798" s="232">
        <v>44580</v>
      </c>
      <c r="C2798" t="s">
        <v>8205</v>
      </c>
      <c r="D2798">
        <v>28</v>
      </c>
      <c r="H2798" t="s">
        <v>1336</v>
      </c>
    </row>
    <row r="2799" spans="1:8" hidden="1">
      <c r="A2799" s="232">
        <v>44580</v>
      </c>
      <c r="C2799" t="s">
        <v>8206</v>
      </c>
      <c r="D2799">
        <v>36</v>
      </c>
      <c r="H2799" t="s">
        <v>1336</v>
      </c>
    </row>
    <row r="2800" spans="1:8" hidden="1">
      <c r="A2800" s="232">
        <v>44581</v>
      </c>
      <c r="C2800" t="s">
        <v>8207</v>
      </c>
      <c r="D2800" s="69">
        <v>10250</v>
      </c>
      <c r="G2800" s="8" t="s">
        <v>1372</v>
      </c>
      <c r="H2800" t="s">
        <v>1336</v>
      </c>
    </row>
    <row r="2801" spans="1:8" hidden="1">
      <c r="A2801" s="232">
        <v>44581</v>
      </c>
      <c r="C2801" t="s">
        <v>8208</v>
      </c>
      <c r="D2801">
        <v>500</v>
      </c>
      <c r="H2801" t="s">
        <v>1336</v>
      </c>
    </row>
    <row r="2802" spans="1:8" hidden="1">
      <c r="A2802" s="232">
        <v>44582</v>
      </c>
      <c r="C2802" t="s">
        <v>8209</v>
      </c>
      <c r="D2802">
        <v>1270.0899999999999</v>
      </c>
      <c r="H2802" t="s">
        <v>1336</v>
      </c>
    </row>
    <row r="2803" spans="1:8" hidden="1">
      <c r="A2803" s="232">
        <v>44583</v>
      </c>
      <c r="C2803" t="s">
        <v>8210</v>
      </c>
      <c r="D2803">
        <v>16230</v>
      </c>
      <c r="G2803" s="8" t="s">
        <v>1379</v>
      </c>
      <c r="H2803" t="s">
        <v>1336</v>
      </c>
    </row>
    <row r="2804" spans="1:8" hidden="1">
      <c r="A2804" s="232">
        <v>44586</v>
      </c>
      <c r="C2804" t="s">
        <v>8211</v>
      </c>
      <c r="D2804">
        <v>75</v>
      </c>
      <c r="H2804" t="s">
        <v>1336</v>
      </c>
    </row>
    <row r="2805" spans="1:8" hidden="1">
      <c r="A2805" s="232">
        <v>44587</v>
      </c>
      <c r="C2805" t="s">
        <v>8212</v>
      </c>
      <c r="D2805">
        <v>13900</v>
      </c>
      <c r="G2805" s="8" t="s">
        <v>1379</v>
      </c>
      <c r="H2805" t="s">
        <v>1336</v>
      </c>
    </row>
    <row r="2806" spans="1:8" hidden="1">
      <c r="A2806" s="232">
        <v>44587</v>
      </c>
      <c r="C2806" t="s">
        <v>8213</v>
      </c>
      <c r="D2806"/>
      <c r="E2806">
        <v>140000</v>
      </c>
      <c r="G2806" s="8" t="s">
        <v>1384</v>
      </c>
      <c r="H2806" t="s">
        <v>1336</v>
      </c>
    </row>
    <row r="2807" spans="1:8" hidden="1">
      <c r="A2807" s="232">
        <v>44588</v>
      </c>
      <c r="C2807" t="s">
        <v>8214</v>
      </c>
      <c r="D2807" s="69">
        <v>10250</v>
      </c>
      <c r="G2807" s="8" t="s">
        <v>1372</v>
      </c>
      <c r="H2807" t="s">
        <v>1336</v>
      </c>
    </row>
    <row r="2808" spans="1:8" hidden="1">
      <c r="A2808" s="232">
        <v>44588</v>
      </c>
      <c r="C2808" t="s">
        <v>8215</v>
      </c>
      <c r="D2808">
        <v>865.27</v>
      </c>
      <c r="H2808" t="s">
        <v>1336</v>
      </c>
    </row>
    <row r="2809" spans="1:8" hidden="1">
      <c r="A2809" s="232">
        <v>44588</v>
      </c>
      <c r="C2809" t="s">
        <v>8216</v>
      </c>
      <c r="D2809">
        <v>884</v>
      </c>
      <c r="H2809" t="s">
        <v>1336</v>
      </c>
    </row>
    <row r="2810" spans="1:8" hidden="1">
      <c r="A2810" s="232">
        <v>44588</v>
      </c>
      <c r="C2810" t="s">
        <v>8217</v>
      </c>
      <c r="D2810">
        <v>1000</v>
      </c>
      <c r="H2810" t="s">
        <v>1336</v>
      </c>
    </row>
    <row r="2811" spans="1:8" hidden="1">
      <c r="A2811" s="232">
        <v>44588</v>
      </c>
      <c r="C2811" t="s">
        <v>8218</v>
      </c>
      <c r="D2811">
        <v>1500</v>
      </c>
      <c r="H2811" t="s">
        <v>1336</v>
      </c>
    </row>
    <row r="2812" spans="1:8" hidden="1">
      <c r="A2812" s="232">
        <v>44589</v>
      </c>
      <c r="C2812" t="s">
        <v>8219</v>
      </c>
      <c r="D2812">
        <v>300</v>
      </c>
      <c r="H2812" t="s">
        <v>1336</v>
      </c>
    </row>
    <row r="2813" spans="1:8" hidden="1">
      <c r="A2813" s="232">
        <v>44589</v>
      </c>
      <c r="C2813" t="s">
        <v>8220</v>
      </c>
      <c r="D2813">
        <v>563</v>
      </c>
      <c r="H2813" t="s">
        <v>1336</v>
      </c>
    </row>
    <row r="2814" spans="1:8" hidden="1">
      <c r="A2814" s="232">
        <v>44589</v>
      </c>
      <c r="C2814" t="s">
        <v>8221</v>
      </c>
      <c r="D2814">
        <v>502.57</v>
      </c>
      <c r="H2814" t="s">
        <v>1336</v>
      </c>
    </row>
    <row r="2815" spans="1:8" hidden="1">
      <c r="A2815" s="232">
        <v>44589</v>
      </c>
      <c r="C2815" t="s">
        <v>8222</v>
      </c>
      <c r="D2815">
        <v>170</v>
      </c>
      <c r="H2815" t="s">
        <v>1336</v>
      </c>
    </row>
    <row r="2816" spans="1:8" hidden="1">
      <c r="A2816" s="232">
        <v>44590</v>
      </c>
      <c r="C2816" t="s">
        <v>8223</v>
      </c>
      <c r="D2816">
        <v>386</v>
      </c>
      <c r="H2816" t="s">
        <v>1336</v>
      </c>
    </row>
    <row r="2817" spans="1:8" hidden="1">
      <c r="A2817" s="232">
        <v>44590</v>
      </c>
      <c r="C2817" t="s">
        <v>8224</v>
      </c>
      <c r="D2817">
        <v>51</v>
      </c>
      <c r="H2817" t="s">
        <v>1336</v>
      </c>
    </row>
    <row r="2818" spans="1:8" hidden="1">
      <c r="A2818" s="232">
        <v>44591</v>
      </c>
      <c r="C2818" t="s">
        <v>8225</v>
      </c>
      <c r="D2818">
        <v>4089.7</v>
      </c>
      <c r="H2818" t="s">
        <v>1336</v>
      </c>
    </row>
    <row r="2819" spans="1:8" hidden="1">
      <c r="A2819" s="232">
        <v>44591</v>
      </c>
      <c r="C2819" t="s">
        <v>8226</v>
      </c>
      <c r="D2819">
        <v>334.78</v>
      </c>
      <c r="H2819" t="s">
        <v>1336</v>
      </c>
    </row>
    <row r="2820" spans="1:8" hidden="1">
      <c r="A2820" s="232">
        <v>44592</v>
      </c>
      <c r="C2820" t="s">
        <v>8227</v>
      </c>
      <c r="D2820">
        <v>3621</v>
      </c>
      <c r="H2820" t="s">
        <v>1336</v>
      </c>
    </row>
    <row r="2821" spans="1:8" hidden="1">
      <c r="A2821" s="232">
        <v>44592</v>
      </c>
      <c r="C2821" t="s">
        <v>8228</v>
      </c>
      <c r="D2821">
        <v>563</v>
      </c>
      <c r="H2821" t="s">
        <v>1336</v>
      </c>
    </row>
    <row r="2822" spans="1:8" hidden="1">
      <c r="A2822" s="232">
        <v>44593</v>
      </c>
      <c r="C2822" t="s">
        <v>8229</v>
      </c>
      <c r="D2822">
        <v>5000</v>
      </c>
      <c r="H2822" t="s">
        <v>1336</v>
      </c>
    </row>
    <row r="2823" spans="1:8" hidden="1">
      <c r="A2823" s="232">
        <v>44593</v>
      </c>
      <c r="C2823" t="s">
        <v>8230</v>
      </c>
      <c r="D2823">
        <v>2000</v>
      </c>
      <c r="H2823" t="s">
        <v>1336</v>
      </c>
    </row>
    <row r="2824" spans="1:8" hidden="1">
      <c r="A2824" s="232">
        <v>44593</v>
      </c>
      <c r="C2824" t="s">
        <v>8231</v>
      </c>
      <c r="D2824">
        <v>20000</v>
      </c>
      <c r="G2824" s="8" t="s">
        <v>1358</v>
      </c>
      <c r="H2824" t="s">
        <v>1336</v>
      </c>
    </row>
    <row r="2825" spans="1:8" hidden="1">
      <c r="A2825" s="232">
        <v>44593</v>
      </c>
      <c r="C2825" t="s">
        <v>8232</v>
      </c>
      <c r="D2825">
        <v>1500</v>
      </c>
      <c r="H2825" t="s">
        <v>1336</v>
      </c>
    </row>
    <row r="2826" spans="1:8" hidden="1">
      <c r="A2826" s="232">
        <v>44593</v>
      </c>
      <c r="C2826" t="s">
        <v>8233</v>
      </c>
      <c r="D2826">
        <v>1101</v>
      </c>
      <c r="H2826" t="s">
        <v>1336</v>
      </c>
    </row>
    <row r="2827" spans="1:8" hidden="1">
      <c r="A2827" s="232">
        <v>44593</v>
      </c>
      <c r="C2827" t="s">
        <v>8234</v>
      </c>
      <c r="D2827">
        <v>1500</v>
      </c>
      <c r="H2827" t="s">
        <v>1336</v>
      </c>
    </row>
    <row r="2828" spans="1:8" hidden="1">
      <c r="A2828" s="232">
        <v>44593</v>
      </c>
      <c r="C2828" t="s">
        <v>8235</v>
      </c>
      <c r="D2828">
        <v>1268.5</v>
      </c>
      <c r="H2828" t="s">
        <v>1336</v>
      </c>
    </row>
    <row r="2829" spans="1:8" hidden="1">
      <c r="A2829" s="232">
        <v>44595</v>
      </c>
      <c r="C2829" t="s">
        <v>8236</v>
      </c>
      <c r="D2829">
        <v>276</v>
      </c>
      <c r="H2829" t="s">
        <v>1336</v>
      </c>
    </row>
    <row r="2830" spans="1:8" hidden="1">
      <c r="A2830" s="232">
        <v>44595</v>
      </c>
      <c r="C2830" t="s">
        <v>8237</v>
      </c>
      <c r="D2830">
        <v>512.02</v>
      </c>
      <c r="H2830" t="s">
        <v>1336</v>
      </c>
    </row>
    <row r="2831" spans="1:8" hidden="1">
      <c r="A2831" s="232">
        <v>44595</v>
      </c>
      <c r="C2831" t="s">
        <v>8238</v>
      </c>
      <c r="D2831">
        <v>683.56</v>
      </c>
      <c r="H2831" t="s">
        <v>1336</v>
      </c>
    </row>
    <row r="2832" spans="1:8" hidden="1">
      <c r="A2832" s="232">
        <v>44595</v>
      </c>
      <c r="C2832" t="s">
        <v>8239</v>
      </c>
      <c r="D2832" s="69">
        <v>10250</v>
      </c>
      <c r="G2832" s="8" t="s">
        <v>1372</v>
      </c>
      <c r="H2832" t="s">
        <v>1336</v>
      </c>
    </row>
    <row r="2833" spans="1:8" hidden="1">
      <c r="A2833" s="232">
        <v>44595</v>
      </c>
      <c r="C2833" t="s">
        <v>8240</v>
      </c>
      <c r="D2833">
        <v>61998</v>
      </c>
      <c r="H2833" t="s">
        <v>1336</v>
      </c>
    </row>
    <row r="2834" spans="1:8" hidden="1">
      <c r="A2834" s="232">
        <v>44597</v>
      </c>
      <c r="C2834" t="s">
        <v>6583</v>
      </c>
      <c r="D2834">
        <v>23404</v>
      </c>
      <c r="G2834" s="8" t="s">
        <v>1362</v>
      </c>
      <c r="H2834" t="s">
        <v>1336</v>
      </c>
    </row>
    <row r="2835" spans="1:8" hidden="1">
      <c r="A2835" s="232">
        <v>44597</v>
      </c>
      <c r="C2835" t="s">
        <v>8241</v>
      </c>
      <c r="D2835">
        <v>195</v>
      </c>
      <c r="H2835" t="s">
        <v>1336</v>
      </c>
    </row>
    <row r="2836" spans="1:8" hidden="1">
      <c r="A2836" s="232">
        <v>44597</v>
      </c>
      <c r="C2836" t="s">
        <v>8242</v>
      </c>
      <c r="D2836">
        <v>1000</v>
      </c>
      <c r="H2836" t="s">
        <v>1336</v>
      </c>
    </row>
    <row r="2837" spans="1:8" hidden="1">
      <c r="A2837" s="232">
        <v>44600</v>
      </c>
      <c r="C2837" t="s">
        <v>8243</v>
      </c>
      <c r="D2837">
        <v>191</v>
      </c>
      <c r="H2837" t="s">
        <v>1336</v>
      </c>
    </row>
    <row r="2838" spans="1:8" hidden="1">
      <c r="A2838" s="232">
        <v>44600</v>
      </c>
      <c r="C2838" t="s">
        <v>8244</v>
      </c>
      <c r="D2838">
        <v>306.86</v>
      </c>
      <c r="H2838" t="s">
        <v>1336</v>
      </c>
    </row>
    <row r="2839" spans="1:8" hidden="1">
      <c r="A2839" s="232">
        <v>44601</v>
      </c>
      <c r="C2839" t="s">
        <v>8245</v>
      </c>
      <c r="D2839">
        <v>5625</v>
      </c>
      <c r="H2839" t="s">
        <v>1336</v>
      </c>
    </row>
    <row r="2840" spans="1:8" hidden="1">
      <c r="A2840" s="232">
        <v>44601</v>
      </c>
      <c r="C2840" t="s">
        <v>8246</v>
      </c>
      <c r="D2840"/>
      <c r="E2840">
        <v>6</v>
      </c>
      <c r="H2840" t="s">
        <v>1336</v>
      </c>
    </row>
    <row r="2841" spans="1:8" hidden="1">
      <c r="A2841" s="232">
        <v>44601</v>
      </c>
      <c r="C2841" t="s">
        <v>8247</v>
      </c>
      <c r="D2841"/>
      <c r="E2841">
        <v>3</v>
      </c>
      <c r="H2841" t="s">
        <v>1336</v>
      </c>
    </row>
    <row r="2842" spans="1:8" hidden="1">
      <c r="A2842" s="232">
        <v>44601</v>
      </c>
      <c r="C2842" t="s">
        <v>8248</v>
      </c>
      <c r="D2842">
        <v>250</v>
      </c>
      <c r="H2842" t="s">
        <v>1336</v>
      </c>
    </row>
    <row r="2843" spans="1:8" hidden="1">
      <c r="A2843" s="232">
        <v>44602</v>
      </c>
      <c r="C2843" t="s">
        <v>8249</v>
      </c>
      <c r="D2843">
        <v>905.98</v>
      </c>
      <c r="H2843" t="s">
        <v>1336</v>
      </c>
    </row>
    <row r="2844" spans="1:8" hidden="1">
      <c r="A2844" s="232">
        <v>44602</v>
      </c>
      <c r="C2844" t="s">
        <v>8250</v>
      </c>
      <c r="D2844" s="69">
        <v>10250</v>
      </c>
      <c r="G2844" s="8" t="s">
        <v>1372</v>
      </c>
      <c r="H2844" t="s">
        <v>1336</v>
      </c>
    </row>
    <row r="2845" spans="1:8" hidden="1">
      <c r="A2845" s="232">
        <v>44603</v>
      </c>
      <c r="C2845" t="s">
        <v>8251</v>
      </c>
      <c r="D2845">
        <v>33</v>
      </c>
      <c r="H2845" t="s">
        <v>1336</v>
      </c>
    </row>
    <row r="2846" spans="1:8" hidden="1">
      <c r="A2846" s="232">
        <v>44603</v>
      </c>
      <c r="C2846" t="s">
        <v>8252</v>
      </c>
      <c r="D2846">
        <v>378.42</v>
      </c>
      <c r="H2846" t="s">
        <v>1336</v>
      </c>
    </row>
    <row r="2847" spans="1:8" hidden="1">
      <c r="A2847" s="232">
        <v>44605</v>
      </c>
      <c r="C2847" t="s">
        <v>8253</v>
      </c>
      <c r="D2847">
        <v>403</v>
      </c>
      <c r="H2847" t="s">
        <v>1336</v>
      </c>
    </row>
    <row r="2848" spans="1:8" hidden="1">
      <c r="A2848" s="232">
        <v>44606</v>
      </c>
      <c r="C2848" t="s">
        <v>8254</v>
      </c>
      <c r="D2848">
        <v>2700</v>
      </c>
      <c r="H2848" t="s">
        <v>1336</v>
      </c>
    </row>
    <row r="2849" spans="1:8" hidden="1">
      <c r="A2849" s="232">
        <v>44606</v>
      </c>
      <c r="C2849" t="s">
        <v>8255</v>
      </c>
      <c r="D2849">
        <v>342.29</v>
      </c>
      <c r="H2849" t="s">
        <v>1336</v>
      </c>
    </row>
    <row r="2850" spans="1:8" hidden="1">
      <c r="A2850" s="232">
        <v>44607</v>
      </c>
      <c r="C2850" t="s">
        <v>8256</v>
      </c>
      <c r="D2850">
        <v>300</v>
      </c>
      <c r="H2850" t="s">
        <v>1336</v>
      </c>
    </row>
    <row r="2851" spans="1:8" hidden="1">
      <c r="A2851" s="232">
        <v>44607</v>
      </c>
      <c r="C2851" t="s">
        <v>8257</v>
      </c>
      <c r="D2851">
        <v>245</v>
      </c>
      <c r="H2851" t="s">
        <v>1336</v>
      </c>
    </row>
    <row r="2852" spans="1:8" hidden="1">
      <c r="A2852" s="232">
        <v>44607</v>
      </c>
      <c r="C2852" t="s">
        <v>8258</v>
      </c>
      <c r="D2852">
        <v>400</v>
      </c>
      <c r="H2852" t="s">
        <v>1336</v>
      </c>
    </row>
    <row r="2853" spans="1:8" hidden="1">
      <c r="A2853" s="232">
        <v>44607</v>
      </c>
      <c r="C2853" t="s">
        <v>8259</v>
      </c>
      <c r="D2853">
        <v>500</v>
      </c>
      <c r="H2853" t="s">
        <v>1336</v>
      </c>
    </row>
    <row r="2854" spans="1:8" hidden="1">
      <c r="A2854" s="232">
        <v>44607</v>
      </c>
      <c r="C2854" t="s">
        <v>8260</v>
      </c>
      <c r="D2854">
        <v>8600</v>
      </c>
      <c r="H2854" t="s">
        <v>1336</v>
      </c>
    </row>
    <row r="2855" spans="1:8" hidden="1">
      <c r="A2855" s="232">
        <v>44608</v>
      </c>
      <c r="C2855" t="s">
        <v>8261</v>
      </c>
      <c r="D2855"/>
      <c r="E2855">
        <v>23525</v>
      </c>
      <c r="H2855" t="s">
        <v>1336</v>
      </c>
    </row>
    <row r="2856" spans="1:8" hidden="1">
      <c r="A2856" s="232">
        <v>44608</v>
      </c>
      <c r="C2856" t="s">
        <v>8262</v>
      </c>
      <c r="D2856">
        <v>23525</v>
      </c>
      <c r="H2856" t="s">
        <v>1336</v>
      </c>
    </row>
    <row r="2857" spans="1:8" hidden="1">
      <c r="A2857" s="232">
        <v>44609</v>
      </c>
      <c r="C2857" t="s">
        <v>8263</v>
      </c>
      <c r="D2857" s="69">
        <v>10250</v>
      </c>
      <c r="G2857" s="8" t="s">
        <v>1372</v>
      </c>
      <c r="H2857" t="s">
        <v>1336</v>
      </c>
    </row>
    <row r="2858" spans="1:8" hidden="1">
      <c r="A2858" s="232">
        <v>44609</v>
      </c>
      <c r="C2858" t="s">
        <v>8264</v>
      </c>
      <c r="D2858">
        <v>826.3</v>
      </c>
      <c r="H2858" t="s">
        <v>1336</v>
      </c>
    </row>
    <row r="2859" spans="1:8" hidden="1">
      <c r="A2859" s="232">
        <v>44609</v>
      </c>
      <c r="C2859" t="s">
        <v>8265</v>
      </c>
      <c r="D2859">
        <v>852.5</v>
      </c>
      <c r="H2859" t="s">
        <v>1336</v>
      </c>
    </row>
    <row r="2860" spans="1:8" hidden="1">
      <c r="A2860" s="232">
        <v>44611</v>
      </c>
      <c r="C2860" t="s">
        <v>8266</v>
      </c>
      <c r="D2860">
        <v>5950</v>
      </c>
      <c r="H2860" t="s">
        <v>1336</v>
      </c>
    </row>
    <row r="2861" spans="1:8" hidden="1">
      <c r="A2861" s="232">
        <v>44612</v>
      </c>
      <c r="C2861" t="s">
        <v>8267</v>
      </c>
      <c r="D2861">
        <v>1424</v>
      </c>
      <c r="H2861" t="s">
        <v>1336</v>
      </c>
    </row>
    <row r="2862" spans="1:8" hidden="1">
      <c r="A2862" s="232">
        <v>44612</v>
      </c>
      <c r="C2862" t="s">
        <v>8268</v>
      </c>
      <c r="D2862">
        <v>10000</v>
      </c>
      <c r="H2862" t="s">
        <v>1336</v>
      </c>
    </row>
    <row r="2863" spans="1:8" hidden="1">
      <c r="A2863" s="232">
        <v>44612</v>
      </c>
      <c r="C2863" t="s">
        <v>8269</v>
      </c>
      <c r="D2863"/>
      <c r="E2863">
        <v>10000</v>
      </c>
      <c r="H2863" t="s">
        <v>1336</v>
      </c>
    </row>
    <row r="2864" spans="1:8" hidden="1">
      <c r="A2864" s="232">
        <v>44613</v>
      </c>
      <c r="C2864" t="s">
        <v>8270</v>
      </c>
      <c r="D2864">
        <v>305</v>
      </c>
      <c r="H2864" t="s">
        <v>1336</v>
      </c>
    </row>
    <row r="2865" spans="1:8" hidden="1">
      <c r="A2865" s="232">
        <v>44614</v>
      </c>
      <c r="C2865" t="s">
        <v>8271</v>
      </c>
      <c r="D2865">
        <v>154</v>
      </c>
      <c r="H2865" t="s">
        <v>1336</v>
      </c>
    </row>
    <row r="2866" spans="1:8" hidden="1">
      <c r="A2866" s="232">
        <v>44614</v>
      </c>
      <c r="C2866" t="s">
        <v>8272</v>
      </c>
      <c r="D2866">
        <v>499</v>
      </c>
      <c r="H2866" t="s">
        <v>1336</v>
      </c>
    </row>
    <row r="2867" spans="1:8" hidden="1">
      <c r="A2867" s="232">
        <v>44614</v>
      </c>
      <c r="C2867" t="s">
        <v>8273</v>
      </c>
      <c r="D2867">
        <v>16230</v>
      </c>
      <c r="G2867" s="8" t="s">
        <v>1379</v>
      </c>
      <c r="H2867" t="s">
        <v>1336</v>
      </c>
    </row>
    <row r="2868" spans="1:8" hidden="1">
      <c r="A2868" s="232">
        <v>44615</v>
      </c>
      <c r="C2868" t="s">
        <v>8274</v>
      </c>
      <c r="D2868">
        <v>215</v>
      </c>
      <c r="H2868" t="s">
        <v>1336</v>
      </c>
    </row>
    <row r="2869" spans="1:8" hidden="1">
      <c r="A2869" s="232">
        <v>44616</v>
      </c>
      <c r="C2869" t="s">
        <v>8275</v>
      </c>
      <c r="D2869" s="69">
        <v>10250</v>
      </c>
      <c r="G2869" s="8" t="s">
        <v>1372</v>
      </c>
      <c r="H2869" t="s">
        <v>1336</v>
      </c>
    </row>
    <row r="2870" spans="1:8" hidden="1">
      <c r="A2870" s="232">
        <v>44616</v>
      </c>
      <c r="C2870" t="s">
        <v>8276</v>
      </c>
      <c r="D2870">
        <v>758.16</v>
      </c>
      <c r="H2870" t="s">
        <v>1336</v>
      </c>
    </row>
    <row r="2871" spans="1:8" hidden="1">
      <c r="A2871" s="232">
        <v>44617</v>
      </c>
      <c r="C2871" t="s">
        <v>8277</v>
      </c>
      <c r="D2871">
        <v>1250</v>
      </c>
      <c r="H2871" t="s">
        <v>1336</v>
      </c>
    </row>
    <row r="2872" spans="1:8" hidden="1">
      <c r="A2872" s="232">
        <v>44617</v>
      </c>
      <c r="C2872" t="s">
        <v>8278</v>
      </c>
      <c r="D2872">
        <v>2211</v>
      </c>
      <c r="H2872" t="s">
        <v>1336</v>
      </c>
    </row>
    <row r="2873" spans="1:8" hidden="1">
      <c r="A2873" s="232">
        <v>44617</v>
      </c>
      <c r="C2873" t="s">
        <v>8279</v>
      </c>
      <c r="D2873">
        <v>1024.1500000000001</v>
      </c>
      <c r="H2873" t="s">
        <v>1336</v>
      </c>
    </row>
    <row r="2874" spans="1:8" hidden="1">
      <c r="A2874" s="232">
        <v>44618</v>
      </c>
      <c r="C2874" t="s">
        <v>8280</v>
      </c>
      <c r="D2874">
        <v>13900</v>
      </c>
      <c r="G2874" s="8" t="s">
        <v>1379</v>
      </c>
      <c r="H2874" t="s">
        <v>1336</v>
      </c>
    </row>
    <row r="2875" spans="1:8" hidden="1">
      <c r="A2875" s="232">
        <v>44618</v>
      </c>
      <c r="C2875" t="s">
        <v>8281</v>
      </c>
      <c r="D2875"/>
      <c r="E2875">
        <v>140000</v>
      </c>
      <c r="G2875" s="8" t="s">
        <v>1384</v>
      </c>
      <c r="H2875" t="s">
        <v>1336</v>
      </c>
    </row>
    <row r="2876" spans="1:8" hidden="1">
      <c r="A2876" s="232">
        <v>44619</v>
      </c>
      <c r="C2876" t="s">
        <v>8282</v>
      </c>
      <c r="D2876">
        <v>509</v>
      </c>
      <c r="H2876" t="s">
        <v>1336</v>
      </c>
    </row>
    <row r="2877" spans="1:8" hidden="1">
      <c r="A2877" s="232">
        <v>44619</v>
      </c>
      <c r="C2877" t="s">
        <v>8283</v>
      </c>
      <c r="D2877">
        <v>1227</v>
      </c>
      <c r="H2877" t="s">
        <v>1336</v>
      </c>
    </row>
    <row r="2878" spans="1:8" hidden="1">
      <c r="A2878" s="232">
        <v>44622</v>
      </c>
      <c r="C2878" t="s">
        <v>8284</v>
      </c>
      <c r="D2878">
        <v>2000</v>
      </c>
      <c r="H2878" t="s">
        <v>1336</v>
      </c>
    </row>
    <row r="2879" spans="1:8" hidden="1">
      <c r="A2879" s="232">
        <v>44622</v>
      </c>
      <c r="C2879" t="s">
        <v>8285</v>
      </c>
      <c r="D2879">
        <v>5000</v>
      </c>
      <c r="H2879" t="s">
        <v>1336</v>
      </c>
    </row>
    <row r="2880" spans="1:8" hidden="1">
      <c r="A2880" s="232">
        <v>44622</v>
      </c>
      <c r="C2880" t="s">
        <v>8286</v>
      </c>
      <c r="D2880">
        <v>20000</v>
      </c>
      <c r="G2880" s="8" t="s">
        <v>1358</v>
      </c>
      <c r="H2880" t="s">
        <v>1336</v>
      </c>
    </row>
    <row r="2881" spans="1:8" hidden="1">
      <c r="A2881" s="232">
        <v>44623</v>
      </c>
      <c r="C2881" t="s">
        <v>8287</v>
      </c>
      <c r="D2881">
        <v>1268.5</v>
      </c>
      <c r="H2881" t="s">
        <v>1336</v>
      </c>
    </row>
    <row r="2882" spans="1:8" hidden="1">
      <c r="A2882" s="232">
        <v>44623</v>
      </c>
      <c r="C2882" t="s">
        <v>8288</v>
      </c>
      <c r="D2882" s="69">
        <v>10250</v>
      </c>
      <c r="G2882" s="8" t="s">
        <v>1372</v>
      </c>
      <c r="H2882" t="s">
        <v>1336</v>
      </c>
    </row>
    <row r="2883" spans="1:8" hidden="1">
      <c r="A2883" s="232">
        <v>44625</v>
      </c>
      <c r="C2883" t="s">
        <v>8289</v>
      </c>
      <c r="D2883">
        <v>67</v>
      </c>
      <c r="H2883" t="s">
        <v>1336</v>
      </c>
    </row>
    <row r="2884" spans="1:8" hidden="1">
      <c r="A2884" s="232">
        <v>44626</v>
      </c>
      <c r="C2884" t="s">
        <v>8290</v>
      </c>
      <c r="D2884">
        <v>5000</v>
      </c>
      <c r="H2884" t="s">
        <v>1336</v>
      </c>
    </row>
    <row r="2885" spans="1:8" hidden="1">
      <c r="A2885" s="232">
        <v>44626</v>
      </c>
      <c r="C2885" t="s">
        <v>8291</v>
      </c>
      <c r="D2885"/>
      <c r="E2885">
        <v>5000</v>
      </c>
      <c r="H2885" t="s">
        <v>1336</v>
      </c>
    </row>
    <row r="2886" spans="1:8" hidden="1">
      <c r="A2886" s="232">
        <v>44626</v>
      </c>
      <c r="C2886" t="s">
        <v>8292</v>
      </c>
      <c r="D2886">
        <v>3500</v>
      </c>
      <c r="H2886" t="s">
        <v>1336</v>
      </c>
    </row>
    <row r="2887" spans="1:8" hidden="1">
      <c r="A2887" s="232">
        <v>44628</v>
      </c>
      <c r="C2887" t="s">
        <v>6583</v>
      </c>
      <c r="D2887">
        <v>23814</v>
      </c>
      <c r="G2887" s="8" t="s">
        <v>1362</v>
      </c>
      <c r="H2887" t="s">
        <v>1336</v>
      </c>
    </row>
    <row r="2888" spans="1:8" hidden="1">
      <c r="A2888" s="232">
        <v>44628</v>
      </c>
      <c r="C2888" t="s">
        <v>8293</v>
      </c>
      <c r="D2888">
        <v>558</v>
      </c>
      <c r="H2888" t="s">
        <v>1336</v>
      </c>
    </row>
    <row r="2889" spans="1:8" hidden="1">
      <c r="A2889" s="232">
        <v>44628</v>
      </c>
      <c r="C2889" t="s">
        <v>8294</v>
      </c>
      <c r="D2889"/>
      <c r="E2889">
        <v>9665</v>
      </c>
      <c r="H2889" t="s">
        <v>1336</v>
      </c>
    </row>
    <row r="2890" spans="1:8" hidden="1">
      <c r="A2890" s="232">
        <v>44630</v>
      </c>
      <c r="C2890" t="s">
        <v>8295</v>
      </c>
      <c r="D2890">
        <v>1272.22</v>
      </c>
      <c r="H2890" t="s">
        <v>1336</v>
      </c>
    </row>
    <row r="2891" spans="1:8" hidden="1">
      <c r="A2891" s="232">
        <v>44630</v>
      </c>
      <c r="C2891" t="s">
        <v>8296</v>
      </c>
      <c r="D2891" s="69">
        <v>10250</v>
      </c>
      <c r="G2891" s="8" t="s">
        <v>1372</v>
      </c>
      <c r="H2891" t="s">
        <v>1336</v>
      </c>
    </row>
    <row r="2892" spans="1:8" hidden="1">
      <c r="A2892" s="232">
        <v>44632</v>
      </c>
      <c r="C2892" t="s">
        <v>8297</v>
      </c>
      <c r="D2892">
        <v>5950</v>
      </c>
      <c r="H2892" t="s">
        <v>1336</v>
      </c>
    </row>
    <row r="2893" spans="1:8" hidden="1">
      <c r="A2893" s="232">
        <v>44632</v>
      </c>
      <c r="C2893" t="s">
        <v>8298</v>
      </c>
      <c r="D2893"/>
      <c r="E2893">
        <v>100</v>
      </c>
      <c r="H2893" t="s">
        <v>1336</v>
      </c>
    </row>
    <row r="2894" spans="1:8" hidden="1">
      <c r="A2894" s="232">
        <v>44633</v>
      </c>
      <c r="C2894" t="s">
        <v>8299</v>
      </c>
      <c r="D2894">
        <v>899.12</v>
      </c>
      <c r="H2894" t="s">
        <v>1336</v>
      </c>
    </row>
    <row r="2895" spans="1:8" hidden="1">
      <c r="A2895" s="232">
        <v>44635</v>
      </c>
      <c r="C2895" t="s">
        <v>8300</v>
      </c>
      <c r="D2895">
        <v>2.6</v>
      </c>
      <c r="H2895" t="s">
        <v>1336</v>
      </c>
    </row>
    <row r="2896" spans="1:8" hidden="1">
      <c r="A2896" s="232">
        <v>44635</v>
      </c>
      <c r="C2896" t="s">
        <v>8301</v>
      </c>
      <c r="D2896">
        <v>969</v>
      </c>
      <c r="H2896" t="s">
        <v>1336</v>
      </c>
    </row>
    <row r="2897" spans="1:8" hidden="1">
      <c r="A2897" s="232">
        <v>44635</v>
      </c>
      <c r="C2897" t="s">
        <v>8302</v>
      </c>
      <c r="D2897">
        <v>2104.7399999999998</v>
      </c>
      <c r="H2897" t="s">
        <v>1336</v>
      </c>
    </row>
    <row r="2898" spans="1:8" hidden="1">
      <c r="A2898" s="232">
        <v>44636</v>
      </c>
      <c r="C2898" t="s">
        <v>8303</v>
      </c>
      <c r="D2898">
        <v>142</v>
      </c>
      <c r="H2898" t="s">
        <v>1336</v>
      </c>
    </row>
    <row r="2899" spans="1:8" hidden="1">
      <c r="A2899" s="232">
        <v>44636</v>
      </c>
      <c r="C2899" t="s">
        <v>8304</v>
      </c>
      <c r="D2899">
        <v>374</v>
      </c>
      <c r="H2899" t="s">
        <v>1336</v>
      </c>
    </row>
    <row r="2900" spans="1:8" hidden="1">
      <c r="A2900" s="232">
        <v>44636</v>
      </c>
      <c r="C2900" t="s">
        <v>8305</v>
      </c>
      <c r="D2900">
        <v>4899</v>
      </c>
      <c r="H2900" t="s">
        <v>1336</v>
      </c>
    </row>
    <row r="2901" spans="1:8" hidden="1">
      <c r="A2901" s="232">
        <v>44636</v>
      </c>
      <c r="C2901" t="s">
        <v>8306</v>
      </c>
      <c r="D2901">
        <v>3205</v>
      </c>
      <c r="H2901" t="s">
        <v>1336</v>
      </c>
    </row>
    <row r="2902" spans="1:8" hidden="1">
      <c r="A2902" s="232">
        <v>44637</v>
      </c>
      <c r="C2902" t="s">
        <v>8307</v>
      </c>
      <c r="D2902" s="69">
        <v>10250</v>
      </c>
      <c r="G2902" s="8" t="s">
        <v>1372</v>
      </c>
      <c r="H2902" t="s">
        <v>1336</v>
      </c>
    </row>
    <row r="2903" spans="1:8" hidden="1">
      <c r="A2903" s="232">
        <v>44639</v>
      </c>
      <c r="C2903" t="s">
        <v>8308</v>
      </c>
      <c r="D2903">
        <v>1456</v>
      </c>
      <c r="H2903" t="s">
        <v>1336</v>
      </c>
    </row>
    <row r="2904" spans="1:8" hidden="1">
      <c r="A2904" s="232">
        <v>44639</v>
      </c>
      <c r="C2904" t="s">
        <v>8309</v>
      </c>
      <c r="D2904">
        <v>3600</v>
      </c>
      <c r="H2904" t="s">
        <v>1336</v>
      </c>
    </row>
    <row r="2905" spans="1:8" hidden="1">
      <c r="A2905" s="232">
        <v>44639</v>
      </c>
      <c r="C2905" t="s">
        <v>8310</v>
      </c>
      <c r="D2905">
        <v>460.01</v>
      </c>
      <c r="H2905" t="s">
        <v>1336</v>
      </c>
    </row>
    <row r="2906" spans="1:8" hidden="1">
      <c r="A2906" s="232">
        <v>44641</v>
      </c>
      <c r="C2906" t="s">
        <v>8311</v>
      </c>
      <c r="D2906">
        <v>1286.44</v>
      </c>
      <c r="H2906" t="s">
        <v>1336</v>
      </c>
    </row>
    <row r="2907" spans="1:8" hidden="1">
      <c r="A2907" s="232">
        <v>44641</v>
      </c>
      <c r="C2907" t="s">
        <v>8312</v>
      </c>
      <c r="D2907">
        <v>1320</v>
      </c>
      <c r="H2907" t="s">
        <v>1336</v>
      </c>
    </row>
    <row r="2908" spans="1:8" hidden="1">
      <c r="A2908" s="232">
        <v>44641</v>
      </c>
      <c r="C2908" t="s">
        <v>8313</v>
      </c>
      <c r="D2908">
        <v>84</v>
      </c>
      <c r="H2908" t="s">
        <v>1336</v>
      </c>
    </row>
    <row r="2909" spans="1:8" hidden="1">
      <c r="A2909" s="232">
        <v>44642</v>
      </c>
      <c r="C2909" t="s">
        <v>8314</v>
      </c>
      <c r="D2909">
        <v>624</v>
      </c>
      <c r="H2909" t="s">
        <v>1336</v>
      </c>
    </row>
    <row r="2910" spans="1:8" hidden="1">
      <c r="A2910" s="232">
        <v>44642</v>
      </c>
      <c r="C2910" t="s">
        <v>8315</v>
      </c>
      <c r="D2910">
        <v>16230</v>
      </c>
      <c r="G2910" s="8" t="s">
        <v>1379</v>
      </c>
      <c r="H2910" t="s">
        <v>1336</v>
      </c>
    </row>
    <row r="2911" spans="1:8" hidden="1">
      <c r="A2911" s="232">
        <v>44644</v>
      </c>
      <c r="C2911" t="s">
        <v>8316</v>
      </c>
      <c r="D2911" s="69">
        <v>10250</v>
      </c>
      <c r="G2911" s="8" t="s">
        <v>1372</v>
      </c>
      <c r="H2911" t="s">
        <v>1336</v>
      </c>
    </row>
    <row r="2912" spans="1:8" hidden="1">
      <c r="A2912" s="232">
        <v>44644</v>
      </c>
      <c r="C2912" t="s">
        <v>8317</v>
      </c>
      <c r="D2912">
        <v>358.45</v>
      </c>
      <c r="H2912" t="s">
        <v>1336</v>
      </c>
    </row>
    <row r="2913" spans="1:8" hidden="1">
      <c r="A2913" s="232">
        <v>44645</v>
      </c>
      <c r="C2913" t="s">
        <v>8318</v>
      </c>
      <c r="D2913">
        <v>13900</v>
      </c>
      <c r="G2913" s="8" t="s">
        <v>1379</v>
      </c>
      <c r="H2913" t="s">
        <v>1336</v>
      </c>
    </row>
    <row r="2914" spans="1:8" hidden="1">
      <c r="A2914" s="232">
        <v>44646</v>
      </c>
      <c r="C2914" t="s">
        <v>8319</v>
      </c>
      <c r="D2914">
        <v>259</v>
      </c>
      <c r="H2914" t="s">
        <v>1336</v>
      </c>
    </row>
    <row r="2915" spans="1:8" hidden="1">
      <c r="A2915" s="232">
        <v>44646</v>
      </c>
      <c r="C2915" t="s">
        <v>8320</v>
      </c>
      <c r="D2915"/>
      <c r="E2915">
        <v>500000</v>
      </c>
      <c r="G2915" s="8" t="s">
        <v>1384</v>
      </c>
      <c r="H2915" t="s">
        <v>1336</v>
      </c>
    </row>
    <row r="2916" spans="1:8" hidden="1">
      <c r="A2916" s="232">
        <v>44646</v>
      </c>
      <c r="C2916" t="s">
        <v>8321</v>
      </c>
      <c r="D2916"/>
      <c r="E2916">
        <v>3</v>
      </c>
      <c r="H2916" t="s">
        <v>1336</v>
      </c>
    </row>
    <row r="2917" spans="1:8" hidden="1">
      <c r="A2917" s="232">
        <v>44646</v>
      </c>
      <c r="C2917" t="s">
        <v>8322</v>
      </c>
      <c r="D2917">
        <v>16800</v>
      </c>
      <c r="H2917" t="s">
        <v>1336</v>
      </c>
    </row>
    <row r="2918" spans="1:8" hidden="1">
      <c r="A2918" s="232">
        <v>44648</v>
      </c>
      <c r="C2918" t="s">
        <v>8323</v>
      </c>
      <c r="D2918">
        <v>825</v>
      </c>
      <c r="H2918" t="s">
        <v>1336</v>
      </c>
    </row>
    <row r="2919" spans="1:8" hidden="1">
      <c r="A2919" s="232">
        <v>44648</v>
      </c>
      <c r="C2919" t="s">
        <v>8324</v>
      </c>
      <c r="D2919">
        <v>4.0199999999999996</v>
      </c>
      <c r="H2919" t="s">
        <v>1336</v>
      </c>
    </row>
    <row r="2920" spans="1:8" hidden="1">
      <c r="A2920" s="232">
        <v>44650</v>
      </c>
      <c r="C2920" t="s">
        <v>8325</v>
      </c>
      <c r="D2920">
        <v>330</v>
      </c>
      <c r="H2920" t="s">
        <v>1336</v>
      </c>
    </row>
    <row r="2921" spans="1:8" hidden="1">
      <c r="A2921" s="232">
        <v>44650</v>
      </c>
      <c r="C2921" t="s">
        <v>8326</v>
      </c>
      <c r="D2921">
        <v>138</v>
      </c>
      <c r="H2921" t="s">
        <v>1336</v>
      </c>
    </row>
    <row r="2922" spans="1:8" hidden="1">
      <c r="A2922" s="232">
        <v>44651</v>
      </c>
      <c r="C2922" t="s">
        <v>8327</v>
      </c>
      <c r="D2922">
        <v>240</v>
      </c>
      <c r="H2922" t="s">
        <v>1336</v>
      </c>
    </row>
    <row r="2923" spans="1:8" hidden="1">
      <c r="A2923" s="232">
        <v>44651</v>
      </c>
      <c r="C2923" t="s">
        <v>8328</v>
      </c>
      <c r="D2923" s="69">
        <v>10250</v>
      </c>
      <c r="G2923" s="8" t="s">
        <v>1372</v>
      </c>
      <c r="H2923" t="s">
        <v>1336</v>
      </c>
    </row>
    <row r="2924" spans="1:8" hidden="1">
      <c r="A2924" s="232">
        <v>44652</v>
      </c>
      <c r="C2924" t="s">
        <v>4256</v>
      </c>
      <c r="D2924"/>
      <c r="E2924">
        <v>14475</v>
      </c>
      <c r="G2924" s="8" t="s">
        <v>1368</v>
      </c>
      <c r="H2924" t="s">
        <v>1336</v>
      </c>
    </row>
    <row r="2925" spans="1:8" hidden="1">
      <c r="A2925" s="232">
        <v>44296</v>
      </c>
      <c r="C2925" t="s">
        <v>8329</v>
      </c>
      <c r="D2925">
        <v>1200</v>
      </c>
      <c r="E2925">
        <v>0</v>
      </c>
    </row>
    <row r="2926" spans="1:8" hidden="1">
      <c r="A2926" s="232">
        <v>44296</v>
      </c>
      <c r="C2926" t="s">
        <v>6062</v>
      </c>
      <c r="D2926">
        <v>3507</v>
      </c>
      <c r="E2926">
        <v>0</v>
      </c>
      <c r="G2926" s="8" t="s">
        <v>1379</v>
      </c>
    </row>
    <row r="2927" spans="1:8" hidden="1">
      <c r="A2927" s="232">
        <v>44296</v>
      </c>
      <c r="C2927" t="s">
        <v>6406</v>
      </c>
      <c r="D2927">
        <v>3500</v>
      </c>
      <c r="E2927">
        <v>0</v>
      </c>
      <c r="G2927" s="8" t="s">
        <v>1379</v>
      </c>
    </row>
    <row r="2928" spans="1:8" hidden="1">
      <c r="A2928" s="232">
        <v>44387</v>
      </c>
      <c r="C2928" t="s">
        <v>8330</v>
      </c>
      <c r="D2928">
        <v>0</v>
      </c>
      <c r="E2928">
        <v>9772.36</v>
      </c>
      <c r="G2928" s="8" t="s">
        <v>1375</v>
      </c>
    </row>
    <row r="2929" spans="1:9" hidden="1">
      <c r="A2929" s="232">
        <v>44471</v>
      </c>
      <c r="C2929" t="s">
        <v>6062</v>
      </c>
      <c r="D2929">
        <v>13910</v>
      </c>
      <c r="E2929">
        <v>0</v>
      </c>
      <c r="G2929" s="8" t="s">
        <v>1379</v>
      </c>
    </row>
    <row r="2930" spans="1:9" hidden="1">
      <c r="A2930" s="232">
        <v>44490</v>
      </c>
      <c r="C2930" t="s">
        <v>8331</v>
      </c>
      <c r="D2930">
        <v>41667</v>
      </c>
      <c r="E2930">
        <v>0</v>
      </c>
      <c r="G2930" s="8" t="s">
        <v>1381</v>
      </c>
    </row>
    <row r="2931" spans="1:9" hidden="1">
      <c r="A2931" s="232">
        <v>44497</v>
      </c>
      <c r="C2931" t="s">
        <v>8332</v>
      </c>
      <c r="D2931">
        <v>25000</v>
      </c>
      <c r="E2931">
        <v>0</v>
      </c>
      <c r="G2931" s="8" t="s">
        <v>1381</v>
      </c>
    </row>
    <row r="2932" spans="1:9" hidden="1">
      <c r="A2932" s="232">
        <v>44266</v>
      </c>
      <c r="C2932" t="s">
        <v>6062</v>
      </c>
      <c r="D2932">
        <v>3507</v>
      </c>
      <c r="E2932">
        <v>0</v>
      </c>
      <c r="G2932" s="8" t="s">
        <v>1379</v>
      </c>
    </row>
    <row r="2933" spans="1:9" hidden="1">
      <c r="A2933" s="232">
        <v>44266</v>
      </c>
      <c r="C2933" t="s">
        <v>6406</v>
      </c>
      <c r="D2933">
        <v>3500</v>
      </c>
      <c r="E2933">
        <v>0</v>
      </c>
      <c r="G2933" s="8" t="s">
        <v>1379</v>
      </c>
    </row>
    <row r="2934" spans="1:9" hidden="1">
      <c r="A2934" s="232">
        <v>44297</v>
      </c>
      <c r="C2934" t="s">
        <v>8333</v>
      </c>
      <c r="D2934">
        <v>1400</v>
      </c>
      <c r="E2934">
        <v>0</v>
      </c>
    </row>
    <row r="2935" spans="1:9" hidden="1">
      <c r="A2935" s="232">
        <v>44450</v>
      </c>
      <c r="C2935" t="s">
        <v>8334</v>
      </c>
      <c r="D2935">
        <v>0</v>
      </c>
      <c r="E2935">
        <v>9772.36</v>
      </c>
      <c r="G2935" s="8" t="s">
        <v>1375</v>
      </c>
    </row>
    <row r="2936" spans="1:9" hidden="1">
      <c r="A2936" s="232">
        <v>44520</v>
      </c>
      <c r="C2936" t="s">
        <v>8335</v>
      </c>
      <c r="D2936">
        <v>0</v>
      </c>
      <c r="E2936">
        <v>171657</v>
      </c>
      <c r="G2936" s="8" t="s">
        <v>1379</v>
      </c>
    </row>
    <row r="2937" spans="1:9" hidden="1">
      <c r="A2937" s="232">
        <v>44522</v>
      </c>
      <c r="C2937" t="s">
        <v>8336</v>
      </c>
      <c r="D2937">
        <v>41667</v>
      </c>
      <c r="E2937">
        <v>0</v>
      </c>
      <c r="G2937" s="8" t="s">
        <v>1381</v>
      </c>
    </row>
    <row r="2938" spans="1:9" hidden="1">
      <c r="A2938" s="232">
        <v>44526</v>
      </c>
      <c r="C2938" t="s">
        <v>8337</v>
      </c>
      <c r="D2938">
        <v>0</v>
      </c>
      <c r="E2938">
        <v>26910</v>
      </c>
    </row>
    <row r="2939" spans="1:9" hidden="1">
      <c r="A2939" s="232">
        <v>44529</v>
      </c>
      <c r="C2939" s="8" t="s">
        <v>8338</v>
      </c>
      <c r="D2939" s="8">
        <v>706.82</v>
      </c>
      <c r="E2939">
        <v>0</v>
      </c>
      <c r="I2939" s="232" t="s">
        <v>8339</v>
      </c>
    </row>
    <row r="2940" spans="1:9" hidden="1">
      <c r="A2940" s="232">
        <v>44529</v>
      </c>
      <c r="C2940" t="s">
        <v>8340</v>
      </c>
      <c r="D2940">
        <v>25000</v>
      </c>
      <c r="E2940">
        <v>0</v>
      </c>
      <c r="G2940" s="8" t="s">
        <v>1381</v>
      </c>
    </row>
    <row r="2941" spans="1:9" hidden="1">
      <c r="A2941" s="232">
        <v>44267</v>
      </c>
      <c r="C2941" t="s">
        <v>6062</v>
      </c>
      <c r="D2941">
        <v>3507</v>
      </c>
      <c r="E2941">
        <v>0</v>
      </c>
      <c r="G2941" s="8" t="s">
        <v>1379</v>
      </c>
    </row>
    <row r="2942" spans="1:9" hidden="1">
      <c r="A2942" s="232">
        <v>44267</v>
      </c>
      <c r="C2942" t="s">
        <v>6406</v>
      </c>
      <c r="D2942">
        <v>3500</v>
      </c>
      <c r="E2942">
        <v>0</v>
      </c>
      <c r="G2942" s="8" t="s">
        <v>1379</v>
      </c>
    </row>
    <row r="2943" spans="1:9" hidden="1">
      <c r="A2943" s="232">
        <v>44389</v>
      </c>
      <c r="C2943" t="s">
        <v>8341</v>
      </c>
      <c r="D2943">
        <v>0</v>
      </c>
      <c r="E2943" s="8">
        <v>107.82</v>
      </c>
      <c r="I2943" s="232" t="s">
        <v>8342</v>
      </c>
    </row>
    <row r="2944" spans="1:9" hidden="1">
      <c r="A2944" s="232">
        <v>44389</v>
      </c>
      <c r="C2944" t="s">
        <v>8343</v>
      </c>
      <c r="D2944">
        <v>0</v>
      </c>
      <c r="E2944" s="8">
        <v>599</v>
      </c>
    </row>
    <row r="2945" spans="1:7" hidden="1">
      <c r="A2945" s="232">
        <v>44389</v>
      </c>
      <c r="C2945" t="s">
        <v>8344</v>
      </c>
      <c r="D2945">
        <v>0</v>
      </c>
      <c r="E2945">
        <v>9772.36</v>
      </c>
      <c r="G2945" s="8" t="s">
        <v>1375</v>
      </c>
    </row>
    <row r="2946" spans="1:7" hidden="1">
      <c r="A2946" s="232">
        <v>44481</v>
      </c>
      <c r="C2946" t="s">
        <v>8345</v>
      </c>
      <c r="D2946">
        <v>7500</v>
      </c>
      <c r="E2946">
        <v>0</v>
      </c>
    </row>
    <row r="2947" spans="1:7" hidden="1">
      <c r="A2947" s="232">
        <v>44481</v>
      </c>
      <c r="C2947" t="s">
        <v>8345</v>
      </c>
      <c r="D2947">
        <v>7500</v>
      </c>
      <c r="E2947">
        <v>0</v>
      </c>
    </row>
    <row r="2948" spans="1:7" hidden="1">
      <c r="A2948" s="232">
        <v>44551</v>
      </c>
      <c r="C2948" t="s">
        <v>8346</v>
      </c>
      <c r="D2948">
        <v>41667</v>
      </c>
      <c r="E2948">
        <v>0</v>
      </c>
      <c r="G2948" s="8" t="s">
        <v>1381</v>
      </c>
    </row>
    <row r="2949" spans="1:7" hidden="1">
      <c r="A2949" s="232">
        <v>44558</v>
      </c>
      <c r="C2949" t="s">
        <v>8347</v>
      </c>
      <c r="D2949">
        <v>25000</v>
      </c>
      <c r="E2949">
        <v>0</v>
      </c>
      <c r="G2949" s="8" t="s">
        <v>1381</v>
      </c>
    </row>
    <row r="2950" spans="1:7" hidden="1">
      <c r="A2950" s="232">
        <v>44561</v>
      </c>
      <c r="C2950" t="s">
        <v>8348</v>
      </c>
      <c r="D2950">
        <v>0</v>
      </c>
      <c r="E2950">
        <v>15141</v>
      </c>
      <c r="G2950" s="8" t="s">
        <v>1368</v>
      </c>
    </row>
    <row r="2951" spans="1:7" hidden="1">
      <c r="A2951" s="232">
        <v>44564</v>
      </c>
      <c r="C2951" t="s">
        <v>6062</v>
      </c>
      <c r="D2951">
        <v>3507</v>
      </c>
      <c r="E2951">
        <v>0</v>
      </c>
      <c r="G2951" s="8" t="s">
        <v>1379</v>
      </c>
    </row>
    <row r="2952" spans="1:7" hidden="1">
      <c r="A2952" s="232">
        <v>44564</v>
      </c>
      <c r="C2952" t="s">
        <v>6406</v>
      </c>
      <c r="D2952">
        <v>3500</v>
      </c>
      <c r="E2952">
        <v>0</v>
      </c>
      <c r="G2952" s="8" t="s">
        <v>1379</v>
      </c>
    </row>
    <row r="2953" spans="1:7" hidden="1">
      <c r="A2953" s="232">
        <v>44568</v>
      </c>
      <c r="C2953" t="s">
        <v>8349</v>
      </c>
      <c r="D2953">
        <v>0</v>
      </c>
      <c r="E2953">
        <v>9772.36</v>
      </c>
      <c r="G2953" s="8" t="s">
        <v>1375</v>
      </c>
    </row>
    <row r="2954" spans="1:7" hidden="1">
      <c r="A2954" s="232">
        <v>44574</v>
      </c>
      <c r="C2954" t="s">
        <v>8350</v>
      </c>
      <c r="D2954">
        <v>1700</v>
      </c>
      <c r="E2954">
        <v>0</v>
      </c>
    </row>
    <row r="2955" spans="1:7" hidden="1">
      <c r="A2955" s="232">
        <v>44582</v>
      </c>
      <c r="C2955" t="s">
        <v>8351</v>
      </c>
      <c r="D2955">
        <v>41667</v>
      </c>
      <c r="E2955">
        <v>0</v>
      </c>
      <c r="G2955" s="8" t="s">
        <v>1381</v>
      </c>
    </row>
    <row r="2956" spans="1:7" hidden="1">
      <c r="A2956" s="232">
        <v>44589</v>
      </c>
      <c r="C2956" t="s">
        <v>8352</v>
      </c>
      <c r="D2956">
        <v>25000</v>
      </c>
      <c r="E2956">
        <v>0</v>
      </c>
      <c r="G2956" s="8" t="s">
        <v>1381</v>
      </c>
    </row>
    <row r="2957" spans="1:7" hidden="1">
      <c r="A2957" s="232">
        <v>44595</v>
      </c>
      <c r="C2957" t="s">
        <v>6062</v>
      </c>
      <c r="D2957">
        <v>3507</v>
      </c>
      <c r="E2957">
        <v>0</v>
      </c>
      <c r="G2957" s="8" t="s">
        <v>1379</v>
      </c>
    </row>
    <row r="2958" spans="1:7" hidden="1">
      <c r="A2958" s="232">
        <v>44595</v>
      </c>
      <c r="C2958" t="s">
        <v>6406</v>
      </c>
      <c r="D2958">
        <v>3500</v>
      </c>
      <c r="E2958">
        <v>0</v>
      </c>
      <c r="G2958" s="8" t="s">
        <v>1379</v>
      </c>
    </row>
    <row r="2959" spans="1:7" hidden="1">
      <c r="A2959" s="232">
        <v>44599</v>
      </c>
      <c r="C2959" t="s">
        <v>8353</v>
      </c>
      <c r="D2959">
        <v>0</v>
      </c>
      <c r="E2959">
        <v>2500</v>
      </c>
    </row>
    <row r="2960" spans="1:7" hidden="1">
      <c r="A2960" s="232">
        <v>44600</v>
      </c>
      <c r="C2960" t="s">
        <v>8354</v>
      </c>
      <c r="D2960">
        <v>59138</v>
      </c>
      <c r="E2960">
        <v>0</v>
      </c>
      <c r="G2960" s="8" t="s">
        <v>1370</v>
      </c>
    </row>
    <row r="2961" spans="1:8" hidden="1">
      <c r="A2961" s="232">
        <v>44601</v>
      </c>
      <c r="C2961" t="s">
        <v>8355</v>
      </c>
      <c r="D2961">
        <v>0</v>
      </c>
      <c r="E2961">
        <v>9772.36</v>
      </c>
      <c r="G2961" s="8" t="s">
        <v>1375</v>
      </c>
    </row>
    <row r="2962" spans="1:8" hidden="1">
      <c r="A2962" s="232">
        <v>44613</v>
      </c>
      <c r="C2962" t="s">
        <v>8356</v>
      </c>
      <c r="D2962">
        <v>41667</v>
      </c>
      <c r="E2962">
        <v>0</v>
      </c>
      <c r="G2962" s="8" t="s">
        <v>1381</v>
      </c>
    </row>
    <row r="2963" spans="1:8" hidden="1">
      <c r="A2963" s="232">
        <v>44620</v>
      </c>
      <c r="C2963" t="s">
        <v>8357</v>
      </c>
      <c r="D2963">
        <v>25000</v>
      </c>
      <c r="E2963">
        <v>0</v>
      </c>
      <c r="G2963" s="8" t="s">
        <v>1381</v>
      </c>
    </row>
    <row r="2964" spans="1:8" hidden="1">
      <c r="A2964" s="232">
        <v>44623</v>
      </c>
      <c r="C2964" t="s">
        <v>6062</v>
      </c>
      <c r="D2964">
        <v>3507</v>
      </c>
      <c r="E2964">
        <v>0</v>
      </c>
      <c r="G2964" s="8" t="s">
        <v>1379</v>
      </c>
    </row>
    <row r="2965" spans="1:8" hidden="1">
      <c r="A2965" s="232">
        <v>44623</v>
      </c>
      <c r="C2965" t="s">
        <v>6406</v>
      </c>
      <c r="D2965">
        <v>3500</v>
      </c>
      <c r="E2965">
        <v>0</v>
      </c>
      <c r="G2965" s="8" t="s">
        <v>1379</v>
      </c>
    </row>
    <row r="2966" spans="1:8" hidden="1">
      <c r="A2966" s="232">
        <v>44629</v>
      </c>
      <c r="C2966" t="s">
        <v>8358</v>
      </c>
      <c r="D2966">
        <v>0</v>
      </c>
      <c r="E2966">
        <v>9772.36</v>
      </c>
      <c r="G2966" s="8" t="s">
        <v>1375</v>
      </c>
    </row>
    <row r="2967" spans="1:8" hidden="1">
      <c r="A2967" s="232">
        <v>44634</v>
      </c>
      <c r="C2967" t="s">
        <v>8359</v>
      </c>
      <c r="D2967">
        <v>140</v>
      </c>
      <c r="E2967">
        <v>0</v>
      </c>
    </row>
    <row r="2968" spans="1:8" hidden="1">
      <c r="A2968" s="232">
        <v>44636</v>
      </c>
      <c r="C2968" t="s">
        <v>8360</v>
      </c>
      <c r="D2968">
        <v>0</v>
      </c>
      <c r="E2968">
        <v>8819</v>
      </c>
      <c r="G2968" s="8" t="s">
        <v>1369</v>
      </c>
    </row>
    <row r="2969" spans="1:8" hidden="1">
      <c r="A2969" s="232">
        <v>44641</v>
      </c>
      <c r="C2969" t="s">
        <v>8361</v>
      </c>
      <c r="D2969">
        <v>41667</v>
      </c>
      <c r="E2969">
        <v>0</v>
      </c>
      <c r="G2969" s="8" t="s">
        <v>1381</v>
      </c>
    </row>
    <row r="2970" spans="1:8" hidden="1">
      <c r="A2970" s="232">
        <v>44648</v>
      </c>
      <c r="C2970" t="s">
        <v>8362</v>
      </c>
      <c r="D2970">
        <v>25000</v>
      </c>
      <c r="E2970">
        <v>0</v>
      </c>
      <c r="G2970" s="8" t="s">
        <v>1381</v>
      </c>
    </row>
    <row r="2971" spans="1:8" hidden="1">
      <c r="A2971" s="232">
        <v>44650</v>
      </c>
      <c r="C2971" t="s">
        <v>8363</v>
      </c>
      <c r="D2971">
        <v>0</v>
      </c>
      <c r="E2971">
        <v>13839</v>
      </c>
      <c r="G2971" s="8" t="s">
        <v>1368</v>
      </c>
    </row>
    <row r="2972" spans="1:8" hidden="1">
      <c r="A2972" s="233">
        <v>44653</v>
      </c>
      <c r="B2972" s="226" t="s">
        <v>4124</v>
      </c>
      <c r="C2972" s="226" t="s">
        <v>8364</v>
      </c>
      <c r="D2972" s="227">
        <v>652.41</v>
      </c>
      <c r="E2972" s="227">
        <v>0</v>
      </c>
      <c r="H2972" t="s">
        <v>1050</v>
      </c>
    </row>
    <row r="2973" spans="1:8" hidden="1">
      <c r="A2973" s="233">
        <v>44655</v>
      </c>
      <c r="B2973" s="226" t="s">
        <v>4124</v>
      </c>
      <c r="C2973" s="226" t="s">
        <v>8365</v>
      </c>
      <c r="D2973" s="227">
        <v>0</v>
      </c>
      <c r="E2973" s="227">
        <v>54132</v>
      </c>
      <c r="G2973" s="8" t="s">
        <v>1379</v>
      </c>
      <c r="H2973" t="s">
        <v>1050</v>
      </c>
    </row>
    <row r="2974" spans="1:8" hidden="1">
      <c r="A2974" s="233">
        <v>44655</v>
      </c>
      <c r="B2974" s="226" t="s">
        <v>4124</v>
      </c>
      <c r="C2974" s="226" t="s">
        <v>6431</v>
      </c>
      <c r="D2974" s="227">
        <v>3507</v>
      </c>
      <c r="E2974" s="227">
        <v>0</v>
      </c>
      <c r="G2974" s="8" t="s">
        <v>1379</v>
      </c>
      <c r="H2974" t="s">
        <v>1050</v>
      </c>
    </row>
    <row r="2975" spans="1:8" hidden="1">
      <c r="A2975" s="233">
        <v>44655</v>
      </c>
      <c r="B2975" s="226" t="s">
        <v>4124</v>
      </c>
      <c r="C2975" s="226" t="s">
        <v>6433</v>
      </c>
      <c r="D2975" s="227">
        <v>150000</v>
      </c>
      <c r="E2975" s="227">
        <v>0</v>
      </c>
      <c r="G2975" s="8" t="s">
        <v>1378</v>
      </c>
      <c r="H2975" t="s">
        <v>1050</v>
      </c>
    </row>
    <row r="2976" spans="1:8" hidden="1">
      <c r="A2976" s="233">
        <v>44659</v>
      </c>
      <c r="B2976" s="226" t="s">
        <v>4124</v>
      </c>
      <c r="C2976" s="226" t="s">
        <v>8366</v>
      </c>
      <c r="D2976" s="227">
        <v>0</v>
      </c>
      <c r="E2976" s="227">
        <v>9772.36</v>
      </c>
      <c r="G2976" s="8" t="s">
        <v>1375</v>
      </c>
      <c r="H2976" t="s">
        <v>1050</v>
      </c>
    </row>
    <row r="2977" spans="1:8" hidden="1">
      <c r="A2977" s="233">
        <v>44672</v>
      </c>
      <c r="B2977" s="226" t="s">
        <v>4124</v>
      </c>
      <c r="C2977" s="226" t="s">
        <v>8367</v>
      </c>
      <c r="D2977" s="227">
        <v>702132.38</v>
      </c>
      <c r="E2977" s="227">
        <v>0</v>
      </c>
      <c r="G2977" s="8" t="s">
        <v>1370</v>
      </c>
      <c r="H2977" t="s">
        <v>1050</v>
      </c>
    </row>
    <row r="2978" spans="1:8" hidden="1">
      <c r="A2978" s="233">
        <v>44672</v>
      </c>
      <c r="B2978" s="226" t="s">
        <v>4124</v>
      </c>
      <c r="C2978" s="226" t="s">
        <v>8368</v>
      </c>
      <c r="D2978" s="227">
        <v>0</v>
      </c>
      <c r="E2978" s="227">
        <v>100000</v>
      </c>
      <c r="G2978" s="8" t="s">
        <v>1363</v>
      </c>
      <c r="H2978" t="s">
        <v>1050</v>
      </c>
    </row>
    <row r="2979" spans="1:8" hidden="1">
      <c r="A2979" s="233">
        <v>44672</v>
      </c>
      <c r="B2979" s="226" t="s">
        <v>4124</v>
      </c>
      <c r="C2979" s="226" t="s">
        <v>8369</v>
      </c>
      <c r="D2979" s="227">
        <v>351</v>
      </c>
      <c r="E2979" s="227">
        <v>0</v>
      </c>
      <c r="H2979" t="s">
        <v>1050</v>
      </c>
    </row>
    <row r="2980" spans="1:8" hidden="1">
      <c r="A2980" s="233">
        <v>44672</v>
      </c>
      <c r="B2980" s="226" t="s">
        <v>4124</v>
      </c>
      <c r="C2980" s="226" t="s">
        <v>8370</v>
      </c>
      <c r="D2980" s="227">
        <v>41667</v>
      </c>
      <c r="E2980" s="227">
        <v>0</v>
      </c>
      <c r="G2980" s="8" t="s">
        <v>1381</v>
      </c>
      <c r="H2980" t="s">
        <v>1050</v>
      </c>
    </row>
    <row r="2981" spans="1:8" hidden="1">
      <c r="A2981" s="233">
        <v>44673</v>
      </c>
      <c r="B2981" s="226" t="s">
        <v>4124</v>
      </c>
      <c r="C2981" s="226" t="s">
        <v>8371</v>
      </c>
      <c r="D2981" s="227">
        <v>0</v>
      </c>
      <c r="E2981" s="227">
        <v>100000</v>
      </c>
      <c r="G2981" s="8" t="s">
        <v>1363</v>
      </c>
      <c r="H2981" t="s">
        <v>1050</v>
      </c>
    </row>
    <row r="2982" spans="1:8" hidden="1">
      <c r="A2982" s="233">
        <v>44673</v>
      </c>
      <c r="B2982" s="226" t="s">
        <v>4124</v>
      </c>
      <c r="C2982" s="226" t="s">
        <v>8372</v>
      </c>
      <c r="D2982" s="227">
        <v>204</v>
      </c>
      <c r="E2982" s="227">
        <v>0</v>
      </c>
      <c r="H2982" t="s">
        <v>1050</v>
      </c>
    </row>
    <row r="2983" spans="1:8" hidden="1">
      <c r="A2983" s="233">
        <v>44678</v>
      </c>
      <c r="B2983" s="226" t="s">
        <v>4124</v>
      </c>
      <c r="C2983" s="226" t="s">
        <v>8373</v>
      </c>
      <c r="D2983" s="227">
        <v>830</v>
      </c>
      <c r="E2983" s="227">
        <v>0</v>
      </c>
      <c r="H2983" t="s">
        <v>1050</v>
      </c>
    </row>
    <row r="2984" spans="1:8" hidden="1">
      <c r="A2984" s="233">
        <v>44679</v>
      </c>
      <c r="B2984" s="226" t="s">
        <v>4124</v>
      </c>
      <c r="C2984" s="226" t="s">
        <v>8374</v>
      </c>
      <c r="D2984" s="227">
        <v>0</v>
      </c>
      <c r="E2984" s="227">
        <v>100000</v>
      </c>
      <c r="G2984" s="8" t="s">
        <v>1363</v>
      </c>
      <c r="H2984" t="s">
        <v>1050</v>
      </c>
    </row>
    <row r="2985" spans="1:8" hidden="1">
      <c r="A2985" s="233">
        <v>44679</v>
      </c>
      <c r="B2985" s="226" t="s">
        <v>4124</v>
      </c>
      <c r="C2985" s="226" t="s">
        <v>8375</v>
      </c>
      <c r="D2985" s="227">
        <v>25000</v>
      </c>
      <c r="E2985" s="227">
        <v>0</v>
      </c>
      <c r="G2985" s="8" t="s">
        <v>1381</v>
      </c>
      <c r="H2985" t="s">
        <v>1050</v>
      </c>
    </row>
    <row r="2986" spans="1:8" hidden="1">
      <c r="A2986" s="233">
        <v>44683</v>
      </c>
      <c r="B2986" s="226" t="s">
        <v>4124</v>
      </c>
      <c r="C2986" s="226" t="s">
        <v>8376</v>
      </c>
      <c r="D2986" s="227">
        <v>0</v>
      </c>
      <c r="E2986" s="227">
        <v>3</v>
      </c>
      <c r="H2986" t="s">
        <v>1050</v>
      </c>
    </row>
    <row r="2987" spans="1:8" hidden="1">
      <c r="A2987" s="233">
        <v>44684</v>
      </c>
      <c r="B2987" s="226" t="s">
        <v>4124</v>
      </c>
      <c r="C2987" s="226" t="s">
        <v>8377</v>
      </c>
      <c r="D2987" s="227">
        <v>0</v>
      </c>
      <c r="E2987" s="227">
        <v>57142</v>
      </c>
      <c r="H2987" t="s">
        <v>1050</v>
      </c>
    </row>
    <row r="2988" spans="1:8" hidden="1">
      <c r="A2988" s="233">
        <v>44685</v>
      </c>
      <c r="B2988" s="226" t="s">
        <v>4124</v>
      </c>
      <c r="C2988" s="226" t="s">
        <v>8378</v>
      </c>
      <c r="D2988" s="227">
        <v>0</v>
      </c>
      <c r="E2988" s="227">
        <v>54292</v>
      </c>
      <c r="G2988" s="8" t="s">
        <v>1379</v>
      </c>
      <c r="H2988" t="s">
        <v>1050</v>
      </c>
    </row>
    <row r="2989" spans="1:8" hidden="1">
      <c r="A2989" s="233">
        <v>44687</v>
      </c>
      <c r="B2989" s="226" t="s">
        <v>4124</v>
      </c>
      <c r="C2989" s="226" t="s">
        <v>8379</v>
      </c>
      <c r="D2989" s="227">
        <v>25000</v>
      </c>
      <c r="E2989" s="227">
        <v>0</v>
      </c>
      <c r="G2989" s="8" t="s">
        <v>1381</v>
      </c>
      <c r="H2989" t="s">
        <v>1050</v>
      </c>
    </row>
    <row r="2990" spans="1:8" hidden="1">
      <c r="A2990" s="233">
        <v>44687</v>
      </c>
      <c r="B2990" s="226" t="s">
        <v>4124</v>
      </c>
      <c r="C2990" s="226" t="s">
        <v>8380</v>
      </c>
      <c r="D2990" s="227">
        <v>5001</v>
      </c>
      <c r="E2990" s="227">
        <v>0</v>
      </c>
      <c r="G2990" s="8" t="s">
        <v>1379</v>
      </c>
      <c r="H2990" t="s">
        <v>1050</v>
      </c>
    </row>
    <row r="2991" spans="1:8" hidden="1">
      <c r="A2991" s="233">
        <v>44691</v>
      </c>
      <c r="B2991" s="226" t="s">
        <v>4124</v>
      </c>
      <c r="C2991" s="226" t="s">
        <v>8381</v>
      </c>
      <c r="D2991" s="227">
        <v>0</v>
      </c>
      <c r="E2991" s="227">
        <v>9772.36</v>
      </c>
      <c r="G2991" s="8" t="s">
        <v>1375</v>
      </c>
      <c r="H2991" t="s">
        <v>1050</v>
      </c>
    </row>
    <row r="2992" spans="1:8" hidden="1">
      <c r="A2992" s="233">
        <v>44702</v>
      </c>
      <c r="B2992" s="226" t="s">
        <v>4124</v>
      </c>
      <c r="C2992" s="226" t="s">
        <v>8382</v>
      </c>
      <c r="D2992" s="227">
        <v>41667</v>
      </c>
      <c r="E2992" s="227">
        <v>0</v>
      </c>
      <c r="G2992" s="8" t="s">
        <v>1381</v>
      </c>
      <c r="H2992" t="s">
        <v>1050</v>
      </c>
    </row>
    <row r="2993" spans="1:8" hidden="1">
      <c r="A2993" s="233">
        <v>44711</v>
      </c>
      <c r="B2993" s="226" t="s">
        <v>4124</v>
      </c>
      <c r="C2993" s="226" t="s">
        <v>8383</v>
      </c>
      <c r="D2993" s="227">
        <v>0</v>
      </c>
      <c r="E2993" s="227">
        <v>1</v>
      </c>
      <c r="H2993" t="s">
        <v>1050</v>
      </c>
    </row>
    <row r="2994" spans="1:8" hidden="1">
      <c r="A2994" s="233">
        <v>44711</v>
      </c>
      <c r="B2994" s="226" t="s">
        <v>4124</v>
      </c>
      <c r="C2994" s="226" t="s">
        <v>8384</v>
      </c>
      <c r="D2994" s="227">
        <v>25000</v>
      </c>
      <c r="E2994" s="227">
        <v>0</v>
      </c>
      <c r="G2994" s="8" t="s">
        <v>1381</v>
      </c>
      <c r="H2994" t="s">
        <v>1050</v>
      </c>
    </row>
    <row r="2995" spans="1:8" hidden="1">
      <c r="A2995" s="233">
        <v>44713</v>
      </c>
      <c r="B2995" s="226" t="s">
        <v>4124</v>
      </c>
      <c r="C2995" s="226" t="s">
        <v>6431</v>
      </c>
      <c r="D2995" s="227">
        <v>5001</v>
      </c>
      <c r="E2995" s="227">
        <v>0</v>
      </c>
      <c r="G2995" s="8" t="s">
        <v>1379</v>
      </c>
      <c r="H2995" t="s">
        <v>1050</v>
      </c>
    </row>
    <row r="2996" spans="1:8" hidden="1">
      <c r="A2996" s="233">
        <v>44715</v>
      </c>
      <c r="B2996" s="226" t="s">
        <v>4124</v>
      </c>
      <c r="C2996" s="226" t="s">
        <v>8385</v>
      </c>
      <c r="D2996" s="227">
        <v>0</v>
      </c>
      <c r="E2996" s="227">
        <v>671385</v>
      </c>
      <c r="G2996" s="8" t="s">
        <v>1375</v>
      </c>
      <c r="H2996" t="s">
        <v>1050</v>
      </c>
    </row>
    <row r="2997" spans="1:8" hidden="1">
      <c r="A2997" s="233">
        <v>44719</v>
      </c>
      <c r="B2997" s="226" t="s">
        <v>4124</v>
      </c>
      <c r="C2997" s="226" t="s">
        <v>8386</v>
      </c>
      <c r="D2997" s="227">
        <v>0</v>
      </c>
      <c r="E2997" s="227">
        <v>9772.36</v>
      </c>
      <c r="G2997" s="8" t="s">
        <v>1375</v>
      </c>
      <c r="H2997" t="s">
        <v>1050</v>
      </c>
    </row>
    <row r="2998" spans="1:8" hidden="1">
      <c r="A2998" s="233">
        <v>44733</v>
      </c>
      <c r="B2998" s="226" t="s">
        <v>4124</v>
      </c>
      <c r="C2998" s="226" t="s">
        <v>8387</v>
      </c>
      <c r="D2998" s="227">
        <v>41667</v>
      </c>
      <c r="E2998" s="227">
        <v>0</v>
      </c>
      <c r="G2998" s="8" t="s">
        <v>1381</v>
      </c>
      <c r="H2998" t="s">
        <v>1050</v>
      </c>
    </row>
    <row r="2999" spans="1:8" hidden="1">
      <c r="A2999" s="233">
        <v>44740</v>
      </c>
      <c r="B2999" s="226" t="s">
        <v>4124</v>
      </c>
      <c r="C2999" s="226" t="s">
        <v>8388</v>
      </c>
      <c r="D2999" s="227">
        <v>25000</v>
      </c>
      <c r="E2999" s="227">
        <v>0</v>
      </c>
      <c r="G2999" s="8" t="s">
        <v>1381</v>
      </c>
      <c r="H2999" t="s">
        <v>1050</v>
      </c>
    </row>
    <row r="3000" spans="1:8" hidden="1">
      <c r="A3000" s="233">
        <v>44742</v>
      </c>
      <c r="B3000" s="226" t="s">
        <v>4124</v>
      </c>
      <c r="C3000" s="226" t="s">
        <v>8389</v>
      </c>
      <c r="D3000" s="227">
        <v>0</v>
      </c>
      <c r="E3000" s="227">
        <v>11693</v>
      </c>
      <c r="G3000" s="8" t="s">
        <v>1368</v>
      </c>
      <c r="H3000" t="s">
        <v>1050</v>
      </c>
    </row>
    <row r="3001" spans="1:8" hidden="1">
      <c r="A3001" s="233">
        <v>44743</v>
      </c>
      <c r="B3001" s="226" t="s">
        <v>4124</v>
      </c>
      <c r="C3001" s="226" t="s">
        <v>6431</v>
      </c>
      <c r="D3001" s="227">
        <v>5001</v>
      </c>
      <c r="E3001" s="227">
        <v>0</v>
      </c>
      <c r="G3001" s="8" t="s">
        <v>1379</v>
      </c>
      <c r="H3001" t="s">
        <v>1050</v>
      </c>
    </row>
    <row r="3002" spans="1:8" hidden="1">
      <c r="A3002" s="233">
        <v>44749</v>
      </c>
      <c r="B3002" s="226" t="s">
        <v>4124</v>
      </c>
      <c r="C3002" s="226" t="s">
        <v>8390</v>
      </c>
      <c r="D3002" s="227">
        <v>0</v>
      </c>
      <c r="E3002" s="227">
        <v>9772.36</v>
      </c>
      <c r="G3002" s="8" t="s">
        <v>1375</v>
      </c>
      <c r="H3002" t="s">
        <v>1050</v>
      </c>
    </row>
    <row r="3003" spans="1:8" hidden="1">
      <c r="A3003" s="233">
        <v>44763</v>
      </c>
      <c r="B3003" s="226" t="s">
        <v>4124</v>
      </c>
      <c r="C3003" s="226" t="s">
        <v>8391</v>
      </c>
      <c r="D3003" s="227">
        <v>41667</v>
      </c>
      <c r="E3003" s="227">
        <v>0</v>
      </c>
      <c r="G3003" s="8" t="s">
        <v>1381</v>
      </c>
      <c r="H3003" t="s">
        <v>1050</v>
      </c>
    </row>
    <row r="3004" spans="1:8" hidden="1">
      <c r="A3004" s="233">
        <v>44767</v>
      </c>
      <c r="B3004" s="226" t="s">
        <v>4124</v>
      </c>
      <c r="C3004" s="226" t="s">
        <v>8392</v>
      </c>
      <c r="D3004" s="227">
        <v>0</v>
      </c>
      <c r="E3004" s="227">
        <v>50000</v>
      </c>
      <c r="G3004" s="8" t="s">
        <v>1363</v>
      </c>
      <c r="H3004" t="s">
        <v>1050</v>
      </c>
    </row>
    <row r="3005" spans="1:8" hidden="1">
      <c r="A3005" s="233">
        <v>44768</v>
      </c>
      <c r="B3005" s="226" t="s">
        <v>4124</v>
      </c>
      <c r="C3005" s="226" t="s">
        <v>8393</v>
      </c>
      <c r="D3005" s="227">
        <v>50000</v>
      </c>
      <c r="E3005" s="227">
        <v>0</v>
      </c>
      <c r="G3005" s="8" t="s">
        <v>1363</v>
      </c>
      <c r="H3005" t="s">
        <v>1050</v>
      </c>
    </row>
    <row r="3006" spans="1:8" hidden="1">
      <c r="A3006" s="233">
        <v>44768</v>
      </c>
      <c r="B3006" s="226" t="s">
        <v>4124</v>
      </c>
      <c r="C3006" s="226" t="s">
        <v>8394</v>
      </c>
      <c r="D3006" s="227">
        <v>0</v>
      </c>
      <c r="E3006" s="227">
        <v>1000</v>
      </c>
      <c r="G3006" s="8" t="s">
        <v>1363</v>
      </c>
      <c r="H3006" t="s">
        <v>1050</v>
      </c>
    </row>
    <row r="3007" spans="1:8" hidden="1">
      <c r="A3007" s="233">
        <v>44769</v>
      </c>
      <c r="B3007" s="226" t="s">
        <v>4124</v>
      </c>
      <c r="C3007" s="226" t="s">
        <v>8395</v>
      </c>
      <c r="D3007" s="227">
        <v>0</v>
      </c>
      <c r="E3007" s="227">
        <v>25000</v>
      </c>
      <c r="G3007" s="8" t="s">
        <v>1363</v>
      </c>
      <c r="H3007" t="s">
        <v>1050</v>
      </c>
    </row>
    <row r="3008" spans="1:8" hidden="1">
      <c r="A3008" s="233">
        <v>44769</v>
      </c>
      <c r="B3008" s="226" t="s">
        <v>4124</v>
      </c>
      <c r="C3008" s="226" t="s">
        <v>8396</v>
      </c>
      <c r="D3008" s="227">
        <v>0</v>
      </c>
      <c r="E3008" s="227">
        <v>25000</v>
      </c>
      <c r="G3008" s="8" t="s">
        <v>1363</v>
      </c>
      <c r="H3008" t="s">
        <v>1050</v>
      </c>
    </row>
    <row r="3009" spans="1:8" hidden="1">
      <c r="A3009" s="233">
        <v>44769</v>
      </c>
      <c r="B3009" s="226" t="s">
        <v>4124</v>
      </c>
      <c r="C3009" s="226" t="s">
        <v>8397</v>
      </c>
      <c r="D3009" s="227">
        <v>0</v>
      </c>
      <c r="E3009" s="227">
        <v>25000</v>
      </c>
      <c r="G3009" s="8" t="s">
        <v>1363</v>
      </c>
      <c r="H3009" t="s">
        <v>1050</v>
      </c>
    </row>
    <row r="3010" spans="1:8" hidden="1">
      <c r="A3010" s="233">
        <v>44770</v>
      </c>
      <c r="B3010" s="226" t="s">
        <v>4124</v>
      </c>
      <c r="C3010" s="226" t="s">
        <v>8398</v>
      </c>
      <c r="D3010" s="227">
        <v>0</v>
      </c>
      <c r="E3010" s="227">
        <v>25000</v>
      </c>
      <c r="G3010" s="8" t="s">
        <v>1363</v>
      </c>
      <c r="H3010" t="s">
        <v>1050</v>
      </c>
    </row>
    <row r="3011" spans="1:8" hidden="1">
      <c r="A3011" s="233">
        <v>44770</v>
      </c>
      <c r="B3011" s="226" t="s">
        <v>4124</v>
      </c>
      <c r="C3011" s="226" t="s">
        <v>8399</v>
      </c>
      <c r="D3011" s="227">
        <v>25000</v>
      </c>
      <c r="E3011" s="227">
        <v>0</v>
      </c>
      <c r="G3011" s="8" t="s">
        <v>1381</v>
      </c>
      <c r="H3011" t="s">
        <v>1050</v>
      </c>
    </row>
    <row r="3012" spans="1:8" hidden="1">
      <c r="A3012" s="233">
        <v>44774</v>
      </c>
      <c r="B3012" s="226" t="s">
        <v>4124</v>
      </c>
      <c r="C3012" s="226" t="s">
        <v>8400</v>
      </c>
      <c r="D3012" s="227">
        <v>84</v>
      </c>
      <c r="E3012" s="227">
        <v>0</v>
      </c>
      <c r="H3012" t="s">
        <v>1050</v>
      </c>
    </row>
    <row r="3013" spans="1:8" hidden="1">
      <c r="A3013" s="233">
        <v>44774</v>
      </c>
      <c r="B3013" s="226" t="s">
        <v>4124</v>
      </c>
      <c r="C3013" s="226" t="s">
        <v>8401</v>
      </c>
      <c r="D3013" s="227">
        <v>0</v>
      </c>
      <c r="E3013" s="227">
        <v>2</v>
      </c>
      <c r="H3013" t="s">
        <v>1050</v>
      </c>
    </row>
    <row r="3014" spans="1:8" hidden="1">
      <c r="A3014" s="233">
        <v>44774</v>
      </c>
      <c r="B3014" s="226" t="s">
        <v>4124</v>
      </c>
      <c r="C3014" s="226" t="s">
        <v>8402</v>
      </c>
      <c r="D3014" s="227">
        <v>0</v>
      </c>
      <c r="E3014" s="227">
        <v>100000</v>
      </c>
      <c r="G3014" s="8" t="s">
        <v>1363</v>
      </c>
      <c r="H3014" t="s">
        <v>1050</v>
      </c>
    </row>
    <row r="3015" spans="1:8" hidden="1">
      <c r="A3015" s="233">
        <v>44774</v>
      </c>
      <c r="B3015" s="226" t="s">
        <v>4124</v>
      </c>
      <c r="C3015" s="226" t="s">
        <v>6431</v>
      </c>
      <c r="D3015" s="227">
        <v>5001</v>
      </c>
      <c r="E3015" s="227">
        <v>0</v>
      </c>
      <c r="G3015" s="8" t="s">
        <v>1379</v>
      </c>
      <c r="H3015" t="s">
        <v>1050</v>
      </c>
    </row>
    <row r="3016" spans="1:8" hidden="1">
      <c r="A3016" s="233">
        <v>44781</v>
      </c>
      <c r="B3016" s="226" t="s">
        <v>4124</v>
      </c>
      <c r="C3016" s="226" t="s">
        <v>8403</v>
      </c>
      <c r="D3016" s="227">
        <v>0</v>
      </c>
      <c r="E3016" s="227">
        <v>9772.36</v>
      </c>
      <c r="G3016" s="8" t="s">
        <v>1375</v>
      </c>
      <c r="H3016" t="s">
        <v>1050</v>
      </c>
    </row>
    <row r="3017" spans="1:8" hidden="1">
      <c r="A3017" s="233">
        <v>44795</v>
      </c>
      <c r="B3017" s="226" t="s">
        <v>4124</v>
      </c>
      <c r="C3017" s="226" t="s">
        <v>8404</v>
      </c>
      <c r="D3017" s="227">
        <v>41667</v>
      </c>
      <c r="E3017" s="227">
        <v>0</v>
      </c>
      <c r="G3017" s="8" t="s">
        <v>1381</v>
      </c>
      <c r="H3017" t="s">
        <v>1050</v>
      </c>
    </row>
    <row r="3018" spans="1:8" hidden="1">
      <c r="A3018" s="233">
        <v>44802</v>
      </c>
      <c r="B3018" s="226" t="s">
        <v>4124</v>
      </c>
      <c r="C3018" s="226" t="s">
        <v>8405</v>
      </c>
      <c r="D3018" s="227">
        <v>0</v>
      </c>
      <c r="E3018" s="227">
        <v>100000</v>
      </c>
      <c r="G3018" s="8" t="s">
        <v>1363</v>
      </c>
      <c r="H3018" t="s">
        <v>1050</v>
      </c>
    </row>
    <row r="3019" spans="1:8" hidden="1">
      <c r="A3019" s="233">
        <v>44802</v>
      </c>
      <c r="B3019" s="226" t="s">
        <v>4124</v>
      </c>
      <c r="C3019" s="226" t="s">
        <v>8406</v>
      </c>
      <c r="D3019" s="227">
        <v>25000</v>
      </c>
      <c r="E3019" s="227">
        <v>0</v>
      </c>
      <c r="G3019" s="8" t="s">
        <v>1381</v>
      </c>
      <c r="H3019" t="s">
        <v>1050</v>
      </c>
    </row>
    <row r="3020" spans="1:8" hidden="1">
      <c r="A3020" s="233">
        <v>44805</v>
      </c>
      <c r="B3020" s="226" t="s">
        <v>4124</v>
      </c>
      <c r="C3020" s="226" t="s">
        <v>6431</v>
      </c>
      <c r="D3020" s="227">
        <v>5001</v>
      </c>
      <c r="E3020" s="227">
        <v>0</v>
      </c>
      <c r="G3020" s="8" t="s">
        <v>1379</v>
      </c>
      <c r="H3020" t="s">
        <v>1050</v>
      </c>
    </row>
    <row r="3021" spans="1:8" hidden="1">
      <c r="A3021" s="233">
        <v>44813</v>
      </c>
      <c r="B3021" s="226" t="s">
        <v>4124</v>
      </c>
      <c r="C3021" s="226" t="s">
        <v>8407</v>
      </c>
      <c r="D3021" s="227">
        <v>0</v>
      </c>
      <c r="E3021" s="227">
        <v>9772.36</v>
      </c>
      <c r="G3021" s="8" t="s">
        <v>1375</v>
      </c>
      <c r="H3021" t="s">
        <v>1050</v>
      </c>
    </row>
    <row r="3022" spans="1:8" hidden="1">
      <c r="A3022" s="233">
        <v>44816</v>
      </c>
      <c r="B3022" s="226" t="s">
        <v>4124</v>
      </c>
      <c r="C3022" s="226" t="s">
        <v>6526</v>
      </c>
      <c r="D3022" s="227">
        <v>954</v>
      </c>
      <c r="E3022" s="227">
        <v>0</v>
      </c>
      <c r="G3022" s="8" t="s">
        <v>1362</v>
      </c>
      <c r="H3022" t="s">
        <v>1050</v>
      </c>
    </row>
    <row r="3023" spans="1:8" hidden="1">
      <c r="A3023" s="233">
        <v>44825</v>
      </c>
      <c r="B3023" s="226" t="s">
        <v>4124</v>
      </c>
      <c r="C3023" s="226" t="s">
        <v>8408</v>
      </c>
      <c r="D3023" s="227">
        <v>41667</v>
      </c>
      <c r="E3023" s="227">
        <v>0</v>
      </c>
      <c r="G3023" s="8" t="s">
        <v>1381</v>
      </c>
      <c r="H3023" t="s">
        <v>1050</v>
      </c>
    </row>
    <row r="3024" spans="1:8" hidden="1">
      <c r="A3024" s="233">
        <v>44827</v>
      </c>
      <c r="B3024" s="226" t="s">
        <v>4124</v>
      </c>
      <c r="C3024" s="226" t="s">
        <v>8409</v>
      </c>
      <c r="D3024" s="227">
        <v>0</v>
      </c>
      <c r="E3024" s="227">
        <v>100000</v>
      </c>
      <c r="G3024" s="8" t="s">
        <v>1363</v>
      </c>
      <c r="H3024" t="s">
        <v>1050</v>
      </c>
    </row>
    <row r="3025" spans="1:8" hidden="1">
      <c r="A3025" s="233">
        <v>44832</v>
      </c>
      <c r="B3025" s="226" t="s">
        <v>4124</v>
      </c>
      <c r="C3025" s="226" t="s">
        <v>8410</v>
      </c>
      <c r="D3025" s="227">
        <v>25000</v>
      </c>
      <c r="E3025" s="227">
        <v>0</v>
      </c>
      <c r="G3025" s="8" t="s">
        <v>1381</v>
      </c>
      <c r="H3025" t="s">
        <v>1050</v>
      </c>
    </row>
    <row r="3026" spans="1:8" hidden="1">
      <c r="A3026" s="233">
        <v>44834</v>
      </c>
      <c r="B3026" s="226" t="s">
        <v>4124</v>
      </c>
      <c r="C3026" s="226" t="s">
        <v>8411</v>
      </c>
      <c r="D3026" s="227">
        <v>0</v>
      </c>
      <c r="E3026" s="227">
        <v>14861</v>
      </c>
      <c r="G3026" s="8" t="s">
        <v>1368</v>
      </c>
      <c r="H3026" t="s">
        <v>1050</v>
      </c>
    </row>
    <row r="3027" spans="1:8" hidden="1">
      <c r="A3027" s="233">
        <v>44835</v>
      </c>
      <c r="B3027" s="226" t="s">
        <v>4124</v>
      </c>
      <c r="C3027" s="226" t="s">
        <v>6431</v>
      </c>
      <c r="D3027" s="227">
        <v>5001</v>
      </c>
      <c r="E3027" s="227">
        <v>0</v>
      </c>
      <c r="G3027" s="8" t="s">
        <v>1379</v>
      </c>
      <c r="H3027" t="s">
        <v>1050</v>
      </c>
    </row>
    <row r="3028" spans="1:8" hidden="1">
      <c r="A3028" s="233">
        <v>44844</v>
      </c>
      <c r="B3028" s="226" t="s">
        <v>4124</v>
      </c>
      <c r="C3028" s="226" t="s">
        <v>8412</v>
      </c>
      <c r="D3028" s="227">
        <v>0</v>
      </c>
      <c r="E3028" s="227">
        <v>9772.36</v>
      </c>
      <c r="G3028" s="8" t="s">
        <v>1375</v>
      </c>
      <c r="H3028" t="s">
        <v>1050</v>
      </c>
    </row>
    <row r="3029" spans="1:8" hidden="1">
      <c r="A3029" s="233">
        <v>44855</v>
      </c>
      <c r="B3029" s="226" t="s">
        <v>4124</v>
      </c>
      <c r="C3029" s="226" t="s">
        <v>8413</v>
      </c>
      <c r="D3029" s="227">
        <v>41667</v>
      </c>
      <c r="E3029" s="227">
        <v>0</v>
      </c>
      <c r="G3029" s="8" t="s">
        <v>1381</v>
      </c>
      <c r="H3029" t="s">
        <v>1050</v>
      </c>
    </row>
    <row r="3030" spans="1:8" hidden="1">
      <c r="A3030" s="233">
        <v>44861</v>
      </c>
      <c r="B3030" s="226" t="s">
        <v>4124</v>
      </c>
      <c r="C3030" s="226" t="s">
        <v>8414</v>
      </c>
      <c r="D3030" s="227">
        <v>0</v>
      </c>
      <c r="E3030" s="227">
        <v>100000</v>
      </c>
      <c r="G3030" s="8" t="s">
        <v>1363</v>
      </c>
      <c r="H3030" t="s">
        <v>1050</v>
      </c>
    </row>
    <row r="3031" spans="1:8" hidden="1">
      <c r="A3031" s="233">
        <v>44862</v>
      </c>
      <c r="B3031" s="226" t="s">
        <v>4124</v>
      </c>
      <c r="C3031" s="226" t="s">
        <v>8415</v>
      </c>
      <c r="D3031" s="227">
        <v>25000</v>
      </c>
      <c r="E3031" s="227">
        <v>0</v>
      </c>
      <c r="G3031" s="8" t="s">
        <v>1381</v>
      </c>
      <c r="H3031" t="s">
        <v>1050</v>
      </c>
    </row>
    <row r="3032" spans="1:8" hidden="1">
      <c r="A3032" s="233">
        <v>44866</v>
      </c>
      <c r="B3032" s="226" t="s">
        <v>4124</v>
      </c>
      <c r="C3032" s="226" t="s">
        <v>6431</v>
      </c>
      <c r="D3032" s="227">
        <v>5001</v>
      </c>
      <c r="E3032" s="227">
        <v>0</v>
      </c>
      <c r="G3032" s="8" t="s">
        <v>1379</v>
      </c>
      <c r="H3032" t="s">
        <v>1050</v>
      </c>
    </row>
    <row r="3033" spans="1:8" hidden="1">
      <c r="A3033" s="233">
        <v>44872</v>
      </c>
      <c r="B3033" s="226" t="s">
        <v>4124</v>
      </c>
      <c r="C3033" s="226" t="s">
        <v>8416</v>
      </c>
      <c r="D3033" s="227">
        <v>0</v>
      </c>
      <c r="E3033" s="227">
        <v>822</v>
      </c>
      <c r="H3033" t="s">
        <v>1050</v>
      </c>
    </row>
    <row r="3034" spans="1:8" hidden="1">
      <c r="A3034" s="233">
        <v>44872</v>
      </c>
      <c r="B3034" s="226" t="s">
        <v>4124</v>
      </c>
      <c r="C3034" s="226" t="s">
        <v>8417</v>
      </c>
      <c r="D3034" s="227">
        <v>0</v>
      </c>
      <c r="E3034" s="227">
        <v>9772.36</v>
      </c>
      <c r="G3034" s="8" t="s">
        <v>1375</v>
      </c>
      <c r="H3034" t="s">
        <v>1050</v>
      </c>
    </row>
    <row r="3035" spans="1:8" hidden="1">
      <c r="A3035" s="233">
        <v>44875</v>
      </c>
      <c r="B3035" s="226" t="s">
        <v>4124</v>
      </c>
      <c r="C3035" s="226" t="s">
        <v>6526</v>
      </c>
      <c r="D3035" s="227">
        <v>12006</v>
      </c>
      <c r="E3035" s="227">
        <v>0</v>
      </c>
      <c r="G3035" s="8" t="s">
        <v>1362</v>
      </c>
      <c r="H3035" t="s">
        <v>1050</v>
      </c>
    </row>
    <row r="3036" spans="1:8" hidden="1">
      <c r="A3036" s="233">
        <v>44875</v>
      </c>
      <c r="B3036" s="226" t="s">
        <v>4124</v>
      </c>
      <c r="C3036" s="226" t="s">
        <v>8418</v>
      </c>
      <c r="D3036" s="227">
        <v>100000</v>
      </c>
      <c r="E3036" s="227">
        <v>0</v>
      </c>
      <c r="G3036" s="8" t="s">
        <v>1379</v>
      </c>
      <c r="H3036" t="s">
        <v>1050</v>
      </c>
    </row>
    <row r="3037" spans="1:8" hidden="1">
      <c r="A3037" s="233">
        <v>44886</v>
      </c>
      <c r="B3037" s="226" t="s">
        <v>4124</v>
      </c>
      <c r="C3037" s="226" t="s">
        <v>8419</v>
      </c>
      <c r="D3037" s="227">
        <v>41667</v>
      </c>
      <c r="E3037" s="227">
        <v>0</v>
      </c>
      <c r="G3037" s="8" t="s">
        <v>1381</v>
      </c>
      <c r="H3037" t="s">
        <v>1050</v>
      </c>
    </row>
    <row r="3038" spans="1:8" hidden="1">
      <c r="A3038" s="233">
        <v>44890</v>
      </c>
      <c r="B3038" s="226" t="s">
        <v>4124</v>
      </c>
      <c r="C3038" s="226" t="s">
        <v>8420</v>
      </c>
      <c r="D3038" s="227">
        <v>0</v>
      </c>
      <c r="E3038" s="227">
        <v>100000</v>
      </c>
      <c r="G3038" s="8" t="s">
        <v>1363</v>
      </c>
      <c r="H3038" t="s">
        <v>1050</v>
      </c>
    </row>
    <row r="3039" spans="1:8" hidden="1">
      <c r="A3039" s="233">
        <v>44893</v>
      </c>
      <c r="B3039" s="226" t="s">
        <v>4124</v>
      </c>
      <c r="C3039" s="226" t="s">
        <v>8421</v>
      </c>
      <c r="D3039" s="227">
        <v>25000</v>
      </c>
      <c r="E3039" s="227">
        <v>0</v>
      </c>
      <c r="G3039" s="8" t="s">
        <v>1381</v>
      </c>
      <c r="H3039" t="s">
        <v>1050</v>
      </c>
    </row>
    <row r="3040" spans="1:8" hidden="1">
      <c r="A3040" s="265">
        <v>44652</v>
      </c>
      <c r="C3040" s="238" t="s">
        <v>8422</v>
      </c>
      <c r="D3040" s="238">
        <v>2000</v>
      </c>
      <c r="E3040" s="238"/>
      <c r="H3040" t="s">
        <v>1336</v>
      </c>
    </row>
    <row r="3041" spans="1:8" hidden="1">
      <c r="A3041" s="265">
        <v>44652</v>
      </c>
      <c r="C3041" s="238" t="s">
        <v>8423</v>
      </c>
      <c r="D3041" s="238">
        <v>5000</v>
      </c>
      <c r="E3041" s="238"/>
      <c r="H3041" t="s">
        <v>1336</v>
      </c>
    </row>
    <row r="3042" spans="1:8" hidden="1">
      <c r="A3042" s="265">
        <v>44652</v>
      </c>
      <c r="C3042" s="238" t="s">
        <v>8424</v>
      </c>
      <c r="D3042" s="238"/>
      <c r="E3042" s="238">
        <v>3</v>
      </c>
      <c r="H3042" t="s">
        <v>1336</v>
      </c>
    </row>
    <row r="3043" spans="1:8" hidden="1">
      <c r="A3043" s="265">
        <v>44652</v>
      </c>
      <c r="C3043" s="238" t="s">
        <v>8425</v>
      </c>
      <c r="D3043" s="238"/>
      <c r="E3043" s="238">
        <v>3</v>
      </c>
      <c r="H3043" t="s">
        <v>1336</v>
      </c>
    </row>
    <row r="3044" spans="1:8" hidden="1">
      <c r="A3044" s="265">
        <v>44652</v>
      </c>
      <c r="C3044" s="238" t="s">
        <v>8426</v>
      </c>
      <c r="D3044" s="238">
        <v>20000</v>
      </c>
      <c r="E3044" s="238"/>
      <c r="G3044" s="8" t="s">
        <v>1358</v>
      </c>
      <c r="H3044" t="s">
        <v>1336</v>
      </c>
    </row>
    <row r="3045" spans="1:8" hidden="1">
      <c r="A3045" s="265">
        <v>44652</v>
      </c>
      <c r="C3045" s="238" t="s">
        <v>8427</v>
      </c>
      <c r="D3045" s="238">
        <v>2211</v>
      </c>
      <c r="E3045" s="238"/>
      <c r="H3045" t="s">
        <v>1336</v>
      </c>
    </row>
    <row r="3046" spans="1:8" hidden="1">
      <c r="A3046" s="265">
        <v>44652</v>
      </c>
      <c r="C3046" s="238" t="s">
        <v>8428</v>
      </c>
      <c r="D3046" s="238">
        <v>700</v>
      </c>
      <c r="E3046" s="238"/>
      <c r="H3046" t="s">
        <v>1336</v>
      </c>
    </row>
    <row r="3047" spans="1:8" hidden="1">
      <c r="A3047" s="265">
        <v>44653</v>
      </c>
      <c r="C3047" s="238" t="s">
        <v>8429</v>
      </c>
      <c r="D3047" s="238">
        <v>50</v>
      </c>
      <c r="E3047" s="238"/>
      <c r="H3047" t="s">
        <v>1336</v>
      </c>
    </row>
    <row r="3048" spans="1:8" hidden="1">
      <c r="A3048" s="265">
        <v>44654</v>
      </c>
      <c r="C3048" s="238" t="s">
        <v>8430</v>
      </c>
      <c r="D3048" s="238">
        <v>1750</v>
      </c>
      <c r="E3048" s="238"/>
      <c r="H3048" t="s">
        <v>1336</v>
      </c>
    </row>
    <row r="3049" spans="1:8" hidden="1">
      <c r="A3049" s="265">
        <v>44655</v>
      </c>
      <c r="C3049" s="238" t="s">
        <v>8431</v>
      </c>
      <c r="D3049" s="238">
        <v>168</v>
      </c>
      <c r="E3049" s="238"/>
      <c r="H3049" t="s">
        <v>1336</v>
      </c>
    </row>
    <row r="3050" spans="1:8" hidden="1">
      <c r="A3050" s="265">
        <v>44655</v>
      </c>
      <c r="C3050" s="238" t="s">
        <v>8432</v>
      </c>
      <c r="D3050" s="238"/>
      <c r="E3050" s="238">
        <v>3</v>
      </c>
      <c r="H3050" t="s">
        <v>1336</v>
      </c>
    </row>
    <row r="3051" spans="1:8" hidden="1">
      <c r="A3051" s="265">
        <v>44655</v>
      </c>
      <c r="C3051" s="238" t="s">
        <v>8433</v>
      </c>
      <c r="D3051" s="238">
        <v>710.4</v>
      </c>
      <c r="E3051" s="238"/>
      <c r="H3051" t="s">
        <v>1336</v>
      </c>
    </row>
    <row r="3052" spans="1:8" hidden="1">
      <c r="A3052" s="265">
        <v>44656</v>
      </c>
      <c r="C3052" s="238" t="s">
        <v>6583</v>
      </c>
      <c r="D3052" s="238">
        <v>120228</v>
      </c>
      <c r="E3052" s="238"/>
      <c r="G3052" s="8" t="s">
        <v>1362</v>
      </c>
      <c r="H3052" t="s">
        <v>1336</v>
      </c>
    </row>
    <row r="3053" spans="1:8" hidden="1">
      <c r="A3053" s="265">
        <v>44656</v>
      </c>
      <c r="C3053" s="238" t="s">
        <v>8434</v>
      </c>
      <c r="D3053" s="238"/>
      <c r="E3053" s="238">
        <v>2.6</v>
      </c>
      <c r="H3053" t="s">
        <v>1336</v>
      </c>
    </row>
    <row r="3054" spans="1:8" hidden="1">
      <c r="A3054" s="265">
        <v>44657</v>
      </c>
      <c r="C3054" s="238" t="s">
        <v>8435</v>
      </c>
      <c r="D3054" s="238"/>
      <c r="E3054" s="238">
        <v>4.0199999999999996</v>
      </c>
      <c r="H3054" t="s">
        <v>1336</v>
      </c>
    </row>
    <row r="3055" spans="1:8" hidden="1">
      <c r="A3055" s="265">
        <v>44658</v>
      </c>
      <c r="C3055" s="238" t="s">
        <v>8436</v>
      </c>
      <c r="D3055" s="324">
        <v>10250</v>
      </c>
      <c r="E3055" s="238"/>
      <c r="G3055" s="8" t="s">
        <v>1372</v>
      </c>
      <c r="H3055" t="s">
        <v>1336</v>
      </c>
    </row>
    <row r="3056" spans="1:8" hidden="1">
      <c r="A3056" s="265">
        <v>44658</v>
      </c>
      <c r="C3056" s="238" t="s">
        <v>8437</v>
      </c>
      <c r="D3056" s="238">
        <v>1268.5</v>
      </c>
      <c r="E3056" s="238"/>
      <c r="H3056" t="s">
        <v>1336</v>
      </c>
    </row>
    <row r="3057" spans="1:8" hidden="1">
      <c r="A3057" s="265">
        <v>44658</v>
      </c>
      <c r="C3057" s="238" t="s">
        <v>8438</v>
      </c>
      <c r="D3057" s="238">
        <v>488.28</v>
      </c>
      <c r="E3057" s="238"/>
      <c r="H3057" t="s">
        <v>1336</v>
      </c>
    </row>
    <row r="3058" spans="1:8" hidden="1">
      <c r="A3058" s="265">
        <v>44658</v>
      </c>
      <c r="C3058" s="238" t="s">
        <v>8439</v>
      </c>
      <c r="D3058" s="238">
        <v>674.34</v>
      </c>
      <c r="E3058" s="238"/>
      <c r="H3058" t="s">
        <v>1336</v>
      </c>
    </row>
    <row r="3059" spans="1:8" hidden="1">
      <c r="A3059" s="265">
        <v>44659</v>
      </c>
      <c r="C3059" s="238" t="s">
        <v>8440</v>
      </c>
      <c r="D3059" s="238">
        <v>400</v>
      </c>
      <c r="E3059" s="238"/>
      <c r="H3059" t="s">
        <v>1336</v>
      </c>
    </row>
    <row r="3060" spans="1:8" hidden="1">
      <c r="A3060" s="265">
        <v>44663</v>
      </c>
      <c r="C3060" s="238" t="s">
        <v>8441</v>
      </c>
      <c r="D3060" s="238">
        <v>440</v>
      </c>
      <c r="E3060" s="238"/>
      <c r="H3060" t="s">
        <v>1336</v>
      </c>
    </row>
    <row r="3061" spans="1:8" hidden="1">
      <c r="A3061" s="265">
        <v>44663</v>
      </c>
      <c r="C3061" s="238" t="s">
        <v>8442</v>
      </c>
      <c r="D3061" s="238">
        <v>656</v>
      </c>
      <c r="E3061" s="238"/>
      <c r="H3061" t="s">
        <v>1336</v>
      </c>
    </row>
    <row r="3062" spans="1:8" hidden="1">
      <c r="A3062" s="265">
        <v>44664</v>
      </c>
      <c r="C3062" s="238" t="s">
        <v>8443</v>
      </c>
      <c r="D3062" s="238">
        <v>449.56</v>
      </c>
      <c r="E3062" s="238"/>
      <c r="H3062" t="s">
        <v>1336</v>
      </c>
    </row>
    <row r="3063" spans="1:8" hidden="1">
      <c r="A3063" s="265">
        <v>44664</v>
      </c>
      <c r="C3063" s="238" t="s">
        <v>8444</v>
      </c>
      <c r="D3063" s="238">
        <v>224.78</v>
      </c>
      <c r="E3063" s="238"/>
      <c r="H3063" t="s">
        <v>1336</v>
      </c>
    </row>
    <row r="3064" spans="1:8" hidden="1">
      <c r="A3064" s="265">
        <v>44664</v>
      </c>
      <c r="C3064" s="238" t="s">
        <v>8445</v>
      </c>
      <c r="D3064" s="324">
        <v>10250</v>
      </c>
      <c r="E3064" s="238"/>
      <c r="G3064" s="8" t="s">
        <v>1372</v>
      </c>
      <c r="H3064" t="s">
        <v>1336</v>
      </c>
    </row>
    <row r="3065" spans="1:8" hidden="1">
      <c r="A3065" s="265">
        <v>44665</v>
      </c>
      <c r="C3065" s="238" t="s">
        <v>8446</v>
      </c>
      <c r="D3065" s="238">
        <v>40</v>
      </c>
      <c r="E3065" s="238"/>
      <c r="H3065" t="s">
        <v>1336</v>
      </c>
    </row>
    <row r="3066" spans="1:8" hidden="1">
      <c r="A3066" s="265">
        <v>44665</v>
      </c>
      <c r="C3066" s="238" t="s">
        <v>8447</v>
      </c>
      <c r="D3066" s="238">
        <v>447.2</v>
      </c>
      <c r="E3066" s="238"/>
      <c r="H3066" t="s">
        <v>1336</v>
      </c>
    </row>
    <row r="3067" spans="1:8" hidden="1">
      <c r="A3067" s="265">
        <v>44666</v>
      </c>
      <c r="C3067" s="238" t="s">
        <v>8448</v>
      </c>
      <c r="D3067" s="238"/>
      <c r="E3067" s="238">
        <v>18240</v>
      </c>
      <c r="H3067" t="s">
        <v>1336</v>
      </c>
    </row>
    <row r="3068" spans="1:8" hidden="1">
      <c r="A3068" s="265">
        <v>44669</v>
      </c>
      <c r="C3068" s="238" t="s">
        <v>8449</v>
      </c>
      <c r="D3068" s="238">
        <v>182</v>
      </c>
      <c r="E3068" s="238"/>
      <c r="H3068" t="s">
        <v>1336</v>
      </c>
    </row>
    <row r="3069" spans="1:8" hidden="1">
      <c r="A3069" s="265">
        <v>44669</v>
      </c>
      <c r="C3069" s="238" t="s">
        <v>8450</v>
      </c>
      <c r="D3069" s="238">
        <v>153</v>
      </c>
      <c r="E3069" s="238"/>
      <c r="H3069" t="s">
        <v>1336</v>
      </c>
    </row>
    <row r="3070" spans="1:8" hidden="1">
      <c r="A3070" s="265">
        <v>44669</v>
      </c>
      <c r="C3070" s="238" t="s">
        <v>8451</v>
      </c>
      <c r="D3070" s="238">
        <v>652</v>
      </c>
      <c r="E3070" s="238"/>
      <c r="H3070" t="s">
        <v>1336</v>
      </c>
    </row>
    <row r="3071" spans="1:8" hidden="1">
      <c r="A3071" s="265">
        <v>44670</v>
      </c>
      <c r="C3071" s="238" t="s">
        <v>8452</v>
      </c>
      <c r="D3071" s="238">
        <v>322.77999999999997</v>
      </c>
      <c r="E3071" s="238"/>
      <c r="H3071" t="s">
        <v>1336</v>
      </c>
    </row>
    <row r="3072" spans="1:8" hidden="1">
      <c r="A3072" s="265">
        <v>44672</v>
      </c>
      <c r="C3072" s="238" t="s">
        <v>8453</v>
      </c>
      <c r="D3072" s="238">
        <v>100000</v>
      </c>
      <c r="E3072" s="238"/>
      <c r="G3072" s="8" t="s">
        <v>1363</v>
      </c>
      <c r="H3072" t="s">
        <v>1336</v>
      </c>
    </row>
    <row r="3073" spans="1:8" hidden="1">
      <c r="A3073" s="265">
        <v>44672</v>
      </c>
      <c r="C3073" s="238" t="s">
        <v>8454</v>
      </c>
      <c r="D3073" s="324">
        <v>10250</v>
      </c>
      <c r="E3073" s="238"/>
      <c r="G3073" s="8" t="s">
        <v>1372</v>
      </c>
      <c r="H3073" t="s">
        <v>1336</v>
      </c>
    </row>
    <row r="3074" spans="1:8" hidden="1">
      <c r="A3074" s="265">
        <v>44673</v>
      </c>
      <c r="C3074" s="238" t="s">
        <v>8455</v>
      </c>
      <c r="D3074" s="238">
        <v>100000</v>
      </c>
      <c r="E3074" s="238"/>
      <c r="G3074" s="8" t="s">
        <v>1363</v>
      </c>
      <c r="H3074" t="s">
        <v>1336</v>
      </c>
    </row>
    <row r="3075" spans="1:8" hidden="1">
      <c r="A3075" s="265">
        <v>44674</v>
      </c>
      <c r="C3075" s="238" t="s">
        <v>8456</v>
      </c>
      <c r="D3075" s="238">
        <v>16230</v>
      </c>
      <c r="E3075" s="238"/>
      <c r="G3075" s="8" t="s">
        <v>1379</v>
      </c>
      <c r="H3075" t="s">
        <v>1336</v>
      </c>
    </row>
    <row r="3076" spans="1:8" hidden="1">
      <c r="A3076" s="265">
        <v>44674</v>
      </c>
      <c r="C3076" s="238" t="s">
        <v>8457</v>
      </c>
      <c r="D3076" s="238">
        <v>1983.22</v>
      </c>
      <c r="E3076" s="238"/>
      <c r="H3076" t="s">
        <v>1336</v>
      </c>
    </row>
    <row r="3077" spans="1:8" hidden="1">
      <c r="A3077" s="265">
        <v>44675</v>
      </c>
      <c r="C3077" s="238" t="s">
        <v>8458</v>
      </c>
      <c r="D3077" s="238">
        <v>450</v>
      </c>
      <c r="E3077" s="238"/>
      <c r="H3077" t="s">
        <v>1336</v>
      </c>
    </row>
    <row r="3078" spans="1:8" hidden="1">
      <c r="A3078" s="265">
        <v>44677</v>
      </c>
      <c r="C3078" s="238" t="s">
        <v>8459</v>
      </c>
      <c r="D3078" s="238">
        <v>13900</v>
      </c>
      <c r="E3078" s="238"/>
      <c r="G3078" s="8" t="s">
        <v>1379</v>
      </c>
      <c r="H3078" t="s">
        <v>1336</v>
      </c>
    </row>
    <row r="3079" spans="1:8" hidden="1">
      <c r="A3079" s="265">
        <v>44677</v>
      </c>
      <c r="C3079" s="238" t="s">
        <v>8460</v>
      </c>
      <c r="D3079" s="238">
        <v>3621</v>
      </c>
      <c r="E3079" s="238"/>
      <c r="H3079" t="s">
        <v>1336</v>
      </c>
    </row>
    <row r="3080" spans="1:8" hidden="1">
      <c r="A3080" s="265">
        <v>44678</v>
      </c>
      <c r="C3080" s="238" t="s">
        <v>8461</v>
      </c>
      <c r="D3080" s="238"/>
      <c r="E3080" s="238">
        <v>150000</v>
      </c>
      <c r="G3080" s="8" t="s">
        <v>8462</v>
      </c>
      <c r="H3080" t="s">
        <v>1336</v>
      </c>
    </row>
    <row r="3081" spans="1:8" hidden="1">
      <c r="A3081" s="265">
        <v>44679</v>
      </c>
      <c r="C3081" s="238" t="s">
        <v>8463</v>
      </c>
      <c r="D3081" s="324">
        <v>10250</v>
      </c>
      <c r="E3081" s="238"/>
      <c r="G3081" s="8" t="s">
        <v>1372</v>
      </c>
      <c r="H3081" t="s">
        <v>1336</v>
      </c>
    </row>
    <row r="3082" spans="1:8" hidden="1">
      <c r="A3082" s="265">
        <v>44679</v>
      </c>
      <c r="C3082" s="238" t="s">
        <v>8464</v>
      </c>
      <c r="D3082" s="238">
        <v>100000</v>
      </c>
      <c r="E3082" s="238"/>
      <c r="G3082" s="8" t="s">
        <v>1363</v>
      </c>
      <c r="H3082" t="s">
        <v>1336</v>
      </c>
    </row>
    <row r="3083" spans="1:8" hidden="1">
      <c r="A3083" s="265">
        <v>44681</v>
      </c>
      <c r="C3083" s="238" t="s">
        <v>8465</v>
      </c>
      <c r="D3083" s="238">
        <v>2211</v>
      </c>
      <c r="E3083" s="238"/>
      <c r="H3083" t="s">
        <v>1336</v>
      </c>
    </row>
    <row r="3084" spans="1:8" hidden="1">
      <c r="A3084" s="265">
        <v>44683</v>
      </c>
      <c r="C3084" s="238" t="s">
        <v>8466</v>
      </c>
      <c r="D3084" s="238">
        <v>747</v>
      </c>
      <c r="E3084" s="238"/>
      <c r="H3084" t="s">
        <v>1336</v>
      </c>
    </row>
    <row r="3085" spans="1:8" hidden="1">
      <c r="A3085" s="265">
        <v>44683</v>
      </c>
      <c r="C3085" s="238" t="s">
        <v>8467</v>
      </c>
      <c r="D3085" s="238">
        <v>200</v>
      </c>
      <c r="E3085" s="238"/>
      <c r="H3085" t="s">
        <v>1336</v>
      </c>
    </row>
    <row r="3086" spans="1:8" hidden="1">
      <c r="A3086" s="265">
        <v>44683</v>
      </c>
      <c r="C3086" s="238" t="s">
        <v>8468</v>
      </c>
      <c r="D3086" s="238">
        <v>40</v>
      </c>
      <c r="E3086" s="238"/>
      <c r="H3086" t="s">
        <v>1336</v>
      </c>
    </row>
    <row r="3087" spans="1:8" hidden="1">
      <c r="A3087" s="265">
        <v>44684</v>
      </c>
      <c r="C3087" s="238" t="s">
        <v>8469</v>
      </c>
      <c r="D3087" s="238">
        <v>5000</v>
      </c>
      <c r="E3087" s="238"/>
      <c r="H3087" t="s">
        <v>1336</v>
      </c>
    </row>
    <row r="3088" spans="1:8" hidden="1">
      <c r="A3088" s="265">
        <v>44684</v>
      </c>
      <c r="C3088" s="238" t="s">
        <v>8470</v>
      </c>
      <c r="D3088" s="238">
        <v>2000</v>
      </c>
      <c r="E3088" s="238"/>
      <c r="H3088" t="s">
        <v>1336</v>
      </c>
    </row>
    <row r="3089" spans="1:8" hidden="1">
      <c r="A3089" s="265">
        <v>44684</v>
      </c>
      <c r="C3089" s="238" t="s">
        <v>8471</v>
      </c>
      <c r="D3089" s="238">
        <v>20000</v>
      </c>
      <c r="E3089" s="238"/>
      <c r="G3089" s="8" t="s">
        <v>1358</v>
      </c>
      <c r="H3089" t="s">
        <v>1336</v>
      </c>
    </row>
    <row r="3090" spans="1:8" hidden="1">
      <c r="A3090" s="265">
        <v>44687</v>
      </c>
      <c r="C3090" s="238" t="s">
        <v>6583</v>
      </c>
      <c r="D3090" s="238">
        <v>31731</v>
      </c>
      <c r="E3090" s="238"/>
      <c r="G3090" s="8" t="s">
        <v>1362</v>
      </c>
      <c r="H3090" t="s">
        <v>1336</v>
      </c>
    </row>
    <row r="3091" spans="1:8" hidden="1">
      <c r="A3091" s="265">
        <v>44687</v>
      </c>
      <c r="C3091" s="238" t="s">
        <v>8472</v>
      </c>
      <c r="D3091" s="324">
        <v>10250</v>
      </c>
      <c r="E3091" s="238"/>
      <c r="G3091" s="8" t="s">
        <v>1372</v>
      </c>
      <c r="H3091" t="s">
        <v>1336</v>
      </c>
    </row>
    <row r="3092" spans="1:8" hidden="1">
      <c r="A3092" s="265">
        <v>44688</v>
      </c>
      <c r="C3092" s="238" t="s">
        <v>8473</v>
      </c>
      <c r="D3092" s="238">
        <v>514.5</v>
      </c>
      <c r="E3092" s="238"/>
      <c r="H3092" t="s">
        <v>1336</v>
      </c>
    </row>
    <row r="3093" spans="1:8" hidden="1">
      <c r="A3093" s="265">
        <v>44688</v>
      </c>
      <c r="C3093" s="238" t="s">
        <v>8474</v>
      </c>
      <c r="D3093" s="238">
        <v>439</v>
      </c>
      <c r="E3093" s="238"/>
      <c r="H3093" t="s">
        <v>1336</v>
      </c>
    </row>
    <row r="3094" spans="1:8" hidden="1">
      <c r="A3094" s="265">
        <v>44688</v>
      </c>
      <c r="C3094" s="238" t="s">
        <v>8475</v>
      </c>
      <c r="D3094" s="238">
        <v>750</v>
      </c>
      <c r="E3094" s="238"/>
      <c r="H3094" t="s">
        <v>1336</v>
      </c>
    </row>
    <row r="3095" spans="1:8" hidden="1">
      <c r="A3095" s="265">
        <v>44689</v>
      </c>
      <c r="C3095" s="238" t="s">
        <v>8476</v>
      </c>
      <c r="D3095" s="238"/>
      <c r="E3095" s="238">
        <v>3</v>
      </c>
      <c r="H3095" t="s">
        <v>1336</v>
      </c>
    </row>
    <row r="3096" spans="1:8" hidden="1">
      <c r="A3096" s="265">
        <v>44690</v>
      </c>
      <c r="C3096" s="238" t="s">
        <v>8477</v>
      </c>
      <c r="D3096" s="238">
        <v>227516</v>
      </c>
      <c r="E3096" s="238"/>
      <c r="H3096" t="s">
        <v>1336</v>
      </c>
    </row>
    <row r="3097" spans="1:8" hidden="1">
      <c r="A3097" s="265">
        <v>44692</v>
      </c>
      <c r="C3097" s="238" t="s">
        <v>8478</v>
      </c>
      <c r="D3097" s="238"/>
      <c r="E3097" s="238">
        <v>32600</v>
      </c>
      <c r="H3097" t="s">
        <v>1336</v>
      </c>
    </row>
    <row r="3098" spans="1:8" hidden="1">
      <c r="A3098" s="265">
        <v>44692</v>
      </c>
      <c r="C3098" s="238" t="s">
        <v>8479</v>
      </c>
      <c r="D3098" s="238">
        <v>32600</v>
      </c>
      <c r="E3098" s="238"/>
      <c r="H3098" t="s">
        <v>1336</v>
      </c>
    </row>
    <row r="3099" spans="1:8" hidden="1">
      <c r="A3099" s="265">
        <v>44692</v>
      </c>
      <c r="C3099" s="238" t="s">
        <v>8480</v>
      </c>
      <c r="D3099" s="238">
        <v>984.12</v>
      </c>
      <c r="E3099" s="238"/>
      <c r="H3099" t="s">
        <v>1336</v>
      </c>
    </row>
    <row r="3100" spans="1:8" hidden="1">
      <c r="A3100" s="265">
        <v>44692</v>
      </c>
      <c r="C3100" s="238" t="s">
        <v>8481</v>
      </c>
      <c r="D3100" s="238">
        <v>900</v>
      </c>
      <c r="E3100" s="238"/>
      <c r="H3100" t="s">
        <v>1336</v>
      </c>
    </row>
    <row r="3101" spans="1:8" hidden="1">
      <c r="A3101" s="265">
        <v>44693</v>
      </c>
      <c r="C3101" s="238" t="s">
        <v>8482</v>
      </c>
      <c r="D3101" s="324">
        <v>10250</v>
      </c>
      <c r="E3101" s="238"/>
      <c r="G3101" s="8" t="s">
        <v>1372</v>
      </c>
      <c r="H3101" t="s">
        <v>1336</v>
      </c>
    </row>
    <row r="3102" spans="1:8" hidden="1">
      <c r="A3102" s="265">
        <v>44693</v>
      </c>
      <c r="C3102" s="238" t="s">
        <v>8483</v>
      </c>
      <c r="D3102" s="238">
        <v>1800</v>
      </c>
      <c r="E3102" s="238"/>
      <c r="H3102" t="s">
        <v>1336</v>
      </c>
    </row>
    <row r="3103" spans="1:8" hidden="1">
      <c r="A3103" s="265">
        <v>44697</v>
      </c>
      <c r="C3103" s="238" t="s">
        <v>8484</v>
      </c>
      <c r="D3103" s="238">
        <v>3922.99</v>
      </c>
      <c r="E3103" s="238"/>
      <c r="H3103" t="s">
        <v>1336</v>
      </c>
    </row>
    <row r="3104" spans="1:8" hidden="1">
      <c r="A3104" s="265">
        <v>44697</v>
      </c>
      <c r="C3104" s="238" t="s">
        <v>8485</v>
      </c>
      <c r="D3104" s="238">
        <v>561.15</v>
      </c>
      <c r="E3104" s="238"/>
      <c r="H3104" t="s">
        <v>1336</v>
      </c>
    </row>
    <row r="3105" spans="1:8" hidden="1">
      <c r="A3105" s="265">
        <v>44697</v>
      </c>
      <c r="C3105" s="238" t="s">
        <v>8486</v>
      </c>
      <c r="D3105" s="238"/>
      <c r="E3105" s="238">
        <v>900</v>
      </c>
      <c r="H3105" t="s">
        <v>1336</v>
      </c>
    </row>
    <row r="3106" spans="1:8" hidden="1">
      <c r="A3106" s="265">
        <v>44697</v>
      </c>
      <c r="C3106" s="238" t="s">
        <v>8487</v>
      </c>
      <c r="D3106" s="238"/>
      <c r="E3106" s="238">
        <v>150</v>
      </c>
      <c r="H3106" t="s">
        <v>1336</v>
      </c>
    </row>
    <row r="3107" spans="1:8" hidden="1">
      <c r="A3107" s="265">
        <v>44698</v>
      </c>
      <c r="C3107" s="238" t="s">
        <v>8488</v>
      </c>
      <c r="D3107" s="238">
        <v>645</v>
      </c>
      <c r="E3107" s="238"/>
      <c r="H3107" t="s">
        <v>1336</v>
      </c>
    </row>
    <row r="3108" spans="1:8" hidden="1">
      <c r="A3108" s="265">
        <v>44699</v>
      </c>
      <c r="C3108" s="238" t="s">
        <v>8489</v>
      </c>
      <c r="D3108" s="238">
        <v>1414.53</v>
      </c>
      <c r="E3108" s="238"/>
      <c r="H3108" t="s">
        <v>1336</v>
      </c>
    </row>
    <row r="3109" spans="1:8" hidden="1">
      <c r="A3109" s="265">
        <v>44701</v>
      </c>
      <c r="C3109" s="238" t="s">
        <v>8490</v>
      </c>
      <c r="D3109" s="238">
        <v>245417</v>
      </c>
      <c r="E3109" s="238"/>
      <c r="G3109" s="8" t="s">
        <v>1370</v>
      </c>
      <c r="H3109" t="s">
        <v>1336</v>
      </c>
    </row>
    <row r="3110" spans="1:8" hidden="1">
      <c r="A3110" s="265">
        <v>44701</v>
      </c>
      <c r="C3110" s="238" t="s">
        <v>8491</v>
      </c>
      <c r="D3110" s="324">
        <v>10250</v>
      </c>
      <c r="E3110" s="238"/>
      <c r="G3110" s="8" t="s">
        <v>1372</v>
      </c>
      <c r="H3110" t="s">
        <v>1336</v>
      </c>
    </row>
    <row r="3111" spans="1:8" hidden="1">
      <c r="A3111" s="265">
        <v>44701</v>
      </c>
      <c r="C3111" s="238" t="s">
        <v>8492</v>
      </c>
      <c r="D3111" s="238">
        <v>5247</v>
      </c>
      <c r="E3111" s="238"/>
      <c r="H3111" t="s">
        <v>1336</v>
      </c>
    </row>
    <row r="3112" spans="1:8" hidden="1">
      <c r="A3112" s="265">
        <v>44702</v>
      </c>
      <c r="C3112" s="238" t="s">
        <v>8493</v>
      </c>
      <c r="D3112" s="238">
        <v>400</v>
      </c>
      <c r="E3112" s="238"/>
      <c r="H3112" t="s">
        <v>1336</v>
      </c>
    </row>
    <row r="3113" spans="1:8" hidden="1">
      <c r="A3113" s="265">
        <v>44703</v>
      </c>
      <c r="C3113" s="238" t="s">
        <v>8494</v>
      </c>
      <c r="D3113" s="238">
        <v>16230</v>
      </c>
      <c r="E3113" s="238"/>
      <c r="G3113" s="8" t="s">
        <v>1379</v>
      </c>
      <c r="H3113" t="s">
        <v>1336</v>
      </c>
    </row>
    <row r="3114" spans="1:8" hidden="1">
      <c r="A3114" s="265">
        <v>44704</v>
      </c>
      <c r="C3114" s="238" t="s">
        <v>8495</v>
      </c>
      <c r="D3114" s="238">
        <v>952</v>
      </c>
      <c r="E3114" s="238"/>
      <c r="H3114" t="s">
        <v>1336</v>
      </c>
    </row>
    <row r="3115" spans="1:8" hidden="1">
      <c r="A3115" s="265">
        <v>44705</v>
      </c>
      <c r="C3115" s="238" t="s">
        <v>8496</v>
      </c>
      <c r="D3115" s="238">
        <v>745</v>
      </c>
      <c r="E3115" s="238"/>
      <c r="H3115" t="s">
        <v>1336</v>
      </c>
    </row>
    <row r="3116" spans="1:8" hidden="1">
      <c r="A3116" s="265">
        <v>44705</v>
      </c>
      <c r="C3116" s="238" t="s">
        <v>8497</v>
      </c>
      <c r="D3116" s="238"/>
      <c r="E3116" s="238">
        <v>125</v>
      </c>
      <c r="H3116" t="s">
        <v>1336</v>
      </c>
    </row>
    <row r="3117" spans="1:8" hidden="1">
      <c r="A3117" s="265">
        <v>44706</v>
      </c>
      <c r="C3117" s="238" t="s">
        <v>8498</v>
      </c>
      <c r="D3117" s="238">
        <v>13900</v>
      </c>
      <c r="E3117" s="238"/>
      <c r="G3117" s="8" t="s">
        <v>1379</v>
      </c>
      <c r="H3117" t="s">
        <v>1336</v>
      </c>
    </row>
    <row r="3118" spans="1:8" hidden="1">
      <c r="A3118" s="265">
        <v>44707</v>
      </c>
      <c r="C3118" s="238" t="s">
        <v>8499</v>
      </c>
      <c r="D3118" s="238">
        <v>423</v>
      </c>
      <c r="E3118" s="238"/>
      <c r="H3118" t="s">
        <v>1336</v>
      </c>
    </row>
    <row r="3119" spans="1:8" hidden="1">
      <c r="A3119" s="265">
        <v>44707</v>
      </c>
      <c r="C3119" s="238" t="s">
        <v>8500</v>
      </c>
      <c r="D3119" s="324">
        <v>10250</v>
      </c>
      <c r="E3119" s="238"/>
      <c r="G3119" s="8" t="s">
        <v>1372</v>
      </c>
      <c r="H3119" t="s">
        <v>1336</v>
      </c>
    </row>
    <row r="3120" spans="1:8" hidden="1">
      <c r="A3120" s="265">
        <v>44707</v>
      </c>
      <c r="C3120" s="238" t="s">
        <v>8501</v>
      </c>
      <c r="D3120" s="238"/>
      <c r="E3120" s="238">
        <v>150000</v>
      </c>
      <c r="G3120" s="8" t="s">
        <v>8462</v>
      </c>
      <c r="H3120" t="s">
        <v>1336</v>
      </c>
    </row>
    <row r="3121" spans="1:8" hidden="1">
      <c r="A3121" s="265">
        <v>44709</v>
      </c>
      <c r="C3121" s="238" t="s">
        <v>8502</v>
      </c>
      <c r="D3121" s="238">
        <v>709.84</v>
      </c>
      <c r="E3121" s="238"/>
      <c r="H3121" t="s">
        <v>1336</v>
      </c>
    </row>
    <row r="3122" spans="1:8" hidden="1">
      <c r="A3122" s="265">
        <v>44709</v>
      </c>
      <c r="C3122" s="238" t="s">
        <v>8503</v>
      </c>
      <c r="D3122" s="238">
        <v>352</v>
      </c>
      <c r="E3122" s="238"/>
      <c r="H3122" t="s">
        <v>1336</v>
      </c>
    </row>
    <row r="3123" spans="1:8" hidden="1">
      <c r="A3123" s="265">
        <v>44709</v>
      </c>
      <c r="C3123" s="238" t="s">
        <v>8504</v>
      </c>
      <c r="D3123" s="238">
        <v>346</v>
      </c>
      <c r="E3123" s="238"/>
      <c r="H3123" t="s">
        <v>1336</v>
      </c>
    </row>
    <row r="3124" spans="1:8" hidden="1">
      <c r="A3124" s="265">
        <v>44709</v>
      </c>
      <c r="C3124" s="238" t="s">
        <v>8505</v>
      </c>
      <c r="D3124" s="238"/>
      <c r="E3124" s="238">
        <v>125</v>
      </c>
      <c r="H3124" t="s">
        <v>1336</v>
      </c>
    </row>
    <row r="3125" spans="1:8" hidden="1">
      <c r="A3125" s="265">
        <v>44709</v>
      </c>
      <c r="C3125" s="238" t="s">
        <v>8506</v>
      </c>
      <c r="D3125" s="238"/>
      <c r="E3125" s="238">
        <v>125</v>
      </c>
      <c r="H3125" t="s">
        <v>1336</v>
      </c>
    </row>
    <row r="3126" spans="1:8" hidden="1">
      <c r="A3126" s="265">
        <v>44709</v>
      </c>
      <c r="C3126" s="238" t="s">
        <v>8507</v>
      </c>
      <c r="D3126" s="238"/>
      <c r="E3126" s="238">
        <v>125</v>
      </c>
      <c r="H3126" t="s">
        <v>1336</v>
      </c>
    </row>
    <row r="3127" spans="1:8" hidden="1">
      <c r="A3127" s="265">
        <v>44709</v>
      </c>
      <c r="C3127" s="238" t="s">
        <v>8508</v>
      </c>
      <c r="D3127" s="238"/>
      <c r="E3127" s="238">
        <v>125</v>
      </c>
      <c r="H3127" t="s">
        <v>1336</v>
      </c>
    </row>
    <row r="3128" spans="1:8" hidden="1">
      <c r="A3128" s="265">
        <v>44710</v>
      </c>
      <c r="C3128" s="238" t="s">
        <v>8509</v>
      </c>
      <c r="D3128" s="238">
        <v>11</v>
      </c>
      <c r="E3128" s="238"/>
      <c r="H3128" t="s">
        <v>1336</v>
      </c>
    </row>
    <row r="3129" spans="1:8" hidden="1">
      <c r="A3129" s="265">
        <v>44711</v>
      </c>
      <c r="C3129" s="238" t="s">
        <v>8510</v>
      </c>
      <c r="D3129" s="238">
        <v>459</v>
      </c>
      <c r="E3129" s="238"/>
      <c r="H3129" t="s">
        <v>1336</v>
      </c>
    </row>
    <row r="3130" spans="1:8" hidden="1">
      <c r="A3130" s="265">
        <v>44711</v>
      </c>
      <c r="C3130" s="238" t="s">
        <v>8511</v>
      </c>
      <c r="D3130" s="238">
        <v>1495</v>
      </c>
      <c r="E3130" s="238"/>
      <c r="H3130" t="s">
        <v>1336</v>
      </c>
    </row>
    <row r="3131" spans="1:8" hidden="1">
      <c r="A3131" s="265">
        <v>44711</v>
      </c>
      <c r="C3131" s="238" t="s">
        <v>8512</v>
      </c>
      <c r="D3131" s="238">
        <v>2211</v>
      </c>
      <c r="E3131" s="238"/>
      <c r="H3131" t="s">
        <v>1336</v>
      </c>
    </row>
    <row r="3132" spans="1:8" hidden="1">
      <c r="A3132" s="265">
        <v>44713</v>
      </c>
      <c r="C3132" s="238" t="s">
        <v>8513</v>
      </c>
      <c r="D3132" s="238">
        <v>368.6</v>
      </c>
      <c r="E3132" s="238"/>
      <c r="H3132" t="s">
        <v>1336</v>
      </c>
    </row>
    <row r="3133" spans="1:8" hidden="1">
      <c r="A3133" s="265">
        <v>44713</v>
      </c>
      <c r="C3133" s="238" t="s">
        <v>8514</v>
      </c>
      <c r="D3133" s="238">
        <v>368.6</v>
      </c>
      <c r="E3133" s="238"/>
      <c r="H3133" t="s">
        <v>1336</v>
      </c>
    </row>
    <row r="3134" spans="1:8" hidden="1">
      <c r="A3134" s="265">
        <v>44713</v>
      </c>
      <c r="C3134" s="238" t="s">
        <v>8515</v>
      </c>
      <c r="D3134" s="238">
        <v>20000</v>
      </c>
      <c r="E3134" s="238"/>
      <c r="G3134" s="8" t="s">
        <v>1358</v>
      </c>
      <c r="H3134" t="s">
        <v>1336</v>
      </c>
    </row>
    <row r="3135" spans="1:8" hidden="1">
      <c r="A3135" s="265">
        <v>44713</v>
      </c>
      <c r="C3135" s="238" t="s">
        <v>8516</v>
      </c>
      <c r="D3135" s="238">
        <v>5000</v>
      </c>
      <c r="E3135" s="238"/>
      <c r="H3135" t="s">
        <v>1336</v>
      </c>
    </row>
    <row r="3136" spans="1:8" hidden="1">
      <c r="A3136" s="265">
        <v>44713</v>
      </c>
      <c r="C3136" s="238" t="s">
        <v>8517</v>
      </c>
      <c r="D3136" s="238">
        <v>2000</v>
      </c>
      <c r="E3136" s="238"/>
      <c r="H3136" t="s">
        <v>1336</v>
      </c>
    </row>
    <row r="3137" spans="1:8" hidden="1">
      <c r="A3137" s="265">
        <v>44713</v>
      </c>
      <c r="C3137" s="238" t="s">
        <v>8518</v>
      </c>
      <c r="D3137" s="238">
        <v>120</v>
      </c>
      <c r="E3137" s="238"/>
      <c r="H3137" t="s">
        <v>1336</v>
      </c>
    </row>
    <row r="3138" spans="1:8" hidden="1">
      <c r="A3138" s="265">
        <v>44714</v>
      </c>
      <c r="C3138" s="238" t="s">
        <v>8519</v>
      </c>
      <c r="D3138" s="238">
        <v>431</v>
      </c>
      <c r="E3138" s="238"/>
      <c r="H3138" t="s">
        <v>1336</v>
      </c>
    </row>
    <row r="3139" spans="1:8" hidden="1">
      <c r="A3139" s="265">
        <v>44714</v>
      </c>
      <c r="C3139" s="238" t="s">
        <v>8520</v>
      </c>
      <c r="D3139" s="324">
        <v>10250</v>
      </c>
      <c r="E3139" s="238"/>
      <c r="G3139" s="8" t="s">
        <v>1372</v>
      </c>
      <c r="H3139" t="s">
        <v>1336</v>
      </c>
    </row>
    <row r="3140" spans="1:8" hidden="1">
      <c r="A3140" s="265">
        <v>44714</v>
      </c>
      <c r="C3140" s="238" t="s">
        <v>8521</v>
      </c>
      <c r="D3140" s="238">
        <v>9040</v>
      </c>
      <c r="E3140" s="238"/>
      <c r="H3140" t="s">
        <v>1336</v>
      </c>
    </row>
    <row r="3141" spans="1:8" hidden="1">
      <c r="A3141" s="265">
        <v>44716</v>
      </c>
      <c r="C3141" s="238" t="s">
        <v>8522</v>
      </c>
      <c r="D3141" s="238">
        <v>555</v>
      </c>
      <c r="E3141" s="238"/>
      <c r="H3141" t="s">
        <v>1336</v>
      </c>
    </row>
    <row r="3142" spans="1:8" hidden="1">
      <c r="A3142" s="265">
        <v>44716</v>
      </c>
      <c r="C3142" s="238" t="s">
        <v>8523</v>
      </c>
      <c r="D3142" s="238">
        <v>203</v>
      </c>
      <c r="E3142" s="238"/>
      <c r="H3142" t="s">
        <v>1336</v>
      </c>
    </row>
    <row r="3143" spans="1:8" hidden="1">
      <c r="A3143" s="265">
        <v>44717</v>
      </c>
      <c r="C3143" s="238" t="s">
        <v>6583</v>
      </c>
      <c r="D3143" s="238">
        <v>176364</v>
      </c>
      <c r="E3143" s="238"/>
      <c r="G3143" s="8" t="s">
        <v>1362</v>
      </c>
      <c r="H3143" t="s">
        <v>1336</v>
      </c>
    </row>
    <row r="3144" spans="1:8" hidden="1">
      <c r="A3144" s="265">
        <v>44717</v>
      </c>
      <c r="C3144" s="238" t="s">
        <v>8524</v>
      </c>
      <c r="D3144" s="238">
        <v>1008</v>
      </c>
      <c r="E3144" s="238"/>
      <c r="H3144" t="s">
        <v>1336</v>
      </c>
    </row>
    <row r="3145" spans="1:8" hidden="1">
      <c r="A3145" s="265">
        <v>44717</v>
      </c>
      <c r="C3145" s="238" t="s">
        <v>8525</v>
      </c>
      <c r="D3145" s="238">
        <v>1150</v>
      </c>
      <c r="E3145" s="238"/>
      <c r="H3145" t="s">
        <v>1336</v>
      </c>
    </row>
    <row r="3146" spans="1:8" hidden="1">
      <c r="A3146" s="265">
        <v>44718</v>
      </c>
      <c r="C3146" s="238" t="s">
        <v>8526</v>
      </c>
      <c r="D3146" s="238">
        <v>1999</v>
      </c>
      <c r="E3146" s="238"/>
      <c r="H3146" t="s">
        <v>1336</v>
      </c>
    </row>
    <row r="3147" spans="1:8" hidden="1">
      <c r="A3147" s="265">
        <v>44718</v>
      </c>
      <c r="C3147" s="238" t="s">
        <v>8527</v>
      </c>
      <c r="D3147" s="238">
        <v>1078.8</v>
      </c>
      <c r="E3147" s="238"/>
      <c r="H3147" t="s">
        <v>1336</v>
      </c>
    </row>
    <row r="3148" spans="1:8" hidden="1">
      <c r="A3148" s="265">
        <v>44719</v>
      </c>
      <c r="C3148" s="238" t="s">
        <v>8528</v>
      </c>
      <c r="D3148" s="238">
        <v>1268.5</v>
      </c>
      <c r="E3148" s="238"/>
      <c r="H3148" t="s">
        <v>1336</v>
      </c>
    </row>
    <row r="3149" spans="1:8" hidden="1">
      <c r="A3149" s="265">
        <v>44722</v>
      </c>
      <c r="C3149" s="238" t="s">
        <v>8529</v>
      </c>
      <c r="D3149" s="238">
        <v>420</v>
      </c>
      <c r="E3149" s="238"/>
      <c r="H3149" t="s">
        <v>1336</v>
      </c>
    </row>
    <row r="3150" spans="1:8" hidden="1">
      <c r="A3150" s="265">
        <v>44723</v>
      </c>
      <c r="C3150" s="238" t="s">
        <v>8530</v>
      </c>
      <c r="D3150" s="238">
        <v>770</v>
      </c>
      <c r="E3150" s="238"/>
      <c r="H3150" t="s">
        <v>1336</v>
      </c>
    </row>
    <row r="3151" spans="1:8" hidden="1">
      <c r="A3151" s="265">
        <v>44723</v>
      </c>
      <c r="C3151" s="238" t="s">
        <v>8531</v>
      </c>
      <c r="D3151" s="238">
        <v>400</v>
      </c>
      <c r="E3151" s="238"/>
      <c r="H3151" t="s">
        <v>1336</v>
      </c>
    </row>
    <row r="3152" spans="1:8" hidden="1">
      <c r="A3152" s="265">
        <v>44723</v>
      </c>
      <c r="C3152" s="238" t="s">
        <v>8532</v>
      </c>
      <c r="D3152" s="238">
        <v>750</v>
      </c>
      <c r="E3152" s="238"/>
      <c r="H3152" t="s">
        <v>1336</v>
      </c>
    </row>
    <row r="3153" spans="1:8" hidden="1">
      <c r="A3153" s="265">
        <v>44724</v>
      </c>
      <c r="C3153" s="238" t="s">
        <v>8533</v>
      </c>
      <c r="D3153" s="238">
        <v>740</v>
      </c>
      <c r="E3153" s="238"/>
      <c r="H3153" t="s">
        <v>1336</v>
      </c>
    </row>
    <row r="3154" spans="1:8" hidden="1">
      <c r="A3154" s="265">
        <v>44724</v>
      </c>
      <c r="C3154" s="238" t="s">
        <v>8534</v>
      </c>
      <c r="D3154" s="238"/>
      <c r="E3154" s="238">
        <v>11707</v>
      </c>
      <c r="H3154" t="s">
        <v>1336</v>
      </c>
    </row>
    <row r="3155" spans="1:8" hidden="1">
      <c r="A3155" s="265">
        <v>44725</v>
      </c>
      <c r="C3155" s="238" t="s">
        <v>8535</v>
      </c>
      <c r="D3155" s="238">
        <v>1698</v>
      </c>
      <c r="E3155" s="238"/>
      <c r="H3155" t="s">
        <v>1336</v>
      </c>
    </row>
    <row r="3156" spans="1:8" hidden="1">
      <c r="A3156" s="265">
        <v>44725</v>
      </c>
      <c r="C3156" s="238" t="s">
        <v>8536</v>
      </c>
      <c r="D3156" s="238">
        <v>656</v>
      </c>
      <c r="E3156" s="238"/>
      <c r="H3156" t="s">
        <v>1336</v>
      </c>
    </row>
    <row r="3157" spans="1:8" hidden="1">
      <c r="A3157" s="265">
        <v>44726</v>
      </c>
      <c r="C3157" s="238" t="s">
        <v>8537</v>
      </c>
      <c r="D3157" s="238"/>
      <c r="E3157" s="238">
        <v>155</v>
      </c>
      <c r="H3157" t="s">
        <v>1336</v>
      </c>
    </row>
    <row r="3158" spans="1:8" hidden="1">
      <c r="A3158" s="265">
        <v>44726</v>
      </c>
      <c r="C3158" s="238" t="s">
        <v>8538</v>
      </c>
      <c r="D3158" s="238"/>
      <c r="E3158" s="238">
        <v>155</v>
      </c>
      <c r="H3158" t="s">
        <v>1336</v>
      </c>
    </row>
    <row r="3159" spans="1:8" hidden="1">
      <c r="A3159" s="265">
        <v>44727</v>
      </c>
      <c r="C3159" s="238" t="s">
        <v>8539</v>
      </c>
      <c r="D3159" s="238"/>
      <c r="E3159" s="238">
        <v>100</v>
      </c>
      <c r="H3159" t="s">
        <v>1336</v>
      </c>
    </row>
    <row r="3160" spans="1:8" hidden="1">
      <c r="A3160" s="265">
        <v>44728</v>
      </c>
      <c r="C3160" s="238" t="s">
        <v>8540</v>
      </c>
      <c r="D3160" s="324">
        <v>10250</v>
      </c>
      <c r="E3160" s="238"/>
      <c r="G3160" s="8" t="s">
        <v>1372</v>
      </c>
      <c r="H3160" t="s">
        <v>1336</v>
      </c>
    </row>
    <row r="3161" spans="1:8" hidden="1">
      <c r="A3161" s="265">
        <v>44729</v>
      </c>
      <c r="C3161" s="238" t="s">
        <v>8541</v>
      </c>
      <c r="D3161" s="238">
        <v>196</v>
      </c>
      <c r="E3161" s="238"/>
      <c r="H3161" t="s">
        <v>1336</v>
      </c>
    </row>
    <row r="3162" spans="1:8" hidden="1">
      <c r="A3162" s="265">
        <v>44730</v>
      </c>
      <c r="C3162" s="238" t="s">
        <v>8542</v>
      </c>
      <c r="D3162" s="238">
        <v>280</v>
      </c>
      <c r="E3162" s="238"/>
      <c r="H3162" t="s">
        <v>1336</v>
      </c>
    </row>
    <row r="3163" spans="1:8" hidden="1">
      <c r="A3163" s="265">
        <v>44731</v>
      </c>
      <c r="C3163" s="238" t="s">
        <v>8543</v>
      </c>
      <c r="D3163" s="238">
        <v>37</v>
      </c>
      <c r="E3163" s="238"/>
      <c r="H3163" t="s">
        <v>1336</v>
      </c>
    </row>
    <row r="3164" spans="1:8" hidden="1">
      <c r="A3164" s="265">
        <v>44731</v>
      </c>
      <c r="C3164" s="238" t="s">
        <v>8544</v>
      </c>
      <c r="D3164" s="238">
        <v>557.64</v>
      </c>
      <c r="E3164" s="238"/>
      <c r="H3164" t="s">
        <v>1336</v>
      </c>
    </row>
    <row r="3165" spans="1:8" hidden="1">
      <c r="A3165" s="265">
        <v>44733</v>
      </c>
      <c r="C3165" s="238" t="s">
        <v>8545</v>
      </c>
      <c r="D3165" s="238">
        <v>1066</v>
      </c>
      <c r="E3165" s="238"/>
      <c r="H3165" t="s">
        <v>1336</v>
      </c>
    </row>
    <row r="3166" spans="1:8" hidden="1">
      <c r="A3166" s="265">
        <v>44733</v>
      </c>
      <c r="C3166" s="238" t="s">
        <v>8546</v>
      </c>
      <c r="D3166" s="238">
        <v>709</v>
      </c>
      <c r="E3166" s="238"/>
      <c r="H3166" t="s">
        <v>1336</v>
      </c>
    </row>
    <row r="3167" spans="1:8" hidden="1">
      <c r="A3167" s="265">
        <v>44734</v>
      </c>
      <c r="C3167" s="238" t="s">
        <v>8547</v>
      </c>
      <c r="D3167" s="238">
        <v>536.53</v>
      </c>
      <c r="E3167" s="238"/>
      <c r="H3167" t="s">
        <v>1336</v>
      </c>
    </row>
    <row r="3168" spans="1:8" hidden="1">
      <c r="A3168" s="265">
        <v>44734</v>
      </c>
      <c r="C3168" s="238" t="s">
        <v>8548</v>
      </c>
      <c r="D3168" s="238">
        <v>16230</v>
      </c>
      <c r="E3168" s="238"/>
      <c r="G3168" s="8" t="s">
        <v>1379</v>
      </c>
      <c r="H3168" t="s">
        <v>1336</v>
      </c>
    </row>
    <row r="3169" spans="1:8" hidden="1">
      <c r="A3169" s="265">
        <v>44735</v>
      </c>
      <c r="C3169" s="238" t="s">
        <v>8549</v>
      </c>
      <c r="D3169" s="324">
        <v>10250</v>
      </c>
      <c r="E3169" s="238"/>
      <c r="G3169" s="8" t="s">
        <v>1372</v>
      </c>
      <c r="H3169" t="s">
        <v>1336</v>
      </c>
    </row>
    <row r="3170" spans="1:8" hidden="1">
      <c r="A3170" s="265">
        <v>44735</v>
      </c>
      <c r="C3170" s="238" t="s">
        <v>8550</v>
      </c>
      <c r="D3170" s="238">
        <v>523.27</v>
      </c>
      <c r="E3170" s="238"/>
      <c r="H3170" t="s">
        <v>1336</v>
      </c>
    </row>
    <row r="3171" spans="1:8" hidden="1">
      <c r="A3171" s="265">
        <v>44737</v>
      </c>
      <c r="C3171" s="238" t="s">
        <v>8551</v>
      </c>
      <c r="D3171" s="238">
        <v>556</v>
      </c>
      <c r="E3171" s="238"/>
      <c r="H3171" t="s">
        <v>1336</v>
      </c>
    </row>
    <row r="3172" spans="1:8" hidden="1">
      <c r="A3172" s="265">
        <v>44737</v>
      </c>
      <c r="C3172" s="238" t="s">
        <v>8552</v>
      </c>
      <c r="D3172" s="238">
        <v>5184</v>
      </c>
      <c r="E3172" s="238"/>
      <c r="H3172" t="s">
        <v>1336</v>
      </c>
    </row>
    <row r="3173" spans="1:8" hidden="1">
      <c r="A3173" s="265">
        <v>44737</v>
      </c>
      <c r="C3173" s="238" t="s">
        <v>8553</v>
      </c>
      <c r="D3173" s="238">
        <v>92</v>
      </c>
      <c r="E3173" s="238"/>
      <c r="H3173" t="s">
        <v>1336</v>
      </c>
    </row>
    <row r="3174" spans="1:8" hidden="1">
      <c r="A3174" s="265">
        <v>44738</v>
      </c>
      <c r="C3174" s="238" t="s">
        <v>8554</v>
      </c>
      <c r="D3174" s="238">
        <v>13900</v>
      </c>
      <c r="E3174" s="238"/>
      <c r="G3174" s="8" t="s">
        <v>1379</v>
      </c>
      <c r="H3174" t="s">
        <v>1336</v>
      </c>
    </row>
    <row r="3175" spans="1:8" hidden="1">
      <c r="A3175" s="265">
        <v>44738</v>
      </c>
      <c r="C3175" s="238" t="s">
        <v>8555</v>
      </c>
      <c r="D3175" s="238">
        <v>317</v>
      </c>
      <c r="E3175" s="238"/>
      <c r="H3175" t="s">
        <v>1336</v>
      </c>
    </row>
    <row r="3176" spans="1:8" hidden="1">
      <c r="A3176" s="265">
        <v>44738</v>
      </c>
      <c r="C3176" s="238" t="s">
        <v>8556</v>
      </c>
      <c r="D3176" s="238">
        <v>741</v>
      </c>
      <c r="E3176" s="238"/>
      <c r="H3176" t="s">
        <v>1336</v>
      </c>
    </row>
    <row r="3177" spans="1:8" hidden="1">
      <c r="A3177" s="265">
        <v>44739</v>
      </c>
      <c r="C3177" s="238" t="s">
        <v>8557</v>
      </c>
      <c r="D3177" s="238">
        <v>660.53</v>
      </c>
      <c r="E3177" s="238"/>
      <c r="H3177" t="s">
        <v>1336</v>
      </c>
    </row>
    <row r="3178" spans="1:8" hidden="1">
      <c r="A3178" s="265">
        <v>44740</v>
      </c>
      <c r="C3178" s="238" t="s">
        <v>8558</v>
      </c>
      <c r="D3178" s="238">
        <v>201</v>
      </c>
      <c r="E3178" s="238"/>
      <c r="H3178" t="s">
        <v>1336</v>
      </c>
    </row>
    <row r="3179" spans="1:8" hidden="1">
      <c r="A3179" s="265">
        <v>44740</v>
      </c>
      <c r="C3179" s="238" t="s">
        <v>8559</v>
      </c>
      <c r="D3179" s="238">
        <v>3.78</v>
      </c>
      <c r="E3179" s="238"/>
      <c r="H3179" t="s">
        <v>1336</v>
      </c>
    </row>
    <row r="3180" spans="1:8" hidden="1">
      <c r="A3180" s="265">
        <v>44740</v>
      </c>
      <c r="C3180" s="238" t="s">
        <v>8560</v>
      </c>
      <c r="D3180" s="238"/>
      <c r="E3180" s="238">
        <v>150000</v>
      </c>
      <c r="G3180" s="8" t="s">
        <v>8462</v>
      </c>
      <c r="H3180" t="s">
        <v>1336</v>
      </c>
    </row>
    <row r="3181" spans="1:8" hidden="1">
      <c r="A3181" s="265">
        <v>44741</v>
      </c>
      <c r="C3181" s="238" t="s">
        <v>8561</v>
      </c>
      <c r="D3181" s="238">
        <v>999</v>
      </c>
      <c r="E3181" s="238"/>
      <c r="H3181" t="s">
        <v>1336</v>
      </c>
    </row>
    <row r="3182" spans="1:8" hidden="1">
      <c r="A3182" s="265">
        <v>44741</v>
      </c>
      <c r="C3182" s="238" t="s">
        <v>8562</v>
      </c>
      <c r="D3182" s="238">
        <v>2211</v>
      </c>
      <c r="E3182" s="238"/>
      <c r="H3182" t="s">
        <v>1336</v>
      </c>
    </row>
    <row r="3183" spans="1:8" hidden="1">
      <c r="A3183" s="265">
        <v>44742</v>
      </c>
      <c r="C3183" s="238" t="s">
        <v>8563</v>
      </c>
      <c r="D3183" s="324">
        <v>10250</v>
      </c>
      <c r="E3183" s="238"/>
      <c r="G3183" s="8" t="s">
        <v>1372</v>
      </c>
      <c r="H3183" t="s">
        <v>1336</v>
      </c>
    </row>
    <row r="3184" spans="1:8" hidden="1">
      <c r="A3184" s="265">
        <v>44742</v>
      </c>
      <c r="C3184" s="238" t="s">
        <v>8564</v>
      </c>
      <c r="D3184" s="238">
        <v>220.91</v>
      </c>
      <c r="E3184" s="238"/>
      <c r="H3184" t="s">
        <v>1336</v>
      </c>
    </row>
    <row r="3185" spans="1:8" hidden="1">
      <c r="A3185" s="265">
        <v>44742</v>
      </c>
      <c r="C3185" s="238" t="s">
        <v>8565</v>
      </c>
      <c r="D3185" s="238">
        <v>351.6</v>
      </c>
      <c r="E3185" s="238"/>
      <c r="H3185" t="s">
        <v>1336</v>
      </c>
    </row>
    <row r="3186" spans="1:8" hidden="1">
      <c r="A3186" s="265">
        <v>44743</v>
      </c>
      <c r="C3186" s="238" t="s">
        <v>4256</v>
      </c>
      <c r="D3186" s="238"/>
      <c r="E3186" s="238">
        <v>12264</v>
      </c>
      <c r="G3186" s="8" t="s">
        <v>1368</v>
      </c>
      <c r="H3186" t="s">
        <v>1336</v>
      </c>
    </row>
    <row r="3187" spans="1:8" hidden="1">
      <c r="A3187" s="265">
        <v>44743</v>
      </c>
      <c r="C3187" s="238" t="s">
        <v>8566</v>
      </c>
      <c r="D3187" s="238">
        <v>767</v>
      </c>
      <c r="E3187" s="238"/>
      <c r="H3187" t="s">
        <v>1336</v>
      </c>
    </row>
    <row r="3188" spans="1:8" hidden="1">
      <c r="A3188" s="265">
        <v>44743</v>
      </c>
      <c r="C3188" s="238" t="s">
        <v>8567</v>
      </c>
      <c r="D3188" s="238">
        <v>5000</v>
      </c>
      <c r="E3188" s="238"/>
      <c r="H3188" t="s">
        <v>1336</v>
      </c>
    </row>
    <row r="3189" spans="1:8" hidden="1">
      <c r="A3189" s="265">
        <v>44743</v>
      </c>
      <c r="C3189" s="238" t="s">
        <v>8568</v>
      </c>
      <c r="D3189" s="238">
        <v>2000</v>
      </c>
      <c r="E3189" s="238"/>
      <c r="H3189" t="s">
        <v>1336</v>
      </c>
    </row>
    <row r="3190" spans="1:8" hidden="1">
      <c r="A3190" s="265">
        <v>44743</v>
      </c>
      <c r="C3190" s="238" t="s">
        <v>8569</v>
      </c>
      <c r="D3190" s="238">
        <v>20000</v>
      </c>
      <c r="E3190" s="238"/>
      <c r="G3190" s="8" t="s">
        <v>1358</v>
      </c>
      <c r="H3190" t="s">
        <v>1336</v>
      </c>
    </row>
    <row r="3191" spans="1:8" hidden="1">
      <c r="A3191" s="265">
        <v>44743</v>
      </c>
      <c r="C3191" s="238" t="s">
        <v>8570</v>
      </c>
      <c r="D3191" s="238">
        <v>1</v>
      </c>
      <c r="E3191" s="238"/>
      <c r="H3191" t="s">
        <v>1336</v>
      </c>
    </row>
    <row r="3192" spans="1:8" hidden="1">
      <c r="A3192" s="265">
        <v>44743</v>
      </c>
      <c r="C3192" s="238" t="s">
        <v>8571</v>
      </c>
      <c r="D3192" s="238"/>
      <c r="E3192" s="238">
        <v>1</v>
      </c>
      <c r="H3192" t="s">
        <v>1336</v>
      </c>
    </row>
    <row r="3193" spans="1:8" hidden="1">
      <c r="A3193" s="265">
        <v>44743</v>
      </c>
      <c r="C3193" s="238" t="s">
        <v>8572</v>
      </c>
      <c r="D3193" s="238"/>
      <c r="E3193" s="238">
        <v>3.78</v>
      </c>
      <c r="H3193" t="s">
        <v>1336</v>
      </c>
    </row>
    <row r="3194" spans="1:8" hidden="1">
      <c r="A3194" s="265">
        <v>44744</v>
      </c>
      <c r="C3194" s="238" t="s">
        <v>8573</v>
      </c>
      <c r="D3194" s="238">
        <v>1190</v>
      </c>
      <c r="E3194" s="238"/>
      <c r="H3194" t="s">
        <v>1336</v>
      </c>
    </row>
    <row r="3195" spans="1:8" hidden="1">
      <c r="A3195" s="265">
        <v>44744</v>
      </c>
      <c r="C3195" s="238" t="s">
        <v>8574</v>
      </c>
      <c r="D3195" s="238">
        <v>400</v>
      </c>
      <c r="E3195" s="238"/>
      <c r="H3195" t="s">
        <v>1336</v>
      </c>
    </row>
    <row r="3196" spans="1:8" hidden="1">
      <c r="A3196" s="265">
        <v>44745</v>
      </c>
      <c r="C3196" s="238" t="s">
        <v>8575</v>
      </c>
      <c r="D3196" s="238">
        <v>3500</v>
      </c>
      <c r="E3196" s="238"/>
      <c r="H3196" t="s">
        <v>1336</v>
      </c>
    </row>
    <row r="3197" spans="1:8" hidden="1">
      <c r="A3197" s="265">
        <v>44745</v>
      </c>
      <c r="C3197" s="238" t="s">
        <v>8576</v>
      </c>
      <c r="D3197" s="238">
        <v>30</v>
      </c>
      <c r="E3197" s="238"/>
      <c r="H3197" t="s">
        <v>1336</v>
      </c>
    </row>
    <row r="3198" spans="1:8" hidden="1">
      <c r="A3198" s="265">
        <v>44745</v>
      </c>
      <c r="C3198" s="238" t="s">
        <v>8577</v>
      </c>
      <c r="D3198" s="238">
        <v>850</v>
      </c>
      <c r="E3198" s="238"/>
      <c r="H3198" t="s">
        <v>1336</v>
      </c>
    </row>
    <row r="3199" spans="1:8" hidden="1">
      <c r="A3199" s="265">
        <v>44746</v>
      </c>
      <c r="C3199" s="238" t="s">
        <v>8578</v>
      </c>
      <c r="D3199" s="238">
        <v>3640</v>
      </c>
      <c r="E3199" s="238"/>
      <c r="H3199" t="s">
        <v>1336</v>
      </c>
    </row>
    <row r="3200" spans="1:8" hidden="1">
      <c r="A3200" s="265">
        <v>44746</v>
      </c>
      <c r="C3200" s="238" t="s">
        <v>8579</v>
      </c>
      <c r="D3200" s="238">
        <v>1268.5</v>
      </c>
      <c r="E3200" s="238"/>
      <c r="H3200" t="s">
        <v>1336</v>
      </c>
    </row>
    <row r="3201" spans="1:8" hidden="1">
      <c r="A3201" s="265">
        <v>44748</v>
      </c>
      <c r="C3201" s="238" t="s">
        <v>6583</v>
      </c>
      <c r="D3201" s="238">
        <v>80529</v>
      </c>
      <c r="E3201" s="238"/>
      <c r="G3201" s="8" t="s">
        <v>1362</v>
      </c>
      <c r="H3201" t="s">
        <v>1336</v>
      </c>
    </row>
    <row r="3202" spans="1:8" hidden="1">
      <c r="A3202" s="265">
        <v>44748</v>
      </c>
      <c r="C3202" s="238" t="s">
        <v>8580</v>
      </c>
      <c r="D3202" s="238">
        <v>718</v>
      </c>
      <c r="E3202" s="238"/>
      <c r="H3202" t="s">
        <v>1336</v>
      </c>
    </row>
    <row r="3203" spans="1:8" hidden="1">
      <c r="A3203" s="265">
        <v>44748</v>
      </c>
      <c r="C3203" s="238" t="s">
        <v>8581</v>
      </c>
      <c r="D3203" s="238"/>
      <c r="E3203" s="238">
        <v>3</v>
      </c>
      <c r="H3203" t="s">
        <v>1336</v>
      </c>
    </row>
    <row r="3204" spans="1:8" hidden="1">
      <c r="A3204" s="265">
        <v>44748</v>
      </c>
      <c r="C3204" s="238" t="s">
        <v>8582</v>
      </c>
      <c r="D3204" s="238">
        <v>1009.05</v>
      </c>
      <c r="E3204" s="238"/>
      <c r="H3204" t="s">
        <v>1336</v>
      </c>
    </row>
    <row r="3205" spans="1:8" hidden="1">
      <c r="A3205" s="265">
        <v>44749</v>
      </c>
      <c r="C3205" s="238" t="s">
        <v>8583</v>
      </c>
      <c r="D3205" s="238">
        <v>700</v>
      </c>
      <c r="E3205" s="238"/>
      <c r="H3205" t="s">
        <v>1336</v>
      </c>
    </row>
    <row r="3206" spans="1:8" hidden="1">
      <c r="A3206" s="265">
        <v>44749</v>
      </c>
      <c r="C3206" s="238" t="s">
        <v>8584</v>
      </c>
      <c r="D3206" s="238"/>
      <c r="E3206" s="238">
        <v>3</v>
      </c>
      <c r="H3206" t="s">
        <v>1336</v>
      </c>
    </row>
    <row r="3207" spans="1:8" hidden="1">
      <c r="A3207" s="265">
        <v>44749</v>
      </c>
      <c r="C3207" s="238" t="s">
        <v>8585</v>
      </c>
      <c r="D3207" s="324">
        <v>10250</v>
      </c>
      <c r="E3207" s="238"/>
      <c r="G3207" s="8" t="s">
        <v>1372</v>
      </c>
      <c r="H3207" t="s">
        <v>1336</v>
      </c>
    </row>
    <row r="3208" spans="1:8" hidden="1">
      <c r="A3208" s="265">
        <v>44750</v>
      </c>
      <c r="C3208" s="238" t="s">
        <v>8586</v>
      </c>
      <c r="D3208" s="238">
        <v>417</v>
      </c>
      <c r="E3208" s="238"/>
      <c r="H3208" t="s">
        <v>1336</v>
      </c>
    </row>
    <row r="3209" spans="1:8" hidden="1">
      <c r="A3209" s="265">
        <v>44752</v>
      </c>
      <c r="C3209" s="238" t="s">
        <v>8587</v>
      </c>
      <c r="D3209" s="238"/>
      <c r="E3209" s="238">
        <v>5</v>
      </c>
      <c r="H3209" t="s">
        <v>1336</v>
      </c>
    </row>
    <row r="3210" spans="1:8" hidden="1">
      <c r="A3210" s="265">
        <v>44752</v>
      </c>
      <c r="C3210" s="238" t="s">
        <v>8588</v>
      </c>
      <c r="D3210" s="324">
        <v>750</v>
      </c>
      <c r="E3210" s="238"/>
      <c r="G3210" s="8" t="s">
        <v>1372</v>
      </c>
      <c r="H3210" t="s">
        <v>1336</v>
      </c>
    </row>
    <row r="3211" spans="1:8" hidden="1">
      <c r="A3211" s="265">
        <v>44752</v>
      </c>
      <c r="C3211" s="238" t="s">
        <v>8589</v>
      </c>
      <c r="D3211" s="238">
        <v>883</v>
      </c>
      <c r="E3211" s="238"/>
      <c r="H3211" t="s">
        <v>1336</v>
      </c>
    </row>
    <row r="3212" spans="1:8" hidden="1">
      <c r="A3212" s="265">
        <v>44752</v>
      </c>
      <c r="C3212" s="238" t="s">
        <v>8590</v>
      </c>
      <c r="D3212" s="238"/>
      <c r="E3212" s="238">
        <v>883</v>
      </c>
      <c r="H3212" t="s">
        <v>1336</v>
      </c>
    </row>
    <row r="3213" spans="1:8" hidden="1">
      <c r="A3213" s="265">
        <v>44753</v>
      </c>
      <c r="C3213" s="238" t="s">
        <v>8591</v>
      </c>
      <c r="D3213" s="238">
        <v>400</v>
      </c>
      <c r="E3213" s="238"/>
      <c r="H3213" t="s">
        <v>1336</v>
      </c>
    </row>
    <row r="3214" spans="1:8" hidden="1">
      <c r="A3214" s="265">
        <v>44754</v>
      </c>
      <c r="C3214" s="238" t="s">
        <v>8592</v>
      </c>
      <c r="D3214" s="238"/>
      <c r="E3214" s="238">
        <v>51700</v>
      </c>
      <c r="H3214" t="s">
        <v>1336</v>
      </c>
    </row>
    <row r="3215" spans="1:8" hidden="1">
      <c r="A3215" s="265">
        <v>44759</v>
      </c>
      <c r="C3215" s="238" t="s">
        <v>8593</v>
      </c>
      <c r="D3215" s="238">
        <v>1244.96</v>
      </c>
      <c r="E3215" s="238"/>
      <c r="H3215" t="s">
        <v>1336</v>
      </c>
    </row>
    <row r="3216" spans="1:8" hidden="1">
      <c r="A3216" s="265">
        <v>44759</v>
      </c>
      <c r="C3216" s="238" t="s">
        <v>8594</v>
      </c>
      <c r="D3216" s="324">
        <v>9350</v>
      </c>
      <c r="E3216" s="238"/>
      <c r="G3216" s="8" t="s">
        <v>1372</v>
      </c>
      <c r="H3216" t="s">
        <v>1336</v>
      </c>
    </row>
    <row r="3217" spans="1:8" hidden="1">
      <c r="A3217" s="265">
        <v>44759</v>
      </c>
      <c r="C3217" s="238" t="s">
        <v>8595</v>
      </c>
      <c r="D3217" s="324">
        <v>6800</v>
      </c>
      <c r="E3217" s="238"/>
      <c r="G3217" s="8" t="s">
        <v>1372</v>
      </c>
      <c r="H3217" t="s">
        <v>1336</v>
      </c>
    </row>
    <row r="3218" spans="1:8" hidden="1">
      <c r="A3218" s="265">
        <v>44759</v>
      </c>
      <c r="C3218" s="238" t="s">
        <v>8596</v>
      </c>
      <c r="D3218" s="238">
        <v>401</v>
      </c>
      <c r="E3218" s="238"/>
      <c r="H3218" t="s">
        <v>1336</v>
      </c>
    </row>
    <row r="3219" spans="1:8" hidden="1">
      <c r="A3219" s="265">
        <v>44759</v>
      </c>
      <c r="C3219" s="238" t="s">
        <v>8597</v>
      </c>
      <c r="D3219" s="238">
        <v>517</v>
      </c>
      <c r="E3219" s="238"/>
      <c r="H3219" t="s">
        <v>1336</v>
      </c>
    </row>
    <row r="3220" spans="1:8" hidden="1">
      <c r="A3220" s="265">
        <v>44760</v>
      </c>
      <c r="C3220" s="238" t="s">
        <v>8598</v>
      </c>
      <c r="D3220" s="238">
        <v>610.5</v>
      </c>
      <c r="E3220" s="238"/>
      <c r="H3220" t="s">
        <v>1336</v>
      </c>
    </row>
    <row r="3221" spans="1:8" hidden="1">
      <c r="A3221" s="265">
        <v>44760</v>
      </c>
      <c r="C3221" s="238" t="s">
        <v>8599</v>
      </c>
      <c r="D3221" s="238">
        <v>309</v>
      </c>
      <c r="E3221" s="238"/>
      <c r="H3221" t="s">
        <v>1336</v>
      </c>
    </row>
    <row r="3222" spans="1:8" hidden="1">
      <c r="A3222" s="265">
        <v>44760</v>
      </c>
      <c r="C3222" s="238" t="s">
        <v>8600</v>
      </c>
      <c r="D3222" s="238">
        <v>250</v>
      </c>
      <c r="E3222" s="238"/>
      <c r="H3222" t="s">
        <v>1336</v>
      </c>
    </row>
    <row r="3223" spans="1:8" hidden="1">
      <c r="A3223" s="265">
        <v>44760</v>
      </c>
      <c r="C3223" s="238" t="s">
        <v>8601</v>
      </c>
      <c r="D3223" s="238">
        <v>89.23</v>
      </c>
      <c r="E3223" s="238"/>
      <c r="H3223" t="s">
        <v>1336</v>
      </c>
    </row>
    <row r="3224" spans="1:8" hidden="1">
      <c r="A3224" s="265">
        <v>44761</v>
      </c>
      <c r="C3224" s="238" t="s">
        <v>8602</v>
      </c>
      <c r="D3224" s="324">
        <v>750</v>
      </c>
      <c r="E3224" s="238"/>
      <c r="G3224" s="8" t="s">
        <v>1372</v>
      </c>
      <c r="H3224" t="s">
        <v>1336</v>
      </c>
    </row>
    <row r="3225" spans="1:8" hidden="1">
      <c r="A3225" s="265">
        <v>44761</v>
      </c>
      <c r="C3225" s="238" t="s">
        <v>8603</v>
      </c>
      <c r="D3225" s="324">
        <v>750</v>
      </c>
      <c r="E3225" s="238"/>
      <c r="G3225" s="8" t="s">
        <v>1372</v>
      </c>
      <c r="H3225" t="s">
        <v>1336</v>
      </c>
    </row>
    <row r="3226" spans="1:8" hidden="1">
      <c r="A3226" s="265">
        <v>44761</v>
      </c>
      <c r="C3226" s="238" t="s">
        <v>8604</v>
      </c>
      <c r="D3226" s="324">
        <v>1250</v>
      </c>
      <c r="E3226" s="238"/>
      <c r="G3226" s="8" t="s">
        <v>1372</v>
      </c>
      <c r="H3226" t="s">
        <v>1336</v>
      </c>
    </row>
    <row r="3227" spans="1:8" hidden="1">
      <c r="A3227" s="265">
        <v>44762</v>
      </c>
      <c r="C3227" s="238" t="s">
        <v>8605</v>
      </c>
      <c r="D3227" s="324">
        <v>775</v>
      </c>
      <c r="E3227" s="238"/>
      <c r="G3227" s="8" t="s">
        <v>1372</v>
      </c>
      <c r="H3227" t="s">
        <v>1336</v>
      </c>
    </row>
    <row r="3228" spans="1:8" hidden="1">
      <c r="A3228" s="265">
        <v>44762</v>
      </c>
      <c r="C3228" s="238" t="s">
        <v>8606</v>
      </c>
      <c r="D3228" s="324">
        <v>1000</v>
      </c>
      <c r="E3228" s="238"/>
      <c r="G3228" s="8" t="s">
        <v>1372</v>
      </c>
      <c r="H3228" t="s">
        <v>1336</v>
      </c>
    </row>
    <row r="3229" spans="1:8" hidden="1">
      <c r="A3229" s="265">
        <v>44762</v>
      </c>
      <c r="C3229" s="238" t="s">
        <v>8607</v>
      </c>
      <c r="D3229" s="238">
        <v>334</v>
      </c>
      <c r="E3229" s="238"/>
      <c r="H3229" t="s">
        <v>1336</v>
      </c>
    </row>
    <row r="3230" spans="1:8" hidden="1">
      <c r="A3230" s="265">
        <v>44762</v>
      </c>
      <c r="C3230" s="238" t="s">
        <v>8608</v>
      </c>
      <c r="D3230" s="238">
        <v>55000</v>
      </c>
      <c r="E3230" s="238"/>
      <c r="H3230" t="s">
        <v>1336</v>
      </c>
    </row>
    <row r="3231" spans="1:8" hidden="1">
      <c r="A3231" s="265">
        <v>44762</v>
      </c>
      <c r="C3231" s="238" t="s">
        <v>8609</v>
      </c>
      <c r="D3231" s="238">
        <v>1500</v>
      </c>
      <c r="E3231" s="238"/>
      <c r="H3231" t="s">
        <v>1336</v>
      </c>
    </row>
    <row r="3232" spans="1:8" hidden="1">
      <c r="A3232" s="265">
        <v>44762</v>
      </c>
      <c r="C3232" s="238" t="s">
        <v>8610</v>
      </c>
      <c r="D3232" s="238">
        <v>100</v>
      </c>
      <c r="E3232" s="238"/>
      <c r="H3232" t="s">
        <v>1336</v>
      </c>
    </row>
    <row r="3233" spans="1:8" hidden="1">
      <c r="A3233" s="265">
        <v>44763</v>
      </c>
      <c r="C3233" s="238" t="s">
        <v>8611</v>
      </c>
      <c r="D3233" s="324">
        <v>2000</v>
      </c>
      <c r="E3233" s="238"/>
      <c r="G3233" s="8" t="s">
        <v>1372</v>
      </c>
      <c r="H3233" t="s">
        <v>1336</v>
      </c>
    </row>
    <row r="3234" spans="1:8" hidden="1">
      <c r="A3234" s="265">
        <v>44763</v>
      </c>
      <c r="C3234" s="238" t="s">
        <v>8612</v>
      </c>
      <c r="D3234" s="324">
        <v>750</v>
      </c>
      <c r="E3234" s="238"/>
      <c r="G3234" s="8" t="s">
        <v>1372</v>
      </c>
      <c r="H3234" t="s">
        <v>1336</v>
      </c>
    </row>
    <row r="3235" spans="1:8" hidden="1">
      <c r="A3235" s="265">
        <v>44763</v>
      </c>
      <c r="C3235" s="238" t="s">
        <v>8613</v>
      </c>
      <c r="D3235" s="324">
        <v>1250</v>
      </c>
      <c r="E3235" s="238"/>
      <c r="G3235" s="8" t="s">
        <v>1372</v>
      </c>
      <c r="H3235" t="s">
        <v>1336</v>
      </c>
    </row>
    <row r="3236" spans="1:8" hidden="1">
      <c r="A3236" s="265">
        <v>44763</v>
      </c>
      <c r="C3236" s="238" t="s">
        <v>8614</v>
      </c>
      <c r="D3236" s="238">
        <v>1287</v>
      </c>
      <c r="E3236" s="238"/>
      <c r="H3236" t="s">
        <v>1336</v>
      </c>
    </row>
    <row r="3237" spans="1:8" hidden="1">
      <c r="A3237" s="265">
        <v>44763</v>
      </c>
      <c r="C3237" s="238" t="s">
        <v>8615</v>
      </c>
      <c r="D3237" s="238">
        <v>438</v>
      </c>
      <c r="E3237" s="238"/>
      <c r="H3237" t="s">
        <v>1336</v>
      </c>
    </row>
    <row r="3238" spans="1:8" hidden="1">
      <c r="A3238" s="265">
        <v>44764</v>
      </c>
      <c r="C3238" s="238" t="s">
        <v>8616</v>
      </c>
      <c r="D3238" s="324">
        <v>750</v>
      </c>
      <c r="E3238" s="238"/>
      <c r="G3238" s="8" t="s">
        <v>1372</v>
      </c>
      <c r="H3238" t="s">
        <v>1336</v>
      </c>
    </row>
    <row r="3239" spans="1:8" hidden="1">
      <c r="A3239" s="265">
        <v>44764</v>
      </c>
      <c r="C3239" s="238" t="s">
        <v>8617</v>
      </c>
      <c r="D3239" s="238">
        <v>108</v>
      </c>
      <c r="E3239" s="238"/>
      <c r="H3239" t="s">
        <v>1336</v>
      </c>
    </row>
    <row r="3240" spans="1:8" hidden="1">
      <c r="A3240" s="265">
        <v>44764</v>
      </c>
      <c r="C3240" s="238" t="s">
        <v>8618</v>
      </c>
      <c r="D3240" s="238">
        <v>470.8</v>
      </c>
      <c r="E3240" s="238"/>
      <c r="H3240" t="s">
        <v>1336</v>
      </c>
    </row>
    <row r="3241" spans="1:8" hidden="1">
      <c r="A3241" s="265">
        <v>44764</v>
      </c>
      <c r="C3241" s="238" t="s">
        <v>8619</v>
      </c>
      <c r="D3241" s="238">
        <v>16230</v>
      </c>
      <c r="E3241" s="238"/>
      <c r="G3241" s="8" t="s">
        <v>1379</v>
      </c>
      <c r="H3241" t="s">
        <v>1336</v>
      </c>
    </row>
    <row r="3242" spans="1:8" hidden="1">
      <c r="A3242" s="265">
        <v>44765</v>
      </c>
      <c r="C3242" s="238" t="s">
        <v>8620</v>
      </c>
      <c r="D3242" s="238"/>
      <c r="E3242" s="238">
        <v>399</v>
      </c>
      <c r="H3242" t="s">
        <v>1336</v>
      </c>
    </row>
    <row r="3243" spans="1:8" hidden="1">
      <c r="A3243" s="265">
        <v>44765</v>
      </c>
      <c r="C3243" s="238" t="s">
        <v>8621</v>
      </c>
      <c r="D3243" s="238">
        <v>500</v>
      </c>
      <c r="E3243" s="238"/>
      <c r="H3243" t="s">
        <v>1336</v>
      </c>
    </row>
    <row r="3244" spans="1:8" hidden="1">
      <c r="A3244" s="265">
        <v>44765</v>
      </c>
      <c r="C3244" s="238" t="s">
        <v>8622</v>
      </c>
      <c r="D3244" s="238">
        <v>1594.08</v>
      </c>
      <c r="E3244" s="238"/>
      <c r="H3244" t="s">
        <v>1336</v>
      </c>
    </row>
    <row r="3245" spans="1:8" hidden="1">
      <c r="A3245" s="265">
        <v>44767</v>
      </c>
      <c r="C3245" s="238" t="s">
        <v>8623</v>
      </c>
      <c r="D3245" s="238"/>
      <c r="E3245" s="238">
        <v>374345</v>
      </c>
      <c r="G3245" s="8" t="s">
        <v>1380</v>
      </c>
      <c r="H3245" t="s">
        <v>1336</v>
      </c>
    </row>
    <row r="3246" spans="1:8" hidden="1">
      <c r="A3246" s="265">
        <v>44767</v>
      </c>
      <c r="C3246" s="238" t="s">
        <v>8624</v>
      </c>
      <c r="D3246" s="324">
        <v>2500</v>
      </c>
      <c r="E3246" s="238"/>
      <c r="G3246" s="8" t="s">
        <v>1372</v>
      </c>
      <c r="H3246" t="s">
        <v>1336</v>
      </c>
    </row>
    <row r="3247" spans="1:8" hidden="1">
      <c r="A3247" s="265">
        <v>44767</v>
      </c>
      <c r="C3247" s="238" t="s">
        <v>8625</v>
      </c>
      <c r="D3247" s="238">
        <v>50000</v>
      </c>
      <c r="E3247" s="238"/>
      <c r="G3247" s="8" t="s">
        <v>1363</v>
      </c>
      <c r="H3247" t="s">
        <v>1336</v>
      </c>
    </row>
    <row r="3248" spans="1:8" hidden="1">
      <c r="A3248" s="265">
        <v>44768</v>
      </c>
      <c r="C3248" s="238" t="s">
        <v>8626</v>
      </c>
      <c r="D3248" s="238">
        <v>13900</v>
      </c>
      <c r="E3248" s="238"/>
      <c r="G3248" s="8" t="s">
        <v>1379</v>
      </c>
      <c r="H3248" t="s">
        <v>1336</v>
      </c>
    </row>
    <row r="3249" spans="1:8" hidden="1">
      <c r="A3249" s="265">
        <v>44768</v>
      </c>
      <c r="C3249" s="238" t="s">
        <v>8627</v>
      </c>
      <c r="D3249" s="324">
        <v>1000</v>
      </c>
      <c r="E3249" s="238"/>
      <c r="G3249" s="8" t="s">
        <v>1372</v>
      </c>
      <c r="H3249" t="s">
        <v>1336</v>
      </c>
    </row>
    <row r="3250" spans="1:8" hidden="1">
      <c r="A3250" s="265">
        <v>44768</v>
      </c>
      <c r="C3250" s="238" t="s">
        <v>8628</v>
      </c>
      <c r="D3250" s="238"/>
      <c r="E3250" s="238">
        <v>50000</v>
      </c>
      <c r="G3250" s="8" t="s">
        <v>1363</v>
      </c>
      <c r="H3250" t="s">
        <v>1336</v>
      </c>
    </row>
    <row r="3251" spans="1:8" hidden="1">
      <c r="A3251" s="265">
        <v>44768</v>
      </c>
      <c r="C3251" s="238" t="s">
        <v>8629</v>
      </c>
      <c r="D3251" s="238">
        <v>1000</v>
      </c>
      <c r="E3251" s="238"/>
      <c r="G3251" s="8" t="s">
        <v>1363</v>
      </c>
      <c r="H3251" t="s">
        <v>1336</v>
      </c>
    </row>
    <row r="3252" spans="1:8" hidden="1">
      <c r="A3252" s="265">
        <v>44768</v>
      </c>
      <c r="C3252" s="238" t="s">
        <v>8630</v>
      </c>
      <c r="D3252" s="238">
        <v>545</v>
      </c>
      <c r="E3252" s="238"/>
      <c r="H3252" t="s">
        <v>1336</v>
      </c>
    </row>
    <row r="3253" spans="1:8" hidden="1">
      <c r="A3253" s="265">
        <v>44768</v>
      </c>
      <c r="C3253" s="238" t="s">
        <v>8631</v>
      </c>
      <c r="D3253" s="238"/>
      <c r="E3253" s="238">
        <v>3</v>
      </c>
      <c r="H3253" t="s">
        <v>1336</v>
      </c>
    </row>
    <row r="3254" spans="1:8" hidden="1">
      <c r="A3254" s="265">
        <v>44769</v>
      </c>
      <c r="C3254" s="238" t="s">
        <v>8632</v>
      </c>
      <c r="D3254" s="238">
        <v>25000</v>
      </c>
      <c r="E3254" s="238"/>
      <c r="G3254" s="8" t="s">
        <v>1363</v>
      </c>
      <c r="H3254" t="s">
        <v>1336</v>
      </c>
    </row>
    <row r="3255" spans="1:8" hidden="1">
      <c r="A3255" s="265">
        <v>44769</v>
      </c>
      <c r="C3255" s="238" t="s">
        <v>8633</v>
      </c>
      <c r="D3255" s="238">
        <v>25000</v>
      </c>
      <c r="E3255" s="238"/>
      <c r="G3255" s="8" t="s">
        <v>1363</v>
      </c>
      <c r="H3255" t="s">
        <v>1336</v>
      </c>
    </row>
    <row r="3256" spans="1:8" hidden="1">
      <c r="A3256" s="265">
        <v>44769</v>
      </c>
      <c r="C3256" s="238" t="s">
        <v>8634</v>
      </c>
      <c r="D3256" s="238">
        <v>25000</v>
      </c>
      <c r="E3256" s="238"/>
      <c r="G3256" s="8" t="s">
        <v>1363</v>
      </c>
      <c r="H3256" t="s">
        <v>1336</v>
      </c>
    </row>
    <row r="3257" spans="1:8" hidden="1">
      <c r="A3257" s="265">
        <v>44770</v>
      </c>
      <c r="C3257" s="238" t="s">
        <v>8635</v>
      </c>
      <c r="D3257" s="238">
        <v>2177.12</v>
      </c>
      <c r="E3257" s="238"/>
      <c r="H3257" t="s">
        <v>1336</v>
      </c>
    </row>
    <row r="3258" spans="1:8" hidden="1">
      <c r="A3258" s="265">
        <v>44770</v>
      </c>
      <c r="C3258" s="238" t="s">
        <v>8636</v>
      </c>
      <c r="D3258" s="324">
        <v>1800</v>
      </c>
      <c r="E3258" s="238"/>
      <c r="G3258" s="8" t="s">
        <v>1372</v>
      </c>
      <c r="H3258" t="s">
        <v>1336</v>
      </c>
    </row>
    <row r="3259" spans="1:8" hidden="1">
      <c r="A3259" s="265">
        <v>44770</v>
      </c>
      <c r="C3259" s="238" t="s">
        <v>8637</v>
      </c>
      <c r="D3259" s="238">
        <v>25000</v>
      </c>
      <c r="E3259" s="238"/>
      <c r="G3259" s="8" t="s">
        <v>1363</v>
      </c>
      <c r="H3259" t="s">
        <v>1336</v>
      </c>
    </row>
    <row r="3260" spans="1:8" hidden="1">
      <c r="A3260" s="265">
        <v>44770</v>
      </c>
      <c r="C3260" s="238" t="s">
        <v>8638</v>
      </c>
      <c r="D3260" s="238">
        <v>8</v>
      </c>
      <c r="E3260" s="238"/>
      <c r="H3260" t="s">
        <v>1336</v>
      </c>
    </row>
    <row r="3261" spans="1:8" hidden="1">
      <c r="A3261" s="265">
        <v>44771</v>
      </c>
      <c r="C3261" s="238" t="s">
        <v>8639</v>
      </c>
      <c r="D3261" s="238">
        <v>380</v>
      </c>
      <c r="E3261" s="238"/>
      <c r="H3261" t="s">
        <v>1336</v>
      </c>
    </row>
    <row r="3262" spans="1:8" hidden="1">
      <c r="A3262" s="265">
        <v>44771</v>
      </c>
      <c r="C3262" s="238" t="s">
        <v>8640</v>
      </c>
      <c r="D3262" s="238">
        <v>380</v>
      </c>
      <c r="E3262" s="238"/>
      <c r="H3262" t="s">
        <v>1336</v>
      </c>
    </row>
    <row r="3263" spans="1:8" hidden="1">
      <c r="A3263" s="265">
        <v>44771</v>
      </c>
      <c r="C3263" s="238" t="s">
        <v>8641</v>
      </c>
      <c r="D3263" s="238">
        <v>199</v>
      </c>
      <c r="E3263" s="238"/>
      <c r="H3263" t="s">
        <v>1336</v>
      </c>
    </row>
    <row r="3264" spans="1:8" hidden="1">
      <c r="A3264" s="265">
        <v>44771</v>
      </c>
      <c r="C3264" s="238" t="s">
        <v>8642</v>
      </c>
      <c r="D3264" s="238">
        <v>855</v>
      </c>
      <c r="E3264" s="238"/>
      <c r="H3264" t="s">
        <v>1336</v>
      </c>
    </row>
    <row r="3265" spans="1:8" hidden="1">
      <c r="A3265" s="265">
        <v>44773</v>
      </c>
      <c r="C3265" s="238" t="s">
        <v>8643</v>
      </c>
      <c r="D3265" s="238">
        <v>690</v>
      </c>
      <c r="E3265" s="238"/>
      <c r="H3265" t="s">
        <v>1336</v>
      </c>
    </row>
    <row r="3266" spans="1:8" hidden="1">
      <c r="A3266" s="265">
        <v>44773</v>
      </c>
      <c r="C3266" s="238" t="s">
        <v>8644</v>
      </c>
      <c r="D3266" s="238">
        <v>2211</v>
      </c>
      <c r="E3266" s="238"/>
      <c r="H3266" t="s">
        <v>1336</v>
      </c>
    </row>
    <row r="3267" spans="1:8" hidden="1">
      <c r="A3267" s="265">
        <v>44774</v>
      </c>
      <c r="C3267" s="238" t="s">
        <v>8645</v>
      </c>
      <c r="D3267" s="324">
        <v>1000</v>
      </c>
      <c r="E3267" s="238"/>
      <c r="G3267" s="8" t="s">
        <v>1372</v>
      </c>
      <c r="H3267" t="s">
        <v>1336</v>
      </c>
    </row>
    <row r="3268" spans="1:8" hidden="1">
      <c r="A3268" s="265">
        <v>44774</v>
      </c>
      <c r="C3268" s="238" t="s">
        <v>8646</v>
      </c>
      <c r="D3268" s="324">
        <v>1250</v>
      </c>
      <c r="E3268" s="238"/>
      <c r="G3268" s="8" t="s">
        <v>1372</v>
      </c>
      <c r="H3268" t="s">
        <v>1336</v>
      </c>
    </row>
    <row r="3269" spans="1:8" hidden="1">
      <c r="A3269" s="265">
        <v>44774</v>
      </c>
      <c r="C3269" s="238" t="s">
        <v>8647</v>
      </c>
      <c r="D3269" s="238">
        <v>100000</v>
      </c>
      <c r="E3269" s="238"/>
      <c r="G3269" s="8" t="s">
        <v>1363</v>
      </c>
      <c r="H3269" t="s">
        <v>1336</v>
      </c>
    </row>
    <row r="3270" spans="1:8" hidden="1">
      <c r="A3270" s="265">
        <v>44774</v>
      </c>
      <c r="C3270" s="238" t="s">
        <v>8648</v>
      </c>
      <c r="D3270" s="238">
        <v>20000</v>
      </c>
      <c r="E3270" s="238"/>
      <c r="G3270" s="8" t="s">
        <v>1358</v>
      </c>
      <c r="H3270" t="s">
        <v>1336</v>
      </c>
    </row>
    <row r="3271" spans="1:8" hidden="1">
      <c r="A3271" s="265">
        <v>44774</v>
      </c>
      <c r="C3271" s="238" t="s">
        <v>8649</v>
      </c>
      <c r="D3271" s="238">
        <v>5000</v>
      </c>
      <c r="E3271" s="238"/>
      <c r="H3271" t="s">
        <v>1336</v>
      </c>
    </row>
    <row r="3272" spans="1:8" hidden="1">
      <c r="A3272" s="265">
        <v>44774</v>
      </c>
      <c r="C3272" s="238" t="s">
        <v>8650</v>
      </c>
      <c r="D3272" s="238">
        <v>2000</v>
      </c>
      <c r="E3272" s="238"/>
      <c r="H3272" t="s">
        <v>1336</v>
      </c>
    </row>
    <row r="3273" spans="1:8" hidden="1">
      <c r="A3273" s="265">
        <v>44775</v>
      </c>
      <c r="C3273" s="238" t="s">
        <v>8651</v>
      </c>
      <c r="D3273" s="238">
        <v>1268.5</v>
      </c>
      <c r="E3273" s="238"/>
      <c r="H3273" t="s">
        <v>1336</v>
      </c>
    </row>
    <row r="3274" spans="1:8" hidden="1">
      <c r="A3274" s="265">
        <v>44775</v>
      </c>
      <c r="C3274" s="238" t="s">
        <v>8652</v>
      </c>
      <c r="D3274" s="238">
        <v>108</v>
      </c>
      <c r="E3274" s="238"/>
      <c r="H3274" t="s">
        <v>1336</v>
      </c>
    </row>
    <row r="3275" spans="1:8" hidden="1">
      <c r="A3275" s="265">
        <v>44777</v>
      </c>
      <c r="C3275" s="238" t="s">
        <v>8653</v>
      </c>
      <c r="D3275" s="324">
        <v>3000</v>
      </c>
      <c r="E3275" s="238"/>
      <c r="G3275" s="8" t="s">
        <v>1372</v>
      </c>
      <c r="H3275" t="s">
        <v>1336</v>
      </c>
    </row>
    <row r="3276" spans="1:8" hidden="1">
      <c r="A3276" s="265">
        <v>44777</v>
      </c>
      <c r="C3276" s="238" t="s">
        <v>8654</v>
      </c>
      <c r="D3276" s="324">
        <v>775</v>
      </c>
      <c r="E3276" s="238"/>
      <c r="G3276" s="8" t="s">
        <v>1372</v>
      </c>
      <c r="H3276" t="s">
        <v>1336</v>
      </c>
    </row>
    <row r="3277" spans="1:8" hidden="1">
      <c r="A3277" s="265">
        <v>44777</v>
      </c>
      <c r="C3277" s="238" t="s">
        <v>8655</v>
      </c>
      <c r="D3277" s="324">
        <v>1000</v>
      </c>
      <c r="E3277" s="238"/>
      <c r="G3277" s="8" t="s">
        <v>1372</v>
      </c>
      <c r="H3277" t="s">
        <v>1336</v>
      </c>
    </row>
    <row r="3278" spans="1:8" hidden="1">
      <c r="A3278" s="265">
        <v>44778</v>
      </c>
      <c r="C3278" s="238" t="s">
        <v>6583</v>
      </c>
      <c r="D3278" s="238">
        <v>29440</v>
      </c>
      <c r="E3278" s="238"/>
      <c r="G3278" s="8" t="s">
        <v>1362</v>
      </c>
      <c r="H3278" t="s">
        <v>1336</v>
      </c>
    </row>
    <row r="3279" spans="1:8" hidden="1">
      <c r="A3279" s="265">
        <v>44778</v>
      </c>
      <c r="C3279" s="238" t="s">
        <v>8656</v>
      </c>
      <c r="D3279" s="324">
        <v>1250</v>
      </c>
      <c r="E3279" s="238"/>
      <c r="G3279" s="8" t="s">
        <v>1372</v>
      </c>
      <c r="H3279" t="s">
        <v>1336</v>
      </c>
    </row>
    <row r="3280" spans="1:8" hidden="1">
      <c r="A3280" s="265">
        <v>44778</v>
      </c>
      <c r="C3280" s="238" t="s">
        <v>8657</v>
      </c>
      <c r="D3280" s="324">
        <v>1250</v>
      </c>
      <c r="E3280" s="238"/>
      <c r="G3280" s="8" t="s">
        <v>1372</v>
      </c>
      <c r="H3280" t="s">
        <v>1336</v>
      </c>
    </row>
    <row r="3281" spans="1:8" hidden="1">
      <c r="A3281" s="265">
        <v>44781</v>
      </c>
      <c r="C3281" s="238" t="s">
        <v>8658</v>
      </c>
      <c r="D3281" s="324">
        <v>3575</v>
      </c>
      <c r="E3281" s="238"/>
      <c r="G3281" s="8" t="s">
        <v>1372</v>
      </c>
      <c r="H3281" t="s">
        <v>1336</v>
      </c>
    </row>
    <row r="3282" spans="1:8" hidden="1">
      <c r="A3282" s="265">
        <v>44781</v>
      </c>
      <c r="C3282" s="238" t="s">
        <v>8659</v>
      </c>
      <c r="D3282" s="324">
        <v>1000</v>
      </c>
      <c r="E3282" s="238"/>
      <c r="G3282" s="8" t="s">
        <v>1372</v>
      </c>
      <c r="H3282" t="s">
        <v>1336</v>
      </c>
    </row>
    <row r="3283" spans="1:8" hidden="1">
      <c r="A3283" s="265">
        <v>44781</v>
      </c>
      <c r="C3283" s="238" t="s">
        <v>8660</v>
      </c>
      <c r="D3283" s="238">
        <v>299</v>
      </c>
      <c r="E3283" s="238"/>
      <c r="H3283" t="s">
        <v>1336</v>
      </c>
    </row>
    <row r="3284" spans="1:8" hidden="1">
      <c r="A3284" s="265">
        <v>44781</v>
      </c>
      <c r="C3284" s="238" t="s">
        <v>8661</v>
      </c>
      <c r="D3284" s="238"/>
      <c r="E3284" s="238">
        <v>363</v>
      </c>
      <c r="H3284" t="s">
        <v>1336</v>
      </c>
    </row>
    <row r="3285" spans="1:8" hidden="1">
      <c r="A3285" s="265">
        <v>44783</v>
      </c>
      <c r="C3285" s="238" t="s">
        <v>8662</v>
      </c>
      <c r="D3285" s="238">
        <v>279</v>
      </c>
      <c r="E3285" s="238"/>
      <c r="H3285" t="s">
        <v>1336</v>
      </c>
    </row>
    <row r="3286" spans="1:8" hidden="1">
      <c r="A3286" s="265">
        <v>44783</v>
      </c>
      <c r="C3286" s="238" t="s">
        <v>8663</v>
      </c>
      <c r="D3286" s="238">
        <v>768</v>
      </c>
      <c r="E3286" s="238"/>
      <c r="H3286" t="s">
        <v>1336</v>
      </c>
    </row>
    <row r="3287" spans="1:8" hidden="1">
      <c r="A3287" s="265">
        <v>44783</v>
      </c>
      <c r="C3287" s="238" t="s">
        <v>8664</v>
      </c>
      <c r="D3287" s="238"/>
      <c r="E3287" s="238">
        <v>1800</v>
      </c>
      <c r="H3287" t="s">
        <v>1336</v>
      </c>
    </row>
    <row r="3288" spans="1:8" hidden="1">
      <c r="A3288" s="265">
        <v>44784</v>
      </c>
      <c r="C3288" s="238" t="s">
        <v>8665</v>
      </c>
      <c r="D3288" s="238">
        <v>891.25</v>
      </c>
      <c r="E3288" s="238"/>
      <c r="H3288" t="s">
        <v>1336</v>
      </c>
    </row>
    <row r="3289" spans="1:8" hidden="1">
      <c r="A3289" s="265">
        <v>44784</v>
      </c>
      <c r="C3289" s="238" t="s">
        <v>8666</v>
      </c>
      <c r="D3289" s="238"/>
      <c r="E3289" s="238">
        <v>30000</v>
      </c>
      <c r="G3289" s="8" t="s">
        <v>1380</v>
      </c>
      <c r="H3289" t="s">
        <v>1336</v>
      </c>
    </row>
    <row r="3290" spans="1:8" hidden="1">
      <c r="A3290" s="265">
        <v>44784</v>
      </c>
      <c r="C3290" s="238" t="s">
        <v>8667</v>
      </c>
      <c r="D3290" s="324">
        <v>3000</v>
      </c>
      <c r="E3290" s="238"/>
      <c r="G3290" s="8" t="s">
        <v>1372</v>
      </c>
      <c r="H3290" t="s">
        <v>1336</v>
      </c>
    </row>
    <row r="3291" spans="1:8" hidden="1">
      <c r="A3291" s="265">
        <v>44784</v>
      </c>
      <c r="C3291" s="238" t="s">
        <v>8668</v>
      </c>
      <c r="D3291" s="324">
        <v>750</v>
      </c>
      <c r="E3291" s="238"/>
      <c r="G3291" s="8" t="s">
        <v>1372</v>
      </c>
      <c r="H3291" t="s">
        <v>1336</v>
      </c>
    </row>
    <row r="3292" spans="1:8" hidden="1">
      <c r="A3292" s="265">
        <v>44784</v>
      </c>
      <c r="C3292" s="238" t="s">
        <v>8669</v>
      </c>
      <c r="D3292" s="324">
        <v>1250</v>
      </c>
      <c r="E3292" s="238"/>
      <c r="G3292" s="8" t="s">
        <v>1372</v>
      </c>
      <c r="H3292" t="s">
        <v>1336</v>
      </c>
    </row>
    <row r="3293" spans="1:8" hidden="1">
      <c r="A3293" s="265">
        <v>44785</v>
      </c>
      <c r="C3293" s="238" t="s">
        <v>8670</v>
      </c>
      <c r="D3293" s="238">
        <v>660</v>
      </c>
      <c r="E3293" s="238"/>
      <c r="H3293" t="s">
        <v>1336</v>
      </c>
    </row>
    <row r="3294" spans="1:8" hidden="1">
      <c r="A3294" s="265">
        <v>44785</v>
      </c>
      <c r="C3294" s="238" t="s">
        <v>8671</v>
      </c>
      <c r="D3294" s="238">
        <v>700</v>
      </c>
      <c r="E3294" s="238"/>
      <c r="H3294" t="s">
        <v>1336</v>
      </c>
    </row>
    <row r="3295" spans="1:8" hidden="1">
      <c r="A3295" s="265">
        <v>44786</v>
      </c>
      <c r="C3295" s="238" t="s">
        <v>8672</v>
      </c>
      <c r="D3295" s="238"/>
      <c r="E3295" s="238">
        <v>3</v>
      </c>
      <c r="H3295" t="s">
        <v>1336</v>
      </c>
    </row>
    <row r="3296" spans="1:8" hidden="1">
      <c r="A3296" s="265">
        <v>44786</v>
      </c>
      <c r="C3296" s="238" t="s">
        <v>8673</v>
      </c>
      <c r="D3296" s="238">
        <v>1064</v>
      </c>
      <c r="E3296" s="238"/>
      <c r="H3296" t="s">
        <v>1336</v>
      </c>
    </row>
    <row r="3297" spans="1:8" hidden="1">
      <c r="A3297" s="265">
        <v>44789</v>
      </c>
      <c r="C3297" s="238" t="s">
        <v>8674</v>
      </c>
      <c r="D3297" s="324">
        <v>4575</v>
      </c>
      <c r="E3297" s="238"/>
      <c r="G3297" s="8" t="s">
        <v>1372</v>
      </c>
      <c r="H3297" t="s">
        <v>1336</v>
      </c>
    </row>
    <row r="3298" spans="1:8" hidden="1">
      <c r="A3298" s="265">
        <v>44789</v>
      </c>
      <c r="C3298" s="238" t="s">
        <v>8675</v>
      </c>
      <c r="D3298" s="324">
        <v>750</v>
      </c>
      <c r="E3298" s="238"/>
      <c r="G3298" s="8" t="s">
        <v>1372</v>
      </c>
      <c r="H3298" t="s">
        <v>1336</v>
      </c>
    </row>
    <row r="3299" spans="1:8" hidden="1">
      <c r="A3299" s="265">
        <v>44789</v>
      </c>
      <c r="C3299" s="238" t="s">
        <v>8676</v>
      </c>
      <c r="D3299" s="324">
        <v>1250</v>
      </c>
      <c r="E3299" s="238"/>
      <c r="G3299" s="8" t="s">
        <v>1372</v>
      </c>
      <c r="H3299" t="s">
        <v>1336</v>
      </c>
    </row>
    <row r="3300" spans="1:8" hidden="1">
      <c r="A3300" s="265">
        <v>44789</v>
      </c>
      <c r="C3300" s="238" t="s">
        <v>8677</v>
      </c>
      <c r="D3300" s="324">
        <v>1250</v>
      </c>
      <c r="E3300" s="238"/>
      <c r="G3300" s="8" t="s">
        <v>1372</v>
      </c>
      <c r="H3300" t="s">
        <v>1336</v>
      </c>
    </row>
    <row r="3301" spans="1:8" hidden="1">
      <c r="A3301" s="265">
        <v>44789</v>
      </c>
      <c r="C3301" s="238" t="s">
        <v>8678</v>
      </c>
      <c r="D3301" s="324">
        <v>1000</v>
      </c>
      <c r="E3301" s="238"/>
      <c r="G3301" s="8" t="s">
        <v>1372</v>
      </c>
      <c r="H3301" t="s">
        <v>1336</v>
      </c>
    </row>
    <row r="3302" spans="1:8" hidden="1">
      <c r="A3302" s="265">
        <v>44789</v>
      </c>
      <c r="C3302" s="238" t="s">
        <v>8679</v>
      </c>
      <c r="D3302" s="238">
        <v>1217</v>
      </c>
      <c r="E3302" s="238"/>
      <c r="H3302" t="s">
        <v>1336</v>
      </c>
    </row>
    <row r="3303" spans="1:8" hidden="1">
      <c r="A3303" s="265">
        <v>44790</v>
      </c>
      <c r="C3303" s="238" t="s">
        <v>8680</v>
      </c>
      <c r="D3303" s="238">
        <v>1666.05</v>
      </c>
      <c r="E3303" s="238"/>
      <c r="H3303" t="s">
        <v>1336</v>
      </c>
    </row>
    <row r="3304" spans="1:8" hidden="1">
      <c r="A3304" s="265">
        <v>44792</v>
      </c>
      <c r="C3304" s="238" t="s">
        <v>8681</v>
      </c>
      <c r="D3304" s="324">
        <v>2500</v>
      </c>
      <c r="E3304" s="238"/>
      <c r="G3304" s="8" t="s">
        <v>1372</v>
      </c>
      <c r="H3304" t="s">
        <v>1336</v>
      </c>
    </row>
    <row r="3305" spans="1:8" hidden="1">
      <c r="A3305" s="265">
        <v>44792</v>
      </c>
      <c r="C3305" s="238" t="s">
        <v>8682</v>
      </c>
      <c r="D3305" s="324">
        <v>1000</v>
      </c>
      <c r="E3305" s="238"/>
      <c r="G3305" s="8" t="s">
        <v>1372</v>
      </c>
      <c r="H3305" t="s">
        <v>1336</v>
      </c>
    </row>
    <row r="3306" spans="1:8" hidden="1">
      <c r="A3306" s="265">
        <v>44793</v>
      </c>
      <c r="C3306" s="238" t="s">
        <v>8683</v>
      </c>
      <c r="D3306" s="324">
        <v>775</v>
      </c>
      <c r="E3306" s="238"/>
      <c r="G3306" s="8" t="s">
        <v>1372</v>
      </c>
      <c r="H3306" t="s">
        <v>1336</v>
      </c>
    </row>
    <row r="3307" spans="1:8" hidden="1">
      <c r="A3307" s="265">
        <v>44793</v>
      </c>
      <c r="C3307" s="238" t="s">
        <v>8684</v>
      </c>
      <c r="D3307" s="238">
        <v>238</v>
      </c>
      <c r="E3307" s="238"/>
      <c r="H3307" t="s">
        <v>1336</v>
      </c>
    </row>
    <row r="3308" spans="1:8" hidden="1">
      <c r="A3308" s="265">
        <v>44794</v>
      </c>
      <c r="C3308" s="238" t="s">
        <v>8685</v>
      </c>
      <c r="D3308" s="238">
        <v>125</v>
      </c>
      <c r="E3308" s="238"/>
      <c r="H3308" t="s">
        <v>1336</v>
      </c>
    </row>
    <row r="3309" spans="1:8" hidden="1">
      <c r="A3309" s="265">
        <v>44795</v>
      </c>
      <c r="C3309" s="238" t="s">
        <v>8686</v>
      </c>
      <c r="D3309" s="324">
        <v>2750</v>
      </c>
      <c r="E3309" s="238"/>
      <c r="G3309" s="8" t="s">
        <v>1372</v>
      </c>
      <c r="H3309" t="s">
        <v>1336</v>
      </c>
    </row>
    <row r="3310" spans="1:8" hidden="1">
      <c r="A3310" s="265">
        <v>44795</v>
      </c>
      <c r="C3310" s="238" t="s">
        <v>8687</v>
      </c>
      <c r="D3310" s="324">
        <v>750</v>
      </c>
      <c r="E3310" s="238"/>
      <c r="G3310" s="8" t="s">
        <v>1372</v>
      </c>
      <c r="H3310" t="s">
        <v>1336</v>
      </c>
    </row>
    <row r="3311" spans="1:8" hidden="1">
      <c r="A3311" s="265">
        <v>44796</v>
      </c>
      <c r="C3311" s="238" t="s">
        <v>8688</v>
      </c>
      <c r="D3311" s="238">
        <v>16230</v>
      </c>
      <c r="E3311" s="238"/>
      <c r="G3311" s="8" t="s">
        <v>1379</v>
      </c>
      <c r="H3311" t="s">
        <v>1336</v>
      </c>
    </row>
    <row r="3312" spans="1:8" hidden="1">
      <c r="A3312" s="265">
        <v>44796</v>
      </c>
      <c r="C3312" s="238" t="s">
        <v>8689</v>
      </c>
      <c r="D3312" s="238">
        <v>199</v>
      </c>
      <c r="E3312" s="238"/>
      <c r="H3312" t="s">
        <v>1336</v>
      </c>
    </row>
    <row r="3313" spans="1:8" hidden="1">
      <c r="A3313" s="265">
        <v>44796</v>
      </c>
      <c r="C3313" s="238" t="s">
        <v>8690</v>
      </c>
      <c r="D3313" s="238">
        <v>499</v>
      </c>
      <c r="E3313" s="238"/>
      <c r="H3313" t="s">
        <v>1336</v>
      </c>
    </row>
    <row r="3314" spans="1:8" hidden="1">
      <c r="A3314" s="265">
        <v>44796</v>
      </c>
      <c r="C3314" s="238" t="s">
        <v>8691</v>
      </c>
      <c r="D3314" s="324">
        <v>750</v>
      </c>
      <c r="E3314" s="238"/>
      <c r="G3314" s="8" t="s">
        <v>1372</v>
      </c>
      <c r="H3314" t="s">
        <v>1336</v>
      </c>
    </row>
    <row r="3315" spans="1:8" hidden="1">
      <c r="A3315" s="265">
        <v>44797</v>
      </c>
      <c r="C3315" s="238" t="s">
        <v>8692</v>
      </c>
      <c r="D3315" s="324">
        <v>1000</v>
      </c>
      <c r="E3315" s="238"/>
      <c r="G3315" s="8" t="s">
        <v>1372</v>
      </c>
      <c r="H3315" t="s">
        <v>1336</v>
      </c>
    </row>
    <row r="3316" spans="1:8" hidden="1">
      <c r="A3316" s="265">
        <v>44798</v>
      </c>
      <c r="C3316" s="238" t="s">
        <v>8693</v>
      </c>
      <c r="D3316" s="238"/>
      <c r="E3316" s="238">
        <v>293657</v>
      </c>
      <c r="G3316" s="8" t="s">
        <v>1380</v>
      </c>
      <c r="H3316" t="s">
        <v>1336</v>
      </c>
    </row>
    <row r="3317" spans="1:8" hidden="1">
      <c r="A3317" s="265">
        <v>44799</v>
      </c>
      <c r="C3317" s="238" t="s">
        <v>8694</v>
      </c>
      <c r="D3317" s="238">
        <v>13900</v>
      </c>
      <c r="E3317" s="238"/>
      <c r="G3317" s="8" t="s">
        <v>1379</v>
      </c>
      <c r="H3317" t="s">
        <v>1336</v>
      </c>
    </row>
    <row r="3318" spans="1:8" hidden="1">
      <c r="A3318" s="265">
        <v>44799</v>
      </c>
      <c r="C3318" s="238" t="s">
        <v>8695</v>
      </c>
      <c r="D3318" s="238">
        <v>1162</v>
      </c>
      <c r="E3318" s="238"/>
      <c r="H3318" t="s">
        <v>1336</v>
      </c>
    </row>
    <row r="3319" spans="1:8" hidden="1">
      <c r="A3319" s="265">
        <v>44800</v>
      </c>
      <c r="C3319" s="238" t="s">
        <v>8696</v>
      </c>
      <c r="D3319" s="238">
        <v>100000</v>
      </c>
      <c r="E3319" s="238"/>
      <c r="G3319" s="8" t="s">
        <v>1363</v>
      </c>
      <c r="H3319" t="s">
        <v>1336</v>
      </c>
    </row>
    <row r="3320" spans="1:8" hidden="1">
      <c r="A3320" s="265">
        <v>44801</v>
      </c>
      <c r="C3320" s="238" t="s">
        <v>8697</v>
      </c>
      <c r="D3320" s="238">
        <v>199</v>
      </c>
      <c r="E3320" s="238"/>
      <c r="H3320" t="s">
        <v>1336</v>
      </c>
    </row>
    <row r="3321" spans="1:8" hidden="1">
      <c r="A3321" s="265">
        <v>44802</v>
      </c>
      <c r="C3321" s="238" t="s">
        <v>8698</v>
      </c>
      <c r="D3321" s="324">
        <v>2550</v>
      </c>
      <c r="E3321" s="238"/>
      <c r="G3321" s="8" t="s">
        <v>1372</v>
      </c>
      <c r="H3321" t="s">
        <v>1336</v>
      </c>
    </row>
    <row r="3322" spans="1:8" hidden="1">
      <c r="A3322" s="265">
        <v>44802</v>
      </c>
      <c r="C3322" s="238" t="s">
        <v>8699</v>
      </c>
      <c r="D3322" s="324">
        <v>1000</v>
      </c>
      <c r="E3322" s="238"/>
      <c r="G3322" s="8" t="s">
        <v>1372</v>
      </c>
      <c r="H3322" t="s">
        <v>1336</v>
      </c>
    </row>
    <row r="3323" spans="1:8" hidden="1">
      <c r="A3323" s="265">
        <v>44803</v>
      </c>
      <c r="C3323" s="238" t="s">
        <v>8700</v>
      </c>
      <c r="D3323" s="238">
        <v>410.08</v>
      </c>
      <c r="E3323" s="238"/>
      <c r="H3323" t="s">
        <v>1336</v>
      </c>
    </row>
    <row r="3324" spans="1:8" hidden="1">
      <c r="A3324" s="265">
        <v>44803</v>
      </c>
      <c r="C3324" s="238" t="s">
        <v>8701</v>
      </c>
      <c r="D3324" s="238">
        <v>700</v>
      </c>
      <c r="E3324" s="238"/>
      <c r="H3324" t="s">
        <v>1336</v>
      </c>
    </row>
    <row r="3325" spans="1:8" hidden="1">
      <c r="A3325" s="265">
        <v>44805</v>
      </c>
      <c r="C3325" s="238" t="s">
        <v>8702</v>
      </c>
      <c r="D3325" s="324">
        <v>1250</v>
      </c>
      <c r="E3325" s="238"/>
      <c r="G3325" s="8" t="s">
        <v>1372</v>
      </c>
      <c r="H3325" t="s">
        <v>1336</v>
      </c>
    </row>
    <row r="3326" spans="1:8" hidden="1">
      <c r="A3326" s="265">
        <v>44805</v>
      </c>
      <c r="C3326" s="238" t="s">
        <v>8703</v>
      </c>
      <c r="D3326" s="324">
        <v>1000</v>
      </c>
      <c r="E3326" s="238"/>
      <c r="G3326" s="8" t="s">
        <v>1372</v>
      </c>
      <c r="H3326" t="s">
        <v>1336</v>
      </c>
    </row>
    <row r="3327" spans="1:8" hidden="1">
      <c r="A3327" s="265">
        <v>44805</v>
      </c>
      <c r="C3327" s="238" t="s">
        <v>8704</v>
      </c>
      <c r="D3327" s="238">
        <v>5000</v>
      </c>
      <c r="E3327" s="238"/>
      <c r="H3327" t="s">
        <v>1336</v>
      </c>
    </row>
    <row r="3328" spans="1:8" hidden="1">
      <c r="A3328" s="265">
        <v>44805</v>
      </c>
      <c r="C3328" s="238" t="s">
        <v>8705</v>
      </c>
      <c r="D3328" s="238">
        <v>2000</v>
      </c>
      <c r="E3328" s="238"/>
      <c r="H3328" t="s">
        <v>1336</v>
      </c>
    </row>
    <row r="3329" spans="1:8" hidden="1">
      <c r="A3329" s="265">
        <v>44805</v>
      </c>
      <c r="C3329" s="238" t="s">
        <v>8706</v>
      </c>
      <c r="D3329" s="238">
        <v>20000</v>
      </c>
      <c r="E3329" s="238"/>
      <c r="G3329" s="8" t="s">
        <v>1358</v>
      </c>
      <c r="H3329" t="s">
        <v>1336</v>
      </c>
    </row>
    <row r="3330" spans="1:8" hidden="1">
      <c r="A3330" s="265">
        <v>44806</v>
      </c>
      <c r="C3330" s="238" t="s">
        <v>8707</v>
      </c>
      <c r="D3330" s="324">
        <v>2250</v>
      </c>
      <c r="E3330" s="238"/>
      <c r="G3330" s="8" t="s">
        <v>1372</v>
      </c>
      <c r="H3330" t="s">
        <v>1336</v>
      </c>
    </row>
    <row r="3331" spans="1:8" hidden="1">
      <c r="A3331" s="265">
        <v>44806</v>
      </c>
      <c r="C3331" s="238" t="s">
        <v>8708</v>
      </c>
      <c r="D3331" s="238">
        <v>1268.5</v>
      </c>
      <c r="E3331" s="238"/>
      <c r="H3331" t="s">
        <v>1336</v>
      </c>
    </row>
    <row r="3332" spans="1:8" hidden="1">
      <c r="A3332" s="265">
        <v>44806</v>
      </c>
      <c r="C3332" s="238" t="s">
        <v>8709</v>
      </c>
      <c r="D3332" s="238">
        <v>834</v>
      </c>
      <c r="E3332" s="238"/>
      <c r="H3332" t="s">
        <v>1336</v>
      </c>
    </row>
    <row r="3333" spans="1:8" hidden="1">
      <c r="A3333" s="265">
        <v>44806</v>
      </c>
      <c r="C3333" s="238" t="s">
        <v>8710</v>
      </c>
      <c r="D3333" s="238">
        <v>2211</v>
      </c>
      <c r="E3333" s="238"/>
      <c r="H3333" t="s">
        <v>1336</v>
      </c>
    </row>
    <row r="3334" spans="1:8" hidden="1">
      <c r="A3334" s="265">
        <v>44806</v>
      </c>
      <c r="C3334" s="238" t="s">
        <v>8711</v>
      </c>
      <c r="D3334" s="238">
        <v>37500</v>
      </c>
      <c r="E3334" s="238"/>
      <c r="H3334" t="s">
        <v>1336</v>
      </c>
    </row>
    <row r="3335" spans="1:8" hidden="1">
      <c r="A3335" s="265">
        <v>44808</v>
      </c>
      <c r="C3335" s="238" t="s">
        <v>8712</v>
      </c>
      <c r="D3335" s="238">
        <v>357</v>
      </c>
      <c r="E3335" s="238"/>
      <c r="H3335" t="s">
        <v>1336</v>
      </c>
    </row>
    <row r="3336" spans="1:8" hidden="1">
      <c r="A3336" s="265">
        <v>44809</v>
      </c>
      <c r="C3336" s="238" t="s">
        <v>8713</v>
      </c>
      <c r="D3336" s="324">
        <v>750</v>
      </c>
      <c r="E3336" s="238"/>
      <c r="G3336" s="8" t="s">
        <v>1372</v>
      </c>
      <c r="H3336" t="s">
        <v>1336</v>
      </c>
    </row>
    <row r="3337" spans="1:8" hidden="1">
      <c r="A3337" s="265">
        <v>44809</v>
      </c>
      <c r="C3337" s="238" t="s">
        <v>6583</v>
      </c>
      <c r="D3337" s="238">
        <v>56554</v>
      </c>
      <c r="E3337" s="238"/>
      <c r="G3337" s="8" t="s">
        <v>1362</v>
      </c>
      <c r="H3337" t="s">
        <v>1336</v>
      </c>
    </row>
    <row r="3338" spans="1:8" hidden="1">
      <c r="A3338" s="265">
        <v>44809</v>
      </c>
      <c r="C3338" s="238" t="s">
        <v>8714</v>
      </c>
      <c r="D3338" s="238">
        <v>750</v>
      </c>
      <c r="E3338" s="238"/>
      <c r="H3338" t="s">
        <v>1336</v>
      </c>
    </row>
    <row r="3339" spans="1:8" hidden="1">
      <c r="A3339" s="265">
        <v>44810</v>
      </c>
      <c r="C3339" s="238" t="s">
        <v>8715</v>
      </c>
      <c r="D3339" s="324">
        <v>1800</v>
      </c>
      <c r="E3339" s="238"/>
      <c r="G3339" s="8" t="s">
        <v>1372</v>
      </c>
      <c r="H3339" t="s">
        <v>1336</v>
      </c>
    </row>
    <row r="3340" spans="1:8" hidden="1">
      <c r="A3340" s="265">
        <v>44810</v>
      </c>
      <c r="C3340" s="238" t="s">
        <v>8716</v>
      </c>
      <c r="D3340" s="324">
        <v>775</v>
      </c>
      <c r="E3340" s="238"/>
      <c r="G3340" s="8" t="s">
        <v>1372</v>
      </c>
      <c r="H3340" t="s">
        <v>1336</v>
      </c>
    </row>
    <row r="3341" spans="1:8" hidden="1">
      <c r="A3341" s="265">
        <v>44810</v>
      </c>
      <c r="C3341" s="238" t="s">
        <v>8717</v>
      </c>
      <c r="D3341" s="324">
        <v>1250</v>
      </c>
      <c r="E3341" s="238"/>
      <c r="G3341" s="8" t="s">
        <v>1372</v>
      </c>
      <c r="H3341" t="s">
        <v>1336</v>
      </c>
    </row>
    <row r="3342" spans="1:8" hidden="1">
      <c r="A3342" s="265">
        <v>44810</v>
      </c>
      <c r="C3342" s="238" t="s">
        <v>8718</v>
      </c>
      <c r="D3342" s="324">
        <v>1000</v>
      </c>
      <c r="E3342" s="238"/>
      <c r="G3342" s="8" t="s">
        <v>1372</v>
      </c>
      <c r="H3342" t="s">
        <v>1336</v>
      </c>
    </row>
    <row r="3343" spans="1:8" hidden="1">
      <c r="A3343" s="265">
        <v>44810</v>
      </c>
      <c r="C3343" s="238" t="s">
        <v>8719</v>
      </c>
      <c r="D3343" s="324">
        <v>1250</v>
      </c>
      <c r="E3343" s="238"/>
      <c r="G3343" s="8" t="s">
        <v>1372</v>
      </c>
      <c r="H3343" t="s">
        <v>1336</v>
      </c>
    </row>
    <row r="3344" spans="1:8" hidden="1">
      <c r="A3344" s="265">
        <v>44810</v>
      </c>
      <c r="C3344" s="238" t="s">
        <v>8720</v>
      </c>
      <c r="D3344" s="238">
        <v>618</v>
      </c>
      <c r="E3344" s="238"/>
      <c r="H3344" t="s">
        <v>1336</v>
      </c>
    </row>
    <row r="3345" spans="1:8" hidden="1">
      <c r="A3345" s="265">
        <v>44811</v>
      </c>
      <c r="C3345" s="238" t="s">
        <v>8721</v>
      </c>
      <c r="D3345" s="324">
        <v>1000</v>
      </c>
      <c r="E3345" s="238"/>
      <c r="G3345" s="8" t="s">
        <v>1372</v>
      </c>
      <c r="H3345" t="s">
        <v>1336</v>
      </c>
    </row>
    <row r="3346" spans="1:8" hidden="1">
      <c r="A3346" s="265">
        <v>44813</v>
      </c>
      <c r="C3346" s="238" t="s">
        <v>8722</v>
      </c>
      <c r="D3346" s="238">
        <v>1500</v>
      </c>
      <c r="E3346" s="238"/>
      <c r="H3346" t="s">
        <v>1336</v>
      </c>
    </row>
    <row r="3347" spans="1:8" hidden="1">
      <c r="A3347" s="265">
        <v>44813</v>
      </c>
      <c r="C3347" s="238" t="s">
        <v>8723</v>
      </c>
      <c r="D3347" s="324">
        <v>2525</v>
      </c>
      <c r="E3347" s="238"/>
      <c r="G3347" s="8" t="s">
        <v>1372</v>
      </c>
      <c r="H3347" t="s">
        <v>1336</v>
      </c>
    </row>
    <row r="3348" spans="1:8" hidden="1">
      <c r="A3348" s="265">
        <v>44813</v>
      </c>
      <c r="C3348" s="238" t="s">
        <v>8724</v>
      </c>
      <c r="D3348" s="324">
        <v>750</v>
      </c>
      <c r="E3348" s="238"/>
      <c r="G3348" s="8" t="s">
        <v>1372</v>
      </c>
      <c r="H3348" t="s">
        <v>1336</v>
      </c>
    </row>
    <row r="3349" spans="1:8" hidden="1">
      <c r="A3349" s="265">
        <v>44813</v>
      </c>
      <c r="C3349" s="238" t="s">
        <v>8725</v>
      </c>
      <c r="D3349" s="324">
        <v>1000</v>
      </c>
      <c r="E3349" s="238"/>
      <c r="G3349" s="8" t="s">
        <v>1372</v>
      </c>
      <c r="H3349" t="s">
        <v>1336</v>
      </c>
    </row>
    <row r="3350" spans="1:8" hidden="1">
      <c r="A3350" s="265">
        <v>44813</v>
      </c>
      <c r="C3350" s="238" t="s">
        <v>8726</v>
      </c>
      <c r="D3350" s="238">
        <v>10</v>
      </c>
      <c r="E3350" s="238"/>
      <c r="H3350" t="s">
        <v>1336</v>
      </c>
    </row>
    <row r="3351" spans="1:8" hidden="1">
      <c r="A3351" s="265">
        <v>44816</v>
      </c>
      <c r="C3351" s="238" t="s">
        <v>8727</v>
      </c>
      <c r="D3351" s="324">
        <v>1250</v>
      </c>
      <c r="E3351" s="238"/>
      <c r="G3351" s="8" t="s">
        <v>1372</v>
      </c>
      <c r="H3351" t="s">
        <v>1336</v>
      </c>
    </row>
    <row r="3352" spans="1:8" hidden="1">
      <c r="A3352" s="265">
        <v>44816</v>
      </c>
      <c r="C3352" s="238" t="s">
        <v>8728</v>
      </c>
      <c r="D3352" s="324">
        <v>1000</v>
      </c>
      <c r="E3352" s="238"/>
      <c r="G3352" s="8" t="s">
        <v>1372</v>
      </c>
      <c r="H3352" t="s">
        <v>1336</v>
      </c>
    </row>
    <row r="3353" spans="1:8" hidden="1">
      <c r="A3353" s="265">
        <v>44816</v>
      </c>
      <c r="C3353" s="238" t="s">
        <v>8729</v>
      </c>
      <c r="D3353" s="324">
        <v>1250</v>
      </c>
      <c r="E3353" s="238"/>
      <c r="G3353" s="8" t="s">
        <v>1372</v>
      </c>
      <c r="H3353" t="s">
        <v>1336</v>
      </c>
    </row>
    <row r="3354" spans="1:8" hidden="1">
      <c r="A3354" s="265">
        <v>44816</v>
      </c>
      <c r="C3354" s="238" t="s">
        <v>8730</v>
      </c>
      <c r="D3354" s="238">
        <v>320</v>
      </c>
      <c r="E3354" s="238"/>
      <c r="H3354" t="s">
        <v>1336</v>
      </c>
    </row>
    <row r="3355" spans="1:8" hidden="1">
      <c r="A3355" s="265">
        <v>44817</v>
      </c>
      <c r="C3355" s="238" t="s">
        <v>8731</v>
      </c>
      <c r="D3355" s="324">
        <v>1775</v>
      </c>
      <c r="E3355" s="238"/>
      <c r="G3355" s="8" t="s">
        <v>1372</v>
      </c>
      <c r="H3355" t="s">
        <v>1336</v>
      </c>
    </row>
    <row r="3356" spans="1:8" hidden="1">
      <c r="A3356" s="265">
        <v>44817</v>
      </c>
      <c r="C3356" s="238" t="s">
        <v>8732</v>
      </c>
      <c r="D3356" s="238">
        <v>1149.55</v>
      </c>
      <c r="E3356" s="238"/>
      <c r="H3356" t="s">
        <v>1336</v>
      </c>
    </row>
    <row r="3357" spans="1:8" hidden="1">
      <c r="A3357" s="265">
        <v>44817</v>
      </c>
      <c r="C3357" s="238" t="s">
        <v>8733</v>
      </c>
      <c r="D3357" s="238">
        <v>240</v>
      </c>
      <c r="E3357" s="238"/>
      <c r="H3357" t="s">
        <v>1336</v>
      </c>
    </row>
    <row r="3358" spans="1:8" hidden="1">
      <c r="A3358" s="265">
        <v>44818</v>
      </c>
      <c r="C3358" s="238" t="s">
        <v>8734</v>
      </c>
      <c r="D3358" s="238">
        <v>72</v>
      </c>
      <c r="E3358" s="238"/>
      <c r="H3358" t="s">
        <v>1336</v>
      </c>
    </row>
    <row r="3359" spans="1:8" hidden="1">
      <c r="A3359" s="265">
        <v>44821</v>
      </c>
      <c r="C3359" s="238" t="s">
        <v>8735</v>
      </c>
      <c r="D3359" s="238">
        <v>1485</v>
      </c>
      <c r="E3359" s="238"/>
      <c r="H3359" t="s">
        <v>1336</v>
      </c>
    </row>
    <row r="3360" spans="1:8" hidden="1">
      <c r="A3360" s="265">
        <v>44822</v>
      </c>
      <c r="C3360" s="238" t="s">
        <v>8736</v>
      </c>
      <c r="D3360" s="238">
        <v>1499</v>
      </c>
      <c r="E3360" s="238"/>
      <c r="H3360" t="s">
        <v>1336</v>
      </c>
    </row>
    <row r="3361" spans="1:8" hidden="1">
      <c r="A3361" s="265">
        <v>44822</v>
      </c>
      <c r="C3361" s="238" t="s">
        <v>8737</v>
      </c>
      <c r="D3361" s="238"/>
      <c r="E3361" s="238">
        <v>4535.5</v>
      </c>
      <c r="H3361" t="s">
        <v>1336</v>
      </c>
    </row>
    <row r="3362" spans="1:8" hidden="1">
      <c r="A3362" s="265">
        <v>44822</v>
      </c>
      <c r="C3362" s="238" t="s">
        <v>8738</v>
      </c>
      <c r="D3362" s="238"/>
      <c r="E3362" s="238">
        <v>4535.5</v>
      </c>
      <c r="H3362" t="s">
        <v>1336</v>
      </c>
    </row>
    <row r="3363" spans="1:8" hidden="1">
      <c r="A3363" s="265">
        <v>44822</v>
      </c>
      <c r="C3363" s="238" t="s">
        <v>8739</v>
      </c>
      <c r="D3363" s="238"/>
      <c r="E3363" s="238">
        <v>4535.5</v>
      </c>
      <c r="H3363" t="s">
        <v>1336</v>
      </c>
    </row>
    <row r="3364" spans="1:8" hidden="1">
      <c r="A3364" s="265">
        <v>44823</v>
      </c>
      <c r="C3364" s="238" t="s">
        <v>8740</v>
      </c>
      <c r="D3364" s="238">
        <v>399</v>
      </c>
      <c r="E3364" s="238"/>
      <c r="H3364" t="s">
        <v>1336</v>
      </c>
    </row>
    <row r="3365" spans="1:8" hidden="1">
      <c r="A3365" s="265">
        <v>44823</v>
      </c>
      <c r="C3365" s="238" t="s">
        <v>8741</v>
      </c>
      <c r="D3365" s="324">
        <v>5300</v>
      </c>
      <c r="E3365" s="238"/>
      <c r="G3365" s="8" t="s">
        <v>1372</v>
      </c>
      <c r="H3365" t="s">
        <v>1336</v>
      </c>
    </row>
    <row r="3366" spans="1:8" hidden="1">
      <c r="A3366" s="265">
        <v>44823</v>
      </c>
      <c r="C3366" s="238" t="s">
        <v>8742</v>
      </c>
      <c r="D3366" s="324">
        <v>1000</v>
      </c>
      <c r="E3366" s="238"/>
      <c r="G3366" s="8" t="s">
        <v>1372</v>
      </c>
      <c r="H3366" t="s">
        <v>1336</v>
      </c>
    </row>
    <row r="3367" spans="1:8" hidden="1">
      <c r="A3367" s="265">
        <v>44823</v>
      </c>
      <c r="C3367" s="238" t="s">
        <v>8743</v>
      </c>
      <c r="D3367" s="324">
        <v>750</v>
      </c>
      <c r="E3367" s="238"/>
      <c r="G3367" s="8" t="s">
        <v>1372</v>
      </c>
      <c r="H3367" t="s">
        <v>1336</v>
      </c>
    </row>
    <row r="3368" spans="1:8" hidden="1">
      <c r="A3368" s="265">
        <v>44823</v>
      </c>
      <c r="C3368" s="238" t="s">
        <v>8744</v>
      </c>
      <c r="D3368" s="324">
        <v>1250</v>
      </c>
      <c r="E3368" s="238"/>
      <c r="G3368" s="8" t="s">
        <v>1372</v>
      </c>
      <c r="H3368" t="s">
        <v>1336</v>
      </c>
    </row>
    <row r="3369" spans="1:8" hidden="1">
      <c r="A3369" s="265">
        <v>44823</v>
      </c>
      <c r="C3369" s="238" t="s">
        <v>8745</v>
      </c>
      <c r="D3369" s="324">
        <v>1250</v>
      </c>
      <c r="E3369" s="238"/>
      <c r="G3369" s="8" t="s">
        <v>1372</v>
      </c>
      <c r="H3369" t="s">
        <v>1336</v>
      </c>
    </row>
    <row r="3370" spans="1:8" hidden="1">
      <c r="A3370" s="265">
        <v>44824</v>
      </c>
      <c r="C3370" s="238" t="s">
        <v>8746</v>
      </c>
      <c r="D3370" s="324">
        <v>775</v>
      </c>
      <c r="E3370" s="238"/>
      <c r="G3370" s="8" t="s">
        <v>1372</v>
      </c>
      <c r="H3370" t="s">
        <v>1336</v>
      </c>
    </row>
    <row r="3371" spans="1:8" hidden="1">
      <c r="A3371" s="265">
        <v>44824</v>
      </c>
      <c r="C3371" s="238" t="s">
        <v>8747</v>
      </c>
      <c r="D3371" s="238">
        <v>1201.5</v>
      </c>
      <c r="E3371" s="238"/>
      <c r="H3371" t="s">
        <v>1336</v>
      </c>
    </row>
    <row r="3372" spans="1:8" hidden="1">
      <c r="A3372" s="265">
        <v>44825</v>
      </c>
      <c r="C3372" s="238" t="s">
        <v>8748</v>
      </c>
      <c r="D3372" s="324">
        <v>2000</v>
      </c>
      <c r="E3372" s="238"/>
      <c r="G3372" s="8" t="s">
        <v>1372</v>
      </c>
      <c r="H3372" t="s">
        <v>1336</v>
      </c>
    </row>
    <row r="3373" spans="1:8" hidden="1">
      <c r="A3373" s="265">
        <v>44825</v>
      </c>
      <c r="C3373" s="238" t="s">
        <v>8749</v>
      </c>
      <c r="D3373" s="324">
        <v>750</v>
      </c>
      <c r="E3373" s="238"/>
      <c r="G3373" s="8" t="s">
        <v>1372</v>
      </c>
      <c r="H3373" t="s">
        <v>1336</v>
      </c>
    </row>
    <row r="3374" spans="1:8" hidden="1">
      <c r="A3374" s="265">
        <v>44825</v>
      </c>
      <c r="C3374" s="238" t="s">
        <v>8750</v>
      </c>
      <c r="D3374" s="238">
        <v>715</v>
      </c>
      <c r="E3374" s="238"/>
      <c r="H3374" t="s">
        <v>1336</v>
      </c>
    </row>
    <row r="3375" spans="1:8" hidden="1">
      <c r="A3375" s="265">
        <v>44825</v>
      </c>
      <c r="C3375" s="238" t="s">
        <v>8751</v>
      </c>
      <c r="D3375" s="238">
        <v>201</v>
      </c>
      <c r="E3375" s="238"/>
      <c r="H3375" t="s">
        <v>1336</v>
      </c>
    </row>
    <row r="3376" spans="1:8" hidden="1">
      <c r="A3376" s="265">
        <v>44826</v>
      </c>
      <c r="C3376" s="238" t="s">
        <v>8752</v>
      </c>
      <c r="D3376" s="324">
        <v>750</v>
      </c>
      <c r="E3376" s="238"/>
      <c r="G3376" s="8" t="s">
        <v>1372</v>
      </c>
      <c r="H3376" t="s">
        <v>1336</v>
      </c>
    </row>
    <row r="3377" spans="1:8" hidden="1">
      <c r="A3377" s="265">
        <v>44827</v>
      </c>
      <c r="C3377" s="238" t="s">
        <v>8753</v>
      </c>
      <c r="D3377" s="238">
        <v>16230</v>
      </c>
      <c r="E3377" s="238"/>
      <c r="G3377" s="8" t="s">
        <v>1379</v>
      </c>
      <c r="H3377" t="s">
        <v>1336</v>
      </c>
    </row>
    <row r="3378" spans="1:8" hidden="1">
      <c r="A3378" s="265">
        <v>44827</v>
      </c>
      <c r="C3378" s="238" t="s">
        <v>8754</v>
      </c>
      <c r="D3378" s="238"/>
      <c r="E3378" s="238">
        <v>293718</v>
      </c>
      <c r="G3378" s="8" t="s">
        <v>1380</v>
      </c>
      <c r="H3378" t="s">
        <v>1336</v>
      </c>
    </row>
    <row r="3379" spans="1:8" hidden="1">
      <c r="A3379" s="265">
        <v>44827</v>
      </c>
      <c r="C3379" s="238" t="s">
        <v>8755</v>
      </c>
      <c r="D3379" s="238">
        <v>420.12</v>
      </c>
      <c r="E3379" s="238"/>
      <c r="H3379" t="s">
        <v>1336</v>
      </c>
    </row>
    <row r="3380" spans="1:8" hidden="1">
      <c r="A3380" s="265">
        <v>44827</v>
      </c>
      <c r="C3380" s="238" t="s">
        <v>8756</v>
      </c>
      <c r="D3380" s="238">
        <v>471</v>
      </c>
      <c r="E3380" s="238"/>
      <c r="H3380" t="s">
        <v>1336</v>
      </c>
    </row>
    <row r="3381" spans="1:8" hidden="1">
      <c r="A3381" s="265">
        <v>44827</v>
      </c>
      <c r="C3381" s="238" t="s">
        <v>8757</v>
      </c>
      <c r="D3381" s="238">
        <v>100000</v>
      </c>
      <c r="E3381" s="238"/>
      <c r="G3381" s="8" t="s">
        <v>1363</v>
      </c>
      <c r="H3381" t="s">
        <v>1336</v>
      </c>
    </row>
    <row r="3382" spans="1:8" hidden="1">
      <c r="A3382" s="265">
        <v>44827</v>
      </c>
      <c r="C3382" s="238" t="s">
        <v>8758</v>
      </c>
      <c r="D3382" s="324">
        <v>750</v>
      </c>
      <c r="E3382" s="238"/>
      <c r="G3382" s="8" t="s">
        <v>1372</v>
      </c>
      <c r="H3382" t="s">
        <v>1336</v>
      </c>
    </row>
    <row r="3383" spans="1:8" hidden="1">
      <c r="A3383" s="265">
        <v>44827</v>
      </c>
      <c r="C3383" s="238" t="s">
        <v>8759</v>
      </c>
      <c r="D3383" s="238">
        <v>11000</v>
      </c>
      <c r="E3383" s="238"/>
      <c r="H3383" t="s">
        <v>1336</v>
      </c>
    </row>
    <row r="3384" spans="1:8" hidden="1">
      <c r="A3384" s="265">
        <v>44828</v>
      </c>
      <c r="C3384" s="238" t="s">
        <v>8760</v>
      </c>
      <c r="D3384" s="238">
        <v>55</v>
      </c>
      <c r="E3384" s="238"/>
      <c r="H3384" t="s">
        <v>1336</v>
      </c>
    </row>
    <row r="3385" spans="1:8" hidden="1">
      <c r="A3385" s="265">
        <v>44829</v>
      </c>
      <c r="C3385" s="238" t="s">
        <v>8761</v>
      </c>
      <c r="D3385" s="324">
        <v>1750</v>
      </c>
      <c r="E3385" s="238"/>
      <c r="G3385" s="8" t="s">
        <v>1372</v>
      </c>
      <c r="H3385" t="s">
        <v>1336</v>
      </c>
    </row>
    <row r="3386" spans="1:8" hidden="1">
      <c r="A3386" s="265">
        <v>44829</v>
      </c>
      <c r="C3386" s="238" t="s">
        <v>8762</v>
      </c>
      <c r="D3386" s="238">
        <v>13900</v>
      </c>
      <c r="E3386" s="238"/>
      <c r="G3386" s="8" t="s">
        <v>1379</v>
      </c>
      <c r="H3386" t="s">
        <v>1336</v>
      </c>
    </row>
    <row r="3387" spans="1:8" hidden="1">
      <c r="A3387" s="265">
        <v>44830</v>
      </c>
      <c r="C3387" s="238" t="s">
        <v>8763</v>
      </c>
      <c r="D3387" s="238"/>
      <c r="E3387" s="238">
        <v>19800</v>
      </c>
      <c r="H3387" t="s">
        <v>1336</v>
      </c>
    </row>
    <row r="3388" spans="1:8" hidden="1">
      <c r="A3388" s="265">
        <v>44830</v>
      </c>
      <c r="C3388" s="238" t="s">
        <v>8764</v>
      </c>
      <c r="D3388" s="238"/>
      <c r="E3388" s="238">
        <v>55</v>
      </c>
      <c r="H3388" t="s">
        <v>1336</v>
      </c>
    </row>
    <row r="3389" spans="1:8" hidden="1">
      <c r="A3389" s="265">
        <v>44831</v>
      </c>
      <c r="C3389" s="238" t="s">
        <v>8765</v>
      </c>
      <c r="D3389" s="324">
        <v>1000</v>
      </c>
      <c r="E3389" s="238"/>
      <c r="G3389" s="8" t="s">
        <v>1372</v>
      </c>
      <c r="H3389" t="s">
        <v>1336</v>
      </c>
    </row>
    <row r="3390" spans="1:8" hidden="1">
      <c r="A3390" s="265">
        <v>44831</v>
      </c>
      <c r="C3390" s="238" t="s">
        <v>8766</v>
      </c>
      <c r="D3390" s="324">
        <v>1000</v>
      </c>
      <c r="E3390" s="238"/>
      <c r="G3390" s="8" t="s">
        <v>1372</v>
      </c>
      <c r="H3390" t="s">
        <v>1336</v>
      </c>
    </row>
    <row r="3391" spans="1:8" hidden="1">
      <c r="A3391" s="265">
        <v>44832</v>
      </c>
      <c r="C3391" s="238" t="s">
        <v>8767</v>
      </c>
      <c r="D3391" s="324">
        <v>800</v>
      </c>
      <c r="E3391" s="238"/>
      <c r="G3391" s="8" t="s">
        <v>1372</v>
      </c>
      <c r="H3391" t="s">
        <v>1336</v>
      </c>
    </row>
    <row r="3392" spans="1:8" hidden="1">
      <c r="A3392" s="265">
        <v>44833</v>
      </c>
      <c r="C3392" s="238" t="s">
        <v>8768</v>
      </c>
      <c r="D3392" s="238">
        <v>199</v>
      </c>
      <c r="E3392" s="238"/>
      <c r="H3392" t="s">
        <v>1336</v>
      </c>
    </row>
    <row r="3393" spans="1:8" hidden="1">
      <c r="A3393" s="265">
        <v>44833</v>
      </c>
      <c r="C3393" s="238" t="s">
        <v>8769</v>
      </c>
      <c r="D3393" s="238">
        <v>505</v>
      </c>
      <c r="E3393" s="238"/>
      <c r="H3393" t="s">
        <v>1336</v>
      </c>
    </row>
    <row r="3394" spans="1:8" hidden="1">
      <c r="A3394" s="265">
        <v>44833</v>
      </c>
      <c r="C3394" s="238" t="s">
        <v>8770</v>
      </c>
      <c r="D3394" s="238">
        <v>327</v>
      </c>
      <c r="E3394" s="238"/>
      <c r="H3394" t="s">
        <v>1336</v>
      </c>
    </row>
    <row r="3395" spans="1:8" hidden="1">
      <c r="A3395" s="265">
        <v>44834</v>
      </c>
      <c r="C3395" s="238" t="s">
        <v>8771</v>
      </c>
      <c r="D3395" s="238"/>
      <c r="E3395" s="238">
        <v>28000</v>
      </c>
      <c r="H3395" t="s">
        <v>1336</v>
      </c>
    </row>
    <row r="3396" spans="1:8" hidden="1">
      <c r="A3396" s="265">
        <v>44834</v>
      </c>
      <c r="C3396" s="238" t="s">
        <v>8772</v>
      </c>
      <c r="D3396" s="238">
        <v>104</v>
      </c>
      <c r="E3396" s="238"/>
      <c r="H3396" t="s">
        <v>1336</v>
      </c>
    </row>
    <row r="3397" spans="1:8" hidden="1">
      <c r="A3397" s="265">
        <v>44834</v>
      </c>
      <c r="C3397" s="238" t="s">
        <v>8773</v>
      </c>
      <c r="D3397" s="238">
        <v>55</v>
      </c>
      <c r="E3397" s="238"/>
      <c r="H3397" t="s">
        <v>1336</v>
      </c>
    </row>
    <row r="3398" spans="1:8" hidden="1">
      <c r="A3398" s="265">
        <v>44835</v>
      </c>
      <c r="C3398" s="238" t="s">
        <v>4256</v>
      </c>
      <c r="D3398" s="238"/>
      <c r="E3398" s="238">
        <v>9454</v>
      </c>
      <c r="G3398" s="8" t="s">
        <v>1368</v>
      </c>
      <c r="H3398" t="s">
        <v>1336</v>
      </c>
    </row>
    <row r="3399" spans="1:8" hidden="1">
      <c r="A3399" s="265">
        <v>44836</v>
      </c>
      <c r="C3399" s="238" t="s">
        <v>8774</v>
      </c>
      <c r="D3399" s="238">
        <v>20000</v>
      </c>
      <c r="E3399" s="238"/>
      <c r="G3399" s="8" t="s">
        <v>1358</v>
      </c>
      <c r="H3399" t="s">
        <v>1336</v>
      </c>
    </row>
    <row r="3400" spans="1:8" hidden="1">
      <c r="A3400" s="265">
        <v>44836</v>
      </c>
      <c r="C3400" s="238" t="s">
        <v>8775</v>
      </c>
      <c r="D3400" s="238">
        <v>5000</v>
      </c>
      <c r="E3400" s="238"/>
      <c r="H3400" t="s">
        <v>1336</v>
      </c>
    </row>
    <row r="3401" spans="1:8" hidden="1">
      <c r="A3401" s="265">
        <v>44836</v>
      </c>
      <c r="C3401" s="238" t="s">
        <v>8776</v>
      </c>
      <c r="D3401" s="238"/>
      <c r="E3401" s="238">
        <v>3</v>
      </c>
      <c r="H3401" t="s">
        <v>1336</v>
      </c>
    </row>
    <row r="3402" spans="1:8" hidden="1">
      <c r="A3402" s="265">
        <v>44836</v>
      </c>
      <c r="C3402" s="238" t="s">
        <v>8777</v>
      </c>
      <c r="D3402" s="238">
        <v>2500</v>
      </c>
      <c r="E3402" s="238"/>
      <c r="H3402" t="s">
        <v>1336</v>
      </c>
    </row>
    <row r="3403" spans="1:8" hidden="1">
      <c r="A3403" s="265">
        <v>44836</v>
      </c>
      <c r="C3403" s="238" t="s">
        <v>8778</v>
      </c>
      <c r="D3403" s="238">
        <v>29</v>
      </c>
      <c r="E3403" s="238"/>
      <c r="H3403" t="s">
        <v>1336</v>
      </c>
    </row>
    <row r="3404" spans="1:8" hidden="1">
      <c r="A3404" s="265">
        <v>44836</v>
      </c>
      <c r="C3404" s="238" t="s">
        <v>8779</v>
      </c>
      <c r="D3404" s="238">
        <v>1268.5</v>
      </c>
      <c r="E3404" s="238"/>
      <c r="H3404" t="s">
        <v>1336</v>
      </c>
    </row>
    <row r="3405" spans="1:8" hidden="1">
      <c r="A3405" s="265">
        <v>44836</v>
      </c>
      <c r="C3405" s="238" t="s">
        <v>8780</v>
      </c>
      <c r="D3405" s="238">
        <v>1699</v>
      </c>
      <c r="E3405" s="238"/>
      <c r="H3405" t="s">
        <v>1336</v>
      </c>
    </row>
    <row r="3406" spans="1:8" hidden="1">
      <c r="A3406" s="265">
        <v>44836</v>
      </c>
      <c r="C3406" s="238" t="s">
        <v>8781</v>
      </c>
      <c r="D3406" s="238"/>
      <c r="E3406" s="238">
        <v>3</v>
      </c>
      <c r="H3406" t="s">
        <v>1336</v>
      </c>
    </row>
    <row r="3407" spans="1:8" hidden="1">
      <c r="A3407" s="265">
        <v>44837</v>
      </c>
      <c r="C3407" s="238" t="s">
        <v>8782</v>
      </c>
      <c r="D3407" s="324">
        <v>3250</v>
      </c>
      <c r="E3407" s="238"/>
      <c r="G3407" s="8" t="s">
        <v>1372</v>
      </c>
      <c r="H3407" t="s">
        <v>1336</v>
      </c>
    </row>
    <row r="3408" spans="1:8" hidden="1">
      <c r="A3408" s="265">
        <v>44837</v>
      </c>
      <c r="C3408" s="238" t="s">
        <v>8783</v>
      </c>
      <c r="D3408" s="324">
        <v>775</v>
      </c>
      <c r="E3408" s="238"/>
      <c r="G3408" s="8" t="s">
        <v>1372</v>
      </c>
      <c r="H3408" t="s">
        <v>1336</v>
      </c>
    </row>
    <row r="3409" spans="1:8" hidden="1">
      <c r="A3409" s="265">
        <v>44837</v>
      </c>
      <c r="C3409" s="238" t="s">
        <v>8784</v>
      </c>
      <c r="D3409" s="324">
        <v>1250</v>
      </c>
      <c r="E3409" s="238"/>
      <c r="G3409" s="8" t="s">
        <v>1372</v>
      </c>
      <c r="H3409" t="s">
        <v>1336</v>
      </c>
    </row>
    <row r="3410" spans="1:8" hidden="1">
      <c r="A3410" s="265">
        <v>44837</v>
      </c>
      <c r="C3410" s="238" t="s">
        <v>8785</v>
      </c>
      <c r="D3410" s="324">
        <v>1000</v>
      </c>
      <c r="E3410" s="238"/>
      <c r="G3410" s="8" t="s">
        <v>1372</v>
      </c>
      <c r="H3410" t="s">
        <v>1336</v>
      </c>
    </row>
    <row r="3411" spans="1:8" hidden="1">
      <c r="A3411" s="265">
        <v>44838</v>
      </c>
      <c r="C3411" s="238" t="s">
        <v>8786</v>
      </c>
      <c r="D3411" s="324">
        <v>750</v>
      </c>
      <c r="E3411" s="238"/>
      <c r="G3411" s="8" t="s">
        <v>1372</v>
      </c>
      <c r="H3411" t="s">
        <v>1336</v>
      </c>
    </row>
    <row r="3412" spans="1:8" hidden="1">
      <c r="A3412" s="265">
        <v>44838</v>
      </c>
      <c r="C3412" s="238" t="s">
        <v>8787</v>
      </c>
      <c r="D3412" s="238">
        <v>933</v>
      </c>
      <c r="E3412" s="238"/>
      <c r="H3412" t="s">
        <v>1336</v>
      </c>
    </row>
    <row r="3413" spans="1:8" hidden="1">
      <c r="A3413" s="265">
        <v>44838</v>
      </c>
      <c r="C3413" s="238" t="s">
        <v>8788</v>
      </c>
      <c r="D3413" s="238">
        <v>48</v>
      </c>
      <c r="E3413" s="238"/>
      <c r="H3413" t="s">
        <v>1336</v>
      </c>
    </row>
    <row r="3414" spans="1:8" hidden="1">
      <c r="A3414" s="265">
        <v>44838</v>
      </c>
      <c r="C3414" s="238" t="s">
        <v>8789</v>
      </c>
      <c r="D3414" s="238">
        <v>546</v>
      </c>
      <c r="E3414" s="238"/>
      <c r="H3414" t="s">
        <v>1336</v>
      </c>
    </row>
    <row r="3415" spans="1:8" hidden="1">
      <c r="A3415" s="265">
        <v>44838</v>
      </c>
      <c r="C3415" s="238" t="s">
        <v>8790</v>
      </c>
      <c r="D3415" s="238">
        <v>1500</v>
      </c>
      <c r="E3415" s="238"/>
      <c r="H3415" t="s">
        <v>1336</v>
      </c>
    </row>
    <row r="3416" spans="1:8" hidden="1">
      <c r="A3416" s="265">
        <v>44839</v>
      </c>
      <c r="C3416" s="238" t="s">
        <v>8791</v>
      </c>
      <c r="D3416" s="238">
        <v>2211</v>
      </c>
      <c r="E3416" s="238"/>
      <c r="H3416" t="s">
        <v>1336</v>
      </c>
    </row>
    <row r="3417" spans="1:8" hidden="1">
      <c r="A3417" s="265">
        <v>44840</v>
      </c>
      <c r="C3417" s="238" t="s">
        <v>6583</v>
      </c>
      <c r="D3417" s="238">
        <v>26951</v>
      </c>
      <c r="E3417" s="238"/>
      <c r="G3417" s="8" t="s">
        <v>1362</v>
      </c>
      <c r="H3417" t="s">
        <v>1336</v>
      </c>
    </row>
    <row r="3418" spans="1:8" hidden="1">
      <c r="A3418" s="265">
        <v>44840</v>
      </c>
      <c r="C3418" s="238" t="s">
        <v>8792</v>
      </c>
      <c r="D3418" s="238">
        <v>1537.35</v>
      </c>
      <c r="E3418" s="238"/>
      <c r="H3418" t="s">
        <v>1336</v>
      </c>
    </row>
    <row r="3419" spans="1:8" hidden="1">
      <c r="A3419" s="265">
        <v>44840</v>
      </c>
      <c r="C3419" s="238" t="s">
        <v>8793</v>
      </c>
      <c r="D3419" s="324">
        <v>1250</v>
      </c>
      <c r="E3419" s="238"/>
      <c r="G3419" s="8" t="s">
        <v>1372</v>
      </c>
      <c r="H3419" t="s">
        <v>1336</v>
      </c>
    </row>
    <row r="3420" spans="1:8" hidden="1">
      <c r="A3420" s="265">
        <v>44840</v>
      </c>
      <c r="C3420" s="238" t="s">
        <v>8794</v>
      </c>
      <c r="D3420" s="324">
        <v>1250</v>
      </c>
      <c r="E3420" s="238"/>
      <c r="G3420" s="8" t="s">
        <v>1372</v>
      </c>
      <c r="H3420" t="s">
        <v>1336</v>
      </c>
    </row>
    <row r="3421" spans="1:8" hidden="1">
      <c r="A3421" s="265">
        <v>44840</v>
      </c>
      <c r="C3421" s="238" t="s">
        <v>8795</v>
      </c>
      <c r="D3421" s="324">
        <v>1800</v>
      </c>
      <c r="E3421" s="238"/>
      <c r="G3421" s="8" t="s">
        <v>1372</v>
      </c>
      <c r="H3421" t="s">
        <v>1336</v>
      </c>
    </row>
    <row r="3422" spans="1:8" hidden="1">
      <c r="A3422" s="265">
        <v>44840</v>
      </c>
      <c r="C3422" s="238" t="s">
        <v>8796</v>
      </c>
      <c r="D3422" s="324">
        <v>1000</v>
      </c>
      <c r="E3422" s="238"/>
      <c r="G3422" s="8" t="s">
        <v>1372</v>
      </c>
      <c r="H3422" t="s">
        <v>1336</v>
      </c>
    </row>
    <row r="3423" spans="1:8" hidden="1">
      <c r="A3423" s="265">
        <v>44842</v>
      </c>
      <c r="C3423" s="238" t="s">
        <v>8797</v>
      </c>
      <c r="D3423" s="324">
        <v>775</v>
      </c>
      <c r="E3423" s="238"/>
      <c r="G3423" s="8" t="s">
        <v>1372</v>
      </c>
      <c r="H3423" t="s">
        <v>1336</v>
      </c>
    </row>
    <row r="3424" spans="1:8" hidden="1">
      <c r="A3424" s="265">
        <v>44845</v>
      </c>
      <c r="C3424" s="238" t="s">
        <v>8798</v>
      </c>
      <c r="D3424" s="324">
        <v>3000</v>
      </c>
      <c r="E3424" s="238"/>
      <c r="G3424" s="8" t="s">
        <v>1372</v>
      </c>
      <c r="H3424" t="s">
        <v>1336</v>
      </c>
    </row>
    <row r="3425" spans="1:8" hidden="1">
      <c r="A3425" s="265">
        <v>44845</v>
      </c>
      <c r="C3425" s="238" t="s">
        <v>8799</v>
      </c>
      <c r="D3425" s="324">
        <v>750</v>
      </c>
      <c r="E3425" s="238"/>
      <c r="G3425" s="8" t="s">
        <v>1372</v>
      </c>
      <c r="H3425" t="s">
        <v>1336</v>
      </c>
    </row>
    <row r="3426" spans="1:8" hidden="1">
      <c r="A3426" s="265">
        <v>44845</v>
      </c>
      <c r="C3426" s="238" t="s">
        <v>8800</v>
      </c>
      <c r="D3426" s="324">
        <v>1250</v>
      </c>
      <c r="E3426" s="238"/>
      <c r="G3426" s="8" t="s">
        <v>1372</v>
      </c>
      <c r="H3426" t="s">
        <v>1336</v>
      </c>
    </row>
    <row r="3427" spans="1:8" hidden="1">
      <c r="A3427" s="265">
        <v>44845</v>
      </c>
      <c r="C3427" s="238" t="s">
        <v>8801</v>
      </c>
      <c r="D3427" s="324">
        <v>1000</v>
      </c>
      <c r="E3427" s="238"/>
      <c r="G3427" s="8" t="s">
        <v>1372</v>
      </c>
      <c r="H3427" t="s">
        <v>1336</v>
      </c>
    </row>
    <row r="3428" spans="1:8" hidden="1">
      <c r="A3428" s="265">
        <v>44845</v>
      </c>
      <c r="C3428" s="238" t="s">
        <v>8802</v>
      </c>
      <c r="D3428" s="238">
        <v>463.71</v>
      </c>
      <c r="E3428" s="238"/>
      <c r="H3428" t="s">
        <v>1336</v>
      </c>
    </row>
    <row r="3429" spans="1:8" hidden="1">
      <c r="A3429" s="265">
        <v>44845</v>
      </c>
      <c r="C3429" s="238" t="s">
        <v>8803</v>
      </c>
      <c r="D3429" s="238">
        <v>287</v>
      </c>
      <c r="E3429" s="238"/>
      <c r="H3429" t="s">
        <v>1336</v>
      </c>
    </row>
    <row r="3430" spans="1:8" hidden="1">
      <c r="A3430" s="265">
        <v>44846</v>
      </c>
      <c r="C3430" s="238" t="s">
        <v>8804</v>
      </c>
      <c r="D3430" s="238">
        <v>287</v>
      </c>
      <c r="E3430" s="238"/>
      <c r="H3430" t="s">
        <v>1336</v>
      </c>
    </row>
    <row r="3431" spans="1:8" hidden="1">
      <c r="A3431" s="265">
        <v>44846</v>
      </c>
      <c r="C3431" s="238" t="s">
        <v>8805</v>
      </c>
      <c r="D3431" s="238">
        <v>126</v>
      </c>
      <c r="E3431" s="238"/>
      <c r="H3431" t="s">
        <v>1336</v>
      </c>
    </row>
    <row r="3432" spans="1:8" hidden="1">
      <c r="A3432" s="265">
        <v>44846</v>
      </c>
      <c r="C3432" s="238" t="s">
        <v>8806</v>
      </c>
      <c r="D3432" s="238">
        <v>57200</v>
      </c>
      <c r="E3432" s="238"/>
      <c r="H3432" t="s">
        <v>1336</v>
      </c>
    </row>
    <row r="3433" spans="1:8" hidden="1">
      <c r="A3433" s="265">
        <v>44846</v>
      </c>
      <c r="C3433" s="238" t="s">
        <v>8807</v>
      </c>
      <c r="D3433" s="324">
        <v>1775</v>
      </c>
      <c r="E3433" s="238"/>
      <c r="G3433" s="8" t="s">
        <v>1372</v>
      </c>
      <c r="H3433" t="s">
        <v>1336</v>
      </c>
    </row>
    <row r="3434" spans="1:8" hidden="1">
      <c r="A3434" s="265">
        <v>44846</v>
      </c>
      <c r="C3434" s="238" t="s">
        <v>8808</v>
      </c>
      <c r="D3434" s="324">
        <v>1000</v>
      </c>
      <c r="E3434" s="238"/>
      <c r="G3434" s="8" t="s">
        <v>1372</v>
      </c>
      <c r="H3434" t="s">
        <v>1336</v>
      </c>
    </row>
    <row r="3435" spans="1:8" hidden="1">
      <c r="A3435" s="265">
        <v>44847</v>
      </c>
      <c r="C3435" s="238" t="s">
        <v>8809</v>
      </c>
      <c r="D3435" s="238">
        <v>598</v>
      </c>
      <c r="E3435" s="238"/>
      <c r="H3435" t="s">
        <v>1336</v>
      </c>
    </row>
    <row r="3436" spans="1:8" hidden="1">
      <c r="A3436" s="265">
        <v>44848</v>
      </c>
      <c r="C3436" s="238" t="s">
        <v>8810</v>
      </c>
      <c r="D3436" s="324">
        <v>1800</v>
      </c>
      <c r="E3436" s="238"/>
      <c r="G3436" s="8" t="s">
        <v>1372</v>
      </c>
      <c r="H3436" t="s">
        <v>1336</v>
      </c>
    </row>
    <row r="3437" spans="1:8" hidden="1">
      <c r="A3437" s="265">
        <v>44850</v>
      </c>
      <c r="C3437" s="238" t="s">
        <v>8811</v>
      </c>
      <c r="D3437" s="238">
        <v>2610</v>
      </c>
      <c r="E3437" s="238"/>
      <c r="H3437" t="s">
        <v>1336</v>
      </c>
    </row>
    <row r="3438" spans="1:8" hidden="1">
      <c r="A3438" s="265">
        <v>44854</v>
      </c>
      <c r="C3438" s="238" t="s">
        <v>8812</v>
      </c>
      <c r="D3438" s="238">
        <v>459</v>
      </c>
      <c r="E3438" s="238"/>
      <c r="H3438" t="s">
        <v>1336</v>
      </c>
    </row>
    <row r="3439" spans="1:8" hidden="1">
      <c r="A3439" s="265">
        <v>44855</v>
      </c>
      <c r="C3439" s="238" t="s">
        <v>8813</v>
      </c>
      <c r="D3439" s="238"/>
      <c r="E3439" s="238">
        <v>293790</v>
      </c>
      <c r="G3439" s="8" t="s">
        <v>1380</v>
      </c>
      <c r="H3439" t="s">
        <v>1336</v>
      </c>
    </row>
    <row r="3440" spans="1:8" hidden="1">
      <c r="A3440" s="265">
        <v>44855</v>
      </c>
      <c r="C3440" s="238" t="s">
        <v>8814</v>
      </c>
      <c r="D3440" s="324">
        <v>5275</v>
      </c>
      <c r="E3440" s="238"/>
      <c r="G3440" s="8" t="s">
        <v>1372</v>
      </c>
      <c r="H3440" t="s">
        <v>1336</v>
      </c>
    </row>
    <row r="3441" spans="1:8" hidden="1">
      <c r="A3441" s="265">
        <v>44855</v>
      </c>
      <c r="C3441" s="238" t="s">
        <v>8815</v>
      </c>
      <c r="D3441" s="324">
        <v>750</v>
      </c>
      <c r="E3441" s="238"/>
      <c r="G3441" s="8" t="s">
        <v>1372</v>
      </c>
      <c r="H3441" t="s">
        <v>1336</v>
      </c>
    </row>
    <row r="3442" spans="1:8" hidden="1">
      <c r="A3442" s="265">
        <v>44855</v>
      </c>
      <c r="C3442" s="238" t="s">
        <v>8816</v>
      </c>
      <c r="D3442" s="324">
        <v>1000</v>
      </c>
      <c r="E3442" s="238"/>
      <c r="G3442" s="8" t="s">
        <v>1372</v>
      </c>
      <c r="H3442" t="s">
        <v>1336</v>
      </c>
    </row>
    <row r="3443" spans="1:8" hidden="1">
      <c r="A3443" s="265">
        <v>44855</v>
      </c>
      <c r="C3443" s="238" t="s">
        <v>8817</v>
      </c>
      <c r="D3443" s="324">
        <v>750</v>
      </c>
      <c r="E3443" s="238"/>
      <c r="G3443" s="8" t="s">
        <v>1372</v>
      </c>
      <c r="H3443" t="s">
        <v>1336</v>
      </c>
    </row>
    <row r="3444" spans="1:8" hidden="1">
      <c r="A3444" s="265">
        <v>44855</v>
      </c>
      <c r="C3444" s="238" t="s">
        <v>8818</v>
      </c>
      <c r="D3444" s="324">
        <v>1250</v>
      </c>
      <c r="E3444" s="238"/>
      <c r="G3444" s="8" t="s">
        <v>1372</v>
      </c>
      <c r="H3444" t="s">
        <v>1336</v>
      </c>
    </row>
    <row r="3445" spans="1:8" hidden="1">
      <c r="A3445" s="265">
        <v>44855</v>
      </c>
      <c r="C3445" s="238" t="s">
        <v>8819</v>
      </c>
      <c r="D3445" s="324">
        <v>1250</v>
      </c>
      <c r="E3445" s="238"/>
      <c r="G3445" s="8" t="s">
        <v>1372</v>
      </c>
      <c r="H3445" t="s">
        <v>1336</v>
      </c>
    </row>
    <row r="3446" spans="1:8" hidden="1">
      <c r="A3446" s="265">
        <v>44855</v>
      </c>
      <c r="C3446" s="238" t="s">
        <v>8820</v>
      </c>
      <c r="D3446" s="238">
        <v>20000</v>
      </c>
      <c r="E3446" s="238"/>
      <c r="G3446" s="8" t="s">
        <v>1358</v>
      </c>
      <c r="H3446" t="s">
        <v>1336</v>
      </c>
    </row>
    <row r="3447" spans="1:8" hidden="1">
      <c r="A3447" s="265">
        <v>44855</v>
      </c>
      <c r="C3447" s="238" t="s">
        <v>8821</v>
      </c>
      <c r="D3447" s="238">
        <v>300</v>
      </c>
      <c r="E3447" s="238"/>
      <c r="H3447" t="s">
        <v>1336</v>
      </c>
    </row>
    <row r="3448" spans="1:8" hidden="1">
      <c r="A3448" s="265">
        <v>44855</v>
      </c>
      <c r="C3448" s="238" t="s">
        <v>8822</v>
      </c>
      <c r="D3448" s="238">
        <v>70</v>
      </c>
      <c r="E3448" s="238"/>
      <c r="H3448" t="s">
        <v>1336</v>
      </c>
    </row>
    <row r="3449" spans="1:8" hidden="1">
      <c r="A3449" s="265">
        <v>44856</v>
      </c>
      <c r="C3449" s="238" t="s">
        <v>8823</v>
      </c>
      <c r="D3449" s="238"/>
      <c r="E3449" s="238">
        <v>1700</v>
      </c>
      <c r="H3449" t="s">
        <v>1336</v>
      </c>
    </row>
    <row r="3450" spans="1:8" hidden="1">
      <c r="A3450" s="265">
        <v>44857</v>
      </c>
      <c r="C3450" s="238" t="s">
        <v>8824</v>
      </c>
      <c r="D3450" s="238">
        <v>16230</v>
      </c>
      <c r="E3450" s="238"/>
      <c r="G3450" s="8" t="s">
        <v>1379</v>
      </c>
      <c r="H3450" t="s">
        <v>1336</v>
      </c>
    </row>
    <row r="3451" spans="1:8" hidden="1">
      <c r="A3451" s="265">
        <v>44859</v>
      </c>
      <c r="C3451" s="238" t="s">
        <v>8825</v>
      </c>
      <c r="D3451" s="324">
        <v>3250</v>
      </c>
      <c r="E3451" s="238"/>
      <c r="G3451" s="8" t="s">
        <v>1372</v>
      </c>
      <c r="H3451" t="s">
        <v>1336</v>
      </c>
    </row>
    <row r="3452" spans="1:8" hidden="1">
      <c r="A3452" s="265">
        <v>44859</v>
      </c>
      <c r="C3452" s="238" t="s">
        <v>8826</v>
      </c>
      <c r="D3452" s="238">
        <v>13900</v>
      </c>
      <c r="E3452" s="238"/>
      <c r="G3452" s="8" t="s">
        <v>1379</v>
      </c>
      <c r="H3452" t="s">
        <v>1336</v>
      </c>
    </row>
    <row r="3453" spans="1:8" hidden="1">
      <c r="A3453" s="265">
        <v>44861</v>
      </c>
      <c r="C3453" s="238" t="s">
        <v>8827</v>
      </c>
      <c r="D3453" s="324">
        <v>1000</v>
      </c>
      <c r="E3453" s="238"/>
      <c r="G3453" s="8" t="s">
        <v>1372</v>
      </c>
      <c r="H3453" t="s">
        <v>1336</v>
      </c>
    </row>
    <row r="3454" spans="1:8" hidden="1">
      <c r="A3454" s="265">
        <v>44861</v>
      </c>
      <c r="C3454" s="238" t="s">
        <v>8828</v>
      </c>
      <c r="D3454" s="324">
        <v>1000</v>
      </c>
      <c r="E3454" s="238"/>
      <c r="G3454" s="8" t="s">
        <v>1372</v>
      </c>
      <c r="H3454" t="s">
        <v>1336</v>
      </c>
    </row>
    <row r="3455" spans="1:8" hidden="1">
      <c r="A3455" s="265">
        <v>44861</v>
      </c>
      <c r="C3455" s="238" t="s">
        <v>8829</v>
      </c>
      <c r="D3455" s="238">
        <v>100000</v>
      </c>
      <c r="E3455" s="238"/>
      <c r="G3455" s="8" t="s">
        <v>1363</v>
      </c>
      <c r="H3455" t="s">
        <v>1336</v>
      </c>
    </row>
    <row r="3456" spans="1:8" hidden="1">
      <c r="A3456" s="265">
        <v>44862</v>
      </c>
      <c r="C3456" s="238" t="s">
        <v>8830</v>
      </c>
      <c r="D3456" s="238">
        <v>3784.09</v>
      </c>
      <c r="E3456" s="238"/>
      <c r="H3456" t="s">
        <v>1336</v>
      </c>
    </row>
    <row r="3457" spans="1:8" hidden="1">
      <c r="A3457" s="265">
        <v>44862</v>
      </c>
      <c r="C3457" s="238" t="s">
        <v>8831</v>
      </c>
      <c r="D3457" s="238">
        <v>199</v>
      </c>
      <c r="E3457" s="238"/>
      <c r="H3457" t="s">
        <v>1336</v>
      </c>
    </row>
    <row r="3458" spans="1:8" hidden="1">
      <c r="A3458" s="265">
        <v>44865</v>
      </c>
      <c r="C3458" s="238" t="s">
        <v>8832</v>
      </c>
      <c r="D3458" s="238">
        <v>200</v>
      </c>
      <c r="E3458" s="238"/>
      <c r="H3458" t="s">
        <v>1336</v>
      </c>
    </row>
    <row r="3459" spans="1:8" hidden="1">
      <c r="A3459" s="265">
        <v>44865</v>
      </c>
      <c r="C3459" s="238" t="s">
        <v>8833</v>
      </c>
      <c r="D3459" s="238">
        <v>1147</v>
      </c>
      <c r="E3459" s="238"/>
      <c r="H3459" t="s">
        <v>1336</v>
      </c>
    </row>
    <row r="3460" spans="1:8" hidden="1">
      <c r="A3460" s="265">
        <v>44865</v>
      </c>
      <c r="C3460" s="238" t="s">
        <v>8834</v>
      </c>
      <c r="D3460" s="324">
        <v>1800</v>
      </c>
      <c r="E3460" s="238"/>
      <c r="G3460" s="8" t="s">
        <v>1372</v>
      </c>
      <c r="H3460" t="s">
        <v>1336</v>
      </c>
    </row>
    <row r="3461" spans="1:8" hidden="1">
      <c r="A3461" s="265">
        <v>44867</v>
      </c>
      <c r="C3461" s="238" t="s">
        <v>8835</v>
      </c>
      <c r="D3461" s="238">
        <v>2500</v>
      </c>
      <c r="E3461" s="238"/>
      <c r="H3461" t="s">
        <v>1336</v>
      </c>
    </row>
    <row r="3462" spans="1:8" hidden="1">
      <c r="A3462" s="265">
        <v>44867</v>
      </c>
      <c r="C3462" s="238" t="s">
        <v>8836</v>
      </c>
      <c r="D3462" s="238">
        <v>5000</v>
      </c>
      <c r="E3462" s="238"/>
      <c r="H3462" t="s">
        <v>1336</v>
      </c>
    </row>
    <row r="3463" spans="1:8" hidden="1">
      <c r="A3463" s="265">
        <v>44867</v>
      </c>
      <c r="C3463" s="238" t="s">
        <v>8837</v>
      </c>
      <c r="D3463" s="324">
        <v>2250</v>
      </c>
      <c r="E3463" s="238"/>
      <c r="G3463" s="8" t="s">
        <v>1372</v>
      </c>
      <c r="H3463" t="s">
        <v>1336</v>
      </c>
    </row>
    <row r="3464" spans="1:8" hidden="1">
      <c r="A3464" s="265">
        <v>44867</v>
      </c>
      <c r="C3464" s="238" t="s">
        <v>8838</v>
      </c>
      <c r="D3464" s="324">
        <v>1250</v>
      </c>
      <c r="E3464" s="238"/>
      <c r="G3464" s="8" t="s">
        <v>1372</v>
      </c>
      <c r="H3464" t="s">
        <v>1336</v>
      </c>
    </row>
    <row r="3465" spans="1:8" hidden="1">
      <c r="A3465" s="265">
        <v>44867</v>
      </c>
      <c r="C3465" s="238" t="s">
        <v>8839</v>
      </c>
      <c r="D3465" s="238">
        <v>1268.5</v>
      </c>
      <c r="E3465" s="238"/>
      <c r="H3465" t="s">
        <v>1336</v>
      </c>
    </row>
    <row r="3466" spans="1:8" hidden="1">
      <c r="A3466" s="265">
        <v>44868</v>
      </c>
      <c r="C3466" s="238" t="s">
        <v>8840</v>
      </c>
      <c r="D3466" s="238">
        <v>686.63</v>
      </c>
      <c r="E3466" s="238"/>
      <c r="H3466" t="s">
        <v>1336</v>
      </c>
    </row>
    <row r="3467" spans="1:8" hidden="1">
      <c r="A3467" s="265">
        <v>44868</v>
      </c>
      <c r="C3467" s="238" t="s">
        <v>8841</v>
      </c>
      <c r="D3467" s="324">
        <v>750</v>
      </c>
      <c r="E3467" s="238"/>
      <c r="G3467" s="8" t="s">
        <v>1372</v>
      </c>
      <c r="H3467" t="s">
        <v>1336</v>
      </c>
    </row>
    <row r="3468" spans="1:8" hidden="1">
      <c r="A3468" s="265">
        <v>44868</v>
      </c>
      <c r="C3468" s="238" t="s">
        <v>8842</v>
      </c>
      <c r="D3468" s="324">
        <v>775</v>
      </c>
      <c r="E3468" s="238"/>
      <c r="G3468" s="8" t="s">
        <v>1372</v>
      </c>
      <c r="H3468" t="s">
        <v>1336</v>
      </c>
    </row>
    <row r="3469" spans="1:8" hidden="1">
      <c r="A3469" s="265">
        <v>44868</v>
      </c>
      <c r="C3469" s="238" t="s">
        <v>8843</v>
      </c>
      <c r="D3469" s="324">
        <v>1000</v>
      </c>
      <c r="E3469" s="238"/>
      <c r="G3469" s="8" t="s">
        <v>1372</v>
      </c>
      <c r="H3469" t="s">
        <v>1336</v>
      </c>
    </row>
    <row r="3470" spans="1:8" hidden="1">
      <c r="A3470" s="265">
        <v>44870</v>
      </c>
      <c r="C3470" s="238" t="s">
        <v>6583</v>
      </c>
      <c r="D3470" s="238">
        <v>83563</v>
      </c>
      <c r="E3470" s="238"/>
      <c r="G3470" s="8" t="s">
        <v>1362</v>
      </c>
      <c r="H3470" t="s">
        <v>1336</v>
      </c>
    </row>
    <row r="3471" spans="1:8" hidden="1">
      <c r="A3471" s="265">
        <v>44870</v>
      </c>
      <c r="C3471" s="238" t="s">
        <v>8844</v>
      </c>
      <c r="D3471" s="238">
        <v>794</v>
      </c>
      <c r="E3471" s="238"/>
      <c r="H3471" t="s">
        <v>1336</v>
      </c>
    </row>
    <row r="3472" spans="1:8" hidden="1">
      <c r="A3472" s="265">
        <v>44871</v>
      </c>
      <c r="C3472" s="238" t="s">
        <v>8845</v>
      </c>
      <c r="D3472" s="238">
        <v>116</v>
      </c>
      <c r="E3472" s="238"/>
      <c r="H3472" t="s">
        <v>1336</v>
      </c>
    </row>
    <row r="3473" spans="1:8" hidden="1">
      <c r="A3473" s="265">
        <v>44871</v>
      </c>
      <c r="C3473" s="238" t="s">
        <v>8846</v>
      </c>
      <c r="D3473" s="238">
        <v>2211</v>
      </c>
      <c r="E3473" s="238"/>
      <c r="H3473" t="s">
        <v>1336</v>
      </c>
    </row>
    <row r="3474" spans="1:8" hidden="1">
      <c r="A3474" s="265">
        <v>44871</v>
      </c>
      <c r="C3474" s="238" t="s">
        <v>8847</v>
      </c>
      <c r="D3474" s="238"/>
      <c r="E3474" s="238">
        <v>821</v>
      </c>
      <c r="H3474" t="s">
        <v>1336</v>
      </c>
    </row>
    <row r="3475" spans="1:8" hidden="1">
      <c r="A3475" s="265">
        <v>44871</v>
      </c>
      <c r="C3475" s="238" t="s">
        <v>8848</v>
      </c>
      <c r="D3475" s="238"/>
      <c r="E3475" s="238">
        <v>821</v>
      </c>
      <c r="H3475" t="s">
        <v>1336</v>
      </c>
    </row>
    <row r="3476" spans="1:8" hidden="1">
      <c r="A3476" s="265">
        <v>44871</v>
      </c>
      <c r="C3476" s="238" t="s">
        <v>8849</v>
      </c>
      <c r="D3476" s="238"/>
      <c r="E3476" s="238">
        <v>821</v>
      </c>
      <c r="H3476" t="s">
        <v>1336</v>
      </c>
    </row>
    <row r="3477" spans="1:8" hidden="1">
      <c r="A3477" s="265">
        <v>44871</v>
      </c>
      <c r="C3477" s="238" t="s">
        <v>8850</v>
      </c>
      <c r="D3477" s="238"/>
      <c r="E3477" s="238">
        <v>821</v>
      </c>
      <c r="H3477" t="s">
        <v>1336</v>
      </c>
    </row>
    <row r="3478" spans="1:8" hidden="1">
      <c r="A3478" s="265">
        <v>44871</v>
      </c>
      <c r="C3478" s="238" t="s">
        <v>8851</v>
      </c>
      <c r="D3478" s="238">
        <v>80</v>
      </c>
      <c r="E3478" s="238"/>
      <c r="H3478" t="s">
        <v>1336</v>
      </c>
    </row>
    <row r="3479" spans="1:8" hidden="1">
      <c r="A3479" s="265">
        <v>44872</v>
      </c>
      <c r="C3479" s="238" t="s">
        <v>8852</v>
      </c>
      <c r="D3479" s="238">
        <v>3500</v>
      </c>
      <c r="E3479" s="238"/>
      <c r="H3479" t="s">
        <v>1336</v>
      </c>
    </row>
    <row r="3480" spans="1:8" hidden="1">
      <c r="A3480" s="265">
        <v>44872</v>
      </c>
      <c r="C3480" s="238" t="s">
        <v>8853</v>
      </c>
      <c r="D3480" s="324">
        <v>3575</v>
      </c>
      <c r="E3480" s="238"/>
      <c r="G3480" s="8" t="s">
        <v>1372</v>
      </c>
      <c r="H3480" t="s">
        <v>1336</v>
      </c>
    </row>
    <row r="3481" spans="1:8" hidden="1">
      <c r="A3481" s="265">
        <v>44872</v>
      </c>
      <c r="C3481" s="238" t="s">
        <v>8854</v>
      </c>
      <c r="D3481" s="324">
        <v>1250</v>
      </c>
      <c r="E3481" s="238"/>
      <c r="G3481" s="8" t="s">
        <v>1372</v>
      </c>
      <c r="H3481" t="s">
        <v>1336</v>
      </c>
    </row>
    <row r="3482" spans="1:8" hidden="1">
      <c r="A3482" s="265">
        <v>44872</v>
      </c>
      <c r="C3482" s="238" t="s">
        <v>8855</v>
      </c>
      <c r="D3482" s="324">
        <v>1250</v>
      </c>
      <c r="E3482" s="238"/>
      <c r="G3482" s="8" t="s">
        <v>1372</v>
      </c>
      <c r="H3482" t="s">
        <v>1336</v>
      </c>
    </row>
    <row r="3483" spans="1:8" hidden="1">
      <c r="A3483" s="265">
        <v>44872</v>
      </c>
      <c r="C3483" s="238" t="s">
        <v>8856</v>
      </c>
      <c r="D3483" s="324">
        <v>1250</v>
      </c>
      <c r="E3483" s="238"/>
      <c r="G3483" s="8" t="s">
        <v>1372</v>
      </c>
      <c r="H3483" t="s">
        <v>1336</v>
      </c>
    </row>
    <row r="3484" spans="1:8" hidden="1">
      <c r="A3484" s="265">
        <v>44873</v>
      </c>
      <c r="C3484" s="238" t="s">
        <v>8857</v>
      </c>
      <c r="D3484" s="238">
        <v>867</v>
      </c>
      <c r="E3484" s="238"/>
      <c r="H3484" t="s">
        <v>1336</v>
      </c>
    </row>
    <row r="3485" spans="1:8" hidden="1">
      <c r="A3485" s="265">
        <v>44873</v>
      </c>
      <c r="C3485" s="238" t="s">
        <v>8858</v>
      </c>
      <c r="D3485" s="238"/>
      <c r="E3485" s="238">
        <v>1250</v>
      </c>
      <c r="H3485" t="s">
        <v>1336</v>
      </c>
    </row>
    <row r="3486" spans="1:8" hidden="1">
      <c r="A3486" s="265">
        <v>44875</v>
      </c>
      <c r="C3486" s="238" t="s">
        <v>8859</v>
      </c>
      <c r="D3486" s="324">
        <v>1750</v>
      </c>
      <c r="E3486" s="238"/>
      <c r="G3486" s="8" t="s">
        <v>1372</v>
      </c>
      <c r="H3486" t="s">
        <v>1336</v>
      </c>
    </row>
    <row r="3487" spans="1:8" hidden="1">
      <c r="A3487" s="265">
        <v>44875</v>
      </c>
      <c r="C3487" s="238" t="s">
        <v>8860</v>
      </c>
      <c r="D3487" s="324">
        <v>1250</v>
      </c>
      <c r="E3487" s="238"/>
      <c r="G3487" s="8" t="s">
        <v>1372</v>
      </c>
      <c r="H3487" t="s">
        <v>1336</v>
      </c>
    </row>
    <row r="3488" spans="1:8" hidden="1">
      <c r="A3488" s="265">
        <v>44875</v>
      </c>
      <c r="C3488" s="238" t="s">
        <v>8861</v>
      </c>
      <c r="D3488" s="324">
        <v>750</v>
      </c>
      <c r="E3488" s="238"/>
      <c r="G3488" s="8" t="s">
        <v>1372</v>
      </c>
      <c r="H3488" t="s">
        <v>1336</v>
      </c>
    </row>
    <row r="3489" spans="1:8" hidden="1">
      <c r="A3489" s="265">
        <v>44875</v>
      </c>
      <c r="C3489" s="238" t="s">
        <v>8862</v>
      </c>
      <c r="D3489" s="324">
        <v>1000</v>
      </c>
      <c r="E3489" s="238"/>
      <c r="G3489" s="8" t="s">
        <v>1372</v>
      </c>
      <c r="H3489" t="s">
        <v>1336</v>
      </c>
    </row>
    <row r="3490" spans="1:8" hidden="1">
      <c r="A3490" s="265">
        <v>44875</v>
      </c>
      <c r="C3490" s="238" t="s">
        <v>8863</v>
      </c>
      <c r="D3490" s="238">
        <v>466</v>
      </c>
      <c r="E3490" s="238"/>
      <c r="H3490" t="s">
        <v>1336</v>
      </c>
    </row>
    <row r="3491" spans="1:8" hidden="1">
      <c r="A3491" s="265">
        <v>44876</v>
      </c>
      <c r="C3491" s="238" t="s">
        <v>8864</v>
      </c>
      <c r="D3491" s="324">
        <v>1250</v>
      </c>
      <c r="E3491" s="238"/>
      <c r="G3491" s="8" t="s">
        <v>1372</v>
      </c>
      <c r="H3491" t="s">
        <v>1336</v>
      </c>
    </row>
    <row r="3492" spans="1:8" hidden="1">
      <c r="A3492" s="265">
        <v>44876</v>
      </c>
      <c r="C3492" s="238" t="s">
        <v>8865</v>
      </c>
      <c r="D3492" s="238">
        <v>304</v>
      </c>
      <c r="E3492" s="238"/>
      <c r="H3492" t="s">
        <v>1336</v>
      </c>
    </row>
    <row r="3493" spans="1:8" hidden="1">
      <c r="A3493" s="265">
        <v>44880</v>
      </c>
      <c r="C3493" s="238" t="s">
        <v>8866</v>
      </c>
      <c r="D3493" s="324">
        <v>3575</v>
      </c>
      <c r="E3493" s="238"/>
      <c r="G3493" s="8" t="s">
        <v>1372</v>
      </c>
      <c r="H3493" t="s">
        <v>1336</v>
      </c>
    </row>
    <row r="3494" spans="1:8" hidden="1">
      <c r="A3494" s="265">
        <v>44880</v>
      </c>
      <c r="C3494" s="238" t="s">
        <v>8867</v>
      </c>
      <c r="D3494" s="324">
        <v>750</v>
      </c>
      <c r="E3494" s="238"/>
      <c r="G3494" s="8" t="s">
        <v>1372</v>
      </c>
      <c r="H3494" t="s">
        <v>1336</v>
      </c>
    </row>
    <row r="3495" spans="1:8" hidden="1">
      <c r="A3495" s="265">
        <v>44880</v>
      </c>
      <c r="C3495" s="238" t="s">
        <v>8868</v>
      </c>
      <c r="D3495" s="324">
        <v>1250</v>
      </c>
      <c r="E3495" s="238"/>
      <c r="G3495" s="8" t="s">
        <v>1372</v>
      </c>
      <c r="H3495" t="s">
        <v>1336</v>
      </c>
    </row>
    <row r="3496" spans="1:8" hidden="1">
      <c r="A3496" s="265">
        <v>44880</v>
      </c>
      <c r="C3496" s="238" t="s">
        <v>8869</v>
      </c>
      <c r="D3496" s="324">
        <v>1250</v>
      </c>
      <c r="E3496" s="238"/>
      <c r="G3496" s="8" t="s">
        <v>1372</v>
      </c>
      <c r="H3496" t="s">
        <v>1336</v>
      </c>
    </row>
    <row r="3497" spans="1:8" hidden="1">
      <c r="A3497" s="265">
        <v>44880</v>
      </c>
      <c r="C3497" s="238" t="s">
        <v>8870</v>
      </c>
      <c r="D3497" s="324">
        <v>1000</v>
      </c>
      <c r="E3497" s="238"/>
      <c r="G3497" s="8" t="s">
        <v>1372</v>
      </c>
      <c r="H3497" t="s">
        <v>1336</v>
      </c>
    </row>
    <row r="3498" spans="1:8" hidden="1">
      <c r="A3498" s="265">
        <v>44881</v>
      </c>
      <c r="C3498" s="238" t="s">
        <v>8871</v>
      </c>
      <c r="D3498" s="238">
        <v>225</v>
      </c>
      <c r="E3498" s="238"/>
      <c r="H3498" t="s">
        <v>1336</v>
      </c>
    </row>
    <row r="3499" spans="1:8" hidden="1">
      <c r="A3499" s="265">
        <v>44882</v>
      </c>
      <c r="C3499" s="238" t="s">
        <v>8872</v>
      </c>
      <c r="D3499" s="324">
        <v>1750</v>
      </c>
      <c r="E3499" s="238"/>
      <c r="G3499" s="8" t="s">
        <v>1372</v>
      </c>
      <c r="H3499" t="s">
        <v>1336</v>
      </c>
    </row>
    <row r="3500" spans="1:8" hidden="1">
      <c r="A3500" s="265">
        <v>44883</v>
      </c>
      <c r="C3500" s="238" t="s">
        <v>8873</v>
      </c>
      <c r="D3500" s="324">
        <v>1000</v>
      </c>
      <c r="E3500" s="238"/>
      <c r="G3500" s="8" t="s">
        <v>1372</v>
      </c>
      <c r="H3500" t="s">
        <v>1336</v>
      </c>
    </row>
    <row r="3501" spans="1:8" hidden="1">
      <c r="A3501" s="265">
        <v>44886</v>
      </c>
      <c r="C3501" s="238" t="s">
        <v>8874</v>
      </c>
      <c r="D3501" s="238">
        <v>1599.2</v>
      </c>
      <c r="E3501" s="238"/>
      <c r="H3501" t="s">
        <v>1336</v>
      </c>
    </row>
    <row r="3502" spans="1:8" hidden="1">
      <c r="A3502" s="265">
        <v>44887</v>
      </c>
      <c r="C3502" s="238" t="s">
        <v>8875</v>
      </c>
      <c r="D3502" s="238">
        <v>538</v>
      </c>
      <c r="E3502" s="238"/>
      <c r="H3502" t="s">
        <v>1336</v>
      </c>
    </row>
    <row r="3503" spans="1:8" hidden="1">
      <c r="A3503" s="265">
        <v>44887</v>
      </c>
      <c r="C3503" s="238" t="s">
        <v>8876</v>
      </c>
      <c r="D3503" s="238">
        <v>80</v>
      </c>
      <c r="E3503" s="238"/>
      <c r="H3503" t="s">
        <v>1336</v>
      </c>
    </row>
    <row r="3504" spans="1:8" hidden="1">
      <c r="A3504" s="265">
        <v>44887</v>
      </c>
      <c r="C3504" s="238" t="s">
        <v>8877</v>
      </c>
      <c r="D3504" s="324">
        <v>5025</v>
      </c>
      <c r="E3504" s="238"/>
      <c r="G3504" s="8" t="s">
        <v>1372</v>
      </c>
      <c r="H3504" t="s">
        <v>1336</v>
      </c>
    </row>
    <row r="3505" spans="1:8" hidden="1">
      <c r="A3505" s="265">
        <v>44887</v>
      </c>
      <c r="C3505" s="238" t="s">
        <v>8878</v>
      </c>
      <c r="D3505" s="324">
        <v>750</v>
      </c>
      <c r="E3505" s="238"/>
      <c r="G3505" s="8" t="s">
        <v>1372</v>
      </c>
      <c r="H3505" t="s">
        <v>1336</v>
      </c>
    </row>
    <row r="3506" spans="1:8" hidden="1">
      <c r="A3506" s="265">
        <v>44887</v>
      </c>
      <c r="C3506" s="238" t="s">
        <v>8879</v>
      </c>
      <c r="D3506" s="324">
        <v>1000</v>
      </c>
      <c r="E3506" s="238"/>
      <c r="G3506" s="8" t="s">
        <v>1372</v>
      </c>
      <c r="H3506" t="s">
        <v>1336</v>
      </c>
    </row>
    <row r="3507" spans="1:8" hidden="1">
      <c r="A3507" s="265">
        <v>44887</v>
      </c>
      <c r="C3507" s="238" t="s">
        <v>8880</v>
      </c>
      <c r="D3507" s="238">
        <v>16230</v>
      </c>
      <c r="E3507" s="238"/>
      <c r="G3507" s="8" t="s">
        <v>1379</v>
      </c>
      <c r="H3507" t="s">
        <v>1336</v>
      </c>
    </row>
    <row r="3508" spans="1:8" hidden="1">
      <c r="A3508" s="265">
        <v>44888</v>
      </c>
      <c r="C3508" s="238" t="s">
        <v>8881</v>
      </c>
      <c r="D3508" s="238">
        <v>273</v>
      </c>
      <c r="E3508" s="238"/>
      <c r="H3508" t="s">
        <v>1336</v>
      </c>
    </row>
    <row r="3509" spans="1:8" hidden="1">
      <c r="A3509" s="265">
        <v>44889</v>
      </c>
      <c r="C3509" s="238" t="s">
        <v>8882</v>
      </c>
      <c r="D3509" s="238">
        <v>3000</v>
      </c>
      <c r="E3509" s="238"/>
      <c r="H3509" t="s">
        <v>1336</v>
      </c>
    </row>
    <row r="3510" spans="1:8" hidden="1">
      <c r="A3510" s="265">
        <v>44889</v>
      </c>
      <c r="C3510" s="238" t="s">
        <v>8883</v>
      </c>
      <c r="D3510" s="238">
        <v>464.48</v>
      </c>
      <c r="E3510" s="238"/>
      <c r="H3510" t="s">
        <v>1336</v>
      </c>
    </row>
    <row r="3511" spans="1:8" hidden="1">
      <c r="A3511" s="265">
        <v>44890</v>
      </c>
      <c r="C3511" s="238" t="s">
        <v>8884</v>
      </c>
      <c r="D3511" s="238"/>
      <c r="E3511" s="238">
        <v>295212</v>
      </c>
      <c r="G3511" s="8" t="s">
        <v>1380</v>
      </c>
      <c r="H3511" t="s">
        <v>1336</v>
      </c>
    </row>
    <row r="3512" spans="1:8" hidden="1">
      <c r="A3512" s="265">
        <v>44890</v>
      </c>
      <c r="C3512" s="238" t="s">
        <v>8885</v>
      </c>
      <c r="D3512" s="238">
        <v>100000</v>
      </c>
      <c r="E3512" s="238"/>
      <c r="G3512" s="8" t="s">
        <v>1363</v>
      </c>
      <c r="H3512" t="s">
        <v>1336</v>
      </c>
    </row>
    <row r="3513" spans="1:8" hidden="1">
      <c r="A3513" s="265">
        <v>44891</v>
      </c>
      <c r="C3513" s="238" t="s">
        <v>8886</v>
      </c>
      <c r="D3513" s="238">
        <v>13900</v>
      </c>
      <c r="E3513" s="238"/>
      <c r="G3513" s="8" t="s">
        <v>1379</v>
      </c>
      <c r="H3513" t="s">
        <v>1336</v>
      </c>
    </row>
    <row r="3514" spans="1:8" hidden="1">
      <c r="A3514" s="265">
        <v>44891</v>
      </c>
      <c r="C3514" s="238" t="s">
        <v>8887</v>
      </c>
      <c r="D3514" s="324">
        <v>1750</v>
      </c>
      <c r="E3514" s="238"/>
      <c r="G3514" s="8" t="s">
        <v>1372</v>
      </c>
      <c r="H3514" t="s">
        <v>1336</v>
      </c>
    </row>
    <row r="3515" spans="1:8" hidden="1">
      <c r="A3515" s="265">
        <v>44891</v>
      </c>
      <c r="C3515" s="238" t="s">
        <v>8888</v>
      </c>
      <c r="D3515" s="238">
        <v>377</v>
      </c>
      <c r="E3515" s="238"/>
      <c r="H3515" t="s">
        <v>1336</v>
      </c>
    </row>
    <row r="3516" spans="1:8" hidden="1">
      <c r="A3516" s="265">
        <v>44892</v>
      </c>
      <c r="C3516" s="238" t="s">
        <v>8889</v>
      </c>
      <c r="D3516" s="238">
        <v>234</v>
      </c>
      <c r="E3516" s="238"/>
      <c r="H3516" t="s">
        <v>1336</v>
      </c>
    </row>
    <row r="3517" spans="1:8" hidden="1">
      <c r="A3517" s="265">
        <v>44892</v>
      </c>
      <c r="C3517" s="238" t="s">
        <v>8890</v>
      </c>
      <c r="D3517" s="238">
        <v>1</v>
      </c>
      <c r="E3517" s="238"/>
      <c r="H3517" t="s">
        <v>1336</v>
      </c>
    </row>
    <row r="3518" spans="1:8" hidden="1">
      <c r="A3518" s="265">
        <v>44894</v>
      </c>
      <c r="C3518" s="238" t="s">
        <v>8891</v>
      </c>
      <c r="D3518" s="238">
        <v>199</v>
      </c>
      <c r="E3518" s="238"/>
      <c r="H3518" t="s">
        <v>1336</v>
      </c>
    </row>
    <row r="3519" spans="1:8" hidden="1">
      <c r="A3519" s="265">
        <v>44894</v>
      </c>
      <c r="C3519" s="238" t="s">
        <v>8892</v>
      </c>
      <c r="D3519" s="324">
        <v>1800</v>
      </c>
      <c r="E3519" s="238"/>
      <c r="G3519" s="8" t="s">
        <v>1372</v>
      </c>
      <c r="H3519" t="s">
        <v>1336</v>
      </c>
    </row>
    <row r="3520" spans="1:8" hidden="1">
      <c r="A3520" s="265">
        <v>44894</v>
      </c>
      <c r="C3520" s="238" t="s">
        <v>8893</v>
      </c>
      <c r="D3520" s="324">
        <v>1000</v>
      </c>
      <c r="E3520" s="238"/>
      <c r="G3520" s="8" t="s">
        <v>1372</v>
      </c>
      <c r="H3520" t="s">
        <v>1336</v>
      </c>
    </row>
    <row r="3521" spans="1:10" hidden="1">
      <c r="A3521" s="265">
        <v>44894</v>
      </c>
      <c r="C3521" s="238" t="s">
        <v>8894</v>
      </c>
      <c r="D3521" s="238">
        <v>312</v>
      </c>
      <c r="E3521" s="238"/>
      <c r="H3521" t="s">
        <v>1336</v>
      </c>
    </row>
    <row r="3522" spans="1:10" hidden="1">
      <c r="A3522" s="265">
        <v>44895</v>
      </c>
      <c r="C3522" s="238" t="s">
        <v>8895</v>
      </c>
      <c r="D3522" s="238">
        <v>782</v>
      </c>
      <c r="E3522" s="238"/>
      <c r="H3522" t="s">
        <v>1336</v>
      </c>
    </row>
    <row r="3523" spans="1:10" hidden="1">
      <c r="A3523" s="266">
        <v>44896</v>
      </c>
      <c r="B3523" s="17" t="s">
        <v>4124</v>
      </c>
      <c r="C3523" s="17" t="s">
        <v>6431</v>
      </c>
      <c r="D3523" s="18">
        <v>5001</v>
      </c>
      <c r="E3523" s="18">
        <v>0</v>
      </c>
      <c r="G3523" s="8" t="s">
        <v>1379</v>
      </c>
      <c r="H3523" t="s">
        <v>1050</v>
      </c>
      <c r="I3523" s="69"/>
      <c r="J3523" s="69"/>
    </row>
    <row r="3524" spans="1:10" hidden="1">
      <c r="A3524" s="266">
        <v>44900</v>
      </c>
      <c r="B3524" s="17" t="s">
        <v>4124</v>
      </c>
      <c r="C3524" s="17" t="s">
        <v>8896</v>
      </c>
      <c r="D3524" s="18">
        <v>0</v>
      </c>
      <c r="E3524" s="18">
        <v>9772.36</v>
      </c>
      <c r="G3524" s="8" t="s">
        <v>1375</v>
      </c>
      <c r="H3524" t="s">
        <v>1050</v>
      </c>
      <c r="I3524" s="69"/>
      <c r="J3524" s="69"/>
    </row>
    <row r="3525" spans="1:10" hidden="1">
      <c r="A3525" s="266">
        <v>44914</v>
      </c>
      <c r="B3525" s="17" t="s">
        <v>4124</v>
      </c>
      <c r="C3525" s="17" t="s">
        <v>8897</v>
      </c>
      <c r="D3525" s="18">
        <v>0</v>
      </c>
      <c r="E3525" s="18">
        <v>20000</v>
      </c>
      <c r="G3525" s="8" t="s">
        <v>1358</v>
      </c>
      <c r="H3525" t="s">
        <v>1050</v>
      </c>
      <c r="I3525" s="69"/>
      <c r="J3525" s="69"/>
    </row>
    <row r="3526" spans="1:10" hidden="1">
      <c r="A3526" s="266">
        <v>44916</v>
      </c>
      <c r="B3526" s="17" t="s">
        <v>4124</v>
      </c>
      <c r="C3526" s="17" t="s">
        <v>8898</v>
      </c>
      <c r="D3526" s="18">
        <v>41667</v>
      </c>
      <c r="E3526" s="18">
        <v>0</v>
      </c>
      <c r="G3526" s="8" t="s">
        <v>1381</v>
      </c>
      <c r="H3526" t="s">
        <v>1050</v>
      </c>
      <c r="I3526" s="69"/>
      <c r="J3526" s="69"/>
    </row>
    <row r="3527" spans="1:10" hidden="1">
      <c r="A3527" s="266">
        <v>44923</v>
      </c>
      <c r="B3527" s="17" t="s">
        <v>4124</v>
      </c>
      <c r="C3527" s="17" t="s">
        <v>8899</v>
      </c>
      <c r="D3527" s="18">
        <v>1000</v>
      </c>
      <c r="E3527" s="18">
        <v>0</v>
      </c>
      <c r="H3527" t="s">
        <v>1050</v>
      </c>
      <c r="I3527" s="69"/>
      <c r="J3527" s="69"/>
    </row>
    <row r="3528" spans="1:10" hidden="1">
      <c r="A3528" s="266">
        <v>44923</v>
      </c>
      <c r="B3528" s="17" t="s">
        <v>4124</v>
      </c>
      <c r="C3528" s="17" t="s">
        <v>8900</v>
      </c>
      <c r="D3528" s="18">
        <v>25000</v>
      </c>
      <c r="E3528" s="18">
        <v>0</v>
      </c>
      <c r="G3528" s="8" t="s">
        <v>1381</v>
      </c>
      <c r="H3528" t="s">
        <v>1050</v>
      </c>
      <c r="I3528" s="69"/>
      <c r="J3528" s="69"/>
    </row>
    <row r="3529" spans="1:10" hidden="1">
      <c r="A3529" s="266">
        <v>44926</v>
      </c>
      <c r="B3529" s="17" t="s">
        <v>4124</v>
      </c>
      <c r="C3529" s="17" t="s">
        <v>8901</v>
      </c>
      <c r="D3529" s="18">
        <v>0</v>
      </c>
      <c r="E3529" s="18">
        <v>15598</v>
      </c>
      <c r="G3529" s="8" t="s">
        <v>1368</v>
      </c>
      <c r="H3529" t="s">
        <v>1050</v>
      </c>
      <c r="I3529" s="69"/>
      <c r="J3529" s="69"/>
    </row>
    <row r="3530" spans="1:10" hidden="1">
      <c r="A3530" s="245">
        <v>44573</v>
      </c>
      <c r="C3530" s="3" t="s">
        <v>8902</v>
      </c>
      <c r="D3530" s="3">
        <v>20000</v>
      </c>
      <c r="E3530" s="3"/>
      <c r="G3530" s="8" t="s">
        <v>1358</v>
      </c>
      <c r="H3530" t="s">
        <v>1336</v>
      </c>
    </row>
    <row r="3531" spans="1:10" hidden="1">
      <c r="A3531" s="245">
        <v>44573</v>
      </c>
      <c r="C3531" s="3" t="s">
        <v>8903</v>
      </c>
      <c r="D3531" s="3">
        <v>5000</v>
      </c>
      <c r="E3531" s="3"/>
      <c r="H3531" t="s">
        <v>1336</v>
      </c>
    </row>
    <row r="3532" spans="1:10" hidden="1">
      <c r="A3532" s="245">
        <v>44604</v>
      </c>
      <c r="C3532" s="3" t="s">
        <v>8904</v>
      </c>
      <c r="D3532" s="3">
        <v>1268.5</v>
      </c>
      <c r="E3532" s="3"/>
      <c r="H3532" t="s">
        <v>1336</v>
      </c>
    </row>
    <row r="3533" spans="1:10" hidden="1">
      <c r="A3533" s="245">
        <v>44632</v>
      </c>
      <c r="C3533" s="3" t="s">
        <v>8905</v>
      </c>
      <c r="D3533" s="280">
        <v>3250</v>
      </c>
      <c r="E3533" s="3"/>
      <c r="G3533" s="8" t="s">
        <v>1372</v>
      </c>
      <c r="H3533" t="s">
        <v>1336</v>
      </c>
    </row>
    <row r="3534" spans="1:10" hidden="1">
      <c r="A3534" s="245">
        <v>44632</v>
      </c>
      <c r="C3534" s="3" t="s">
        <v>8906</v>
      </c>
      <c r="D3534" s="280">
        <v>1250</v>
      </c>
      <c r="E3534" s="3"/>
      <c r="G3534" s="8" t="s">
        <v>1372</v>
      </c>
      <c r="H3534" t="s">
        <v>1336</v>
      </c>
    </row>
    <row r="3535" spans="1:10" hidden="1">
      <c r="A3535" s="245">
        <v>44632</v>
      </c>
      <c r="C3535" s="3" t="s">
        <v>8907</v>
      </c>
      <c r="D3535" s="3">
        <v>470.82</v>
      </c>
      <c r="E3535" s="3"/>
      <c r="H3535" t="s">
        <v>1336</v>
      </c>
    </row>
    <row r="3536" spans="1:10" hidden="1">
      <c r="A3536" s="245">
        <v>44693</v>
      </c>
      <c r="C3536" s="3" t="s">
        <v>8908</v>
      </c>
      <c r="D3536" s="3">
        <v>2211</v>
      </c>
      <c r="E3536" s="3"/>
      <c r="H3536" t="s">
        <v>1336</v>
      </c>
    </row>
    <row r="3537" spans="1:8" hidden="1">
      <c r="A3537" s="245">
        <v>44724</v>
      </c>
      <c r="C3537" s="3" t="s">
        <v>6583</v>
      </c>
      <c r="D3537" s="3">
        <v>90772</v>
      </c>
      <c r="E3537" s="3"/>
      <c r="G3537" s="8" t="s">
        <v>1362</v>
      </c>
      <c r="H3537" t="s">
        <v>1336</v>
      </c>
    </row>
    <row r="3538" spans="1:8" hidden="1">
      <c r="A3538" s="245">
        <v>44724</v>
      </c>
      <c r="C3538" s="3" t="s">
        <v>8909</v>
      </c>
      <c r="D3538" s="3">
        <v>1265</v>
      </c>
      <c r="E3538" s="3"/>
      <c r="H3538" t="s">
        <v>1336</v>
      </c>
    </row>
    <row r="3539" spans="1:8" hidden="1">
      <c r="A3539" s="245">
        <v>44754</v>
      </c>
      <c r="C3539" s="3" t="s">
        <v>8910</v>
      </c>
      <c r="D3539" s="280">
        <v>3550</v>
      </c>
      <c r="E3539" s="3"/>
      <c r="G3539" s="8" t="s">
        <v>1372</v>
      </c>
      <c r="H3539" t="s">
        <v>1336</v>
      </c>
    </row>
    <row r="3540" spans="1:8" hidden="1">
      <c r="A3540" s="245">
        <v>44754</v>
      </c>
      <c r="C3540" s="3" t="s">
        <v>8911</v>
      </c>
      <c r="D3540" s="280">
        <v>775</v>
      </c>
      <c r="E3540" s="3"/>
      <c r="G3540" s="8" t="s">
        <v>1372</v>
      </c>
      <c r="H3540" t="s">
        <v>1336</v>
      </c>
    </row>
    <row r="3541" spans="1:8" hidden="1">
      <c r="A3541" s="245">
        <v>44754</v>
      </c>
      <c r="C3541" s="3" t="s">
        <v>8912</v>
      </c>
      <c r="D3541" s="280">
        <v>1250</v>
      </c>
      <c r="E3541" s="3"/>
      <c r="G3541" s="8" t="s">
        <v>1372</v>
      </c>
      <c r="H3541" t="s">
        <v>1336</v>
      </c>
    </row>
    <row r="3542" spans="1:8" hidden="1">
      <c r="A3542" s="245">
        <v>44754</v>
      </c>
      <c r="C3542" s="3" t="s">
        <v>8913</v>
      </c>
      <c r="D3542" s="280">
        <v>1000</v>
      </c>
      <c r="E3542" s="3"/>
      <c r="G3542" s="8" t="s">
        <v>1372</v>
      </c>
      <c r="H3542" t="s">
        <v>1336</v>
      </c>
    </row>
    <row r="3543" spans="1:8" hidden="1">
      <c r="A3543" s="245">
        <v>44754</v>
      </c>
      <c r="C3543" s="3" t="s">
        <v>8914</v>
      </c>
      <c r="D3543" s="280">
        <v>1250</v>
      </c>
      <c r="E3543" s="3"/>
      <c r="G3543" s="8" t="s">
        <v>1372</v>
      </c>
      <c r="H3543" t="s">
        <v>1336</v>
      </c>
    </row>
    <row r="3544" spans="1:8" hidden="1">
      <c r="A3544" s="245">
        <v>44785</v>
      </c>
      <c r="C3544" s="3" t="s">
        <v>8915</v>
      </c>
      <c r="D3544" s="3">
        <v>1011</v>
      </c>
      <c r="E3544" s="3"/>
      <c r="H3544" t="s">
        <v>1336</v>
      </c>
    </row>
    <row r="3545" spans="1:8" hidden="1">
      <c r="A3545" s="245">
        <v>44785</v>
      </c>
      <c r="C3545" s="3" t="s">
        <v>8916</v>
      </c>
      <c r="D3545" s="280">
        <v>775</v>
      </c>
      <c r="E3545" s="3"/>
      <c r="G3545" s="8" t="s">
        <v>1372</v>
      </c>
      <c r="H3545" t="s">
        <v>1336</v>
      </c>
    </row>
    <row r="3546" spans="1:8" hidden="1">
      <c r="A3546" s="245">
        <v>44785</v>
      </c>
      <c r="C3546" s="3" t="s">
        <v>8917</v>
      </c>
      <c r="D3546" s="3">
        <v>194</v>
      </c>
      <c r="E3546" s="3"/>
      <c r="H3546" t="s">
        <v>1336</v>
      </c>
    </row>
    <row r="3547" spans="1:8" hidden="1">
      <c r="A3547" s="245">
        <v>44816</v>
      </c>
      <c r="C3547" s="3" t="s">
        <v>8918</v>
      </c>
      <c r="D3547" s="3"/>
      <c r="E3547" s="3">
        <v>400</v>
      </c>
      <c r="H3547" t="s">
        <v>1336</v>
      </c>
    </row>
    <row r="3548" spans="1:8" hidden="1">
      <c r="A3548" s="245">
        <v>44816</v>
      </c>
      <c r="C3548" s="3" t="s">
        <v>8919</v>
      </c>
      <c r="D3548" s="3"/>
      <c r="E3548" s="3">
        <v>400</v>
      </c>
      <c r="H3548" t="s">
        <v>1336</v>
      </c>
    </row>
    <row r="3549" spans="1:8" hidden="1">
      <c r="A3549" s="245">
        <v>44846</v>
      </c>
      <c r="C3549" s="3" t="s">
        <v>8920</v>
      </c>
      <c r="D3549" s="3"/>
      <c r="E3549" s="3">
        <v>412</v>
      </c>
      <c r="H3549" t="s">
        <v>1336</v>
      </c>
    </row>
    <row r="3550" spans="1:8" hidden="1">
      <c r="A3550" s="245">
        <v>44877</v>
      </c>
      <c r="C3550" s="3" t="s">
        <v>8921</v>
      </c>
      <c r="D3550" s="3">
        <v>1840</v>
      </c>
      <c r="E3550" s="3"/>
      <c r="H3550" t="s">
        <v>1336</v>
      </c>
    </row>
    <row r="3551" spans="1:8" hidden="1">
      <c r="A3551" s="245">
        <v>44877</v>
      </c>
      <c r="C3551" s="3" t="s">
        <v>8922</v>
      </c>
      <c r="D3551" s="3">
        <v>122</v>
      </c>
      <c r="E3551" s="3"/>
      <c r="H3551" t="s">
        <v>1336</v>
      </c>
    </row>
    <row r="3552" spans="1:8" hidden="1">
      <c r="A3552" s="245">
        <v>44907</v>
      </c>
      <c r="C3552" s="3" t="s">
        <v>8923</v>
      </c>
      <c r="D3552" s="3">
        <v>7795</v>
      </c>
      <c r="E3552" s="3"/>
      <c r="H3552" t="s">
        <v>1336</v>
      </c>
    </row>
    <row r="3553" spans="1:8" hidden="1">
      <c r="A3553" s="245">
        <v>44907</v>
      </c>
      <c r="C3553" s="3" t="s">
        <v>8924</v>
      </c>
      <c r="D3553" s="3">
        <v>470</v>
      </c>
      <c r="E3553" s="3"/>
      <c r="H3553" t="s">
        <v>1336</v>
      </c>
    </row>
    <row r="3554" spans="1:8" hidden="1">
      <c r="A3554" s="245">
        <v>44907</v>
      </c>
      <c r="C3554" s="3" t="s">
        <v>8925</v>
      </c>
      <c r="D3554" s="3"/>
      <c r="E3554" s="3">
        <v>412</v>
      </c>
      <c r="H3554" t="s">
        <v>1336</v>
      </c>
    </row>
    <row r="3555" spans="1:8" hidden="1">
      <c r="A3555" s="245">
        <v>44908</v>
      </c>
      <c r="C3555" s="3" t="s">
        <v>8926</v>
      </c>
      <c r="D3555" s="3">
        <v>1400</v>
      </c>
      <c r="E3555" s="3"/>
      <c r="H3555" t="s">
        <v>1336</v>
      </c>
    </row>
    <row r="3556" spans="1:8" hidden="1">
      <c r="A3556" s="245">
        <v>44908</v>
      </c>
      <c r="C3556" s="3" t="s">
        <v>8927</v>
      </c>
      <c r="D3556" s="280">
        <v>4825</v>
      </c>
      <c r="E3556" s="3"/>
      <c r="G3556" s="8" t="s">
        <v>1372</v>
      </c>
      <c r="H3556" t="s">
        <v>1336</v>
      </c>
    </row>
    <row r="3557" spans="1:8" hidden="1">
      <c r="A3557" s="245">
        <v>44908</v>
      </c>
      <c r="C3557" s="3" t="s">
        <v>8928</v>
      </c>
      <c r="D3557" s="280">
        <v>1250</v>
      </c>
      <c r="E3557" s="3"/>
      <c r="G3557" s="8" t="s">
        <v>1372</v>
      </c>
      <c r="H3557" t="s">
        <v>1336</v>
      </c>
    </row>
    <row r="3558" spans="1:8" hidden="1">
      <c r="A3558" s="245">
        <v>44908</v>
      </c>
      <c r="C3558" s="3" t="s">
        <v>8929</v>
      </c>
      <c r="D3558" s="280">
        <v>1000</v>
      </c>
      <c r="E3558" s="3"/>
      <c r="G3558" s="8" t="s">
        <v>1372</v>
      </c>
      <c r="H3558" t="s">
        <v>1336</v>
      </c>
    </row>
    <row r="3559" spans="1:8" hidden="1">
      <c r="A3559" s="245">
        <v>44908</v>
      </c>
      <c r="C3559" s="3" t="s">
        <v>8930</v>
      </c>
      <c r="D3559" s="280">
        <v>750</v>
      </c>
      <c r="E3559" s="3"/>
      <c r="G3559" s="8" t="s">
        <v>1372</v>
      </c>
      <c r="H3559" t="s">
        <v>1336</v>
      </c>
    </row>
    <row r="3560" spans="1:8" hidden="1">
      <c r="A3560" s="245">
        <v>44909</v>
      </c>
      <c r="C3560" s="3" t="s">
        <v>8931</v>
      </c>
      <c r="D3560" s="3">
        <v>900</v>
      </c>
      <c r="E3560" s="3"/>
      <c r="H3560" t="s">
        <v>1336</v>
      </c>
    </row>
    <row r="3561" spans="1:8" hidden="1">
      <c r="A3561" s="245">
        <v>44909</v>
      </c>
      <c r="C3561" s="3" t="s">
        <v>8932</v>
      </c>
      <c r="D3561" s="3">
        <v>8096</v>
      </c>
      <c r="E3561" s="3"/>
      <c r="H3561" t="s">
        <v>1336</v>
      </c>
    </row>
    <row r="3562" spans="1:8" hidden="1">
      <c r="A3562" s="245">
        <v>44909</v>
      </c>
      <c r="C3562" s="3" t="s">
        <v>8933</v>
      </c>
      <c r="D3562" s="3">
        <v>499</v>
      </c>
      <c r="E3562" s="3"/>
      <c r="H3562" t="s">
        <v>1336</v>
      </c>
    </row>
    <row r="3563" spans="1:8" hidden="1">
      <c r="A3563" s="245">
        <v>44910</v>
      </c>
      <c r="C3563" s="3" t="s">
        <v>8934</v>
      </c>
      <c r="D3563" s="3">
        <v>50</v>
      </c>
      <c r="E3563" s="3"/>
      <c r="H3563" t="s">
        <v>1336</v>
      </c>
    </row>
    <row r="3564" spans="1:8" hidden="1">
      <c r="A3564" s="245">
        <v>44910</v>
      </c>
      <c r="C3564" s="3" t="s">
        <v>8935</v>
      </c>
      <c r="D3564" s="3">
        <v>600</v>
      </c>
      <c r="E3564" s="3"/>
      <c r="H3564" t="s">
        <v>1336</v>
      </c>
    </row>
    <row r="3565" spans="1:8" hidden="1">
      <c r="A3565" s="245">
        <v>44910</v>
      </c>
      <c r="C3565" s="3" t="s">
        <v>8936</v>
      </c>
      <c r="D3565" s="3">
        <v>5199.29</v>
      </c>
      <c r="E3565" s="3"/>
      <c r="H3565" t="s">
        <v>1336</v>
      </c>
    </row>
    <row r="3566" spans="1:8" hidden="1">
      <c r="A3566" s="245">
        <v>44911</v>
      </c>
      <c r="C3566" s="3" t="s">
        <v>8937</v>
      </c>
      <c r="D3566" s="3">
        <v>1350</v>
      </c>
      <c r="E3566" s="3"/>
      <c r="H3566" t="s">
        <v>1336</v>
      </c>
    </row>
    <row r="3567" spans="1:8" hidden="1">
      <c r="A3567" s="245">
        <v>44911</v>
      </c>
      <c r="C3567" s="3" t="s">
        <v>8938</v>
      </c>
      <c r="D3567" s="3"/>
      <c r="E3567" s="3">
        <v>3</v>
      </c>
      <c r="H3567" t="s">
        <v>1336</v>
      </c>
    </row>
    <row r="3568" spans="1:8" hidden="1">
      <c r="A3568" s="245">
        <v>44912</v>
      </c>
      <c r="C3568" s="3" t="s">
        <v>8939</v>
      </c>
      <c r="D3568" s="280">
        <v>1750</v>
      </c>
      <c r="E3568" s="3"/>
      <c r="G3568" s="8" t="s">
        <v>1372</v>
      </c>
      <c r="H3568" t="s">
        <v>1336</v>
      </c>
    </row>
    <row r="3569" spans="1:8" hidden="1">
      <c r="A3569" s="245">
        <v>44912</v>
      </c>
      <c r="C3569" s="3" t="s">
        <v>8940</v>
      </c>
      <c r="D3569" s="280">
        <v>1250</v>
      </c>
      <c r="E3569" s="3"/>
      <c r="G3569" s="8" t="s">
        <v>1372</v>
      </c>
      <c r="H3569" t="s">
        <v>1336</v>
      </c>
    </row>
    <row r="3570" spans="1:8" hidden="1">
      <c r="A3570" s="245">
        <v>44912</v>
      </c>
      <c r="C3570" s="3" t="s">
        <v>8941</v>
      </c>
      <c r="D3570" s="280">
        <v>1250</v>
      </c>
      <c r="E3570" s="3"/>
      <c r="G3570" s="8" t="s">
        <v>1372</v>
      </c>
      <c r="H3570" t="s">
        <v>1336</v>
      </c>
    </row>
    <row r="3571" spans="1:8" hidden="1">
      <c r="A3571" s="245">
        <v>44912</v>
      </c>
      <c r="C3571" s="3" t="s">
        <v>8942</v>
      </c>
      <c r="D3571" s="280">
        <v>750</v>
      </c>
      <c r="E3571" s="3"/>
      <c r="G3571" s="8" t="s">
        <v>1372</v>
      </c>
      <c r="H3571" t="s">
        <v>1336</v>
      </c>
    </row>
    <row r="3572" spans="1:8" hidden="1">
      <c r="A3572" s="245">
        <v>44912</v>
      </c>
      <c r="C3572" s="3" t="s">
        <v>8943</v>
      </c>
      <c r="D3572" s="3">
        <v>1287</v>
      </c>
      <c r="E3572" s="3"/>
      <c r="H3572" t="s">
        <v>1336</v>
      </c>
    </row>
    <row r="3573" spans="1:8" hidden="1">
      <c r="A3573" s="245">
        <v>44914</v>
      </c>
      <c r="C3573" s="3" t="s">
        <v>8944</v>
      </c>
      <c r="D3573" s="280">
        <v>1750</v>
      </c>
      <c r="E3573" s="3"/>
      <c r="G3573" s="8" t="s">
        <v>1372</v>
      </c>
      <c r="H3573" t="s">
        <v>1336</v>
      </c>
    </row>
    <row r="3574" spans="1:8" hidden="1">
      <c r="A3574" s="245">
        <v>44914</v>
      </c>
      <c r="C3574" s="3" t="s">
        <v>8945</v>
      </c>
      <c r="D3574" s="280">
        <v>1000</v>
      </c>
      <c r="E3574" s="3"/>
      <c r="G3574" s="8" t="s">
        <v>1372</v>
      </c>
      <c r="H3574" t="s">
        <v>1336</v>
      </c>
    </row>
    <row r="3575" spans="1:8" hidden="1">
      <c r="A3575" s="245">
        <v>44915</v>
      </c>
      <c r="C3575" s="3" t="s">
        <v>8946</v>
      </c>
      <c r="D3575" s="280">
        <v>775</v>
      </c>
      <c r="E3575" s="3"/>
      <c r="G3575" s="8" t="s">
        <v>1372</v>
      </c>
      <c r="H3575" t="s">
        <v>1336</v>
      </c>
    </row>
    <row r="3576" spans="1:8" hidden="1">
      <c r="A3576" s="245">
        <v>44916</v>
      </c>
      <c r="C3576" s="3" t="s">
        <v>8947</v>
      </c>
      <c r="D3576" s="280">
        <v>750</v>
      </c>
      <c r="E3576" s="3"/>
      <c r="G3576" s="8" t="s">
        <v>1372</v>
      </c>
      <c r="H3576" t="s">
        <v>1336</v>
      </c>
    </row>
    <row r="3577" spans="1:8" hidden="1">
      <c r="A3577" s="245">
        <v>44916</v>
      </c>
      <c r="C3577" s="3" t="s">
        <v>8948</v>
      </c>
      <c r="D3577" s="280">
        <v>1000</v>
      </c>
      <c r="E3577" s="3"/>
      <c r="G3577" s="8" t="s">
        <v>1372</v>
      </c>
      <c r="H3577" t="s">
        <v>1336</v>
      </c>
    </row>
    <row r="3578" spans="1:8" hidden="1">
      <c r="A3578" s="245">
        <v>44916</v>
      </c>
      <c r="C3578" s="3" t="s">
        <v>8949</v>
      </c>
      <c r="D3578" s="280">
        <v>1000</v>
      </c>
      <c r="E3578" s="3"/>
      <c r="G3578" s="8" t="s">
        <v>1372</v>
      </c>
      <c r="H3578" t="s">
        <v>1336</v>
      </c>
    </row>
    <row r="3579" spans="1:8" hidden="1">
      <c r="A3579" s="245">
        <v>44917</v>
      </c>
      <c r="C3579" s="3" t="s">
        <v>8950</v>
      </c>
      <c r="D3579" s="280">
        <v>750</v>
      </c>
      <c r="E3579" s="3"/>
      <c r="G3579" s="8" t="s">
        <v>1372</v>
      </c>
      <c r="H3579" t="s">
        <v>1336</v>
      </c>
    </row>
    <row r="3580" spans="1:8" hidden="1">
      <c r="A3580" s="245">
        <v>44918</v>
      </c>
      <c r="C3580" s="3" t="s">
        <v>8951</v>
      </c>
      <c r="D3580" s="3">
        <v>16230</v>
      </c>
      <c r="E3580" s="3"/>
      <c r="G3580" s="8" t="s">
        <v>1379</v>
      </c>
      <c r="H3580" t="s">
        <v>1336</v>
      </c>
    </row>
    <row r="3581" spans="1:8" hidden="1">
      <c r="A3581" s="245">
        <v>44918</v>
      </c>
      <c r="C3581" s="3" t="s">
        <v>8952</v>
      </c>
      <c r="D3581" s="3"/>
      <c r="E3581" s="3">
        <v>295212</v>
      </c>
      <c r="G3581" s="8" t="s">
        <v>1380</v>
      </c>
      <c r="H3581" t="s">
        <v>1336</v>
      </c>
    </row>
    <row r="3582" spans="1:8" hidden="1">
      <c r="A3582" s="245">
        <v>44918</v>
      </c>
      <c r="C3582" s="3" t="s">
        <v>8953</v>
      </c>
      <c r="D3582" s="280">
        <v>750</v>
      </c>
      <c r="E3582" s="3"/>
      <c r="G3582" s="8" t="s">
        <v>1372</v>
      </c>
      <c r="H3582" t="s">
        <v>1336</v>
      </c>
    </row>
    <row r="3583" spans="1:8" hidden="1">
      <c r="A3583" s="245">
        <v>44918</v>
      </c>
      <c r="C3583" s="3" t="s">
        <v>8954</v>
      </c>
      <c r="D3583" s="3">
        <v>20000</v>
      </c>
      <c r="E3583" s="3"/>
      <c r="G3583" s="8" t="s">
        <v>1358</v>
      </c>
      <c r="H3583" t="s">
        <v>1336</v>
      </c>
    </row>
    <row r="3584" spans="1:8" hidden="1">
      <c r="A3584" s="245">
        <v>44919</v>
      </c>
      <c r="C3584" s="3" t="s">
        <v>8955</v>
      </c>
      <c r="D3584" s="280">
        <v>1000</v>
      </c>
      <c r="E3584" s="3"/>
      <c r="G3584" s="8" t="s">
        <v>1372</v>
      </c>
      <c r="H3584" t="s">
        <v>1336</v>
      </c>
    </row>
    <row r="3585" spans="1:8" hidden="1">
      <c r="A3585" s="245">
        <v>44919</v>
      </c>
      <c r="C3585" s="3" t="s">
        <v>8956</v>
      </c>
      <c r="D3585" s="3">
        <v>823</v>
      </c>
      <c r="E3585" s="3"/>
      <c r="H3585" t="s">
        <v>1336</v>
      </c>
    </row>
    <row r="3586" spans="1:8" hidden="1">
      <c r="A3586" s="245">
        <v>44920</v>
      </c>
      <c r="C3586" s="3" t="s">
        <v>8957</v>
      </c>
      <c r="D3586" s="280">
        <v>750</v>
      </c>
      <c r="E3586" s="3"/>
      <c r="G3586" s="8" t="s">
        <v>1372</v>
      </c>
      <c r="H3586" t="s">
        <v>1336</v>
      </c>
    </row>
    <row r="3587" spans="1:8" hidden="1">
      <c r="A3587" s="245">
        <v>44921</v>
      </c>
      <c r="C3587" s="3" t="s">
        <v>8958</v>
      </c>
      <c r="D3587" s="3">
        <v>13900</v>
      </c>
      <c r="E3587" s="3"/>
      <c r="G3587" s="8" t="s">
        <v>1379</v>
      </c>
      <c r="H3587" t="s">
        <v>1336</v>
      </c>
    </row>
    <row r="3588" spans="1:8" hidden="1">
      <c r="A3588" s="245">
        <v>44921</v>
      </c>
      <c r="C3588" s="3" t="s">
        <v>8959</v>
      </c>
      <c r="D3588" s="280">
        <v>1000</v>
      </c>
      <c r="E3588" s="3"/>
      <c r="G3588" s="8" t="s">
        <v>1372</v>
      </c>
      <c r="H3588" t="s">
        <v>1336</v>
      </c>
    </row>
    <row r="3589" spans="1:8" hidden="1">
      <c r="A3589" s="245">
        <v>44921</v>
      </c>
      <c r="C3589" s="3" t="s">
        <v>8960</v>
      </c>
      <c r="D3589" s="3">
        <v>100</v>
      </c>
      <c r="E3589" s="3"/>
      <c r="H3589" t="s">
        <v>1336</v>
      </c>
    </row>
    <row r="3590" spans="1:8" hidden="1">
      <c r="A3590" s="245">
        <v>44922</v>
      </c>
      <c r="C3590" s="3" t="s">
        <v>8961</v>
      </c>
      <c r="D3590" s="280">
        <v>1000</v>
      </c>
      <c r="E3590" s="3"/>
      <c r="G3590" s="8" t="s">
        <v>1372</v>
      </c>
      <c r="H3590" t="s">
        <v>1336</v>
      </c>
    </row>
    <row r="3591" spans="1:8" hidden="1">
      <c r="A3591" s="245">
        <v>44923</v>
      </c>
      <c r="C3591" s="3" t="s">
        <v>8962</v>
      </c>
      <c r="D3591" s="280">
        <v>800</v>
      </c>
      <c r="E3591" s="3"/>
      <c r="G3591" s="8" t="s">
        <v>1372</v>
      </c>
      <c r="H3591" t="s">
        <v>1336</v>
      </c>
    </row>
    <row r="3592" spans="1:8" hidden="1">
      <c r="A3592" s="245">
        <v>44923</v>
      </c>
      <c r="C3592" s="3" t="s">
        <v>8963</v>
      </c>
      <c r="D3592" s="3">
        <v>1499</v>
      </c>
      <c r="E3592" s="3"/>
      <c r="H3592" t="s">
        <v>1336</v>
      </c>
    </row>
    <row r="3593" spans="1:8" hidden="1">
      <c r="A3593" s="245">
        <v>44923</v>
      </c>
      <c r="C3593" s="3" t="s">
        <v>8964</v>
      </c>
      <c r="D3593" s="3"/>
      <c r="E3593" s="3">
        <v>800</v>
      </c>
      <c r="H3593" t="s">
        <v>1336</v>
      </c>
    </row>
    <row r="3594" spans="1:8" hidden="1">
      <c r="A3594" s="245">
        <v>44923</v>
      </c>
      <c r="C3594" s="3" t="s">
        <v>8965</v>
      </c>
      <c r="D3594" s="3"/>
      <c r="E3594" s="3">
        <v>219</v>
      </c>
      <c r="H3594" t="s">
        <v>1336</v>
      </c>
    </row>
    <row r="3595" spans="1:8" hidden="1">
      <c r="A3595" s="245">
        <v>44923</v>
      </c>
      <c r="C3595" s="3" t="s">
        <v>8966</v>
      </c>
      <c r="D3595" s="3">
        <v>199</v>
      </c>
      <c r="E3595" s="3"/>
      <c r="H3595" t="s">
        <v>1336</v>
      </c>
    </row>
    <row r="3596" spans="1:8" hidden="1">
      <c r="A3596" s="245">
        <v>44926</v>
      </c>
      <c r="C3596" s="3" t="s">
        <v>8967</v>
      </c>
      <c r="D3596" s="3"/>
      <c r="E3596" s="3">
        <v>101</v>
      </c>
      <c r="H3596" t="s">
        <v>1336</v>
      </c>
    </row>
    <row r="3597" spans="1:8" hidden="1">
      <c r="A3597" s="232">
        <v>44927</v>
      </c>
      <c r="C3597" s="3" t="s">
        <v>4256</v>
      </c>
      <c r="D3597" s="3"/>
      <c r="E3597" s="3">
        <v>9970</v>
      </c>
      <c r="G3597" s="8" t="s">
        <v>1368</v>
      </c>
      <c r="H3597" t="s">
        <v>1336</v>
      </c>
    </row>
    <row r="3598" spans="1:8" hidden="1">
      <c r="A3598" s="232">
        <v>44928</v>
      </c>
      <c r="C3598" t="s">
        <v>6062</v>
      </c>
      <c r="D3598">
        <v>5001</v>
      </c>
      <c r="E3598">
        <v>0</v>
      </c>
      <c r="G3598" s="8" t="s">
        <v>1379</v>
      </c>
      <c r="H3598" t="s">
        <v>1050</v>
      </c>
    </row>
    <row r="3599" spans="1:8" hidden="1">
      <c r="A3599" s="232">
        <v>44931</v>
      </c>
      <c r="C3599" t="s">
        <v>8968</v>
      </c>
      <c r="D3599">
        <v>0</v>
      </c>
      <c r="E3599">
        <v>9772.36</v>
      </c>
      <c r="G3599" s="8" t="s">
        <v>1375</v>
      </c>
      <c r="H3599" t="s">
        <v>1050</v>
      </c>
    </row>
    <row r="3600" spans="1:8" hidden="1">
      <c r="A3600" s="232">
        <v>44947</v>
      </c>
      <c r="C3600" t="s">
        <v>8969</v>
      </c>
      <c r="D3600">
        <v>41667</v>
      </c>
      <c r="E3600">
        <v>0</v>
      </c>
      <c r="G3600" s="8" t="s">
        <v>1381</v>
      </c>
      <c r="H3600" t="s">
        <v>1050</v>
      </c>
    </row>
    <row r="3601" spans="1:8" hidden="1">
      <c r="A3601" s="232">
        <v>44956</v>
      </c>
      <c r="C3601" t="s">
        <v>8970</v>
      </c>
      <c r="D3601">
        <v>25000</v>
      </c>
      <c r="E3601">
        <v>0</v>
      </c>
      <c r="G3601" s="8" t="s">
        <v>1381</v>
      </c>
      <c r="H3601" t="s">
        <v>1050</v>
      </c>
    </row>
    <row r="3602" spans="1:8" hidden="1">
      <c r="A3602" s="232">
        <v>44927</v>
      </c>
      <c r="C3602" t="s">
        <v>8971</v>
      </c>
      <c r="D3602">
        <v>1500</v>
      </c>
      <c r="H3602" t="s">
        <v>1336</v>
      </c>
    </row>
    <row r="3603" spans="1:8" hidden="1">
      <c r="A3603" s="232">
        <v>44927</v>
      </c>
      <c r="C3603" t="s">
        <v>8972</v>
      </c>
      <c r="D3603" s="69">
        <v>1000</v>
      </c>
      <c r="G3603" s="8" t="s">
        <v>1372</v>
      </c>
      <c r="H3603" t="s">
        <v>1336</v>
      </c>
    </row>
    <row r="3604" spans="1:8" hidden="1">
      <c r="A3604" s="232">
        <v>44928</v>
      </c>
      <c r="C3604" t="s">
        <v>8973</v>
      </c>
      <c r="D3604" s="69">
        <v>1000</v>
      </c>
      <c r="G3604" s="8" t="s">
        <v>1372</v>
      </c>
      <c r="H3604" t="s">
        <v>1336</v>
      </c>
    </row>
    <row r="3605" spans="1:8" hidden="1">
      <c r="A3605" s="232">
        <v>44928</v>
      </c>
      <c r="C3605" t="s">
        <v>8974</v>
      </c>
      <c r="D3605" s="69">
        <v>1250</v>
      </c>
      <c r="G3605" s="8" t="s">
        <v>1372</v>
      </c>
      <c r="H3605" t="s">
        <v>1336</v>
      </c>
    </row>
    <row r="3606" spans="1:8" hidden="1">
      <c r="A3606" s="232">
        <v>44928</v>
      </c>
      <c r="C3606" t="s">
        <v>8975</v>
      </c>
      <c r="D3606" s="69">
        <v>1250</v>
      </c>
      <c r="G3606" s="8" t="s">
        <v>1372</v>
      </c>
      <c r="H3606" t="s">
        <v>1336</v>
      </c>
    </row>
    <row r="3607" spans="1:8" hidden="1">
      <c r="A3607" s="232">
        <v>44929</v>
      </c>
      <c r="C3607" t="s">
        <v>8976</v>
      </c>
      <c r="D3607" s="69">
        <v>1000</v>
      </c>
      <c r="G3607" s="8" t="s">
        <v>1372</v>
      </c>
      <c r="H3607" t="s">
        <v>1336</v>
      </c>
    </row>
    <row r="3608" spans="1:8" hidden="1">
      <c r="A3608" s="232">
        <v>44929</v>
      </c>
      <c r="C3608" t="s">
        <v>8977</v>
      </c>
      <c r="D3608" s="69">
        <v>775</v>
      </c>
      <c r="G3608" s="8" t="s">
        <v>1372</v>
      </c>
      <c r="H3608" t="s">
        <v>1336</v>
      </c>
    </row>
    <row r="3609" spans="1:8" hidden="1">
      <c r="A3609" s="232">
        <v>44929</v>
      </c>
      <c r="C3609" t="s">
        <v>8978</v>
      </c>
      <c r="D3609"/>
      <c r="E3609">
        <v>200</v>
      </c>
      <c r="H3609" t="s">
        <v>1336</v>
      </c>
    </row>
    <row r="3610" spans="1:8" hidden="1">
      <c r="A3610" s="232">
        <v>44929</v>
      </c>
      <c r="C3610" t="s">
        <v>8979</v>
      </c>
      <c r="D3610"/>
      <c r="E3610">
        <v>1875</v>
      </c>
      <c r="H3610" t="s">
        <v>1336</v>
      </c>
    </row>
    <row r="3611" spans="1:8" hidden="1">
      <c r="A3611" s="232">
        <v>44929</v>
      </c>
      <c r="C3611" t="s">
        <v>8980</v>
      </c>
      <c r="D3611"/>
      <c r="E3611">
        <v>279</v>
      </c>
      <c r="H3611" t="s">
        <v>1336</v>
      </c>
    </row>
    <row r="3612" spans="1:8" hidden="1">
      <c r="A3612" s="232">
        <v>44930</v>
      </c>
      <c r="C3612" t="s">
        <v>8981</v>
      </c>
      <c r="D3612" s="69">
        <v>750</v>
      </c>
      <c r="G3612" s="8" t="s">
        <v>1372</v>
      </c>
      <c r="H3612" t="s">
        <v>1336</v>
      </c>
    </row>
    <row r="3613" spans="1:8" hidden="1">
      <c r="A3613" s="232">
        <v>44930</v>
      </c>
      <c r="C3613" t="s">
        <v>8982</v>
      </c>
      <c r="D3613">
        <v>5000</v>
      </c>
      <c r="H3613" t="s">
        <v>1336</v>
      </c>
    </row>
    <row r="3614" spans="1:8" hidden="1">
      <c r="A3614" s="232">
        <v>44930</v>
      </c>
      <c r="C3614" t="s">
        <v>8983</v>
      </c>
      <c r="D3614">
        <v>1268.5</v>
      </c>
      <c r="H3614" t="s">
        <v>1336</v>
      </c>
    </row>
    <row r="3615" spans="1:8" hidden="1">
      <c r="A3615" s="232">
        <v>44931</v>
      </c>
      <c r="C3615" t="s">
        <v>6583</v>
      </c>
      <c r="D3615">
        <v>27378</v>
      </c>
      <c r="G3615" s="8" t="s">
        <v>1362</v>
      </c>
      <c r="H3615" t="s">
        <v>1336</v>
      </c>
    </row>
    <row r="3616" spans="1:8" hidden="1">
      <c r="A3616" s="232">
        <v>44931</v>
      </c>
      <c r="C3616" t="s">
        <v>8984</v>
      </c>
      <c r="D3616" s="69">
        <v>1250</v>
      </c>
      <c r="G3616" s="8" t="s">
        <v>1372</v>
      </c>
      <c r="H3616" t="s">
        <v>1336</v>
      </c>
    </row>
    <row r="3617" spans="1:8" hidden="1">
      <c r="A3617" s="232">
        <v>44931</v>
      </c>
      <c r="C3617" t="s">
        <v>8985</v>
      </c>
      <c r="D3617" s="69">
        <v>1250</v>
      </c>
      <c r="G3617" s="8" t="s">
        <v>1372</v>
      </c>
      <c r="H3617" t="s">
        <v>1336</v>
      </c>
    </row>
    <row r="3618" spans="1:8" hidden="1">
      <c r="A3618" s="232">
        <v>44932</v>
      </c>
      <c r="C3618" t="s">
        <v>8986</v>
      </c>
      <c r="D3618" s="69">
        <v>1000</v>
      </c>
      <c r="G3618" s="8" t="s">
        <v>1372</v>
      </c>
      <c r="H3618" t="s">
        <v>1336</v>
      </c>
    </row>
    <row r="3619" spans="1:8" hidden="1">
      <c r="A3619" s="232">
        <v>44932</v>
      </c>
      <c r="C3619" t="s">
        <v>8987</v>
      </c>
      <c r="D3619" s="69">
        <v>800</v>
      </c>
      <c r="G3619" s="8" t="s">
        <v>1372</v>
      </c>
      <c r="H3619" t="s">
        <v>1336</v>
      </c>
    </row>
    <row r="3620" spans="1:8" hidden="1">
      <c r="A3620" s="232">
        <v>44932</v>
      </c>
      <c r="C3620" t="s">
        <v>8988</v>
      </c>
      <c r="D3620">
        <v>160</v>
      </c>
      <c r="H3620" t="s">
        <v>1336</v>
      </c>
    </row>
    <row r="3621" spans="1:8" hidden="1">
      <c r="A3621" s="232">
        <v>44932</v>
      </c>
      <c r="C3621" t="s">
        <v>8989</v>
      </c>
      <c r="D3621">
        <v>4850</v>
      </c>
      <c r="H3621" t="s">
        <v>1336</v>
      </c>
    </row>
    <row r="3622" spans="1:8" hidden="1">
      <c r="A3622" s="232">
        <v>44933</v>
      </c>
      <c r="C3622" t="s">
        <v>8990</v>
      </c>
      <c r="D3622" s="69">
        <v>1000</v>
      </c>
      <c r="G3622" s="8" t="s">
        <v>1372</v>
      </c>
      <c r="H3622" t="s">
        <v>1336</v>
      </c>
    </row>
    <row r="3623" spans="1:8" hidden="1">
      <c r="A3623" s="232">
        <v>44934</v>
      </c>
      <c r="C3623" t="s">
        <v>8991</v>
      </c>
      <c r="D3623" s="69">
        <v>775</v>
      </c>
      <c r="G3623" s="8" t="s">
        <v>1372</v>
      </c>
      <c r="H3623" t="s">
        <v>1336</v>
      </c>
    </row>
    <row r="3624" spans="1:8" hidden="1">
      <c r="A3624" s="232">
        <v>44934</v>
      </c>
      <c r="C3624" t="s">
        <v>8992</v>
      </c>
      <c r="D3624">
        <v>180</v>
      </c>
      <c r="H3624" t="s">
        <v>1336</v>
      </c>
    </row>
    <row r="3625" spans="1:8" hidden="1">
      <c r="A3625" s="232">
        <v>44934</v>
      </c>
      <c r="C3625" t="s">
        <v>8993</v>
      </c>
      <c r="D3625">
        <v>1224.79</v>
      </c>
      <c r="H3625" t="s">
        <v>1336</v>
      </c>
    </row>
    <row r="3626" spans="1:8" hidden="1">
      <c r="A3626" s="232">
        <v>44935</v>
      </c>
      <c r="C3626" t="s">
        <v>8994</v>
      </c>
      <c r="D3626" s="69">
        <v>750</v>
      </c>
      <c r="G3626" s="8" t="s">
        <v>1372</v>
      </c>
      <c r="H3626" t="s">
        <v>1336</v>
      </c>
    </row>
    <row r="3627" spans="1:8" hidden="1">
      <c r="A3627" s="232">
        <v>44935</v>
      </c>
      <c r="C3627" t="s">
        <v>8995</v>
      </c>
      <c r="D3627" s="69">
        <v>750</v>
      </c>
      <c r="G3627" s="8" t="s">
        <v>1372</v>
      </c>
      <c r="H3627" t="s">
        <v>1336</v>
      </c>
    </row>
    <row r="3628" spans="1:8" hidden="1">
      <c r="A3628" s="232">
        <v>44935</v>
      </c>
      <c r="C3628" t="s">
        <v>8996</v>
      </c>
      <c r="D3628" s="69">
        <v>1000</v>
      </c>
      <c r="G3628" s="8" t="s">
        <v>1372</v>
      </c>
      <c r="H3628" t="s">
        <v>1336</v>
      </c>
    </row>
    <row r="3629" spans="1:8" hidden="1">
      <c r="A3629" s="232">
        <v>44935</v>
      </c>
      <c r="C3629" t="s">
        <v>8997</v>
      </c>
      <c r="D3629" s="69">
        <v>1000</v>
      </c>
      <c r="G3629" s="8" t="s">
        <v>1372</v>
      </c>
      <c r="H3629" t="s">
        <v>1336</v>
      </c>
    </row>
    <row r="3630" spans="1:8" hidden="1">
      <c r="A3630" s="232">
        <v>44935</v>
      </c>
      <c r="C3630" t="s">
        <v>8998</v>
      </c>
      <c r="D3630">
        <v>2211</v>
      </c>
      <c r="H3630" t="s">
        <v>1336</v>
      </c>
    </row>
    <row r="3631" spans="1:8" hidden="1">
      <c r="A3631" s="232">
        <v>44936</v>
      </c>
      <c r="C3631" t="s">
        <v>8999</v>
      </c>
      <c r="D3631" s="69">
        <v>1250</v>
      </c>
      <c r="G3631" s="8" t="s">
        <v>1372</v>
      </c>
      <c r="H3631" t="s">
        <v>1336</v>
      </c>
    </row>
    <row r="3632" spans="1:8" hidden="1">
      <c r="A3632" s="232">
        <v>44937</v>
      </c>
      <c r="C3632" t="s">
        <v>9000</v>
      </c>
      <c r="D3632" s="69">
        <v>1250</v>
      </c>
      <c r="G3632" s="8" t="s">
        <v>1372</v>
      </c>
      <c r="H3632" t="s">
        <v>1336</v>
      </c>
    </row>
    <row r="3633" spans="1:8" hidden="1">
      <c r="A3633" s="232">
        <v>44938</v>
      </c>
      <c r="C3633" t="s">
        <v>9001</v>
      </c>
      <c r="D3633" s="69">
        <v>1000</v>
      </c>
      <c r="G3633" s="8" t="s">
        <v>1372</v>
      </c>
      <c r="H3633" t="s">
        <v>1336</v>
      </c>
    </row>
    <row r="3634" spans="1:8" hidden="1">
      <c r="A3634" s="232">
        <v>44939</v>
      </c>
      <c r="C3634" t="s">
        <v>9002</v>
      </c>
      <c r="D3634" s="69">
        <v>775</v>
      </c>
      <c r="G3634" s="8" t="s">
        <v>1372</v>
      </c>
      <c r="H3634" t="s">
        <v>1336</v>
      </c>
    </row>
    <row r="3635" spans="1:8" hidden="1">
      <c r="A3635" s="232">
        <v>44939</v>
      </c>
      <c r="C3635" t="s">
        <v>9003</v>
      </c>
      <c r="D3635" s="69">
        <v>1000</v>
      </c>
      <c r="G3635" s="8" t="s">
        <v>1372</v>
      </c>
      <c r="H3635" t="s">
        <v>1336</v>
      </c>
    </row>
    <row r="3636" spans="1:8" hidden="1">
      <c r="A3636" s="232">
        <v>44940</v>
      </c>
      <c r="C3636" t="s">
        <v>9004</v>
      </c>
      <c r="D3636" s="69">
        <v>800</v>
      </c>
      <c r="G3636" s="8" t="s">
        <v>1372</v>
      </c>
      <c r="H3636" t="s">
        <v>1336</v>
      </c>
    </row>
    <row r="3637" spans="1:8" hidden="1">
      <c r="A3637" s="232">
        <v>44940</v>
      </c>
      <c r="C3637" t="s">
        <v>9005</v>
      </c>
      <c r="D3637" s="69">
        <v>1000</v>
      </c>
      <c r="G3637" s="8" t="s">
        <v>1372</v>
      </c>
      <c r="H3637" t="s">
        <v>1336</v>
      </c>
    </row>
    <row r="3638" spans="1:8" hidden="1">
      <c r="A3638" s="232">
        <v>44940</v>
      </c>
      <c r="C3638" t="s">
        <v>9006</v>
      </c>
      <c r="D3638">
        <v>740</v>
      </c>
      <c r="H3638" t="s">
        <v>1336</v>
      </c>
    </row>
    <row r="3639" spans="1:8" hidden="1">
      <c r="A3639" s="232">
        <v>44942</v>
      </c>
      <c r="C3639" t="s">
        <v>9007</v>
      </c>
      <c r="D3639" s="69">
        <v>1250</v>
      </c>
      <c r="G3639" s="8" t="s">
        <v>1372</v>
      </c>
      <c r="H3639" t="s">
        <v>1336</v>
      </c>
    </row>
    <row r="3640" spans="1:8" hidden="1">
      <c r="A3640" s="232">
        <v>44942</v>
      </c>
      <c r="C3640" t="s">
        <v>9008</v>
      </c>
      <c r="D3640" s="69">
        <v>1250</v>
      </c>
      <c r="G3640" s="8" t="s">
        <v>1372</v>
      </c>
      <c r="H3640" t="s">
        <v>1336</v>
      </c>
    </row>
    <row r="3641" spans="1:8" hidden="1">
      <c r="A3641" s="232">
        <v>44942</v>
      </c>
      <c r="C3641" t="s">
        <v>9009</v>
      </c>
      <c r="D3641" s="69">
        <v>1000</v>
      </c>
      <c r="G3641" s="8" t="s">
        <v>1372</v>
      </c>
      <c r="H3641" t="s">
        <v>1336</v>
      </c>
    </row>
    <row r="3642" spans="1:8" hidden="1">
      <c r="A3642" s="232">
        <v>44942</v>
      </c>
      <c r="C3642" t="s">
        <v>9010</v>
      </c>
      <c r="D3642" s="69">
        <v>750</v>
      </c>
      <c r="G3642" s="8" t="s">
        <v>1372</v>
      </c>
      <c r="H3642" t="s">
        <v>1336</v>
      </c>
    </row>
    <row r="3643" spans="1:8" hidden="1">
      <c r="A3643" s="232">
        <v>44943</v>
      </c>
      <c r="C3643" t="s">
        <v>9011</v>
      </c>
      <c r="D3643" s="69">
        <v>750</v>
      </c>
      <c r="G3643" s="8" t="s">
        <v>1372</v>
      </c>
      <c r="H3643" t="s">
        <v>1336</v>
      </c>
    </row>
    <row r="3644" spans="1:8" hidden="1">
      <c r="A3644" s="232">
        <v>44943</v>
      </c>
      <c r="C3644" t="s">
        <v>9012</v>
      </c>
      <c r="D3644">
        <v>50</v>
      </c>
      <c r="H3644" t="s">
        <v>1336</v>
      </c>
    </row>
    <row r="3645" spans="1:8" hidden="1">
      <c r="A3645" s="232">
        <v>44944</v>
      </c>
      <c r="C3645" t="s">
        <v>9013</v>
      </c>
      <c r="D3645" s="69">
        <v>1000</v>
      </c>
      <c r="G3645" s="8" t="s">
        <v>1372</v>
      </c>
      <c r="H3645" t="s">
        <v>1336</v>
      </c>
    </row>
    <row r="3646" spans="1:8" hidden="1">
      <c r="A3646" s="232">
        <v>44945</v>
      </c>
      <c r="C3646" t="s">
        <v>9014</v>
      </c>
      <c r="D3646" s="69">
        <v>750</v>
      </c>
      <c r="G3646" s="8" t="s">
        <v>1372</v>
      </c>
      <c r="H3646" t="s">
        <v>1336</v>
      </c>
    </row>
    <row r="3647" spans="1:8" hidden="1">
      <c r="A3647" s="232">
        <v>44945</v>
      </c>
      <c r="C3647" t="s">
        <v>9015</v>
      </c>
      <c r="D3647" s="69">
        <v>1000</v>
      </c>
      <c r="G3647" s="8" t="s">
        <v>1372</v>
      </c>
      <c r="H3647" t="s">
        <v>1336</v>
      </c>
    </row>
    <row r="3648" spans="1:8" hidden="1">
      <c r="A3648" s="232">
        <v>44945</v>
      </c>
      <c r="C3648" t="s">
        <v>9016</v>
      </c>
      <c r="D3648">
        <v>376</v>
      </c>
      <c r="H3648" t="s">
        <v>1336</v>
      </c>
    </row>
    <row r="3649" spans="1:8" hidden="1">
      <c r="A3649" s="232">
        <v>44946</v>
      </c>
      <c r="C3649" t="s">
        <v>9017</v>
      </c>
      <c r="D3649" s="69">
        <v>775</v>
      </c>
      <c r="G3649" s="8" t="s">
        <v>1372</v>
      </c>
      <c r="H3649" t="s">
        <v>1336</v>
      </c>
    </row>
    <row r="3650" spans="1:8" hidden="1">
      <c r="A3650" s="232">
        <v>44947</v>
      </c>
      <c r="C3650" t="s">
        <v>9018</v>
      </c>
      <c r="D3650" s="69">
        <v>1000</v>
      </c>
      <c r="G3650" s="8" t="s">
        <v>1372</v>
      </c>
      <c r="H3650" t="s">
        <v>1336</v>
      </c>
    </row>
    <row r="3651" spans="1:8" hidden="1">
      <c r="A3651" s="232">
        <v>44947</v>
      </c>
      <c r="C3651" t="s">
        <v>9019</v>
      </c>
      <c r="D3651" s="69">
        <v>1000</v>
      </c>
      <c r="G3651" s="8" t="s">
        <v>1372</v>
      </c>
      <c r="H3651" t="s">
        <v>1336</v>
      </c>
    </row>
    <row r="3652" spans="1:8" hidden="1">
      <c r="A3652" s="232">
        <v>44947</v>
      </c>
      <c r="C3652" t="s">
        <v>9020</v>
      </c>
      <c r="D3652">
        <v>313</v>
      </c>
      <c r="H3652" t="s">
        <v>1336</v>
      </c>
    </row>
    <row r="3653" spans="1:8" hidden="1">
      <c r="A3653" s="232">
        <v>44947</v>
      </c>
      <c r="C3653" t="s">
        <v>9021</v>
      </c>
      <c r="D3653">
        <v>70</v>
      </c>
      <c r="H3653" t="s">
        <v>1336</v>
      </c>
    </row>
    <row r="3654" spans="1:8" hidden="1">
      <c r="A3654" s="232">
        <v>44948</v>
      </c>
      <c r="C3654" t="s">
        <v>9022</v>
      </c>
      <c r="D3654"/>
      <c r="E3654">
        <v>200009</v>
      </c>
      <c r="G3654" s="8" t="s">
        <v>1379</v>
      </c>
      <c r="H3654" t="s">
        <v>1336</v>
      </c>
    </row>
    <row r="3655" spans="1:8" hidden="1">
      <c r="A3655" s="232">
        <v>44948</v>
      </c>
      <c r="C3655" t="s">
        <v>9023</v>
      </c>
      <c r="D3655" s="69">
        <v>750</v>
      </c>
      <c r="G3655" s="8" t="s">
        <v>1372</v>
      </c>
      <c r="H3655" t="s">
        <v>1336</v>
      </c>
    </row>
    <row r="3656" spans="1:8" hidden="1">
      <c r="A3656" s="232">
        <v>44948</v>
      </c>
      <c r="C3656" t="s">
        <v>9024</v>
      </c>
      <c r="D3656">
        <v>6000</v>
      </c>
      <c r="H3656" t="s">
        <v>1336</v>
      </c>
    </row>
    <row r="3657" spans="1:8" hidden="1">
      <c r="A3657" s="232">
        <v>44949</v>
      </c>
      <c r="C3657" t="s">
        <v>9025</v>
      </c>
      <c r="D3657">
        <v>923.5</v>
      </c>
      <c r="H3657" t="s">
        <v>1336</v>
      </c>
    </row>
    <row r="3658" spans="1:8" hidden="1">
      <c r="A3658" s="232">
        <v>44949</v>
      </c>
      <c r="C3658" t="s">
        <v>9026</v>
      </c>
      <c r="D3658" s="69">
        <v>750</v>
      </c>
      <c r="G3658" s="8" t="s">
        <v>1372</v>
      </c>
      <c r="H3658" t="s">
        <v>1336</v>
      </c>
    </row>
    <row r="3659" spans="1:8" hidden="1">
      <c r="A3659" s="232">
        <v>44949</v>
      </c>
      <c r="C3659" t="s">
        <v>9027</v>
      </c>
      <c r="D3659" s="69">
        <v>750</v>
      </c>
      <c r="G3659" s="8" t="s">
        <v>1372</v>
      </c>
      <c r="H3659" t="s">
        <v>1336</v>
      </c>
    </row>
    <row r="3660" spans="1:8" hidden="1">
      <c r="A3660" s="232">
        <v>44950</v>
      </c>
      <c r="C3660" t="s">
        <v>9028</v>
      </c>
      <c r="D3660" s="69">
        <v>1000</v>
      </c>
      <c r="G3660" s="8" t="s">
        <v>1372</v>
      </c>
      <c r="H3660" t="s">
        <v>1336</v>
      </c>
    </row>
    <row r="3661" spans="1:8" hidden="1">
      <c r="A3661" s="232">
        <v>44951</v>
      </c>
      <c r="C3661" t="s">
        <v>9029</v>
      </c>
      <c r="D3661" s="69">
        <v>750</v>
      </c>
      <c r="G3661" s="8" t="s">
        <v>1372</v>
      </c>
      <c r="H3661" t="s">
        <v>1336</v>
      </c>
    </row>
    <row r="3662" spans="1:8" hidden="1">
      <c r="A3662" s="232">
        <v>44951</v>
      </c>
      <c r="C3662" t="s">
        <v>9030</v>
      </c>
      <c r="D3662"/>
      <c r="E3662">
        <v>262004</v>
      </c>
      <c r="G3662" s="8" t="s">
        <v>1380</v>
      </c>
      <c r="H3662" t="s">
        <v>1336</v>
      </c>
    </row>
    <row r="3663" spans="1:8" hidden="1">
      <c r="A3663" s="232">
        <v>44951</v>
      </c>
      <c r="C3663" t="s">
        <v>9031</v>
      </c>
      <c r="D3663">
        <v>13900</v>
      </c>
      <c r="G3663" s="8" t="s">
        <v>1379</v>
      </c>
      <c r="H3663" t="s">
        <v>1336</v>
      </c>
    </row>
    <row r="3664" spans="1:8" hidden="1">
      <c r="A3664" s="232">
        <v>44952</v>
      </c>
      <c r="C3664" t="s">
        <v>9032</v>
      </c>
      <c r="D3664">
        <v>1472</v>
      </c>
      <c r="H3664" t="s">
        <v>1336</v>
      </c>
    </row>
    <row r="3665" spans="1:8" hidden="1">
      <c r="A3665" s="232">
        <v>44952</v>
      </c>
      <c r="C3665" t="s">
        <v>9033</v>
      </c>
      <c r="D3665">
        <v>28000</v>
      </c>
      <c r="G3665" s="8" t="s">
        <v>1358</v>
      </c>
      <c r="H3665" t="s">
        <v>1336</v>
      </c>
    </row>
    <row r="3666" spans="1:8" hidden="1">
      <c r="A3666" s="232">
        <v>44953</v>
      </c>
      <c r="C3666" t="s">
        <v>9034</v>
      </c>
      <c r="D3666" s="69">
        <v>1000</v>
      </c>
      <c r="G3666" s="8" t="s">
        <v>1372</v>
      </c>
      <c r="H3666" t="s">
        <v>1336</v>
      </c>
    </row>
    <row r="3667" spans="1:8" hidden="1">
      <c r="A3667" s="232">
        <v>44953</v>
      </c>
      <c r="C3667" t="s">
        <v>9035</v>
      </c>
      <c r="D3667" s="69">
        <v>1000</v>
      </c>
      <c r="G3667" s="8" t="s">
        <v>1372</v>
      </c>
      <c r="H3667" t="s">
        <v>1336</v>
      </c>
    </row>
    <row r="3668" spans="1:8" hidden="1">
      <c r="A3668" s="232">
        <v>44954</v>
      </c>
      <c r="C3668" t="s">
        <v>9036</v>
      </c>
      <c r="D3668" s="69">
        <v>800</v>
      </c>
      <c r="G3668" s="8" t="s">
        <v>1372</v>
      </c>
      <c r="H3668" t="s">
        <v>1336</v>
      </c>
    </row>
    <row r="3669" spans="1:8" hidden="1">
      <c r="A3669" s="232">
        <v>44955</v>
      </c>
      <c r="C3669" t="s">
        <v>9037</v>
      </c>
      <c r="D3669">
        <v>199</v>
      </c>
      <c r="H3669" t="s">
        <v>1336</v>
      </c>
    </row>
    <row r="3670" spans="1:8" hidden="1">
      <c r="A3670" s="232">
        <v>44955</v>
      </c>
      <c r="C3670" t="s">
        <v>9038</v>
      </c>
      <c r="D3670">
        <v>1691</v>
      </c>
      <c r="H3670" t="s">
        <v>1336</v>
      </c>
    </row>
    <row r="3671" spans="1:8" hidden="1">
      <c r="A3671" s="232">
        <v>44957</v>
      </c>
      <c r="C3671" t="s">
        <v>9039</v>
      </c>
      <c r="D3671">
        <v>1666.14</v>
      </c>
      <c r="H3671" t="s">
        <v>1336</v>
      </c>
    </row>
    <row r="3672" spans="1:8" hidden="1">
      <c r="A3672" s="52">
        <v>44958</v>
      </c>
      <c r="B3672" t="s">
        <v>1914</v>
      </c>
      <c r="C3672" t="s">
        <v>6062</v>
      </c>
      <c r="D3672">
        <v>5001</v>
      </c>
      <c r="E3672">
        <v>0</v>
      </c>
      <c r="G3672" s="8" t="s">
        <v>1379</v>
      </c>
      <c r="H3672" t="s">
        <v>1050</v>
      </c>
    </row>
    <row r="3673" spans="1:8" hidden="1">
      <c r="A3673" s="52">
        <v>44963</v>
      </c>
      <c r="B3673" t="s">
        <v>1938</v>
      </c>
      <c r="C3673" t="s">
        <v>9040</v>
      </c>
      <c r="D3673">
        <v>0</v>
      </c>
      <c r="E3673">
        <v>9772.36</v>
      </c>
      <c r="G3673" s="8" t="s">
        <v>1375</v>
      </c>
      <c r="H3673" t="s">
        <v>1050</v>
      </c>
    </row>
    <row r="3674" spans="1:8" hidden="1">
      <c r="A3674" s="52">
        <v>44975</v>
      </c>
      <c r="B3674" t="s">
        <v>1997</v>
      </c>
      <c r="C3674" t="s">
        <v>9041</v>
      </c>
      <c r="D3674">
        <v>5000</v>
      </c>
      <c r="E3674">
        <v>0</v>
      </c>
      <c r="H3674" t="s">
        <v>1050</v>
      </c>
    </row>
    <row r="3675" spans="1:8" hidden="1">
      <c r="A3675" s="52">
        <v>44977</v>
      </c>
      <c r="C3675" t="s">
        <v>9042</v>
      </c>
      <c r="D3675">
        <v>59138</v>
      </c>
      <c r="E3675">
        <v>0</v>
      </c>
      <c r="G3675" s="8" t="s">
        <v>1370</v>
      </c>
      <c r="H3675" t="s">
        <v>1050</v>
      </c>
    </row>
    <row r="3676" spans="1:8" hidden="1">
      <c r="A3676" s="52">
        <v>44978</v>
      </c>
      <c r="B3676" t="s">
        <v>1938</v>
      </c>
      <c r="C3676" t="s">
        <v>9043</v>
      </c>
      <c r="D3676">
        <v>41667</v>
      </c>
      <c r="E3676">
        <v>0</v>
      </c>
      <c r="G3676" s="8" t="s">
        <v>1381</v>
      </c>
      <c r="H3676" t="s">
        <v>1050</v>
      </c>
    </row>
    <row r="3677" spans="1:8" hidden="1">
      <c r="A3677" s="52">
        <v>44985</v>
      </c>
      <c r="B3677" t="s">
        <v>1938</v>
      </c>
      <c r="C3677" t="s">
        <v>9044</v>
      </c>
      <c r="D3677">
        <v>25000</v>
      </c>
      <c r="E3677">
        <v>0</v>
      </c>
      <c r="G3677" s="8" t="s">
        <v>1381</v>
      </c>
      <c r="H3677" t="s">
        <v>1050</v>
      </c>
    </row>
    <row r="3678" spans="1:8" hidden="1">
      <c r="A3678" s="232">
        <v>44958</v>
      </c>
      <c r="B3678" t="s">
        <v>9045</v>
      </c>
      <c r="C3678" t="s">
        <v>9046</v>
      </c>
      <c r="D3678" s="69">
        <v>1250</v>
      </c>
      <c r="G3678" s="8" t="s">
        <v>1372</v>
      </c>
      <c r="H3678" t="s">
        <v>1336</v>
      </c>
    </row>
    <row r="3679" spans="1:8" hidden="1">
      <c r="A3679" s="232">
        <v>44958</v>
      </c>
      <c r="B3679" t="s">
        <v>9047</v>
      </c>
      <c r="C3679" t="s">
        <v>9048</v>
      </c>
      <c r="D3679" s="69">
        <v>1000</v>
      </c>
      <c r="G3679" s="8" t="s">
        <v>1372</v>
      </c>
      <c r="H3679" t="s">
        <v>1336</v>
      </c>
    </row>
    <row r="3680" spans="1:8" hidden="1">
      <c r="A3680" s="52">
        <v>44959</v>
      </c>
      <c r="B3680" t="s">
        <v>9049</v>
      </c>
      <c r="C3680" t="s">
        <v>9050</v>
      </c>
      <c r="D3680" s="69">
        <v>1000</v>
      </c>
      <c r="G3680" s="8" t="s">
        <v>1372</v>
      </c>
      <c r="H3680" t="s">
        <v>1336</v>
      </c>
    </row>
    <row r="3681" spans="1:8" hidden="1">
      <c r="A3681" s="52">
        <v>44959</v>
      </c>
      <c r="B3681" t="s">
        <v>9051</v>
      </c>
      <c r="C3681" t="s">
        <v>9052</v>
      </c>
      <c r="D3681" s="69">
        <v>1250</v>
      </c>
      <c r="G3681" s="8" t="s">
        <v>1372</v>
      </c>
      <c r="H3681" t="s">
        <v>1336</v>
      </c>
    </row>
    <row r="3682" spans="1:8" hidden="1">
      <c r="A3682" s="52">
        <v>44959</v>
      </c>
      <c r="B3682" t="s">
        <v>9053</v>
      </c>
      <c r="C3682" t="s">
        <v>9054</v>
      </c>
      <c r="D3682">
        <v>1463.49</v>
      </c>
      <c r="H3682" t="s">
        <v>1336</v>
      </c>
    </row>
    <row r="3683" spans="1:8" hidden="1">
      <c r="A3683" s="52">
        <v>44960</v>
      </c>
      <c r="B3683" t="s">
        <v>9055</v>
      </c>
      <c r="C3683" t="s">
        <v>9056</v>
      </c>
      <c r="D3683" s="69">
        <v>775</v>
      </c>
      <c r="G3683" s="8" t="s">
        <v>1372</v>
      </c>
      <c r="H3683" t="s">
        <v>1336</v>
      </c>
    </row>
    <row r="3684" spans="1:8" hidden="1">
      <c r="A3684" s="52">
        <v>44960</v>
      </c>
      <c r="B3684" t="s">
        <v>9057</v>
      </c>
      <c r="C3684" t="s">
        <v>9058</v>
      </c>
      <c r="D3684" s="69">
        <v>1000</v>
      </c>
      <c r="G3684" s="8" t="s">
        <v>1372</v>
      </c>
      <c r="H3684" t="s">
        <v>1336</v>
      </c>
    </row>
    <row r="3685" spans="1:8" hidden="1">
      <c r="A3685" s="52">
        <v>44961</v>
      </c>
      <c r="B3685" t="s">
        <v>9059</v>
      </c>
      <c r="C3685" t="s">
        <v>9060</v>
      </c>
      <c r="D3685" s="69">
        <v>750</v>
      </c>
      <c r="G3685" s="8" t="s">
        <v>1372</v>
      </c>
      <c r="H3685" t="s">
        <v>1336</v>
      </c>
    </row>
    <row r="3686" spans="1:8" hidden="1">
      <c r="A3686" s="52">
        <v>44961</v>
      </c>
      <c r="B3686" t="s">
        <v>9061</v>
      </c>
      <c r="C3686" t="s">
        <v>9062</v>
      </c>
      <c r="D3686">
        <v>5000</v>
      </c>
      <c r="H3686" t="s">
        <v>1336</v>
      </c>
    </row>
    <row r="3687" spans="1:8" hidden="1">
      <c r="A3687" s="52">
        <v>44961</v>
      </c>
      <c r="B3687" t="s">
        <v>9063</v>
      </c>
      <c r="C3687" t="s">
        <v>9064</v>
      </c>
      <c r="D3687"/>
      <c r="E3687">
        <v>3</v>
      </c>
      <c r="H3687" t="s">
        <v>1336</v>
      </c>
    </row>
    <row r="3688" spans="1:8" hidden="1">
      <c r="A3688" s="52">
        <v>44962</v>
      </c>
      <c r="B3688" t="s">
        <v>9065</v>
      </c>
      <c r="C3688" t="s">
        <v>6583</v>
      </c>
      <c r="D3688">
        <v>33388</v>
      </c>
      <c r="G3688" s="8" t="s">
        <v>1362</v>
      </c>
      <c r="H3688" t="s">
        <v>1336</v>
      </c>
    </row>
    <row r="3689" spans="1:8" hidden="1">
      <c r="A3689" s="52">
        <v>44962</v>
      </c>
      <c r="B3689" t="s">
        <v>9066</v>
      </c>
      <c r="C3689" t="s">
        <v>9067</v>
      </c>
      <c r="D3689">
        <v>1838</v>
      </c>
      <c r="H3689" t="s">
        <v>1336</v>
      </c>
    </row>
    <row r="3690" spans="1:8" hidden="1">
      <c r="A3690" s="52">
        <v>44962</v>
      </c>
      <c r="B3690" t="s">
        <v>9068</v>
      </c>
      <c r="C3690" t="s">
        <v>9069</v>
      </c>
      <c r="D3690">
        <v>15885</v>
      </c>
      <c r="H3690" t="s">
        <v>1336</v>
      </c>
    </row>
    <row r="3691" spans="1:8" hidden="1">
      <c r="A3691" s="52">
        <v>44963</v>
      </c>
      <c r="B3691" t="s">
        <v>9070</v>
      </c>
      <c r="C3691" t="s">
        <v>9071</v>
      </c>
      <c r="D3691" s="69">
        <v>1250</v>
      </c>
      <c r="G3691" s="8" t="s">
        <v>1372</v>
      </c>
      <c r="H3691" t="s">
        <v>1336</v>
      </c>
    </row>
    <row r="3692" spans="1:8" hidden="1">
      <c r="A3692" s="52">
        <v>44963</v>
      </c>
      <c r="B3692" t="s">
        <v>9072</v>
      </c>
      <c r="C3692" t="s">
        <v>9073</v>
      </c>
      <c r="D3692" s="69">
        <v>1250</v>
      </c>
      <c r="G3692" s="8" t="s">
        <v>1372</v>
      </c>
      <c r="H3692" t="s">
        <v>1336</v>
      </c>
    </row>
    <row r="3693" spans="1:8" hidden="1">
      <c r="A3693" s="52">
        <v>44963</v>
      </c>
      <c r="B3693" t="s">
        <v>9074</v>
      </c>
      <c r="C3693" t="s">
        <v>9075</v>
      </c>
      <c r="D3693" s="69">
        <v>800</v>
      </c>
      <c r="G3693" s="8" t="s">
        <v>1372</v>
      </c>
      <c r="H3693" t="s">
        <v>1336</v>
      </c>
    </row>
    <row r="3694" spans="1:8" hidden="1">
      <c r="A3694" s="52">
        <v>44963</v>
      </c>
      <c r="B3694" t="s">
        <v>9076</v>
      </c>
      <c r="C3694" t="s">
        <v>9077</v>
      </c>
      <c r="D3694" s="69">
        <v>1000</v>
      </c>
      <c r="G3694" s="8" t="s">
        <v>1372</v>
      </c>
      <c r="H3694" t="s">
        <v>1336</v>
      </c>
    </row>
    <row r="3695" spans="1:8" hidden="1">
      <c r="A3695" s="52">
        <v>44963</v>
      </c>
      <c r="B3695" t="s">
        <v>9078</v>
      </c>
      <c r="C3695" t="s">
        <v>9079</v>
      </c>
      <c r="D3695">
        <v>3500</v>
      </c>
      <c r="H3695" t="s">
        <v>1336</v>
      </c>
    </row>
    <row r="3696" spans="1:8" hidden="1">
      <c r="A3696" s="52">
        <v>44963</v>
      </c>
      <c r="B3696" t="s">
        <v>9080</v>
      </c>
      <c r="C3696" t="s">
        <v>9081</v>
      </c>
      <c r="D3696">
        <v>1268.5</v>
      </c>
      <c r="H3696" t="s">
        <v>1336</v>
      </c>
    </row>
    <row r="3697" spans="1:8" hidden="1">
      <c r="A3697" s="52">
        <v>44964</v>
      </c>
      <c r="B3697" t="s">
        <v>9082</v>
      </c>
      <c r="C3697" t="s">
        <v>9083</v>
      </c>
      <c r="D3697" s="69">
        <v>1000</v>
      </c>
      <c r="G3697" s="8" t="s">
        <v>1372</v>
      </c>
      <c r="H3697" t="s">
        <v>1336</v>
      </c>
    </row>
    <row r="3698" spans="1:8" hidden="1">
      <c r="A3698" s="52">
        <v>44965</v>
      </c>
      <c r="B3698" t="s">
        <v>9084</v>
      </c>
      <c r="C3698" t="s">
        <v>9085</v>
      </c>
      <c r="D3698" s="69">
        <v>775</v>
      </c>
      <c r="G3698" s="8" t="s">
        <v>1372</v>
      </c>
      <c r="H3698" t="s">
        <v>1336</v>
      </c>
    </row>
    <row r="3699" spans="1:8" hidden="1">
      <c r="A3699" s="52">
        <v>44965</v>
      </c>
      <c r="B3699" t="s">
        <v>9086</v>
      </c>
      <c r="C3699" t="s">
        <v>9087</v>
      </c>
      <c r="D3699" s="69">
        <v>1000</v>
      </c>
      <c r="G3699" s="8" t="s">
        <v>1372</v>
      </c>
      <c r="H3699" t="s">
        <v>1336</v>
      </c>
    </row>
    <row r="3700" spans="1:8" hidden="1">
      <c r="A3700" s="52">
        <v>44966</v>
      </c>
      <c r="B3700" t="s">
        <v>9088</v>
      </c>
      <c r="C3700" t="s">
        <v>9089</v>
      </c>
      <c r="D3700">
        <v>1839.16</v>
      </c>
      <c r="H3700" t="s">
        <v>1336</v>
      </c>
    </row>
    <row r="3701" spans="1:8" hidden="1">
      <c r="A3701" s="52">
        <v>44966</v>
      </c>
      <c r="B3701" t="s">
        <v>9090</v>
      </c>
      <c r="C3701" t="s">
        <v>9091</v>
      </c>
      <c r="D3701" s="69">
        <v>750</v>
      </c>
      <c r="G3701" s="8" t="s">
        <v>1372</v>
      </c>
      <c r="H3701" t="s">
        <v>1336</v>
      </c>
    </row>
    <row r="3702" spans="1:8" hidden="1">
      <c r="A3702" s="52">
        <v>44966</v>
      </c>
      <c r="B3702" t="s">
        <v>9092</v>
      </c>
      <c r="C3702" t="s">
        <v>9093</v>
      </c>
      <c r="D3702" s="69">
        <v>750</v>
      </c>
      <c r="G3702" s="8" t="s">
        <v>1372</v>
      </c>
      <c r="H3702" t="s">
        <v>1336</v>
      </c>
    </row>
    <row r="3703" spans="1:8" hidden="1">
      <c r="A3703" s="52">
        <v>44966</v>
      </c>
      <c r="B3703" t="s">
        <v>9094</v>
      </c>
      <c r="C3703" t="s">
        <v>9095</v>
      </c>
      <c r="D3703" s="69">
        <v>1000</v>
      </c>
      <c r="G3703" s="8" t="s">
        <v>1372</v>
      </c>
      <c r="H3703" t="s">
        <v>1336</v>
      </c>
    </row>
    <row r="3704" spans="1:8" hidden="1">
      <c r="A3704" s="52">
        <v>44966</v>
      </c>
      <c r="B3704" t="s">
        <v>9096</v>
      </c>
      <c r="C3704" t="s">
        <v>9097</v>
      </c>
      <c r="D3704"/>
      <c r="E3704">
        <v>4</v>
      </c>
      <c r="H3704" t="s">
        <v>1336</v>
      </c>
    </row>
    <row r="3705" spans="1:8" hidden="1">
      <c r="A3705" s="52">
        <v>44966</v>
      </c>
      <c r="B3705" t="s">
        <v>9098</v>
      </c>
      <c r="C3705" t="s">
        <v>9099</v>
      </c>
      <c r="D3705">
        <v>520.79999999999995</v>
      </c>
      <c r="H3705" t="s">
        <v>1336</v>
      </c>
    </row>
    <row r="3706" spans="1:8" hidden="1">
      <c r="A3706" s="52">
        <v>44966</v>
      </c>
      <c r="B3706" t="s">
        <v>9100</v>
      </c>
      <c r="C3706" t="s">
        <v>9101</v>
      </c>
      <c r="D3706"/>
      <c r="E3706">
        <v>1839.16</v>
      </c>
      <c r="H3706" t="s">
        <v>1336</v>
      </c>
    </row>
    <row r="3707" spans="1:8" hidden="1">
      <c r="A3707" s="52">
        <v>44966</v>
      </c>
      <c r="B3707" t="s">
        <v>9102</v>
      </c>
      <c r="C3707" t="s">
        <v>9103</v>
      </c>
      <c r="D3707">
        <v>2700</v>
      </c>
      <c r="H3707" t="s">
        <v>1336</v>
      </c>
    </row>
    <row r="3708" spans="1:8" hidden="1">
      <c r="A3708" s="52">
        <v>44967</v>
      </c>
      <c r="B3708" t="s">
        <v>9104</v>
      </c>
      <c r="C3708" t="s">
        <v>9105</v>
      </c>
      <c r="D3708" s="69">
        <v>1250</v>
      </c>
      <c r="G3708" s="8" t="s">
        <v>1372</v>
      </c>
      <c r="H3708" t="s">
        <v>1336</v>
      </c>
    </row>
    <row r="3709" spans="1:8" hidden="1">
      <c r="A3709" s="52">
        <v>44968</v>
      </c>
      <c r="B3709" t="s">
        <v>9106</v>
      </c>
      <c r="C3709" t="s">
        <v>9107</v>
      </c>
      <c r="D3709" s="69">
        <v>1250</v>
      </c>
      <c r="G3709" s="8" t="s">
        <v>1372</v>
      </c>
      <c r="H3709" t="s">
        <v>1336</v>
      </c>
    </row>
    <row r="3710" spans="1:8" hidden="1">
      <c r="A3710" s="52">
        <v>44970</v>
      </c>
      <c r="B3710" t="s">
        <v>9108</v>
      </c>
      <c r="C3710" t="s">
        <v>9109</v>
      </c>
      <c r="D3710" s="69">
        <v>775</v>
      </c>
      <c r="G3710" s="8" t="s">
        <v>1372</v>
      </c>
      <c r="H3710" t="s">
        <v>1336</v>
      </c>
    </row>
    <row r="3711" spans="1:8" hidden="1">
      <c r="A3711" s="52">
        <v>44970</v>
      </c>
      <c r="B3711" t="s">
        <v>9110</v>
      </c>
      <c r="C3711" t="s">
        <v>9111</v>
      </c>
      <c r="D3711" s="69">
        <v>1000</v>
      </c>
      <c r="G3711" s="8" t="s">
        <v>1372</v>
      </c>
      <c r="H3711" t="s">
        <v>1336</v>
      </c>
    </row>
    <row r="3712" spans="1:8" hidden="1">
      <c r="A3712" s="52">
        <v>44970</v>
      </c>
      <c r="B3712" t="s">
        <v>9112</v>
      </c>
      <c r="C3712" t="s">
        <v>9113</v>
      </c>
      <c r="D3712" s="69">
        <v>1000</v>
      </c>
      <c r="G3712" s="8" t="s">
        <v>1372</v>
      </c>
      <c r="H3712" t="s">
        <v>1336</v>
      </c>
    </row>
    <row r="3713" spans="1:8" hidden="1">
      <c r="A3713" s="52">
        <v>44970</v>
      </c>
      <c r="B3713" t="s">
        <v>9114</v>
      </c>
      <c r="C3713" t="s">
        <v>9115</v>
      </c>
      <c r="D3713">
        <v>355</v>
      </c>
      <c r="H3713" t="s">
        <v>1336</v>
      </c>
    </row>
    <row r="3714" spans="1:8" hidden="1">
      <c r="A3714" s="52">
        <v>44970</v>
      </c>
      <c r="B3714" t="s">
        <v>9116</v>
      </c>
      <c r="C3714" t="s">
        <v>9117</v>
      </c>
      <c r="D3714">
        <v>2211</v>
      </c>
      <c r="H3714" t="s">
        <v>1336</v>
      </c>
    </row>
    <row r="3715" spans="1:8" hidden="1">
      <c r="A3715" s="52">
        <v>44971</v>
      </c>
      <c r="B3715" t="s">
        <v>9118</v>
      </c>
      <c r="C3715" t="s">
        <v>9119</v>
      </c>
      <c r="D3715" s="69">
        <v>800</v>
      </c>
      <c r="G3715" s="8" t="s">
        <v>1372</v>
      </c>
      <c r="H3715" t="s">
        <v>1336</v>
      </c>
    </row>
    <row r="3716" spans="1:8" hidden="1">
      <c r="A3716" s="52">
        <v>44971</v>
      </c>
      <c r="B3716" t="s">
        <v>9120</v>
      </c>
      <c r="C3716" t="s">
        <v>9121</v>
      </c>
      <c r="D3716" s="69">
        <v>1000</v>
      </c>
      <c r="G3716" s="8" t="s">
        <v>1372</v>
      </c>
      <c r="H3716" t="s">
        <v>1336</v>
      </c>
    </row>
    <row r="3717" spans="1:8" hidden="1">
      <c r="A3717" s="52">
        <v>44971</v>
      </c>
      <c r="B3717" t="s">
        <v>9122</v>
      </c>
      <c r="C3717" t="s">
        <v>9123</v>
      </c>
      <c r="D3717">
        <v>1000</v>
      </c>
      <c r="H3717" t="s">
        <v>1336</v>
      </c>
    </row>
    <row r="3718" spans="1:8" hidden="1">
      <c r="A3718" s="52">
        <v>44972</v>
      </c>
      <c r="B3718" t="s">
        <v>9124</v>
      </c>
      <c r="C3718" t="s">
        <v>9125</v>
      </c>
      <c r="D3718" s="69">
        <v>750</v>
      </c>
      <c r="G3718" s="8" t="s">
        <v>1372</v>
      </c>
      <c r="H3718" t="s">
        <v>1336</v>
      </c>
    </row>
    <row r="3719" spans="1:8" hidden="1">
      <c r="A3719" s="52">
        <v>44972</v>
      </c>
      <c r="B3719" t="s">
        <v>9126</v>
      </c>
      <c r="C3719" t="s">
        <v>9127</v>
      </c>
      <c r="D3719" s="69">
        <v>1250</v>
      </c>
      <c r="G3719" s="8" t="s">
        <v>1372</v>
      </c>
      <c r="H3719" t="s">
        <v>1336</v>
      </c>
    </row>
    <row r="3720" spans="1:8" hidden="1">
      <c r="A3720" s="52">
        <v>44972</v>
      </c>
      <c r="B3720" t="s">
        <v>9128</v>
      </c>
      <c r="C3720" t="s">
        <v>9129</v>
      </c>
      <c r="D3720" s="69">
        <v>1250</v>
      </c>
      <c r="G3720" s="8" t="s">
        <v>1372</v>
      </c>
      <c r="H3720" t="s">
        <v>1336</v>
      </c>
    </row>
    <row r="3721" spans="1:8" hidden="1">
      <c r="A3721" s="52">
        <v>44973</v>
      </c>
      <c r="B3721" t="s">
        <v>9130</v>
      </c>
      <c r="C3721" t="s">
        <v>9131</v>
      </c>
      <c r="D3721" s="69">
        <v>1000</v>
      </c>
      <c r="G3721" s="8" t="s">
        <v>1372</v>
      </c>
      <c r="H3721" t="s">
        <v>1336</v>
      </c>
    </row>
    <row r="3722" spans="1:8" hidden="1">
      <c r="A3722" s="52">
        <v>44974</v>
      </c>
      <c r="B3722" t="s">
        <v>9132</v>
      </c>
      <c r="C3722" t="s">
        <v>9133</v>
      </c>
      <c r="D3722" s="69">
        <v>750</v>
      </c>
      <c r="G3722" s="8" t="s">
        <v>1372</v>
      </c>
      <c r="H3722" t="s">
        <v>1336</v>
      </c>
    </row>
    <row r="3723" spans="1:8" hidden="1">
      <c r="A3723" s="52">
        <v>44974</v>
      </c>
      <c r="B3723" t="s">
        <v>9134</v>
      </c>
      <c r="C3723" t="s">
        <v>9135</v>
      </c>
      <c r="D3723">
        <v>22</v>
      </c>
      <c r="H3723" t="s">
        <v>1336</v>
      </c>
    </row>
    <row r="3724" spans="1:8" hidden="1">
      <c r="A3724" s="52">
        <v>44974</v>
      </c>
      <c r="B3724" t="s">
        <v>9136</v>
      </c>
      <c r="C3724" t="s">
        <v>9137</v>
      </c>
      <c r="D3724">
        <v>561</v>
      </c>
      <c r="H3724" t="s">
        <v>1336</v>
      </c>
    </row>
    <row r="3725" spans="1:8" hidden="1">
      <c r="A3725" s="52">
        <v>44975</v>
      </c>
      <c r="B3725" t="s">
        <v>9138</v>
      </c>
      <c r="C3725" t="s">
        <v>9139</v>
      </c>
      <c r="D3725">
        <v>517</v>
      </c>
      <c r="H3725" t="s">
        <v>1336</v>
      </c>
    </row>
    <row r="3726" spans="1:8" hidden="1">
      <c r="A3726" s="52">
        <v>44975</v>
      </c>
      <c r="B3726" t="s">
        <v>9140</v>
      </c>
      <c r="C3726" t="s">
        <v>9141</v>
      </c>
      <c r="D3726" s="69">
        <v>1000</v>
      </c>
      <c r="G3726" s="8" t="s">
        <v>1372</v>
      </c>
      <c r="H3726" t="s">
        <v>1336</v>
      </c>
    </row>
    <row r="3727" spans="1:8" hidden="1">
      <c r="A3727" s="52">
        <v>44976</v>
      </c>
      <c r="B3727" t="s">
        <v>9142</v>
      </c>
      <c r="C3727" t="s">
        <v>9143</v>
      </c>
      <c r="D3727" s="69">
        <v>750</v>
      </c>
      <c r="G3727" s="8" t="s">
        <v>1372</v>
      </c>
      <c r="H3727" t="s">
        <v>1336</v>
      </c>
    </row>
    <row r="3728" spans="1:8" hidden="1">
      <c r="A3728" s="52">
        <v>44976</v>
      </c>
      <c r="B3728" t="s">
        <v>9144</v>
      </c>
      <c r="C3728" t="s">
        <v>9145</v>
      </c>
      <c r="D3728">
        <v>1000</v>
      </c>
      <c r="H3728" t="s">
        <v>1336</v>
      </c>
    </row>
    <row r="3729" spans="1:8" hidden="1">
      <c r="A3729" s="52">
        <v>44976</v>
      </c>
      <c r="B3729" t="s">
        <v>9146</v>
      </c>
      <c r="C3729" t="s">
        <v>9147</v>
      </c>
      <c r="D3729">
        <v>2040</v>
      </c>
      <c r="H3729" t="s">
        <v>1336</v>
      </c>
    </row>
    <row r="3730" spans="1:8" hidden="1">
      <c r="A3730" s="52">
        <v>44977</v>
      </c>
      <c r="B3730" t="s">
        <v>9148</v>
      </c>
      <c r="C3730" t="s">
        <v>9149</v>
      </c>
      <c r="D3730" s="69">
        <v>775</v>
      </c>
      <c r="G3730" s="8" t="s">
        <v>1372</v>
      </c>
      <c r="H3730" t="s">
        <v>1336</v>
      </c>
    </row>
    <row r="3731" spans="1:8" hidden="1">
      <c r="A3731" s="52">
        <v>44977</v>
      </c>
      <c r="B3731" t="s">
        <v>9150</v>
      </c>
      <c r="C3731" t="s">
        <v>9151</v>
      </c>
      <c r="D3731" s="69">
        <v>1000</v>
      </c>
      <c r="G3731" s="8" t="s">
        <v>1372</v>
      </c>
      <c r="H3731" t="s">
        <v>1336</v>
      </c>
    </row>
    <row r="3732" spans="1:8" hidden="1">
      <c r="A3732" s="52">
        <v>44977</v>
      </c>
      <c r="B3732" t="s">
        <v>9152</v>
      </c>
      <c r="C3732" t="s">
        <v>9153</v>
      </c>
      <c r="D3732">
        <v>215</v>
      </c>
      <c r="H3732" t="s">
        <v>1336</v>
      </c>
    </row>
    <row r="3733" spans="1:8" hidden="1">
      <c r="A3733" s="52">
        <v>44978</v>
      </c>
      <c r="B3733" t="s">
        <v>9154</v>
      </c>
      <c r="C3733" t="s">
        <v>9155</v>
      </c>
      <c r="D3733" s="69">
        <v>750</v>
      </c>
      <c r="G3733" s="8" t="s">
        <v>1372</v>
      </c>
      <c r="H3733" t="s">
        <v>1336</v>
      </c>
    </row>
    <row r="3734" spans="1:8" hidden="1">
      <c r="A3734" s="52">
        <v>44978</v>
      </c>
      <c r="B3734" t="s">
        <v>9156</v>
      </c>
      <c r="C3734" t="s">
        <v>9157</v>
      </c>
      <c r="D3734" s="69">
        <v>1000</v>
      </c>
      <c r="G3734" s="8" t="s">
        <v>1372</v>
      </c>
      <c r="H3734" t="s">
        <v>1336</v>
      </c>
    </row>
    <row r="3735" spans="1:8" hidden="1">
      <c r="A3735" s="52">
        <v>44978</v>
      </c>
      <c r="B3735" t="s">
        <v>9158</v>
      </c>
      <c r="C3735" t="s">
        <v>9159</v>
      </c>
      <c r="D3735" s="69">
        <v>1000</v>
      </c>
      <c r="G3735" s="8" t="s">
        <v>1372</v>
      </c>
      <c r="H3735" t="s">
        <v>1336</v>
      </c>
    </row>
    <row r="3736" spans="1:8" hidden="1">
      <c r="A3736" s="52">
        <v>44979</v>
      </c>
      <c r="B3736" t="s">
        <v>9160</v>
      </c>
      <c r="C3736" t="s">
        <v>9161</v>
      </c>
      <c r="D3736" s="69">
        <v>750</v>
      </c>
      <c r="G3736" s="8" t="s">
        <v>1372</v>
      </c>
      <c r="H3736" t="s">
        <v>1336</v>
      </c>
    </row>
    <row r="3737" spans="1:8" hidden="1">
      <c r="A3737" s="52">
        <v>44979</v>
      </c>
      <c r="B3737" t="s">
        <v>9162</v>
      </c>
      <c r="C3737" t="s">
        <v>9163</v>
      </c>
      <c r="D3737">
        <v>1220</v>
      </c>
      <c r="H3737" t="s">
        <v>1336</v>
      </c>
    </row>
    <row r="3738" spans="1:8" hidden="1">
      <c r="A3738" s="52">
        <v>44980</v>
      </c>
      <c r="B3738" t="s">
        <v>9164</v>
      </c>
      <c r="C3738" t="s">
        <v>9165</v>
      </c>
      <c r="D3738" s="69">
        <v>750</v>
      </c>
      <c r="G3738" s="8" t="s">
        <v>1372</v>
      </c>
      <c r="H3738" t="s">
        <v>1336</v>
      </c>
    </row>
    <row r="3739" spans="1:8" hidden="1">
      <c r="A3739" s="52">
        <v>44980</v>
      </c>
      <c r="B3739" t="s">
        <v>9166</v>
      </c>
      <c r="C3739" t="s">
        <v>9167</v>
      </c>
      <c r="D3739">
        <v>766.39</v>
      </c>
      <c r="H3739" t="s">
        <v>1336</v>
      </c>
    </row>
    <row r="3740" spans="1:8" hidden="1">
      <c r="A3740" s="52">
        <v>44981</v>
      </c>
      <c r="B3740" t="s">
        <v>9168</v>
      </c>
      <c r="C3740" t="s">
        <v>9169</v>
      </c>
      <c r="D3740" s="69">
        <v>1000</v>
      </c>
      <c r="G3740" s="8" t="s">
        <v>1372</v>
      </c>
      <c r="H3740" t="s">
        <v>1336</v>
      </c>
    </row>
    <row r="3741" spans="1:8" hidden="1">
      <c r="A3741" s="52">
        <v>44981</v>
      </c>
      <c r="B3741" t="s">
        <v>9170</v>
      </c>
      <c r="C3741" t="s">
        <v>9171</v>
      </c>
      <c r="D3741"/>
      <c r="E3741">
        <v>269448</v>
      </c>
      <c r="G3741" s="8" t="s">
        <v>1380</v>
      </c>
      <c r="H3741" t="s">
        <v>1336</v>
      </c>
    </row>
    <row r="3742" spans="1:8" hidden="1">
      <c r="A3742" s="52">
        <v>44981</v>
      </c>
      <c r="B3742" t="s">
        <v>9172</v>
      </c>
      <c r="C3742" t="s">
        <v>9173</v>
      </c>
      <c r="D3742">
        <v>510</v>
      </c>
      <c r="H3742" t="s">
        <v>1336</v>
      </c>
    </row>
    <row r="3743" spans="1:8" hidden="1">
      <c r="A3743" s="52">
        <v>44982</v>
      </c>
      <c r="B3743" t="s">
        <v>9174</v>
      </c>
      <c r="C3743" t="s">
        <v>9175</v>
      </c>
      <c r="D3743" s="69">
        <v>750</v>
      </c>
      <c r="G3743" s="8" t="s">
        <v>1372</v>
      </c>
      <c r="H3743" t="s">
        <v>1336</v>
      </c>
    </row>
    <row r="3744" spans="1:8" hidden="1">
      <c r="A3744" s="52">
        <v>44983</v>
      </c>
      <c r="B3744" t="s">
        <v>6682</v>
      </c>
      <c r="C3744" t="s">
        <v>9176</v>
      </c>
      <c r="D3744">
        <v>13900</v>
      </c>
      <c r="G3744" s="8" t="s">
        <v>1379</v>
      </c>
      <c r="H3744" t="s">
        <v>1336</v>
      </c>
    </row>
    <row r="3745" spans="1:9" hidden="1">
      <c r="A3745" s="52">
        <v>44983</v>
      </c>
      <c r="B3745" t="s">
        <v>9177</v>
      </c>
      <c r="C3745" t="s">
        <v>9178</v>
      </c>
      <c r="D3745">
        <v>219.5</v>
      </c>
      <c r="H3745" t="s">
        <v>1336</v>
      </c>
    </row>
    <row r="3746" spans="1:9" hidden="1">
      <c r="A3746" s="52">
        <v>44984</v>
      </c>
      <c r="B3746" t="s">
        <v>9179</v>
      </c>
      <c r="C3746" t="s">
        <v>9180</v>
      </c>
      <c r="D3746" s="69">
        <v>1000</v>
      </c>
      <c r="G3746" s="8" t="s">
        <v>1372</v>
      </c>
      <c r="H3746" t="s">
        <v>1336</v>
      </c>
    </row>
    <row r="3747" spans="1:9" hidden="1">
      <c r="A3747" s="52">
        <v>44984</v>
      </c>
      <c r="B3747" t="s">
        <v>9181</v>
      </c>
      <c r="C3747" t="s">
        <v>9182</v>
      </c>
      <c r="D3747" s="69">
        <v>1000</v>
      </c>
      <c r="G3747" s="8" t="s">
        <v>1372</v>
      </c>
      <c r="H3747" t="s">
        <v>1336</v>
      </c>
    </row>
    <row r="3748" spans="1:9" hidden="1">
      <c r="A3748" s="52">
        <v>44985</v>
      </c>
      <c r="B3748" t="s">
        <v>9183</v>
      </c>
      <c r="C3748" t="s">
        <v>9184</v>
      </c>
      <c r="D3748">
        <v>199</v>
      </c>
      <c r="H3748" t="s">
        <v>1336</v>
      </c>
    </row>
    <row r="3749" spans="1:9" hidden="1">
      <c r="A3749" s="52">
        <v>44985</v>
      </c>
      <c r="B3749" t="s">
        <v>9185</v>
      </c>
      <c r="C3749" t="s">
        <v>9186</v>
      </c>
      <c r="D3749">
        <v>458.88</v>
      </c>
      <c r="H3749" t="s">
        <v>1336</v>
      </c>
    </row>
    <row r="3750" spans="1:9" hidden="1">
      <c r="A3750" s="52">
        <v>44985</v>
      </c>
      <c r="B3750" t="s">
        <v>9187</v>
      </c>
      <c r="C3750" t="s">
        <v>9188</v>
      </c>
      <c r="D3750" s="69">
        <v>800</v>
      </c>
      <c r="G3750" s="8" t="s">
        <v>1372</v>
      </c>
      <c r="H3750" t="s">
        <v>1336</v>
      </c>
    </row>
    <row r="3751" spans="1:9" hidden="1">
      <c r="A3751" s="52">
        <v>44985</v>
      </c>
      <c r="B3751" t="s">
        <v>9189</v>
      </c>
      <c r="C3751" t="s">
        <v>9190</v>
      </c>
      <c r="D3751">
        <v>20000</v>
      </c>
      <c r="G3751" s="8" t="s">
        <v>1358</v>
      </c>
      <c r="H3751" t="s">
        <v>1336</v>
      </c>
    </row>
    <row r="3752" spans="1:9" hidden="1">
      <c r="A3752" s="232">
        <v>44986</v>
      </c>
      <c r="C3752" s="226" t="s">
        <v>6431</v>
      </c>
      <c r="D3752">
        <v>5001</v>
      </c>
      <c r="E3752">
        <v>0</v>
      </c>
      <c r="G3752" s="8" t="s">
        <v>1379</v>
      </c>
      <c r="H3752" t="s">
        <v>1050</v>
      </c>
      <c r="I3752" s="69"/>
    </row>
    <row r="3753" spans="1:9" hidden="1">
      <c r="A3753" s="232">
        <v>44991</v>
      </c>
      <c r="C3753" s="226" t="s">
        <v>9191</v>
      </c>
      <c r="D3753">
        <v>0</v>
      </c>
      <c r="E3753">
        <v>9772.36</v>
      </c>
      <c r="G3753" s="8" t="s">
        <v>1375</v>
      </c>
      <c r="H3753" t="s">
        <v>1050</v>
      </c>
      <c r="I3753" s="69"/>
    </row>
    <row r="3754" spans="1:9" hidden="1">
      <c r="A3754" s="232">
        <v>44998</v>
      </c>
      <c r="C3754" s="226" t="s">
        <v>6526</v>
      </c>
      <c r="D3754">
        <v>2163</v>
      </c>
      <c r="E3754">
        <v>0</v>
      </c>
      <c r="G3754" s="8" t="s">
        <v>1362</v>
      </c>
      <c r="H3754" t="s">
        <v>1050</v>
      </c>
      <c r="I3754" s="69"/>
    </row>
    <row r="3755" spans="1:9" hidden="1">
      <c r="A3755" s="232">
        <v>45001</v>
      </c>
      <c r="C3755" s="226" t="s">
        <v>9192</v>
      </c>
      <c r="D3755">
        <v>0</v>
      </c>
      <c r="E3755">
        <v>8819</v>
      </c>
      <c r="G3755" s="8" t="s">
        <v>1369</v>
      </c>
      <c r="H3755" t="s">
        <v>1050</v>
      </c>
      <c r="I3755" s="69"/>
    </row>
    <row r="3756" spans="1:9" hidden="1">
      <c r="A3756" s="232">
        <v>45006</v>
      </c>
      <c r="C3756" s="226" t="s">
        <v>9193</v>
      </c>
      <c r="D3756">
        <v>41667</v>
      </c>
      <c r="E3756">
        <v>0</v>
      </c>
      <c r="G3756" s="8" t="s">
        <v>1381</v>
      </c>
      <c r="H3756" t="s">
        <v>1050</v>
      </c>
      <c r="I3756" s="69"/>
    </row>
    <row r="3757" spans="1:9" hidden="1">
      <c r="A3757" s="232">
        <v>45013</v>
      </c>
      <c r="C3757" s="226" t="s">
        <v>9194</v>
      </c>
      <c r="D3757">
        <v>25000</v>
      </c>
      <c r="E3757">
        <v>0</v>
      </c>
      <c r="G3757" s="8" t="s">
        <v>1381</v>
      </c>
      <c r="H3757" t="s">
        <v>1050</v>
      </c>
      <c r="I3757" s="69"/>
    </row>
    <row r="3758" spans="1:9" hidden="1">
      <c r="A3758" s="232">
        <v>45015</v>
      </c>
      <c r="C3758" s="226" t="s">
        <v>9195</v>
      </c>
      <c r="D3758">
        <v>0</v>
      </c>
      <c r="E3758">
        <v>14089</v>
      </c>
      <c r="G3758" s="8" t="s">
        <v>1368</v>
      </c>
      <c r="H3758" t="s">
        <v>1050</v>
      </c>
      <c r="I3758" s="69"/>
    </row>
    <row r="3759" spans="1:9" hidden="1">
      <c r="A3759" s="232">
        <v>44986</v>
      </c>
      <c r="C3759" t="s">
        <v>9196</v>
      </c>
      <c r="D3759" s="69">
        <v>1000</v>
      </c>
      <c r="G3759" s="8" t="s">
        <v>1372</v>
      </c>
      <c r="H3759" t="s">
        <v>1336</v>
      </c>
    </row>
    <row r="3760" spans="1:9" hidden="1">
      <c r="A3760" s="232">
        <v>44986</v>
      </c>
      <c r="C3760" t="s">
        <v>9197</v>
      </c>
      <c r="D3760" s="69">
        <v>1250</v>
      </c>
      <c r="G3760" s="8" t="s">
        <v>1372</v>
      </c>
      <c r="H3760" t="s">
        <v>1336</v>
      </c>
    </row>
    <row r="3761" spans="1:8" hidden="1">
      <c r="A3761" s="232">
        <v>44987</v>
      </c>
      <c r="C3761" t="s">
        <v>9198</v>
      </c>
      <c r="D3761" s="69">
        <v>1000</v>
      </c>
      <c r="G3761" s="8" t="s">
        <v>1372</v>
      </c>
      <c r="H3761" t="s">
        <v>1336</v>
      </c>
    </row>
    <row r="3762" spans="1:8" hidden="1">
      <c r="A3762" s="232">
        <v>44987</v>
      </c>
      <c r="C3762" t="s">
        <v>9199</v>
      </c>
      <c r="D3762" s="69">
        <v>1250</v>
      </c>
      <c r="G3762" s="8" t="s">
        <v>1372</v>
      </c>
      <c r="H3762" t="s">
        <v>1336</v>
      </c>
    </row>
    <row r="3763" spans="1:8" hidden="1">
      <c r="A3763" s="232">
        <v>44988</v>
      </c>
      <c r="C3763" t="s">
        <v>9200</v>
      </c>
      <c r="D3763" s="69">
        <v>1000</v>
      </c>
      <c r="G3763" s="8" t="s">
        <v>1372</v>
      </c>
      <c r="H3763" t="s">
        <v>1336</v>
      </c>
    </row>
    <row r="3764" spans="1:8" hidden="1">
      <c r="A3764" s="232">
        <v>44988</v>
      </c>
      <c r="C3764" t="s">
        <v>9201</v>
      </c>
      <c r="D3764" s="69">
        <v>775</v>
      </c>
      <c r="G3764" s="8" t="s">
        <v>1372</v>
      </c>
      <c r="H3764" t="s">
        <v>1336</v>
      </c>
    </row>
    <row r="3765" spans="1:8" hidden="1">
      <c r="A3765" s="232">
        <v>44988</v>
      </c>
      <c r="C3765" t="s">
        <v>9202</v>
      </c>
      <c r="D3765">
        <v>957</v>
      </c>
      <c r="H3765" t="s">
        <v>1336</v>
      </c>
    </row>
    <row r="3766" spans="1:8" hidden="1">
      <c r="A3766" s="232">
        <v>44989</v>
      </c>
      <c r="C3766" t="s">
        <v>9203</v>
      </c>
      <c r="D3766" s="69">
        <v>750</v>
      </c>
      <c r="G3766" s="8" t="s">
        <v>1372</v>
      </c>
      <c r="H3766" t="s">
        <v>1336</v>
      </c>
    </row>
    <row r="3767" spans="1:8" hidden="1">
      <c r="A3767" s="232">
        <v>44989</v>
      </c>
      <c r="C3767" t="s">
        <v>9204</v>
      </c>
      <c r="D3767">
        <v>296.79000000000002</v>
      </c>
      <c r="H3767" t="s">
        <v>1336</v>
      </c>
    </row>
    <row r="3768" spans="1:8" hidden="1">
      <c r="A3768" s="232">
        <v>44990</v>
      </c>
      <c r="C3768" t="s">
        <v>9205</v>
      </c>
      <c r="D3768">
        <v>967.31</v>
      </c>
      <c r="H3768" t="s">
        <v>1336</v>
      </c>
    </row>
    <row r="3769" spans="1:8" hidden="1">
      <c r="A3769" s="232">
        <v>44991</v>
      </c>
      <c r="C3769" t="s">
        <v>9206</v>
      </c>
      <c r="D3769" s="69">
        <v>1250</v>
      </c>
      <c r="G3769" s="8" t="s">
        <v>1372</v>
      </c>
      <c r="H3769" t="s">
        <v>1336</v>
      </c>
    </row>
    <row r="3770" spans="1:8" hidden="1">
      <c r="A3770" s="232">
        <v>44991</v>
      </c>
      <c r="C3770" t="s">
        <v>9207</v>
      </c>
      <c r="D3770" s="69">
        <v>1250</v>
      </c>
      <c r="G3770" s="8" t="s">
        <v>1372</v>
      </c>
      <c r="H3770" t="s">
        <v>1336</v>
      </c>
    </row>
    <row r="3771" spans="1:8" hidden="1">
      <c r="A3771" s="232">
        <v>44991</v>
      </c>
      <c r="C3771" t="s">
        <v>9208</v>
      </c>
      <c r="D3771" s="69">
        <v>800</v>
      </c>
      <c r="G3771" s="8" t="s">
        <v>1372</v>
      </c>
      <c r="H3771" t="s">
        <v>1336</v>
      </c>
    </row>
    <row r="3772" spans="1:8" hidden="1">
      <c r="A3772" s="232">
        <v>44991</v>
      </c>
      <c r="C3772" t="s">
        <v>9209</v>
      </c>
      <c r="D3772" s="69">
        <v>1000</v>
      </c>
      <c r="G3772" s="8" t="s">
        <v>1372</v>
      </c>
      <c r="H3772" t="s">
        <v>1336</v>
      </c>
    </row>
    <row r="3773" spans="1:8" hidden="1">
      <c r="A3773" s="232">
        <v>44991</v>
      </c>
      <c r="C3773" t="s">
        <v>9210</v>
      </c>
      <c r="D3773">
        <v>5000</v>
      </c>
      <c r="H3773" t="s">
        <v>1336</v>
      </c>
    </row>
    <row r="3774" spans="1:8" hidden="1">
      <c r="A3774" s="232">
        <v>44991</v>
      </c>
      <c r="C3774" t="s">
        <v>9211</v>
      </c>
      <c r="D3774">
        <v>1268.5</v>
      </c>
      <c r="H3774" t="s">
        <v>1336</v>
      </c>
    </row>
    <row r="3775" spans="1:8" hidden="1">
      <c r="A3775" s="232">
        <v>44992</v>
      </c>
      <c r="C3775" t="s">
        <v>9212</v>
      </c>
      <c r="D3775" s="69">
        <v>1000</v>
      </c>
      <c r="G3775" s="8" t="s">
        <v>1372</v>
      </c>
      <c r="H3775" t="s">
        <v>1336</v>
      </c>
    </row>
    <row r="3776" spans="1:8" hidden="1">
      <c r="A3776" s="232">
        <v>44993</v>
      </c>
      <c r="C3776" t="s">
        <v>6583</v>
      </c>
      <c r="D3776">
        <v>11456</v>
      </c>
      <c r="G3776" s="8" t="s">
        <v>1362</v>
      </c>
      <c r="H3776" t="s">
        <v>1336</v>
      </c>
    </row>
    <row r="3777" spans="1:8" hidden="1">
      <c r="A3777" s="232">
        <v>44993</v>
      </c>
      <c r="C3777" t="s">
        <v>9213</v>
      </c>
      <c r="D3777" s="69">
        <v>775</v>
      </c>
      <c r="G3777" s="8" t="s">
        <v>1372</v>
      </c>
      <c r="H3777" t="s">
        <v>1336</v>
      </c>
    </row>
    <row r="3778" spans="1:8" hidden="1">
      <c r="A3778" s="232">
        <v>44993</v>
      </c>
      <c r="C3778" t="s">
        <v>9214</v>
      </c>
      <c r="D3778" s="69">
        <v>1000</v>
      </c>
      <c r="G3778" s="8" t="s">
        <v>1372</v>
      </c>
      <c r="H3778" t="s">
        <v>1336</v>
      </c>
    </row>
    <row r="3779" spans="1:8" hidden="1">
      <c r="A3779" s="232">
        <v>44993</v>
      </c>
      <c r="C3779" t="s">
        <v>9215</v>
      </c>
      <c r="D3779">
        <v>298</v>
      </c>
      <c r="H3779" t="s">
        <v>1336</v>
      </c>
    </row>
    <row r="3780" spans="1:8" hidden="1">
      <c r="A3780" s="232">
        <v>44994</v>
      </c>
      <c r="C3780" t="s">
        <v>9216</v>
      </c>
      <c r="D3780" s="69">
        <v>1000</v>
      </c>
      <c r="G3780" s="8" t="s">
        <v>1372</v>
      </c>
      <c r="H3780" t="s">
        <v>1336</v>
      </c>
    </row>
    <row r="3781" spans="1:8" hidden="1">
      <c r="A3781" s="232">
        <v>44994</v>
      </c>
      <c r="C3781" t="s">
        <v>9217</v>
      </c>
      <c r="D3781" s="69">
        <v>750</v>
      </c>
      <c r="G3781" s="8" t="s">
        <v>1372</v>
      </c>
      <c r="H3781" t="s">
        <v>1336</v>
      </c>
    </row>
    <row r="3782" spans="1:8" hidden="1">
      <c r="A3782" s="232">
        <v>44994</v>
      </c>
      <c r="C3782" t="s">
        <v>9218</v>
      </c>
      <c r="D3782" s="69">
        <v>750</v>
      </c>
      <c r="G3782" s="8" t="s">
        <v>1372</v>
      </c>
      <c r="H3782" t="s">
        <v>1336</v>
      </c>
    </row>
    <row r="3783" spans="1:8" hidden="1">
      <c r="A3783" s="232">
        <v>44995</v>
      </c>
      <c r="C3783" t="s">
        <v>9219</v>
      </c>
      <c r="D3783" s="69">
        <v>1250</v>
      </c>
      <c r="G3783" s="8" t="s">
        <v>1372</v>
      </c>
      <c r="H3783" t="s">
        <v>1336</v>
      </c>
    </row>
    <row r="3784" spans="1:8" hidden="1">
      <c r="A3784" s="232">
        <v>44996</v>
      </c>
      <c r="C3784" t="s">
        <v>9220</v>
      </c>
      <c r="D3784" s="69">
        <v>1250</v>
      </c>
      <c r="G3784" s="8" t="s">
        <v>1372</v>
      </c>
      <c r="H3784" t="s">
        <v>1336</v>
      </c>
    </row>
    <row r="3785" spans="1:8" hidden="1">
      <c r="A3785" s="232">
        <v>44997</v>
      </c>
      <c r="C3785" t="s">
        <v>9221</v>
      </c>
      <c r="D3785"/>
      <c r="E3785">
        <v>20</v>
      </c>
      <c r="H3785" t="s">
        <v>1336</v>
      </c>
    </row>
    <row r="3786" spans="1:8" hidden="1">
      <c r="A3786" s="232">
        <v>44997</v>
      </c>
      <c r="C3786" t="s">
        <v>9222</v>
      </c>
      <c r="D3786">
        <v>20</v>
      </c>
      <c r="H3786" t="s">
        <v>1336</v>
      </c>
    </row>
    <row r="3787" spans="1:8" hidden="1">
      <c r="A3787" s="232">
        <v>44998</v>
      </c>
      <c r="C3787" t="s">
        <v>9223</v>
      </c>
      <c r="D3787" s="69">
        <v>775</v>
      </c>
      <c r="G3787" s="8" t="s">
        <v>1372</v>
      </c>
      <c r="H3787" t="s">
        <v>1336</v>
      </c>
    </row>
    <row r="3788" spans="1:8" hidden="1">
      <c r="A3788" s="232">
        <v>44998</v>
      </c>
      <c r="C3788" t="s">
        <v>9224</v>
      </c>
      <c r="D3788" s="69">
        <v>1000</v>
      </c>
      <c r="G3788" s="8" t="s">
        <v>1372</v>
      </c>
      <c r="H3788" t="s">
        <v>1336</v>
      </c>
    </row>
    <row r="3789" spans="1:8" hidden="1">
      <c r="A3789" s="232">
        <v>44998</v>
      </c>
      <c r="C3789" t="s">
        <v>9225</v>
      </c>
      <c r="D3789" s="69">
        <v>1000</v>
      </c>
      <c r="G3789" s="8" t="s">
        <v>1372</v>
      </c>
      <c r="H3789" t="s">
        <v>1336</v>
      </c>
    </row>
    <row r="3790" spans="1:8" hidden="1">
      <c r="A3790" s="232">
        <v>44999</v>
      </c>
      <c r="C3790" t="s">
        <v>9226</v>
      </c>
      <c r="D3790" s="69">
        <v>800</v>
      </c>
      <c r="G3790" s="8" t="s">
        <v>1372</v>
      </c>
      <c r="H3790" t="s">
        <v>1336</v>
      </c>
    </row>
    <row r="3791" spans="1:8" hidden="1">
      <c r="A3791" s="232">
        <v>44999</v>
      </c>
      <c r="C3791" t="s">
        <v>9227</v>
      </c>
      <c r="D3791" s="69">
        <v>1000</v>
      </c>
      <c r="G3791" s="8" t="s">
        <v>1372</v>
      </c>
      <c r="H3791" t="s">
        <v>1336</v>
      </c>
    </row>
    <row r="3792" spans="1:8" hidden="1">
      <c r="A3792" s="232">
        <v>44999</v>
      </c>
      <c r="C3792" t="s">
        <v>9228</v>
      </c>
      <c r="D3792">
        <v>2211</v>
      </c>
      <c r="H3792" t="s">
        <v>1336</v>
      </c>
    </row>
    <row r="3793" spans="1:8" hidden="1">
      <c r="A3793" s="232">
        <v>45000</v>
      </c>
      <c r="C3793" t="s">
        <v>9229</v>
      </c>
      <c r="D3793" s="69">
        <v>750</v>
      </c>
      <c r="G3793" s="8" t="s">
        <v>1372</v>
      </c>
      <c r="H3793" t="s">
        <v>1336</v>
      </c>
    </row>
    <row r="3794" spans="1:8" hidden="1">
      <c r="A3794" s="232">
        <v>45000</v>
      </c>
      <c r="C3794" t="s">
        <v>9230</v>
      </c>
      <c r="D3794" s="69">
        <v>1250</v>
      </c>
      <c r="G3794" s="8" t="s">
        <v>1372</v>
      </c>
      <c r="H3794" t="s">
        <v>1336</v>
      </c>
    </row>
    <row r="3795" spans="1:8" hidden="1">
      <c r="A3795" s="232">
        <v>45000</v>
      </c>
      <c r="C3795" t="s">
        <v>9231</v>
      </c>
      <c r="D3795" s="69">
        <v>1250</v>
      </c>
      <c r="G3795" s="8" t="s">
        <v>1372</v>
      </c>
      <c r="H3795" t="s">
        <v>1336</v>
      </c>
    </row>
    <row r="3796" spans="1:8" hidden="1">
      <c r="A3796" s="232">
        <v>45001</v>
      </c>
      <c r="C3796" t="s">
        <v>9232</v>
      </c>
      <c r="D3796" s="69">
        <v>1000</v>
      </c>
      <c r="G3796" s="8" t="s">
        <v>1372</v>
      </c>
      <c r="H3796" t="s">
        <v>1336</v>
      </c>
    </row>
    <row r="3797" spans="1:8" hidden="1">
      <c r="A3797" s="232">
        <v>45002</v>
      </c>
      <c r="C3797" t="s">
        <v>9233</v>
      </c>
      <c r="D3797" s="69">
        <v>750</v>
      </c>
      <c r="G3797" s="8" t="s">
        <v>1372</v>
      </c>
      <c r="H3797" t="s">
        <v>1336</v>
      </c>
    </row>
    <row r="3798" spans="1:8" hidden="1">
      <c r="A3798" s="232">
        <v>45003</v>
      </c>
      <c r="C3798" t="s">
        <v>9234</v>
      </c>
      <c r="D3798" s="69">
        <v>1000</v>
      </c>
      <c r="G3798" s="8" t="s">
        <v>1372</v>
      </c>
      <c r="H3798" t="s">
        <v>1336</v>
      </c>
    </row>
    <row r="3799" spans="1:8" hidden="1">
      <c r="A3799" s="232">
        <v>45004</v>
      </c>
      <c r="C3799" t="s">
        <v>9235</v>
      </c>
      <c r="D3799" s="69">
        <v>750</v>
      </c>
      <c r="G3799" s="8" t="s">
        <v>1372</v>
      </c>
      <c r="H3799" t="s">
        <v>1336</v>
      </c>
    </row>
    <row r="3800" spans="1:8" hidden="1">
      <c r="A3800" s="232">
        <v>45004</v>
      </c>
      <c r="C3800" t="s">
        <v>9236</v>
      </c>
      <c r="D3800">
        <v>1239</v>
      </c>
      <c r="H3800" t="s">
        <v>1336</v>
      </c>
    </row>
    <row r="3801" spans="1:8" hidden="1">
      <c r="A3801" s="232">
        <v>45005</v>
      </c>
      <c r="C3801" t="s">
        <v>9237</v>
      </c>
      <c r="D3801">
        <v>1179</v>
      </c>
      <c r="H3801" t="s">
        <v>1336</v>
      </c>
    </row>
    <row r="3802" spans="1:8" hidden="1">
      <c r="A3802" s="232">
        <v>45005</v>
      </c>
      <c r="C3802" t="s">
        <v>9238</v>
      </c>
      <c r="D3802" s="69">
        <v>775</v>
      </c>
      <c r="G3802" s="8" t="s">
        <v>1372</v>
      </c>
      <c r="H3802" t="s">
        <v>1336</v>
      </c>
    </row>
    <row r="3803" spans="1:8" hidden="1">
      <c r="A3803" s="232">
        <v>45005</v>
      </c>
      <c r="C3803" t="s">
        <v>9239</v>
      </c>
      <c r="D3803" s="69">
        <v>1000</v>
      </c>
      <c r="G3803" s="8" t="s">
        <v>1372</v>
      </c>
      <c r="H3803" t="s">
        <v>1336</v>
      </c>
    </row>
    <row r="3804" spans="1:8" hidden="1">
      <c r="A3804" s="232">
        <v>45006</v>
      </c>
      <c r="C3804" t="s">
        <v>9240</v>
      </c>
      <c r="D3804" s="69">
        <v>750</v>
      </c>
      <c r="G3804" s="8" t="s">
        <v>1372</v>
      </c>
      <c r="H3804" t="s">
        <v>1336</v>
      </c>
    </row>
    <row r="3805" spans="1:8" hidden="1">
      <c r="A3805" s="232">
        <v>45006</v>
      </c>
      <c r="C3805" t="s">
        <v>9241</v>
      </c>
      <c r="D3805" s="69">
        <v>1000</v>
      </c>
      <c r="G3805" s="8" t="s">
        <v>1372</v>
      </c>
      <c r="H3805" t="s">
        <v>1336</v>
      </c>
    </row>
    <row r="3806" spans="1:8" hidden="1">
      <c r="A3806" s="232">
        <v>45006</v>
      </c>
      <c r="C3806" t="s">
        <v>9242</v>
      </c>
      <c r="D3806" s="69">
        <v>1000</v>
      </c>
      <c r="G3806" s="8" t="s">
        <v>1372</v>
      </c>
      <c r="H3806" t="s">
        <v>1336</v>
      </c>
    </row>
    <row r="3807" spans="1:8" hidden="1">
      <c r="A3807" s="232">
        <v>45007</v>
      </c>
      <c r="C3807" t="s">
        <v>9243</v>
      </c>
      <c r="D3807">
        <v>1500</v>
      </c>
      <c r="H3807" t="s">
        <v>1336</v>
      </c>
    </row>
    <row r="3808" spans="1:8" hidden="1">
      <c r="A3808" s="232">
        <v>45007</v>
      </c>
      <c r="C3808" t="s">
        <v>9244</v>
      </c>
      <c r="D3808" s="69">
        <v>750</v>
      </c>
      <c r="G3808" s="8" t="s">
        <v>1372</v>
      </c>
      <c r="H3808" t="s">
        <v>1336</v>
      </c>
    </row>
    <row r="3809" spans="1:8" hidden="1">
      <c r="A3809" s="232">
        <v>45008</v>
      </c>
      <c r="C3809" t="s">
        <v>9245</v>
      </c>
      <c r="D3809" s="69">
        <v>750</v>
      </c>
      <c r="G3809" s="8" t="s">
        <v>1372</v>
      </c>
      <c r="H3809" t="s">
        <v>1336</v>
      </c>
    </row>
    <row r="3810" spans="1:8" hidden="1">
      <c r="A3810" s="232">
        <v>45009</v>
      </c>
      <c r="C3810" t="s">
        <v>9246</v>
      </c>
      <c r="D3810" s="69">
        <v>1000</v>
      </c>
      <c r="G3810" s="8" t="s">
        <v>1372</v>
      </c>
      <c r="H3810" t="s">
        <v>1336</v>
      </c>
    </row>
    <row r="3811" spans="1:8" hidden="1">
      <c r="A3811" s="232">
        <v>45009</v>
      </c>
      <c r="C3811" t="s">
        <v>9247</v>
      </c>
      <c r="D3811">
        <v>526</v>
      </c>
      <c r="H3811" t="s">
        <v>1336</v>
      </c>
    </row>
    <row r="3812" spans="1:8" hidden="1">
      <c r="A3812" s="232">
        <v>45010</v>
      </c>
      <c r="C3812" t="s">
        <v>9248</v>
      </c>
      <c r="D3812"/>
      <c r="E3812">
        <v>3</v>
      </c>
      <c r="H3812" t="s">
        <v>1336</v>
      </c>
    </row>
    <row r="3813" spans="1:8" hidden="1">
      <c r="A3813" s="232">
        <v>45010</v>
      </c>
      <c r="C3813" t="s">
        <v>9249</v>
      </c>
      <c r="D3813">
        <v>730</v>
      </c>
      <c r="H3813" t="s">
        <v>1336</v>
      </c>
    </row>
    <row r="3814" spans="1:8" hidden="1">
      <c r="A3814" s="232">
        <v>45010</v>
      </c>
      <c r="C3814" t="s">
        <v>9250</v>
      </c>
      <c r="D3814" s="69">
        <v>750</v>
      </c>
      <c r="G3814" s="8" t="s">
        <v>1372</v>
      </c>
      <c r="H3814" t="s">
        <v>1336</v>
      </c>
    </row>
    <row r="3815" spans="1:8" hidden="1">
      <c r="A3815" s="232">
        <v>45010</v>
      </c>
      <c r="C3815" t="s">
        <v>9251</v>
      </c>
      <c r="D3815">
        <v>13900</v>
      </c>
      <c r="G3815" s="8" t="s">
        <v>1379</v>
      </c>
      <c r="H3815" t="s">
        <v>1336</v>
      </c>
    </row>
    <row r="3816" spans="1:8" hidden="1">
      <c r="A3816" s="232">
        <v>45012</v>
      </c>
      <c r="C3816" t="s">
        <v>9252</v>
      </c>
      <c r="D3816" s="69">
        <v>1000</v>
      </c>
      <c r="G3816" s="8" t="s">
        <v>1372</v>
      </c>
      <c r="H3816" t="s">
        <v>1336</v>
      </c>
    </row>
    <row r="3817" spans="1:8" hidden="1">
      <c r="A3817" s="232">
        <v>45012</v>
      </c>
      <c r="C3817" t="s">
        <v>9253</v>
      </c>
      <c r="D3817" s="69">
        <v>1000</v>
      </c>
      <c r="G3817" s="8" t="s">
        <v>1372</v>
      </c>
      <c r="H3817" t="s">
        <v>1336</v>
      </c>
    </row>
    <row r="3818" spans="1:8" hidden="1">
      <c r="A3818" s="232">
        <v>45013</v>
      </c>
      <c r="C3818" t="s">
        <v>9254</v>
      </c>
      <c r="D3818">
        <v>1042</v>
      </c>
      <c r="H3818" t="s">
        <v>1336</v>
      </c>
    </row>
    <row r="3819" spans="1:8" hidden="1">
      <c r="A3819" s="232">
        <v>45013</v>
      </c>
      <c r="C3819" t="s">
        <v>9255</v>
      </c>
      <c r="D3819" s="69">
        <v>800</v>
      </c>
      <c r="G3819" s="8" t="s">
        <v>1372</v>
      </c>
      <c r="H3819" t="s">
        <v>1336</v>
      </c>
    </row>
    <row r="3820" spans="1:8" hidden="1">
      <c r="A3820" s="232">
        <v>45014</v>
      </c>
      <c r="C3820" t="s">
        <v>9256</v>
      </c>
      <c r="D3820">
        <v>199</v>
      </c>
      <c r="H3820" t="s">
        <v>1336</v>
      </c>
    </row>
    <row r="3821" spans="1:8" hidden="1">
      <c r="A3821" s="232">
        <v>45014</v>
      </c>
      <c r="C3821" t="s">
        <v>9257</v>
      </c>
      <c r="D3821">
        <v>50</v>
      </c>
      <c r="H3821" t="s">
        <v>1336</v>
      </c>
    </row>
    <row r="3822" spans="1:8" hidden="1">
      <c r="A3822" s="232">
        <v>45014</v>
      </c>
      <c r="C3822" t="s">
        <v>9258</v>
      </c>
      <c r="D3822">
        <v>52</v>
      </c>
      <c r="H3822" t="s">
        <v>1336</v>
      </c>
    </row>
    <row r="3823" spans="1:8" hidden="1">
      <c r="A3823" s="232">
        <v>45014</v>
      </c>
      <c r="C3823" t="s">
        <v>9259</v>
      </c>
      <c r="D3823">
        <v>800</v>
      </c>
      <c r="H3823" t="s">
        <v>1336</v>
      </c>
    </row>
    <row r="3824" spans="1:8" hidden="1">
      <c r="A3824" s="232">
        <v>45015</v>
      </c>
      <c r="C3824" t="s">
        <v>9260</v>
      </c>
      <c r="D3824"/>
      <c r="E3824">
        <v>556195</v>
      </c>
      <c r="G3824" s="8" t="s">
        <v>1380</v>
      </c>
      <c r="H3824" t="s">
        <v>1336</v>
      </c>
    </row>
    <row r="3825" spans="1:8" hidden="1">
      <c r="A3825" s="232">
        <v>45015</v>
      </c>
      <c r="C3825" t="s">
        <v>9261</v>
      </c>
      <c r="D3825">
        <v>20000</v>
      </c>
      <c r="G3825" s="8" t="s">
        <v>1358</v>
      </c>
      <c r="H3825" t="s">
        <v>1336</v>
      </c>
    </row>
    <row r="3826" spans="1:8" hidden="1">
      <c r="A3826" s="232">
        <v>45016</v>
      </c>
      <c r="C3826" t="s">
        <v>9262</v>
      </c>
      <c r="D3826"/>
      <c r="E3826">
        <v>5000</v>
      </c>
      <c r="H3826" t="s">
        <v>1336</v>
      </c>
    </row>
    <row r="3827" spans="1:8" hidden="1">
      <c r="A3827" s="232">
        <v>45016</v>
      </c>
      <c r="C3827" t="s">
        <v>9263</v>
      </c>
      <c r="D3827">
        <v>5000</v>
      </c>
      <c r="H3827" t="s">
        <v>1336</v>
      </c>
    </row>
    <row r="3828" spans="1:8" hidden="1">
      <c r="A3828" s="232">
        <v>45016</v>
      </c>
      <c r="C3828" t="s">
        <v>9264</v>
      </c>
      <c r="D3828"/>
      <c r="E3828">
        <v>4792</v>
      </c>
      <c r="H3828" t="s">
        <v>1336</v>
      </c>
    </row>
    <row r="3829" spans="1:8" hidden="1">
      <c r="A3829" s="232">
        <v>45017</v>
      </c>
      <c r="C3829" t="s">
        <v>4256</v>
      </c>
      <c r="D3829"/>
      <c r="E3829">
        <v>12633</v>
      </c>
      <c r="G3829" s="8" t="s">
        <v>1368</v>
      </c>
      <c r="H3829" t="s">
        <v>1336</v>
      </c>
    </row>
    <row r="3830" spans="1:8" hidden="1">
      <c r="A3830" s="232">
        <v>45017</v>
      </c>
      <c r="C3830" t="s">
        <v>6431</v>
      </c>
      <c r="D3830" s="270">
        <v>5001</v>
      </c>
      <c r="E3830" s="270">
        <v>0</v>
      </c>
      <c r="G3830" s="8" t="s">
        <v>1379</v>
      </c>
      <c r="H3830" t="s">
        <v>1050</v>
      </c>
    </row>
    <row r="3831" spans="1:8" hidden="1">
      <c r="A3831" s="232">
        <v>45018</v>
      </c>
      <c r="C3831" t="s">
        <v>9265</v>
      </c>
      <c r="D3831" s="270">
        <v>189</v>
      </c>
      <c r="E3831" s="270">
        <v>0</v>
      </c>
      <c r="H3831" t="s">
        <v>1050</v>
      </c>
    </row>
    <row r="3832" spans="1:8" hidden="1">
      <c r="A3832" s="232">
        <v>45019</v>
      </c>
      <c r="C3832" t="s">
        <v>6433</v>
      </c>
      <c r="D3832" s="270">
        <v>150000</v>
      </c>
      <c r="E3832" s="270">
        <v>0</v>
      </c>
      <c r="G3832" s="8" t="s">
        <v>1378</v>
      </c>
      <c r="H3832" t="s">
        <v>1050</v>
      </c>
    </row>
    <row r="3833" spans="1:8" hidden="1">
      <c r="A3833" s="232">
        <v>45022</v>
      </c>
      <c r="C3833" t="s">
        <v>9266</v>
      </c>
      <c r="D3833" s="270">
        <v>0</v>
      </c>
      <c r="E3833" s="270">
        <v>9772.36</v>
      </c>
      <c r="G3833" s="8" t="s">
        <v>1375</v>
      </c>
      <c r="H3833" t="s">
        <v>1050</v>
      </c>
    </row>
    <row r="3834" spans="1:8" hidden="1">
      <c r="A3834" s="232">
        <v>45026</v>
      </c>
      <c r="C3834" t="s">
        <v>6526</v>
      </c>
      <c r="D3834" s="270">
        <v>8083</v>
      </c>
      <c r="E3834" s="270">
        <v>0</v>
      </c>
      <c r="G3834" s="8" t="s">
        <v>1362</v>
      </c>
      <c r="H3834" t="s">
        <v>1050</v>
      </c>
    </row>
    <row r="3835" spans="1:8" hidden="1">
      <c r="A3835" s="232">
        <v>45037</v>
      </c>
      <c r="C3835" t="s">
        <v>9267</v>
      </c>
      <c r="D3835" s="270">
        <v>41667</v>
      </c>
      <c r="E3835" s="270">
        <v>0</v>
      </c>
      <c r="G3835" s="8" t="s">
        <v>1381</v>
      </c>
      <c r="H3835" t="s">
        <v>1050</v>
      </c>
    </row>
    <row r="3836" spans="1:8" hidden="1">
      <c r="A3836" s="232">
        <v>45044</v>
      </c>
      <c r="C3836" t="s">
        <v>9268</v>
      </c>
      <c r="D3836" s="270">
        <v>25000</v>
      </c>
      <c r="E3836" s="270">
        <v>0</v>
      </c>
      <c r="G3836" s="8" t="s">
        <v>1381</v>
      </c>
      <c r="H3836" t="s">
        <v>1050</v>
      </c>
    </row>
    <row r="3837" spans="1:8" hidden="1">
      <c r="A3837" s="232">
        <v>45017</v>
      </c>
      <c r="C3837" s="3" t="s">
        <v>9269</v>
      </c>
      <c r="D3837" s="278">
        <v>70</v>
      </c>
      <c r="E3837" s="278"/>
      <c r="H3837" t="s">
        <v>1336</v>
      </c>
    </row>
    <row r="3838" spans="1:8" hidden="1">
      <c r="A3838" s="232">
        <v>45017</v>
      </c>
      <c r="C3838" s="3" t="s">
        <v>9270</v>
      </c>
      <c r="D3838" s="280">
        <v>1000</v>
      </c>
      <c r="E3838" s="278"/>
      <c r="G3838" s="8" t="s">
        <v>1372</v>
      </c>
      <c r="H3838" t="s">
        <v>1336</v>
      </c>
    </row>
    <row r="3839" spans="1:8" hidden="1">
      <c r="A3839" s="232">
        <v>45017</v>
      </c>
      <c r="C3839" s="3" t="s">
        <v>9271</v>
      </c>
      <c r="D3839" s="278">
        <v>6000</v>
      </c>
      <c r="E3839" s="278"/>
      <c r="H3839" t="s">
        <v>1336</v>
      </c>
    </row>
    <row r="3840" spans="1:8" hidden="1">
      <c r="A3840" s="232">
        <v>45017</v>
      </c>
      <c r="C3840" s="3" t="s">
        <v>9272</v>
      </c>
      <c r="D3840" s="278">
        <v>476</v>
      </c>
      <c r="E3840" s="278"/>
      <c r="H3840" t="s">
        <v>1336</v>
      </c>
    </row>
    <row r="3841" spans="1:8" hidden="1">
      <c r="A3841" s="232">
        <v>45018</v>
      </c>
      <c r="C3841" s="3" t="s">
        <v>9273</v>
      </c>
      <c r="D3841" s="280">
        <v>1000</v>
      </c>
      <c r="E3841" s="278"/>
      <c r="G3841" s="8" t="s">
        <v>1372</v>
      </c>
      <c r="H3841" t="s">
        <v>1336</v>
      </c>
    </row>
    <row r="3842" spans="1:8" hidden="1">
      <c r="A3842" s="232">
        <v>45018</v>
      </c>
      <c r="C3842" s="3" t="s">
        <v>9274</v>
      </c>
      <c r="D3842" s="280">
        <v>1250</v>
      </c>
      <c r="E3842" s="278"/>
      <c r="G3842" s="8" t="s">
        <v>1372</v>
      </c>
      <c r="H3842" t="s">
        <v>1336</v>
      </c>
    </row>
    <row r="3843" spans="1:8" hidden="1">
      <c r="A3843" s="232">
        <v>45018</v>
      </c>
      <c r="C3843" s="3" t="s">
        <v>9275</v>
      </c>
      <c r="D3843" s="278">
        <v>5000</v>
      </c>
      <c r="E3843" s="278"/>
      <c r="H3843" t="s">
        <v>1336</v>
      </c>
    </row>
    <row r="3844" spans="1:8" hidden="1">
      <c r="A3844" s="232">
        <v>45018</v>
      </c>
      <c r="C3844" s="3" t="s">
        <v>9276</v>
      </c>
      <c r="D3844" s="278"/>
      <c r="E3844" s="278">
        <v>3</v>
      </c>
      <c r="H3844" t="s">
        <v>1336</v>
      </c>
    </row>
    <row r="3845" spans="1:8" hidden="1">
      <c r="A3845" s="232">
        <v>45018</v>
      </c>
      <c r="C3845" s="3" t="s">
        <v>9277</v>
      </c>
      <c r="D3845" s="278">
        <v>6238</v>
      </c>
      <c r="E3845" s="278"/>
      <c r="H3845" t="s">
        <v>1336</v>
      </c>
    </row>
    <row r="3846" spans="1:8" hidden="1">
      <c r="A3846" s="232">
        <v>45018</v>
      </c>
      <c r="C3846" s="3" t="s">
        <v>9278</v>
      </c>
      <c r="D3846" s="278">
        <v>2000</v>
      </c>
      <c r="E3846" s="278"/>
      <c r="H3846" t="s">
        <v>1336</v>
      </c>
    </row>
    <row r="3847" spans="1:8" hidden="1">
      <c r="A3847" s="232">
        <v>45019</v>
      </c>
      <c r="C3847" s="3" t="s">
        <v>9279</v>
      </c>
      <c r="D3847" s="280">
        <v>775</v>
      </c>
      <c r="E3847" s="278"/>
      <c r="G3847" s="8" t="s">
        <v>1372</v>
      </c>
      <c r="H3847" t="s">
        <v>1336</v>
      </c>
    </row>
    <row r="3848" spans="1:8" hidden="1">
      <c r="A3848" s="232">
        <v>45019</v>
      </c>
      <c r="C3848" s="3" t="s">
        <v>9280</v>
      </c>
      <c r="D3848" s="280">
        <v>1250</v>
      </c>
      <c r="E3848" s="278"/>
      <c r="G3848" s="8" t="s">
        <v>1372</v>
      </c>
      <c r="H3848" t="s">
        <v>1336</v>
      </c>
    </row>
    <row r="3849" spans="1:8" hidden="1">
      <c r="A3849" s="232">
        <v>45019</v>
      </c>
      <c r="C3849" s="3" t="s">
        <v>9281</v>
      </c>
      <c r="D3849" s="280">
        <v>1000</v>
      </c>
      <c r="E3849" s="278"/>
      <c r="G3849" s="8" t="s">
        <v>1372</v>
      </c>
      <c r="H3849" t="s">
        <v>1336</v>
      </c>
    </row>
    <row r="3850" spans="1:8" hidden="1">
      <c r="A3850" s="232">
        <v>45020</v>
      </c>
      <c r="C3850" s="3" t="s">
        <v>9282</v>
      </c>
      <c r="D3850" s="278">
        <v>1268.5</v>
      </c>
      <c r="E3850" s="278"/>
      <c r="H3850" t="s">
        <v>1336</v>
      </c>
    </row>
    <row r="3851" spans="1:8" hidden="1">
      <c r="A3851" s="232">
        <v>45020</v>
      </c>
      <c r="C3851" s="3" t="s">
        <v>9283</v>
      </c>
      <c r="D3851" s="280">
        <v>750</v>
      </c>
      <c r="E3851" s="278"/>
      <c r="G3851" s="8" t="s">
        <v>1372</v>
      </c>
      <c r="H3851" t="s">
        <v>1336</v>
      </c>
    </row>
    <row r="3852" spans="1:8" hidden="1">
      <c r="A3852" s="232">
        <v>45021</v>
      </c>
      <c r="C3852" s="3" t="s">
        <v>6583</v>
      </c>
      <c r="D3852" s="278">
        <v>26436</v>
      </c>
      <c r="E3852" s="278"/>
      <c r="G3852" s="8" t="s">
        <v>1362</v>
      </c>
      <c r="H3852" t="s">
        <v>1336</v>
      </c>
    </row>
    <row r="3853" spans="1:8" hidden="1">
      <c r="A3853" s="232">
        <v>45021</v>
      </c>
      <c r="C3853" s="3" t="s">
        <v>9284</v>
      </c>
      <c r="D3853" s="280">
        <v>1250</v>
      </c>
      <c r="E3853" s="278"/>
      <c r="G3853" s="8" t="s">
        <v>1372</v>
      </c>
      <c r="H3853" t="s">
        <v>1336</v>
      </c>
    </row>
    <row r="3854" spans="1:8" hidden="1">
      <c r="A3854" s="232">
        <v>45021</v>
      </c>
      <c r="C3854" s="3" t="s">
        <v>9285</v>
      </c>
      <c r="D3854" s="280">
        <v>1250</v>
      </c>
      <c r="E3854" s="278"/>
      <c r="G3854" s="8" t="s">
        <v>1372</v>
      </c>
      <c r="H3854" t="s">
        <v>1336</v>
      </c>
    </row>
    <row r="3855" spans="1:8" hidden="1">
      <c r="A3855" s="232">
        <v>45022</v>
      </c>
      <c r="C3855" s="3" t="s">
        <v>9286</v>
      </c>
      <c r="D3855" s="280">
        <v>800</v>
      </c>
      <c r="E3855" s="278"/>
      <c r="G3855" s="8" t="s">
        <v>1372</v>
      </c>
      <c r="H3855" t="s">
        <v>1336</v>
      </c>
    </row>
    <row r="3856" spans="1:8" hidden="1">
      <c r="A3856" s="232">
        <v>45022</v>
      </c>
      <c r="C3856" s="3" t="s">
        <v>9287</v>
      </c>
      <c r="D3856" s="280">
        <v>1000</v>
      </c>
      <c r="E3856" s="278"/>
      <c r="G3856" s="8" t="s">
        <v>1372</v>
      </c>
      <c r="H3856" t="s">
        <v>1336</v>
      </c>
    </row>
    <row r="3857" spans="1:8" hidden="1">
      <c r="A3857" s="232">
        <v>45022</v>
      </c>
      <c r="C3857" s="3" t="s">
        <v>9288</v>
      </c>
      <c r="D3857" s="278">
        <v>500</v>
      </c>
      <c r="E3857" s="278"/>
      <c r="H3857" t="s">
        <v>1336</v>
      </c>
    </row>
    <row r="3858" spans="1:8" hidden="1">
      <c r="A3858" s="232">
        <v>45023</v>
      </c>
      <c r="C3858" s="3" t="s">
        <v>9289</v>
      </c>
      <c r="D3858" s="278"/>
      <c r="E3858" s="278">
        <v>143.51</v>
      </c>
      <c r="H3858" t="s">
        <v>1336</v>
      </c>
    </row>
    <row r="3859" spans="1:8" hidden="1">
      <c r="A3859" s="232">
        <v>45023</v>
      </c>
      <c r="C3859" s="3" t="s">
        <v>9290</v>
      </c>
      <c r="D3859" s="280">
        <v>1000</v>
      </c>
      <c r="E3859" s="278"/>
      <c r="G3859" s="8" t="s">
        <v>1372</v>
      </c>
      <c r="H3859" t="s">
        <v>1336</v>
      </c>
    </row>
    <row r="3860" spans="1:8" hidden="1">
      <c r="A3860" s="232">
        <v>45023</v>
      </c>
      <c r="C3860" s="3" t="s">
        <v>9291</v>
      </c>
      <c r="D3860" s="278">
        <v>635.4</v>
      </c>
      <c r="E3860" s="278"/>
      <c r="H3860" t="s">
        <v>1336</v>
      </c>
    </row>
    <row r="3861" spans="1:8" hidden="1">
      <c r="A3861" s="232">
        <v>45024</v>
      </c>
      <c r="C3861" s="3" t="s">
        <v>9292</v>
      </c>
      <c r="D3861" s="280">
        <v>775</v>
      </c>
      <c r="E3861" s="278"/>
      <c r="G3861" s="8" t="s">
        <v>1372</v>
      </c>
      <c r="H3861" t="s">
        <v>1336</v>
      </c>
    </row>
    <row r="3862" spans="1:8" hidden="1">
      <c r="A3862" s="232">
        <v>45025</v>
      </c>
      <c r="C3862" s="3" t="s">
        <v>9293</v>
      </c>
      <c r="D3862" s="280">
        <v>750</v>
      </c>
      <c r="E3862" s="278"/>
      <c r="G3862" s="8" t="s">
        <v>1372</v>
      </c>
      <c r="H3862" t="s">
        <v>1336</v>
      </c>
    </row>
    <row r="3863" spans="1:8" hidden="1">
      <c r="A3863" s="232">
        <v>45025</v>
      </c>
      <c r="C3863" s="3" t="s">
        <v>9294</v>
      </c>
      <c r="D3863" s="280">
        <v>1000</v>
      </c>
      <c r="E3863" s="278"/>
      <c r="G3863" s="8" t="s">
        <v>1372</v>
      </c>
      <c r="H3863" t="s">
        <v>1336</v>
      </c>
    </row>
    <row r="3864" spans="1:8" hidden="1">
      <c r="A3864" s="232">
        <v>45025</v>
      </c>
      <c r="C3864" s="3" t="s">
        <v>9295</v>
      </c>
      <c r="D3864" s="278">
        <v>1956</v>
      </c>
      <c r="E3864" s="278"/>
      <c r="H3864" t="s">
        <v>1336</v>
      </c>
    </row>
    <row r="3865" spans="1:8" hidden="1">
      <c r="A3865" s="232">
        <v>45026</v>
      </c>
      <c r="C3865" s="3" t="s">
        <v>9296</v>
      </c>
      <c r="D3865" s="280">
        <v>750</v>
      </c>
      <c r="E3865" s="278"/>
      <c r="G3865" s="8" t="s">
        <v>1372</v>
      </c>
      <c r="H3865" t="s">
        <v>1336</v>
      </c>
    </row>
    <row r="3866" spans="1:8" hidden="1">
      <c r="A3866" s="232">
        <v>45026</v>
      </c>
      <c r="C3866" s="3" t="s">
        <v>9297</v>
      </c>
      <c r="D3866" s="280">
        <v>1250</v>
      </c>
      <c r="E3866" s="278"/>
      <c r="G3866" s="8" t="s">
        <v>1372</v>
      </c>
      <c r="H3866" t="s">
        <v>1336</v>
      </c>
    </row>
    <row r="3867" spans="1:8" hidden="1">
      <c r="A3867" s="232">
        <v>45026</v>
      </c>
      <c r="C3867" s="3" t="s">
        <v>9298</v>
      </c>
      <c r="D3867" s="280">
        <v>1000</v>
      </c>
      <c r="E3867" s="278"/>
      <c r="G3867" s="8" t="s">
        <v>1372</v>
      </c>
      <c r="H3867" t="s">
        <v>1336</v>
      </c>
    </row>
    <row r="3868" spans="1:8" hidden="1">
      <c r="A3868" s="232">
        <v>45026</v>
      </c>
      <c r="C3868" s="3" t="s">
        <v>9299</v>
      </c>
      <c r="D3868" s="278">
        <v>1766</v>
      </c>
      <c r="E3868" s="278"/>
      <c r="H3868" t="s">
        <v>1336</v>
      </c>
    </row>
    <row r="3869" spans="1:8" hidden="1">
      <c r="A3869" s="232">
        <v>45027</v>
      </c>
      <c r="C3869" s="3" t="s">
        <v>9300</v>
      </c>
      <c r="D3869" s="278">
        <v>780</v>
      </c>
      <c r="E3869" s="278"/>
      <c r="H3869" t="s">
        <v>1336</v>
      </c>
    </row>
    <row r="3870" spans="1:8" hidden="1">
      <c r="A3870" s="232">
        <v>45027</v>
      </c>
      <c r="C3870" s="3" t="s">
        <v>9301</v>
      </c>
      <c r="D3870" s="280">
        <v>1250</v>
      </c>
      <c r="E3870" s="278"/>
      <c r="G3870" s="8" t="s">
        <v>1372</v>
      </c>
      <c r="H3870" t="s">
        <v>1336</v>
      </c>
    </row>
    <row r="3871" spans="1:8" hidden="1">
      <c r="A3871" s="232">
        <v>45027</v>
      </c>
      <c r="C3871" s="3" t="s">
        <v>9302</v>
      </c>
      <c r="D3871" s="278">
        <v>1700</v>
      </c>
      <c r="E3871" s="278"/>
      <c r="H3871" t="s">
        <v>1336</v>
      </c>
    </row>
    <row r="3872" spans="1:8" hidden="1">
      <c r="A3872" s="232">
        <v>45028</v>
      </c>
      <c r="C3872" s="3" t="s">
        <v>9303</v>
      </c>
      <c r="D3872" s="280">
        <v>1000</v>
      </c>
      <c r="E3872" s="278"/>
      <c r="G3872" s="8" t="s">
        <v>1372</v>
      </c>
      <c r="H3872" t="s">
        <v>1336</v>
      </c>
    </row>
    <row r="3873" spans="1:8" hidden="1">
      <c r="A3873" s="232">
        <v>45028</v>
      </c>
      <c r="C3873" s="3" t="s">
        <v>9304</v>
      </c>
      <c r="D3873" s="278">
        <v>309111</v>
      </c>
      <c r="E3873" s="278"/>
      <c r="H3873" t="s">
        <v>1336</v>
      </c>
    </row>
    <row r="3874" spans="1:8" hidden="1">
      <c r="A3874" s="232">
        <v>45029</v>
      </c>
      <c r="C3874" s="3" t="s">
        <v>9305</v>
      </c>
      <c r="D3874" s="280">
        <v>775</v>
      </c>
      <c r="E3874" s="278"/>
      <c r="G3874" s="8" t="s">
        <v>1372</v>
      </c>
      <c r="H3874" t="s">
        <v>1336</v>
      </c>
    </row>
    <row r="3875" spans="1:8" hidden="1">
      <c r="A3875" s="232">
        <v>45029</v>
      </c>
      <c r="C3875" s="3" t="s">
        <v>9306</v>
      </c>
      <c r="D3875" s="280">
        <v>1000</v>
      </c>
      <c r="E3875" s="278"/>
      <c r="G3875" s="8" t="s">
        <v>1372</v>
      </c>
      <c r="H3875" t="s">
        <v>1336</v>
      </c>
    </row>
    <row r="3876" spans="1:8" hidden="1">
      <c r="A3876" s="232">
        <v>45029</v>
      </c>
      <c r="C3876" s="3" t="s">
        <v>9307</v>
      </c>
      <c r="D3876" s="278">
        <v>2211</v>
      </c>
      <c r="E3876" s="278"/>
      <c r="H3876" t="s">
        <v>1336</v>
      </c>
    </row>
    <row r="3877" spans="1:8" hidden="1">
      <c r="A3877" s="232">
        <v>45030</v>
      </c>
      <c r="C3877" s="3" t="s">
        <v>9308</v>
      </c>
      <c r="D3877" s="280">
        <v>800</v>
      </c>
      <c r="E3877" s="278"/>
      <c r="G3877" s="8" t="s">
        <v>1372</v>
      </c>
      <c r="H3877" t="s">
        <v>1336</v>
      </c>
    </row>
    <row r="3878" spans="1:8" hidden="1">
      <c r="A3878" s="232">
        <v>45030</v>
      </c>
      <c r="C3878" s="3" t="s">
        <v>9309</v>
      </c>
      <c r="D3878" s="280">
        <v>1000</v>
      </c>
      <c r="E3878" s="278"/>
      <c r="G3878" s="8" t="s">
        <v>1372</v>
      </c>
      <c r="H3878" t="s">
        <v>1336</v>
      </c>
    </row>
    <row r="3879" spans="1:8" hidden="1">
      <c r="A3879" s="232">
        <v>45030</v>
      </c>
      <c r="C3879" s="3" t="s">
        <v>9310</v>
      </c>
      <c r="D3879" s="278">
        <v>369</v>
      </c>
      <c r="E3879" s="278"/>
      <c r="H3879" t="s">
        <v>1336</v>
      </c>
    </row>
    <row r="3880" spans="1:8" hidden="1">
      <c r="A3880" s="232">
        <v>45031</v>
      </c>
      <c r="C3880" s="3" t="s">
        <v>9311</v>
      </c>
      <c r="D3880" s="278">
        <v>1500</v>
      </c>
      <c r="E3880" s="278"/>
      <c r="H3880" t="s">
        <v>1336</v>
      </c>
    </row>
    <row r="3881" spans="1:8" hidden="1">
      <c r="A3881" s="232">
        <v>45031</v>
      </c>
      <c r="C3881" s="3" t="s">
        <v>9312</v>
      </c>
      <c r="D3881" s="278"/>
      <c r="E3881" s="278">
        <v>3</v>
      </c>
      <c r="H3881" t="s">
        <v>1336</v>
      </c>
    </row>
    <row r="3882" spans="1:8" hidden="1">
      <c r="A3882" s="232">
        <v>45031</v>
      </c>
      <c r="C3882" s="3" t="s">
        <v>9313</v>
      </c>
      <c r="D3882" s="278">
        <v>699</v>
      </c>
      <c r="E3882" s="278"/>
      <c r="H3882" t="s">
        <v>1336</v>
      </c>
    </row>
    <row r="3883" spans="1:8" hidden="1">
      <c r="A3883" s="232">
        <v>45032</v>
      </c>
      <c r="C3883" s="3" t="s">
        <v>9314</v>
      </c>
      <c r="D3883" s="280">
        <v>1000</v>
      </c>
      <c r="E3883" s="278"/>
      <c r="G3883" s="8" t="s">
        <v>1372</v>
      </c>
      <c r="H3883" t="s">
        <v>1336</v>
      </c>
    </row>
    <row r="3884" spans="1:8" hidden="1">
      <c r="A3884" s="232">
        <v>45032</v>
      </c>
      <c r="C3884" s="3" t="s">
        <v>9315</v>
      </c>
      <c r="D3884" s="278">
        <v>6351.88</v>
      </c>
      <c r="E3884" s="278"/>
      <c r="H3884" t="s">
        <v>1336</v>
      </c>
    </row>
    <row r="3885" spans="1:8" hidden="1">
      <c r="A3885" s="232">
        <v>45032</v>
      </c>
      <c r="C3885" s="3" t="s">
        <v>9316</v>
      </c>
      <c r="D3885" s="278"/>
      <c r="E3885" s="278">
        <v>1000</v>
      </c>
      <c r="H3885" t="s">
        <v>1336</v>
      </c>
    </row>
    <row r="3886" spans="1:8" hidden="1">
      <c r="A3886" s="232">
        <v>45033</v>
      </c>
      <c r="C3886" s="3" t="s">
        <v>9317</v>
      </c>
      <c r="D3886" s="280">
        <v>750</v>
      </c>
      <c r="E3886" s="278"/>
      <c r="G3886" s="8" t="s">
        <v>1372</v>
      </c>
      <c r="H3886" t="s">
        <v>1336</v>
      </c>
    </row>
    <row r="3887" spans="1:8" hidden="1">
      <c r="A3887" s="232">
        <v>45033</v>
      </c>
      <c r="C3887" s="3" t="s">
        <v>9318</v>
      </c>
      <c r="D3887" s="280">
        <v>750</v>
      </c>
      <c r="E3887" s="278"/>
      <c r="G3887" s="8" t="s">
        <v>1372</v>
      </c>
      <c r="H3887" t="s">
        <v>1336</v>
      </c>
    </row>
    <row r="3888" spans="1:8" hidden="1">
      <c r="A3888" s="232">
        <v>45033</v>
      </c>
      <c r="C3888" s="3" t="s">
        <v>9319</v>
      </c>
      <c r="D3888" s="280">
        <v>1250</v>
      </c>
      <c r="E3888" s="278"/>
      <c r="G3888" s="8" t="s">
        <v>1372</v>
      </c>
      <c r="H3888" t="s">
        <v>1336</v>
      </c>
    </row>
    <row r="3889" spans="1:8" hidden="1">
      <c r="A3889" s="232">
        <v>45033</v>
      </c>
      <c r="C3889" s="3" t="s">
        <v>9320</v>
      </c>
      <c r="D3889" s="280">
        <v>1250</v>
      </c>
      <c r="E3889" s="278"/>
      <c r="G3889" s="8" t="s">
        <v>1372</v>
      </c>
      <c r="H3889" t="s">
        <v>1336</v>
      </c>
    </row>
    <row r="3890" spans="1:8" hidden="1">
      <c r="A3890" s="232">
        <v>45034</v>
      </c>
      <c r="C3890" s="3" t="s">
        <v>9321</v>
      </c>
      <c r="D3890" s="280">
        <v>1000</v>
      </c>
      <c r="E3890" s="278"/>
      <c r="G3890" s="8" t="s">
        <v>1372</v>
      </c>
      <c r="H3890" t="s">
        <v>1336</v>
      </c>
    </row>
    <row r="3891" spans="1:8" hidden="1">
      <c r="A3891" s="232">
        <v>45034</v>
      </c>
      <c r="C3891" s="3" t="s">
        <v>9322</v>
      </c>
      <c r="D3891" s="278">
        <v>3200</v>
      </c>
      <c r="E3891" s="278"/>
      <c r="H3891" t="s">
        <v>1336</v>
      </c>
    </row>
    <row r="3892" spans="1:8" hidden="1">
      <c r="A3892" s="232">
        <v>45034</v>
      </c>
      <c r="C3892" s="3" t="s">
        <v>9323</v>
      </c>
      <c r="D3892" s="278">
        <v>200</v>
      </c>
      <c r="E3892" s="278"/>
      <c r="H3892" t="s">
        <v>1336</v>
      </c>
    </row>
    <row r="3893" spans="1:8" hidden="1">
      <c r="A3893" s="232">
        <v>45035</v>
      </c>
      <c r="C3893" s="3" t="s">
        <v>9324</v>
      </c>
      <c r="D3893" s="280">
        <v>750</v>
      </c>
      <c r="E3893" s="278"/>
      <c r="G3893" s="8" t="s">
        <v>1372</v>
      </c>
      <c r="H3893" t="s">
        <v>1336</v>
      </c>
    </row>
    <row r="3894" spans="1:8" hidden="1">
      <c r="A3894" s="232">
        <v>45035</v>
      </c>
      <c r="C3894" s="3" t="s">
        <v>9325</v>
      </c>
      <c r="D3894" s="280">
        <v>1000</v>
      </c>
      <c r="E3894" s="278"/>
      <c r="G3894" s="8" t="s">
        <v>1372</v>
      </c>
      <c r="H3894" t="s">
        <v>1336</v>
      </c>
    </row>
    <row r="3895" spans="1:8" hidden="1">
      <c r="A3895" s="232">
        <v>45035</v>
      </c>
      <c r="C3895" s="3" t="s">
        <v>9326</v>
      </c>
      <c r="D3895" s="278">
        <v>3400</v>
      </c>
      <c r="E3895" s="278"/>
      <c r="H3895" t="s">
        <v>1336</v>
      </c>
    </row>
    <row r="3896" spans="1:8" hidden="1">
      <c r="A3896" s="232">
        <v>45036</v>
      </c>
      <c r="C3896" s="3" t="s">
        <v>9327</v>
      </c>
      <c r="D3896" s="280">
        <v>775</v>
      </c>
      <c r="E3896" s="278"/>
      <c r="G3896" s="8" t="s">
        <v>1372</v>
      </c>
      <c r="H3896" t="s">
        <v>1336</v>
      </c>
    </row>
    <row r="3897" spans="1:8" hidden="1">
      <c r="A3897" s="232">
        <v>45036</v>
      </c>
      <c r="C3897" s="3" t="s">
        <v>9328</v>
      </c>
      <c r="D3897" s="278">
        <v>1629</v>
      </c>
      <c r="E3897" s="278"/>
      <c r="H3897" t="s">
        <v>1336</v>
      </c>
    </row>
    <row r="3898" spans="1:8" hidden="1">
      <c r="A3898" s="232">
        <v>45037</v>
      </c>
      <c r="C3898" s="3" t="s">
        <v>9329</v>
      </c>
      <c r="D3898" s="280">
        <v>750</v>
      </c>
      <c r="E3898" s="278"/>
      <c r="G3898" s="8" t="s">
        <v>1372</v>
      </c>
      <c r="H3898" t="s">
        <v>1336</v>
      </c>
    </row>
    <row r="3899" spans="1:8" hidden="1">
      <c r="A3899" s="232">
        <v>45037</v>
      </c>
      <c r="C3899" s="3" t="s">
        <v>9330</v>
      </c>
      <c r="D3899" s="280">
        <v>1000</v>
      </c>
      <c r="E3899" s="278"/>
      <c r="G3899" s="8" t="s">
        <v>1372</v>
      </c>
      <c r="H3899" t="s">
        <v>1336</v>
      </c>
    </row>
    <row r="3900" spans="1:8" hidden="1">
      <c r="A3900" s="232">
        <v>45037</v>
      </c>
      <c r="C3900" s="3" t="s">
        <v>9331</v>
      </c>
      <c r="D3900" s="280">
        <v>1000</v>
      </c>
      <c r="E3900" s="278"/>
      <c r="G3900" s="8" t="s">
        <v>1372</v>
      </c>
      <c r="H3900" t="s">
        <v>1336</v>
      </c>
    </row>
    <row r="3901" spans="1:8" hidden="1">
      <c r="A3901" s="232">
        <v>45037</v>
      </c>
      <c r="C3901" s="3" t="s">
        <v>9332</v>
      </c>
      <c r="D3901" s="278">
        <v>3500</v>
      </c>
      <c r="E3901" s="278"/>
      <c r="H3901" t="s">
        <v>1336</v>
      </c>
    </row>
    <row r="3902" spans="1:8" hidden="1">
      <c r="A3902" s="232">
        <v>45037</v>
      </c>
      <c r="C3902" s="3" t="s">
        <v>9333</v>
      </c>
      <c r="D3902" s="278">
        <v>259</v>
      </c>
      <c r="E3902" s="278"/>
      <c r="H3902" t="s">
        <v>1336</v>
      </c>
    </row>
    <row r="3903" spans="1:8" hidden="1">
      <c r="A3903" s="232">
        <v>45038</v>
      </c>
      <c r="C3903" s="3" t="s">
        <v>9334</v>
      </c>
      <c r="D3903" s="280">
        <v>750</v>
      </c>
      <c r="E3903" s="278"/>
      <c r="G3903" s="8" t="s">
        <v>1372</v>
      </c>
      <c r="H3903" t="s">
        <v>1336</v>
      </c>
    </row>
    <row r="3904" spans="1:8" hidden="1">
      <c r="A3904" s="232">
        <v>45038</v>
      </c>
      <c r="C3904" s="3" t="s">
        <v>9335</v>
      </c>
      <c r="D3904" s="278">
        <v>4603</v>
      </c>
      <c r="E3904" s="278"/>
      <c r="H3904" t="s">
        <v>1336</v>
      </c>
    </row>
    <row r="3905" spans="1:8" hidden="1">
      <c r="A3905" s="232">
        <v>45038</v>
      </c>
      <c r="C3905" s="3" t="s">
        <v>9336</v>
      </c>
      <c r="D3905" s="278">
        <v>48</v>
      </c>
      <c r="E3905" s="278"/>
      <c r="H3905" t="s">
        <v>1336</v>
      </c>
    </row>
    <row r="3906" spans="1:8" hidden="1">
      <c r="A3906" s="232">
        <v>45039</v>
      </c>
      <c r="C3906" s="3" t="s">
        <v>9337</v>
      </c>
      <c r="D3906" s="280">
        <v>750</v>
      </c>
      <c r="E3906" s="278"/>
      <c r="G3906" s="8" t="s">
        <v>1372</v>
      </c>
      <c r="H3906" t="s">
        <v>1336</v>
      </c>
    </row>
    <row r="3907" spans="1:8" hidden="1">
      <c r="A3907" s="232">
        <v>45040</v>
      </c>
      <c r="C3907" s="3" t="s">
        <v>9338</v>
      </c>
      <c r="D3907" s="280">
        <v>1000</v>
      </c>
      <c r="E3907" s="278"/>
      <c r="G3907" s="8" t="s">
        <v>1372</v>
      </c>
      <c r="H3907" t="s">
        <v>1336</v>
      </c>
    </row>
    <row r="3908" spans="1:8" hidden="1">
      <c r="A3908" s="232">
        <v>45041</v>
      </c>
      <c r="C3908" s="3" t="s">
        <v>9339</v>
      </c>
      <c r="D3908" s="278"/>
      <c r="E3908" s="278">
        <v>295410</v>
      </c>
      <c r="G3908" s="8" t="s">
        <v>1380</v>
      </c>
      <c r="H3908" t="s">
        <v>1336</v>
      </c>
    </row>
    <row r="3909" spans="1:8" hidden="1">
      <c r="A3909" s="232">
        <v>45041</v>
      </c>
      <c r="C3909" s="3" t="s">
        <v>9340</v>
      </c>
      <c r="D3909" s="278">
        <v>20000</v>
      </c>
      <c r="E3909" s="278"/>
      <c r="G3909" s="8" t="s">
        <v>1358</v>
      </c>
      <c r="H3909" t="s">
        <v>1336</v>
      </c>
    </row>
    <row r="3910" spans="1:8" hidden="1">
      <c r="A3910" s="232">
        <v>45041</v>
      </c>
      <c r="C3910" s="3" t="s">
        <v>9341</v>
      </c>
      <c r="D3910" s="280">
        <v>750</v>
      </c>
      <c r="E3910" s="278"/>
      <c r="G3910" s="8" t="s">
        <v>1372</v>
      </c>
      <c r="H3910" t="s">
        <v>1336</v>
      </c>
    </row>
    <row r="3911" spans="1:8" hidden="1">
      <c r="A3911" s="232">
        <v>45042</v>
      </c>
      <c r="C3911" s="3" t="s">
        <v>9342</v>
      </c>
      <c r="D3911" s="278">
        <v>13900</v>
      </c>
      <c r="E3911" s="278"/>
      <c r="G3911" s="8" t="s">
        <v>1379</v>
      </c>
      <c r="H3911" t="s">
        <v>1336</v>
      </c>
    </row>
    <row r="3912" spans="1:8" hidden="1">
      <c r="A3912" s="232">
        <v>45042</v>
      </c>
      <c r="C3912" s="3" t="s">
        <v>9343</v>
      </c>
      <c r="D3912" s="280">
        <v>1000</v>
      </c>
      <c r="E3912" s="278"/>
      <c r="G3912" s="8" t="s">
        <v>1372</v>
      </c>
      <c r="H3912" t="s">
        <v>1336</v>
      </c>
    </row>
    <row r="3913" spans="1:8" hidden="1">
      <c r="A3913" s="232">
        <v>45043</v>
      </c>
      <c r="C3913" s="3" t="s">
        <v>9344</v>
      </c>
      <c r="D3913" s="280">
        <v>1000</v>
      </c>
      <c r="E3913" s="278"/>
      <c r="G3913" s="8" t="s">
        <v>1372</v>
      </c>
      <c r="H3913" t="s">
        <v>1336</v>
      </c>
    </row>
    <row r="3914" spans="1:8" hidden="1">
      <c r="A3914" s="232">
        <v>45044</v>
      </c>
      <c r="C3914" s="3" t="s">
        <v>9345</v>
      </c>
      <c r="D3914" s="280">
        <v>800</v>
      </c>
      <c r="E3914" s="278"/>
      <c r="G3914" s="8" t="s">
        <v>1372</v>
      </c>
      <c r="H3914" t="s">
        <v>1336</v>
      </c>
    </row>
    <row r="3915" spans="1:8" hidden="1">
      <c r="A3915" s="232">
        <v>45044</v>
      </c>
      <c r="C3915" s="3" t="s">
        <v>9346</v>
      </c>
      <c r="D3915" s="278"/>
      <c r="E3915" s="278">
        <v>6238</v>
      </c>
      <c r="H3915" t="s">
        <v>1336</v>
      </c>
    </row>
    <row r="3916" spans="1:8" hidden="1">
      <c r="A3916" s="232">
        <v>45044</v>
      </c>
      <c r="C3916" s="3" t="s">
        <v>9347</v>
      </c>
      <c r="D3916" s="278">
        <v>199</v>
      </c>
      <c r="E3916" s="278"/>
      <c r="H3916" t="s">
        <v>1336</v>
      </c>
    </row>
    <row r="3917" spans="1:8" hidden="1">
      <c r="A3917" s="232">
        <v>45047</v>
      </c>
      <c r="C3917" s="17" t="s">
        <v>6431</v>
      </c>
      <c r="D3917" s="281">
        <v>5001</v>
      </c>
      <c r="E3917" s="281">
        <v>0</v>
      </c>
      <c r="G3917" s="8" t="s">
        <v>1379</v>
      </c>
      <c r="H3917" t="s">
        <v>1050</v>
      </c>
    </row>
    <row r="3918" spans="1:8" hidden="1">
      <c r="A3918" s="232">
        <v>45050</v>
      </c>
      <c r="C3918" s="17" t="s">
        <v>9348</v>
      </c>
      <c r="D3918" s="281">
        <v>0</v>
      </c>
      <c r="E3918" s="281">
        <v>9772.36</v>
      </c>
      <c r="G3918" s="8" t="s">
        <v>1375</v>
      </c>
      <c r="H3918" t="s">
        <v>1050</v>
      </c>
    </row>
    <row r="3919" spans="1:8" hidden="1">
      <c r="A3919" s="232">
        <v>45052</v>
      </c>
      <c r="C3919" s="17" t="s">
        <v>9349</v>
      </c>
      <c r="D3919" s="281">
        <v>0</v>
      </c>
      <c r="E3919" s="281">
        <v>66630</v>
      </c>
      <c r="H3919" t="s">
        <v>1050</v>
      </c>
    </row>
    <row r="3920" spans="1:8" hidden="1">
      <c r="A3920" s="232">
        <v>45057</v>
      </c>
      <c r="C3920" s="17" t="s">
        <v>6526</v>
      </c>
      <c r="D3920" s="281">
        <v>9495</v>
      </c>
      <c r="E3920" s="281">
        <v>0</v>
      </c>
      <c r="G3920" s="8" t="s">
        <v>1362</v>
      </c>
      <c r="H3920" t="s">
        <v>1050</v>
      </c>
    </row>
    <row r="3921" spans="1:8" hidden="1">
      <c r="A3921" s="232">
        <v>45065</v>
      </c>
      <c r="C3921" s="17" t="s">
        <v>9350</v>
      </c>
      <c r="D3921" s="281">
        <v>100</v>
      </c>
      <c r="E3921" s="281">
        <v>0</v>
      </c>
      <c r="H3921" t="s">
        <v>1050</v>
      </c>
    </row>
    <row r="3922" spans="1:8" hidden="1">
      <c r="A3922" s="232">
        <v>45065</v>
      </c>
      <c r="C3922" s="17" t="s">
        <v>9351</v>
      </c>
      <c r="D3922" s="281">
        <v>63900</v>
      </c>
      <c r="E3922" s="281">
        <v>0</v>
      </c>
      <c r="H3922" t="s">
        <v>1050</v>
      </c>
    </row>
    <row r="3923" spans="1:8" hidden="1">
      <c r="A3923" s="232">
        <v>45068</v>
      </c>
      <c r="C3923" s="17" t="s">
        <v>9352</v>
      </c>
      <c r="D3923" s="281">
        <v>41667</v>
      </c>
      <c r="E3923" s="281">
        <v>0</v>
      </c>
      <c r="G3923" s="8" t="s">
        <v>1381</v>
      </c>
      <c r="H3923" t="s">
        <v>1050</v>
      </c>
    </row>
    <row r="3924" spans="1:8" hidden="1">
      <c r="A3924" s="232">
        <v>45075</v>
      </c>
      <c r="C3924" s="17" t="s">
        <v>9353</v>
      </c>
      <c r="D3924" s="281">
        <v>25000</v>
      </c>
      <c r="E3924" s="281">
        <v>0</v>
      </c>
      <c r="G3924" s="8" t="s">
        <v>1381</v>
      </c>
      <c r="H3924" t="s">
        <v>1050</v>
      </c>
    </row>
    <row r="3925" spans="1:8" hidden="1">
      <c r="A3925" s="232">
        <v>45047</v>
      </c>
      <c r="C3925" s="3" t="s">
        <v>9354</v>
      </c>
      <c r="D3925" s="280">
        <v>1000</v>
      </c>
      <c r="E3925" s="280"/>
      <c r="G3925" s="8" t="s">
        <v>1372</v>
      </c>
      <c r="H3925" t="s">
        <v>1336</v>
      </c>
    </row>
    <row r="3926" spans="1:8" hidden="1">
      <c r="A3926" s="232">
        <v>45048</v>
      </c>
      <c r="C3926" s="3" t="s">
        <v>9355</v>
      </c>
      <c r="D3926" s="280">
        <v>1000</v>
      </c>
      <c r="E3926" s="280"/>
      <c r="G3926" s="8" t="s">
        <v>1372</v>
      </c>
      <c r="H3926" t="s">
        <v>1336</v>
      </c>
    </row>
    <row r="3927" spans="1:8" hidden="1">
      <c r="A3927" s="232">
        <v>45048</v>
      </c>
      <c r="C3927" s="3" t="s">
        <v>9356</v>
      </c>
      <c r="D3927" s="280">
        <v>1250</v>
      </c>
      <c r="E3927" s="280"/>
      <c r="G3927" s="8" t="s">
        <v>1372</v>
      </c>
      <c r="H3927" t="s">
        <v>1336</v>
      </c>
    </row>
    <row r="3928" spans="1:8" hidden="1">
      <c r="A3928" s="232">
        <v>45048</v>
      </c>
      <c r="C3928" s="3" t="s">
        <v>9357</v>
      </c>
      <c r="D3928" s="280">
        <v>1250</v>
      </c>
      <c r="E3928" s="280"/>
      <c r="G3928" s="8" t="s">
        <v>1372</v>
      </c>
      <c r="H3928" t="s">
        <v>1336</v>
      </c>
    </row>
    <row r="3929" spans="1:8" hidden="1">
      <c r="A3929" s="232">
        <v>45049</v>
      </c>
      <c r="C3929" s="3" t="s">
        <v>9358</v>
      </c>
      <c r="D3929" s="280">
        <v>1000</v>
      </c>
      <c r="E3929" s="280"/>
      <c r="G3929" s="8" t="s">
        <v>1372</v>
      </c>
      <c r="H3929" t="s">
        <v>1336</v>
      </c>
    </row>
    <row r="3930" spans="1:8" hidden="1">
      <c r="A3930" s="232">
        <v>45049</v>
      </c>
      <c r="C3930" s="3" t="s">
        <v>9359</v>
      </c>
      <c r="D3930" s="280">
        <v>775</v>
      </c>
      <c r="E3930" s="280"/>
      <c r="G3930" s="8" t="s">
        <v>1372</v>
      </c>
      <c r="H3930" t="s">
        <v>1336</v>
      </c>
    </row>
    <row r="3931" spans="1:8" hidden="1">
      <c r="A3931" s="232">
        <v>45050</v>
      </c>
      <c r="C3931" s="3" t="s">
        <v>9360</v>
      </c>
      <c r="D3931" s="280"/>
      <c r="E3931" s="280">
        <v>1766</v>
      </c>
      <c r="G3931" s="8" t="s">
        <v>1380</v>
      </c>
      <c r="H3931" t="s">
        <v>1336</v>
      </c>
    </row>
    <row r="3932" spans="1:8" hidden="1">
      <c r="A3932" s="232">
        <v>45050</v>
      </c>
      <c r="C3932" s="3" t="s">
        <v>9361</v>
      </c>
      <c r="D3932" s="280">
        <v>750</v>
      </c>
      <c r="E3932" s="280"/>
      <c r="G3932" s="8" t="s">
        <v>1372</v>
      </c>
      <c r="H3932" t="s">
        <v>1336</v>
      </c>
    </row>
    <row r="3933" spans="1:8" hidden="1">
      <c r="A3933" s="232">
        <v>45051</v>
      </c>
      <c r="C3933" s="3" t="s">
        <v>9362</v>
      </c>
      <c r="D3933" s="280">
        <v>1250</v>
      </c>
      <c r="E3933" s="280"/>
      <c r="G3933" s="8" t="s">
        <v>1372</v>
      </c>
      <c r="H3933" t="s">
        <v>1336</v>
      </c>
    </row>
    <row r="3934" spans="1:8" hidden="1">
      <c r="A3934" s="232">
        <v>45051</v>
      </c>
      <c r="C3934" s="3" t="s">
        <v>9363</v>
      </c>
      <c r="D3934" s="280">
        <v>1250</v>
      </c>
      <c r="E3934" s="280"/>
      <c r="G3934" s="8" t="s">
        <v>1372</v>
      </c>
      <c r="H3934" t="s">
        <v>1336</v>
      </c>
    </row>
    <row r="3935" spans="1:8" hidden="1">
      <c r="A3935" s="232">
        <v>45051</v>
      </c>
      <c r="C3935" s="3" t="s">
        <v>9364</v>
      </c>
      <c r="D3935" s="280">
        <v>1666</v>
      </c>
      <c r="E3935" s="280"/>
      <c r="H3935" t="s">
        <v>1336</v>
      </c>
    </row>
    <row r="3936" spans="1:8" hidden="1">
      <c r="A3936" s="232">
        <v>45052</v>
      </c>
      <c r="C3936" s="3" t="s">
        <v>6583</v>
      </c>
      <c r="D3936" s="280">
        <v>71621</v>
      </c>
      <c r="E3936" s="280"/>
      <c r="G3936" s="8" t="s">
        <v>1362</v>
      </c>
      <c r="H3936" t="s">
        <v>1336</v>
      </c>
    </row>
    <row r="3937" spans="1:8" hidden="1">
      <c r="A3937" s="232">
        <v>45052</v>
      </c>
      <c r="C3937" s="3" t="s">
        <v>9365</v>
      </c>
      <c r="D3937" s="280">
        <v>800</v>
      </c>
      <c r="E3937" s="280"/>
      <c r="G3937" s="8" t="s">
        <v>1372</v>
      </c>
      <c r="H3937" t="s">
        <v>1336</v>
      </c>
    </row>
    <row r="3938" spans="1:8" hidden="1">
      <c r="A3938" s="232">
        <v>45052</v>
      </c>
      <c r="C3938" s="3" t="s">
        <v>9366</v>
      </c>
      <c r="D3938" s="280">
        <v>1000</v>
      </c>
      <c r="E3938" s="280"/>
      <c r="G3938" s="8" t="s">
        <v>1372</v>
      </c>
      <c r="H3938" t="s">
        <v>1336</v>
      </c>
    </row>
    <row r="3939" spans="1:8" hidden="1">
      <c r="A3939" s="232">
        <v>45052</v>
      </c>
      <c r="C3939" s="3" t="s">
        <v>9367</v>
      </c>
      <c r="D3939" s="280">
        <v>5000</v>
      </c>
      <c r="E3939" s="280"/>
      <c r="H3939" t="s">
        <v>1336</v>
      </c>
    </row>
    <row r="3940" spans="1:8" hidden="1">
      <c r="A3940" s="232">
        <v>45052</v>
      </c>
      <c r="C3940" s="3" t="s">
        <v>9368</v>
      </c>
      <c r="D3940" s="280">
        <v>696</v>
      </c>
      <c r="E3940" s="280"/>
      <c r="H3940" t="s">
        <v>1336</v>
      </c>
    </row>
    <row r="3941" spans="1:8" hidden="1">
      <c r="A3941" s="232">
        <v>45053</v>
      </c>
      <c r="C3941" s="3" t="s">
        <v>9369</v>
      </c>
      <c r="D3941" s="280">
        <v>446</v>
      </c>
      <c r="E3941" s="280"/>
      <c r="H3941" t="s">
        <v>1336</v>
      </c>
    </row>
    <row r="3942" spans="1:8" hidden="1">
      <c r="A3942" s="232">
        <v>45053</v>
      </c>
      <c r="C3942" s="3" t="s">
        <v>9370</v>
      </c>
      <c r="D3942" s="280">
        <v>1000</v>
      </c>
      <c r="E3942" s="280"/>
      <c r="G3942" s="8" t="s">
        <v>1372</v>
      </c>
      <c r="H3942" t="s">
        <v>1336</v>
      </c>
    </row>
    <row r="3943" spans="1:8" hidden="1">
      <c r="A3943" s="232">
        <v>45053</v>
      </c>
      <c r="C3943" s="3" t="s">
        <v>9371</v>
      </c>
      <c r="D3943" s="280">
        <v>3183</v>
      </c>
      <c r="E3943" s="280"/>
      <c r="H3943" t="s">
        <v>1336</v>
      </c>
    </row>
    <row r="3944" spans="1:8" hidden="1">
      <c r="A3944" s="232">
        <v>45053</v>
      </c>
      <c r="C3944" s="3" t="s">
        <v>9372</v>
      </c>
      <c r="D3944" s="280">
        <v>1268.5</v>
      </c>
      <c r="E3944" s="280"/>
      <c r="H3944" t="s">
        <v>1336</v>
      </c>
    </row>
    <row r="3945" spans="1:8" hidden="1">
      <c r="A3945" s="232">
        <v>45054</v>
      </c>
      <c r="C3945" s="3" t="s">
        <v>9373</v>
      </c>
      <c r="D3945" s="280">
        <v>1000</v>
      </c>
      <c r="E3945" s="280"/>
      <c r="G3945" s="8" t="s">
        <v>1372</v>
      </c>
      <c r="H3945" t="s">
        <v>1336</v>
      </c>
    </row>
    <row r="3946" spans="1:8" hidden="1">
      <c r="A3946" s="232">
        <v>45054</v>
      </c>
      <c r="C3946" s="3" t="s">
        <v>9374</v>
      </c>
      <c r="D3946" s="280">
        <v>775</v>
      </c>
      <c r="E3946" s="280"/>
      <c r="G3946" s="8" t="s">
        <v>1372</v>
      </c>
      <c r="H3946" t="s">
        <v>1336</v>
      </c>
    </row>
    <row r="3947" spans="1:8" hidden="1">
      <c r="A3947" s="232">
        <v>45055</v>
      </c>
      <c r="C3947" s="3" t="s">
        <v>9375</v>
      </c>
      <c r="D3947" s="280">
        <v>442</v>
      </c>
      <c r="E3947" s="280"/>
      <c r="H3947" t="s">
        <v>1336</v>
      </c>
    </row>
    <row r="3948" spans="1:8" hidden="1">
      <c r="A3948" s="232">
        <v>45055</v>
      </c>
      <c r="C3948" s="3" t="s">
        <v>9376</v>
      </c>
      <c r="D3948" s="280">
        <v>1000</v>
      </c>
      <c r="E3948" s="280"/>
      <c r="G3948" s="8" t="s">
        <v>1372</v>
      </c>
      <c r="H3948" t="s">
        <v>1336</v>
      </c>
    </row>
    <row r="3949" spans="1:8" hidden="1">
      <c r="A3949" s="232">
        <v>45055</v>
      </c>
      <c r="C3949" s="3" t="s">
        <v>9377</v>
      </c>
      <c r="D3949" s="280">
        <v>750</v>
      </c>
      <c r="E3949" s="280"/>
      <c r="G3949" s="8" t="s">
        <v>1372</v>
      </c>
      <c r="H3949" t="s">
        <v>1336</v>
      </c>
    </row>
    <row r="3950" spans="1:8" hidden="1">
      <c r="A3950" s="232">
        <v>45055</v>
      </c>
      <c r="C3950" s="3" t="s">
        <v>9378</v>
      </c>
      <c r="D3950" s="280">
        <v>750</v>
      </c>
      <c r="E3950" s="280"/>
      <c r="G3950" s="8" t="s">
        <v>1372</v>
      </c>
      <c r="H3950" t="s">
        <v>1336</v>
      </c>
    </row>
    <row r="3951" spans="1:8" hidden="1">
      <c r="A3951" s="232">
        <v>45056</v>
      </c>
      <c r="C3951" s="3" t="s">
        <v>9379</v>
      </c>
      <c r="D3951" s="280">
        <v>1250</v>
      </c>
      <c r="E3951" s="280"/>
      <c r="G3951" s="8" t="s">
        <v>1372</v>
      </c>
      <c r="H3951" t="s">
        <v>1336</v>
      </c>
    </row>
    <row r="3952" spans="1:8" hidden="1">
      <c r="A3952" s="232">
        <v>45056</v>
      </c>
      <c r="C3952" s="3" t="s">
        <v>9380</v>
      </c>
      <c r="D3952" s="280">
        <v>984.12</v>
      </c>
      <c r="E3952" s="280"/>
      <c r="H3952" t="s">
        <v>1336</v>
      </c>
    </row>
    <row r="3953" spans="1:8" hidden="1">
      <c r="A3953" s="232">
        <v>45056</v>
      </c>
      <c r="C3953" s="3" t="s">
        <v>9381</v>
      </c>
      <c r="D3953" s="280"/>
      <c r="E3953" s="280">
        <v>328</v>
      </c>
      <c r="H3953" t="s">
        <v>1336</v>
      </c>
    </row>
    <row r="3954" spans="1:8" hidden="1">
      <c r="A3954" s="232">
        <v>45057</v>
      </c>
      <c r="C3954" s="3" t="s">
        <v>9382</v>
      </c>
      <c r="D3954" s="280">
        <v>656</v>
      </c>
      <c r="E3954" s="280"/>
      <c r="H3954" t="s">
        <v>1336</v>
      </c>
    </row>
    <row r="3955" spans="1:8" hidden="1">
      <c r="A3955" s="232">
        <v>45057</v>
      </c>
      <c r="C3955" s="3" t="s">
        <v>9383</v>
      </c>
      <c r="D3955" s="280">
        <v>138</v>
      </c>
      <c r="E3955" s="280"/>
      <c r="H3955" t="s">
        <v>1336</v>
      </c>
    </row>
    <row r="3956" spans="1:8" hidden="1">
      <c r="A3956" s="232">
        <v>45057</v>
      </c>
      <c r="C3956" s="3" t="s">
        <v>9384</v>
      </c>
      <c r="D3956" s="280">
        <v>1250</v>
      </c>
      <c r="E3956" s="280"/>
      <c r="G3956" s="8" t="s">
        <v>1372</v>
      </c>
      <c r="H3956" t="s">
        <v>1336</v>
      </c>
    </row>
    <row r="3957" spans="1:8" hidden="1">
      <c r="A3957" s="232">
        <v>45057</v>
      </c>
      <c r="C3957" s="3" t="s">
        <v>9385</v>
      </c>
      <c r="D3957" s="280">
        <v>333</v>
      </c>
      <c r="E3957" s="280"/>
      <c r="H3957" t="s">
        <v>1336</v>
      </c>
    </row>
    <row r="3958" spans="1:8" hidden="1">
      <c r="A3958" s="232">
        <v>45058</v>
      </c>
      <c r="C3958" s="3" t="s">
        <v>9386</v>
      </c>
      <c r="D3958" s="280">
        <v>1000</v>
      </c>
      <c r="E3958" s="280"/>
      <c r="G3958" s="8" t="s">
        <v>1372</v>
      </c>
      <c r="H3958" t="s">
        <v>1336</v>
      </c>
    </row>
    <row r="3959" spans="1:8" hidden="1">
      <c r="A3959" s="232">
        <v>45058</v>
      </c>
      <c r="C3959" s="3" t="s">
        <v>9387</v>
      </c>
      <c r="D3959" s="280">
        <v>479</v>
      </c>
      <c r="E3959" s="280"/>
      <c r="H3959" t="s">
        <v>1336</v>
      </c>
    </row>
    <row r="3960" spans="1:8" hidden="1">
      <c r="A3960" s="232">
        <v>45059</v>
      </c>
      <c r="C3960" s="3" t="s">
        <v>9388</v>
      </c>
      <c r="D3960" s="280">
        <v>775</v>
      </c>
      <c r="E3960" s="280"/>
      <c r="G3960" s="8" t="s">
        <v>1372</v>
      </c>
      <c r="H3960" t="s">
        <v>1336</v>
      </c>
    </row>
    <row r="3961" spans="1:8" hidden="1">
      <c r="A3961" s="232">
        <v>45059</v>
      </c>
      <c r="C3961" s="3" t="s">
        <v>9389</v>
      </c>
      <c r="D3961" s="280">
        <v>1000</v>
      </c>
      <c r="E3961" s="280"/>
      <c r="G3961" s="8" t="s">
        <v>1372</v>
      </c>
      <c r="H3961" t="s">
        <v>1336</v>
      </c>
    </row>
    <row r="3962" spans="1:8" hidden="1">
      <c r="A3962" s="232">
        <v>45059</v>
      </c>
      <c r="C3962" s="3" t="s">
        <v>9390</v>
      </c>
      <c r="D3962" s="280">
        <v>1980</v>
      </c>
      <c r="E3962" s="280"/>
      <c r="H3962" t="s">
        <v>1336</v>
      </c>
    </row>
    <row r="3963" spans="1:8" hidden="1">
      <c r="A3963" s="232">
        <v>45060</v>
      </c>
      <c r="C3963" s="3" t="s">
        <v>9391</v>
      </c>
      <c r="D3963" s="280">
        <v>800</v>
      </c>
      <c r="E3963" s="280"/>
      <c r="G3963" s="8" t="s">
        <v>1372</v>
      </c>
      <c r="H3963" t="s">
        <v>1336</v>
      </c>
    </row>
    <row r="3964" spans="1:8" hidden="1">
      <c r="A3964" s="232">
        <v>45060</v>
      </c>
      <c r="C3964" s="3" t="s">
        <v>9392</v>
      </c>
      <c r="D3964" s="280">
        <v>1000</v>
      </c>
      <c r="E3964" s="280"/>
      <c r="G3964" s="8" t="s">
        <v>1372</v>
      </c>
      <c r="H3964" t="s">
        <v>1336</v>
      </c>
    </row>
    <row r="3965" spans="1:8" hidden="1">
      <c r="A3965" s="232">
        <v>45060</v>
      </c>
      <c r="C3965" s="3" t="s">
        <v>9393</v>
      </c>
      <c r="D3965" s="280">
        <v>1500</v>
      </c>
      <c r="E3965" s="280"/>
      <c r="H3965" t="s">
        <v>1336</v>
      </c>
    </row>
    <row r="3966" spans="1:8" hidden="1">
      <c r="A3966" s="232">
        <v>45060</v>
      </c>
      <c r="C3966" s="3" t="s">
        <v>9394</v>
      </c>
      <c r="D3966" s="280">
        <v>153</v>
      </c>
      <c r="E3966" s="280"/>
      <c r="H3966" t="s">
        <v>1336</v>
      </c>
    </row>
    <row r="3967" spans="1:8" hidden="1">
      <c r="A3967" s="232">
        <v>45060</v>
      </c>
      <c r="C3967" s="3" t="s">
        <v>9395</v>
      </c>
      <c r="D3967" s="280"/>
      <c r="E3967" s="280">
        <v>450</v>
      </c>
      <c r="H3967" t="s">
        <v>1336</v>
      </c>
    </row>
    <row r="3968" spans="1:8" hidden="1">
      <c r="A3968" s="232">
        <v>45060</v>
      </c>
      <c r="C3968" s="3" t="s">
        <v>9396</v>
      </c>
      <c r="D3968" s="280"/>
      <c r="E3968" s="280">
        <v>3</v>
      </c>
      <c r="H3968" t="s">
        <v>1336</v>
      </c>
    </row>
    <row r="3969" spans="1:8" hidden="1">
      <c r="A3969" s="232">
        <v>45060</v>
      </c>
      <c r="C3969" s="3" t="s">
        <v>9397</v>
      </c>
      <c r="D3969" s="280">
        <v>122</v>
      </c>
      <c r="E3969" s="280"/>
      <c r="H3969" t="s">
        <v>1336</v>
      </c>
    </row>
    <row r="3970" spans="1:8" hidden="1">
      <c r="A3970" s="232">
        <v>45060</v>
      </c>
      <c r="C3970" s="3" t="s">
        <v>9398</v>
      </c>
      <c r="D3970" s="280">
        <v>1000</v>
      </c>
      <c r="E3970" s="280"/>
      <c r="H3970" t="s">
        <v>1336</v>
      </c>
    </row>
    <row r="3971" spans="1:8" hidden="1">
      <c r="A3971" s="232">
        <v>45061</v>
      </c>
      <c r="C3971" s="3" t="s">
        <v>9399</v>
      </c>
      <c r="D3971" s="280">
        <v>1000</v>
      </c>
      <c r="E3971" s="280"/>
      <c r="H3971" t="s">
        <v>1336</v>
      </c>
    </row>
    <row r="3972" spans="1:8" hidden="1">
      <c r="A3972" s="232">
        <v>45061</v>
      </c>
      <c r="C3972" s="3" t="s">
        <v>9400</v>
      </c>
      <c r="D3972" s="280">
        <v>70.98</v>
      </c>
      <c r="E3972" s="280"/>
      <c r="H3972" t="s">
        <v>1336</v>
      </c>
    </row>
    <row r="3973" spans="1:8" hidden="1">
      <c r="A3973" s="232">
        <v>45061</v>
      </c>
      <c r="C3973" s="3" t="s">
        <v>9401</v>
      </c>
      <c r="D3973" s="280">
        <v>1250</v>
      </c>
      <c r="E3973" s="280"/>
      <c r="G3973" s="8" t="s">
        <v>1372</v>
      </c>
      <c r="H3973" t="s">
        <v>1336</v>
      </c>
    </row>
    <row r="3974" spans="1:8" hidden="1">
      <c r="A3974" s="232">
        <v>45061</v>
      </c>
      <c r="C3974" s="3" t="s">
        <v>9402</v>
      </c>
      <c r="D3974" s="280">
        <v>1250</v>
      </c>
      <c r="E3974" s="280"/>
      <c r="G3974" s="8" t="s">
        <v>1372</v>
      </c>
      <c r="H3974" t="s">
        <v>1336</v>
      </c>
    </row>
    <row r="3975" spans="1:8" hidden="1">
      <c r="A3975" s="232">
        <v>45061</v>
      </c>
      <c r="C3975" s="3" t="s">
        <v>9403</v>
      </c>
      <c r="D3975" s="280">
        <v>750</v>
      </c>
      <c r="E3975" s="280"/>
      <c r="G3975" s="8" t="s">
        <v>1372</v>
      </c>
      <c r="H3975" t="s">
        <v>1336</v>
      </c>
    </row>
    <row r="3976" spans="1:8" hidden="1">
      <c r="A3976" s="232">
        <v>45062</v>
      </c>
      <c r="C3976" s="3" t="s">
        <v>9404</v>
      </c>
      <c r="D3976" s="280">
        <v>1000</v>
      </c>
      <c r="E3976" s="280"/>
      <c r="G3976" s="8" t="s">
        <v>1372</v>
      </c>
      <c r="H3976" t="s">
        <v>1336</v>
      </c>
    </row>
    <row r="3977" spans="1:8" hidden="1">
      <c r="A3977" s="232">
        <v>45063</v>
      </c>
      <c r="C3977" s="3" t="s">
        <v>9405</v>
      </c>
      <c r="D3977" s="280">
        <v>750</v>
      </c>
      <c r="E3977" s="280"/>
      <c r="G3977" s="8" t="s">
        <v>1372</v>
      </c>
      <c r="H3977" t="s">
        <v>1336</v>
      </c>
    </row>
    <row r="3978" spans="1:8" hidden="1">
      <c r="A3978" s="232">
        <v>45064</v>
      </c>
      <c r="C3978" s="3" t="s">
        <v>9406</v>
      </c>
      <c r="D3978" s="280">
        <v>1000</v>
      </c>
      <c r="E3978" s="280"/>
      <c r="G3978" s="8" t="s">
        <v>1372</v>
      </c>
      <c r="H3978" t="s">
        <v>1336</v>
      </c>
    </row>
    <row r="3979" spans="1:8" hidden="1">
      <c r="A3979" s="232">
        <v>45064</v>
      </c>
      <c r="C3979" s="3" t="s">
        <v>9407</v>
      </c>
      <c r="D3979" s="280">
        <v>3000</v>
      </c>
      <c r="E3979" s="280"/>
      <c r="H3979" t="s">
        <v>1336</v>
      </c>
    </row>
    <row r="3980" spans="1:8" hidden="1">
      <c r="A3980" s="232">
        <v>45064</v>
      </c>
      <c r="C3980" s="3" t="s">
        <v>9408</v>
      </c>
      <c r="D3980" s="280">
        <v>940</v>
      </c>
      <c r="E3980" s="280"/>
      <c r="H3980" t="s">
        <v>1336</v>
      </c>
    </row>
    <row r="3981" spans="1:8" hidden="1">
      <c r="A3981" s="232">
        <v>45065</v>
      </c>
      <c r="C3981" s="3" t="s">
        <v>9409</v>
      </c>
      <c r="D3981" s="280">
        <v>750</v>
      </c>
      <c r="E3981" s="280"/>
      <c r="G3981" s="8" t="s">
        <v>1372</v>
      </c>
      <c r="H3981" t="s">
        <v>1336</v>
      </c>
    </row>
    <row r="3982" spans="1:8" hidden="1">
      <c r="A3982" s="232">
        <v>45065</v>
      </c>
      <c r="C3982" s="3" t="s">
        <v>9410</v>
      </c>
      <c r="D3982" s="280">
        <v>1000</v>
      </c>
      <c r="E3982" s="280"/>
      <c r="G3982" s="8" t="s">
        <v>1372</v>
      </c>
      <c r="H3982" t="s">
        <v>1336</v>
      </c>
    </row>
    <row r="3983" spans="1:8" hidden="1">
      <c r="A3983" s="232">
        <v>45065</v>
      </c>
      <c r="C3983" s="3" t="s">
        <v>9411</v>
      </c>
      <c r="D3983" s="280">
        <v>253</v>
      </c>
      <c r="E3983" s="280"/>
      <c r="H3983" t="s">
        <v>1336</v>
      </c>
    </row>
    <row r="3984" spans="1:8" hidden="1">
      <c r="A3984" s="232">
        <v>45065</v>
      </c>
      <c r="C3984" s="3" t="s">
        <v>9412</v>
      </c>
      <c r="D3984" s="280">
        <v>1500</v>
      </c>
      <c r="E3984" s="280"/>
      <c r="H3984" t="s">
        <v>1336</v>
      </c>
    </row>
    <row r="3985" spans="1:8" hidden="1">
      <c r="A3985" s="232">
        <v>45066</v>
      </c>
      <c r="C3985" s="3" t="s">
        <v>9413</v>
      </c>
      <c r="D3985" s="280">
        <v>775</v>
      </c>
      <c r="E3985" s="280"/>
      <c r="G3985" s="8" t="s">
        <v>1372</v>
      </c>
      <c r="H3985" t="s">
        <v>1336</v>
      </c>
    </row>
    <row r="3986" spans="1:8" hidden="1">
      <c r="A3986" s="232">
        <v>45067</v>
      </c>
      <c r="C3986" s="3" t="s">
        <v>9414</v>
      </c>
      <c r="D3986" s="280">
        <v>1000</v>
      </c>
      <c r="E3986" s="280"/>
      <c r="G3986" s="8" t="s">
        <v>1372</v>
      </c>
      <c r="H3986" t="s">
        <v>1336</v>
      </c>
    </row>
    <row r="3987" spans="1:8" hidden="1">
      <c r="A3987" s="232">
        <v>45067</v>
      </c>
      <c r="C3987" s="3" t="s">
        <v>9415</v>
      </c>
      <c r="D3987" s="280">
        <v>1000</v>
      </c>
      <c r="E3987" s="280"/>
      <c r="G3987" s="8" t="s">
        <v>1372</v>
      </c>
      <c r="H3987" t="s">
        <v>1336</v>
      </c>
    </row>
    <row r="3988" spans="1:8" hidden="1">
      <c r="A3988" s="232">
        <v>45067</v>
      </c>
      <c r="C3988" s="3" t="s">
        <v>9416</v>
      </c>
      <c r="D3988" s="280">
        <v>1683.27</v>
      </c>
      <c r="E3988" s="280"/>
      <c r="H3988" t="s">
        <v>1336</v>
      </c>
    </row>
    <row r="3989" spans="1:8" hidden="1">
      <c r="A3989" s="232">
        <v>45067</v>
      </c>
      <c r="C3989" s="3" t="s">
        <v>9417</v>
      </c>
      <c r="D3989" s="280"/>
      <c r="E3989" s="280">
        <v>26848</v>
      </c>
      <c r="H3989" t="s">
        <v>1336</v>
      </c>
    </row>
    <row r="3990" spans="1:8" hidden="1">
      <c r="A3990" s="232">
        <v>45068</v>
      </c>
      <c r="C3990" s="3" t="s">
        <v>9418</v>
      </c>
      <c r="D3990" s="280">
        <v>750</v>
      </c>
      <c r="E3990" s="280"/>
      <c r="G3990" s="8" t="s">
        <v>1372</v>
      </c>
      <c r="H3990" t="s">
        <v>1336</v>
      </c>
    </row>
    <row r="3991" spans="1:8" hidden="1">
      <c r="A3991" s="232">
        <v>45068</v>
      </c>
      <c r="C3991" s="3" t="s">
        <v>9419</v>
      </c>
      <c r="D3991" s="280">
        <v>750</v>
      </c>
      <c r="E3991" s="280"/>
      <c r="G3991" s="8" t="s">
        <v>1372</v>
      </c>
      <c r="H3991" t="s">
        <v>1336</v>
      </c>
    </row>
    <row r="3992" spans="1:8" hidden="1">
      <c r="A3992" s="232">
        <v>45068</v>
      </c>
      <c r="C3992" s="3" t="s">
        <v>9420</v>
      </c>
      <c r="D3992" s="280">
        <v>7487</v>
      </c>
      <c r="E3992" s="280"/>
      <c r="H3992" t="s">
        <v>1336</v>
      </c>
    </row>
    <row r="3993" spans="1:8" hidden="1">
      <c r="A3993" s="232">
        <v>45068</v>
      </c>
      <c r="C3993" s="3" t="s">
        <v>9421</v>
      </c>
      <c r="D3993" s="280"/>
      <c r="E3993" s="280">
        <v>850</v>
      </c>
      <c r="H3993" t="s">
        <v>1336</v>
      </c>
    </row>
    <row r="3994" spans="1:8" hidden="1">
      <c r="A3994" s="232">
        <v>45068</v>
      </c>
      <c r="C3994" s="3" t="s">
        <v>9422</v>
      </c>
      <c r="D3994" s="280"/>
      <c r="E3994" s="280">
        <v>360</v>
      </c>
      <c r="H3994" t="s">
        <v>1336</v>
      </c>
    </row>
    <row r="3995" spans="1:8" hidden="1">
      <c r="A3995" s="232">
        <v>45068</v>
      </c>
      <c r="C3995" s="3" t="s">
        <v>9423</v>
      </c>
      <c r="D3995" s="280">
        <v>2211</v>
      </c>
      <c r="E3995" s="280"/>
      <c r="H3995" t="s">
        <v>1336</v>
      </c>
    </row>
    <row r="3996" spans="1:8" hidden="1">
      <c r="A3996" s="232">
        <v>45069</v>
      </c>
      <c r="C3996" s="3" t="s">
        <v>9424</v>
      </c>
      <c r="D3996" s="280">
        <v>750</v>
      </c>
      <c r="E3996" s="280"/>
      <c r="G3996" s="8" t="s">
        <v>1372</v>
      </c>
      <c r="H3996" t="s">
        <v>1336</v>
      </c>
    </row>
    <row r="3997" spans="1:8" hidden="1">
      <c r="A3997" s="232">
        <v>45069</v>
      </c>
      <c r="C3997" s="3" t="s">
        <v>9425</v>
      </c>
      <c r="D3997" s="280">
        <v>409847.28</v>
      </c>
      <c r="E3997" s="280"/>
      <c r="G3997" s="8" t="s">
        <v>1370</v>
      </c>
      <c r="H3997" t="s">
        <v>1336</v>
      </c>
    </row>
    <row r="3998" spans="1:8" hidden="1">
      <c r="A3998" s="232">
        <v>45070</v>
      </c>
      <c r="C3998" s="3" t="s">
        <v>9426</v>
      </c>
      <c r="D3998" s="280">
        <v>1000</v>
      </c>
      <c r="E3998" s="280"/>
      <c r="G3998" s="8" t="s">
        <v>1372</v>
      </c>
      <c r="H3998" t="s">
        <v>1336</v>
      </c>
    </row>
    <row r="3999" spans="1:8" hidden="1">
      <c r="A3999" s="232">
        <v>45070</v>
      </c>
      <c r="C3999" s="3" t="s">
        <v>9427</v>
      </c>
      <c r="D3999" s="280">
        <v>636.08000000000004</v>
      </c>
      <c r="E3999" s="280"/>
      <c r="H3999" t="s">
        <v>1336</v>
      </c>
    </row>
    <row r="4000" spans="1:8" hidden="1">
      <c r="A4000" s="232">
        <v>45070</v>
      </c>
      <c r="C4000" s="3" t="s">
        <v>9428</v>
      </c>
      <c r="D4000" s="280">
        <v>413</v>
      </c>
      <c r="E4000" s="280"/>
      <c r="H4000" t="s">
        <v>1336</v>
      </c>
    </row>
    <row r="4001" spans="1:8" hidden="1">
      <c r="A4001" s="232">
        <v>45070</v>
      </c>
      <c r="C4001" s="3" t="s">
        <v>9429</v>
      </c>
      <c r="D4001" s="280">
        <v>1100</v>
      </c>
      <c r="E4001" s="280"/>
      <c r="H4001" t="s">
        <v>1336</v>
      </c>
    </row>
    <row r="4002" spans="1:8" hidden="1">
      <c r="A4002" s="232">
        <v>45071</v>
      </c>
      <c r="C4002" s="3" t="s">
        <v>9430</v>
      </c>
      <c r="D4002" s="280">
        <v>534</v>
      </c>
      <c r="E4002" s="280"/>
      <c r="H4002" t="s">
        <v>1336</v>
      </c>
    </row>
    <row r="4003" spans="1:8" hidden="1">
      <c r="A4003" s="232">
        <v>45071</v>
      </c>
      <c r="C4003" s="3" t="s">
        <v>9431</v>
      </c>
      <c r="D4003" s="280">
        <v>750</v>
      </c>
      <c r="E4003" s="280"/>
      <c r="G4003" s="8" t="s">
        <v>1372</v>
      </c>
      <c r="H4003" t="s">
        <v>1336</v>
      </c>
    </row>
    <row r="4004" spans="1:8" hidden="1">
      <c r="A4004" s="232">
        <v>45071</v>
      </c>
      <c r="C4004" s="3" t="s">
        <v>9432</v>
      </c>
      <c r="D4004" s="280"/>
      <c r="E4004" s="280">
        <v>292783</v>
      </c>
      <c r="G4004" s="8" t="s">
        <v>1380</v>
      </c>
      <c r="H4004" t="s">
        <v>1336</v>
      </c>
    </row>
    <row r="4005" spans="1:8" hidden="1">
      <c r="A4005" s="232">
        <v>45071</v>
      </c>
      <c r="C4005" s="3" t="s">
        <v>9433</v>
      </c>
      <c r="D4005" s="280">
        <v>13900</v>
      </c>
      <c r="E4005" s="280"/>
      <c r="G4005" s="8" t="s">
        <v>1379</v>
      </c>
      <c r="H4005" t="s">
        <v>1336</v>
      </c>
    </row>
    <row r="4006" spans="1:8" hidden="1">
      <c r="A4006" s="232">
        <v>45072</v>
      </c>
      <c r="C4006" s="3" t="s">
        <v>9434</v>
      </c>
      <c r="D4006" s="280">
        <v>25000</v>
      </c>
      <c r="E4006" s="280"/>
      <c r="G4006" s="8" t="s">
        <v>1358</v>
      </c>
      <c r="H4006" t="s">
        <v>1336</v>
      </c>
    </row>
    <row r="4007" spans="1:8" hidden="1">
      <c r="A4007" s="232">
        <v>45072</v>
      </c>
      <c r="C4007" s="3" t="s">
        <v>9435</v>
      </c>
      <c r="D4007" s="280">
        <v>1000</v>
      </c>
      <c r="E4007" s="280"/>
      <c r="G4007" s="8" t="s">
        <v>1372</v>
      </c>
      <c r="H4007" t="s">
        <v>1336</v>
      </c>
    </row>
    <row r="4008" spans="1:8" hidden="1">
      <c r="A4008" s="232">
        <v>45073</v>
      </c>
      <c r="C4008" s="3" t="s">
        <v>9436</v>
      </c>
      <c r="D4008" s="280">
        <v>1000</v>
      </c>
      <c r="E4008" s="280"/>
      <c r="G4008" s="8" t="s">
        <v>1372</v>
      </c>
      <c r="H4008" t="s">
        <v>1336</v>
      </c>
    </row>
    <row r="4009" spans="1:8" hidden="1">
      <c r="A4009" s="232">
        <v>45073</v>
      </c>
      <c r="C4009" s="3" t="s">
        <v>9437</v>
      </c>
      <c r="D4009" s="280">
        <v>217</v>
      </c>
      <c r="E4009" s="280"/>
      <c r="H4009" t="s">
        <v>1336</v>
      </c>
    </row>
    <row r="4010" spans="1:8" hidden="1">
      <c r="A4010" s="232">
        <v>45074</v>
      </c>
      <c r="C4010" s="3" t="s">
        <v>9438</v>
      </c>
      <c r="D4010" s="280">
        <v>1000</v>
      </c>
      <c r="E4010" s="280"/>
      <c r="H4010" t="s">
        <v>1336</v>
      </c>
    </row>
    <row r="4011" spans="1:8" hidden="1">
      <c r="A4011" s="232">
        <v>45074</v>
      </c>
      <c r="C4011" s="3" t="s">
        <v>9439</v>
      </c>
      <c r="D4011" s="280">
        <v>800</v>
      </c>
      <c r="E4011" s="280"/>
      <c r="G4011" s="8" t="s">
        <v>1372</v>
      </c>
      <c r="H4011" t="s">
        <v>1336</v>
      </c>
    </row>
    <row r="4012" spans="1:8" hidden="1">
      <c r="A4012" s="232">
        <v>45074</v>
      </c>
      <c r="C4012" s="3" t="s">
        <v>9440</v>
      </c>
      <c r="D4012" s="280">
        <v>858</v>
      </c>
      <c r="E4012" s="280"/>
      <c r="H4012" t="s">
        <v>1336</v>
      </c>
    </row>
    <row r="4013" spans="1:8" hidden="1">
      <c r="A4013" s="232">
        <v>45074</v>
      </c>
      <c r="C4013" s="3" t="s">
        <v>9441</v>
      </c>
      <c r="D4013" s="280">
        <v>199</v>
      </c>
      <c r="E4013" s="280"/>
      <c r="H4013" t="s">
        <v>1336</v>
      </c>
    </row>
    <row r="4014" spans="1:8" hidden="1">
      <c r="A4014" s="232">
        <v>45075</v>
      </c>
      <c r="C4014" s="3" t="s">
        <v>9442</v>
      </c>
      <c r="D4014" s="280">
        <v>800</v>
      </c>
      <c r="E4014" s="280"/>
      <c r="H4014" t="s">
        <v>1336</v>
      </c>
    </row>
    <row r="4015" spans="1:8" hidden="1">
      <c r="A4015" s="232">
        <v>45076</v>
      </c>
      <c r="C4015" s="3" t="s">
        <v>9443</v>
      </c>
      <c r="D4015" s="280">
        <v>5036.24</v>
      </c>
      <c r="E4015" s="280"/>
      <c r="H4015" t="s">
        <v>1336</v>
      </c>
    </row>
    <row r="4016" spans="1:8" hidden="1">
      <c r="A4016" s="232">
        <v>45076</v>
      </c>
      <c r="C4016" s="3" t="s">
        <v>9444</v>
      </c>
      <c r="D4016" s="280">
        <v>329</v>
      </c>
      <c r="E4016" s="280"/>
      <c r="H4016" t="s">
        <v>1336</v>
      </c>
    </row>
    <row r="4017" spans="1:8" hidden="1">
      <c r="A4017" s="232">
        <v>45078</v>
      </c>
      <c r="C4017" s="284" t="s">
        <v>9445</v>
      </c>
      <c r="D4017" s="283">
        <v>1000</v>
      </c>
      <c r="E4017" s="283"/>
      <c r="G4017" s="8" t="s">
        <v>1372</v>
      </c>
      <c r="H4017" t="s">
        <v>1336</v>
      </c>
    </row>
    <row r="4018" spans="1:8" hidden="1">
      <c r="A4018" s="232">
        <v>45078</v>
      </c>
      <c r="C4018" s="284" t="s">
        <v>9446</v>
      </c>
      <c r="D4018" s="283">
        <v>1250</v>
      </c>
      <c r="E4018" s="283"/>
      <c r="G4018" s="8" t="s">
        <v>1372</v>
      </c>
      <c r="H4018" t="s">
        <v>1336</v>
      </c>
    </row>
    <row r="4019" spans="1:8" hidden="1">
      <c r="A4019" s="232">
        <v>45078</v>
      </c>
      <c r="C4019" s="284" t="s">
        <v>9447</v>
      </c>
      <c r="D4019" s="283">
        <v>429</v>
      </c>
      <c r="E4019" s="283"/>
      <c r="H4019" t="s">
        <v>1336</v>
      </c>
    </row>
    <row r="4020" spans="1:8" hidden="1">
      <c r="A4020" s="232">
        <v>45079</v>
      </c>
      <c r="C4020" s="284" t="s">
        <v>9448</v>
      </c>
      <c r="D4020" s="283">
        <v>1000</v>
      </c>
      <c r="E4020" s="283"/>
      <c r="G4020" s="8" t="s">
        <v>1372</v>
      </c>
      <c r="H4020" t="s">
        <v>1336</v>
      </c>
    </row>
    <row r="4021" spans="1:8" hidden="1">
      <c r="A4021" s="232">
        <v>45079</v>
      </c>
      <c r="C4021" s="284" t="s">
        <v>9449</v>
      </c>
      <c r="D4021" s="283">
        <v>1250</v>
      </c>
      <c r="E4021" s="283"/>
      <c r="G4021" s="8" t="s">
        <v>1372</v>
      </c>
      <c r="H4021" t="s">
        <v>1336</v>
      </c>
    </row>
    <row r="4022" spans="1:8" hidden="1">
      <c r="A4022" s="232">
        <v>45080</v>
      </c>
      <c r="C4022" s="284" t="s">
        <v>9450</v>
      </c>
      <c r="D4022" s="283">
        <v>6399</v>
      </c>
      <c r="E4022" s="283"/>
      <c r="H4022" t="s">
        <v>1336</v>
      </c>
    </row>
    <row r="4023" spans="1:8" hidden="1">
      <c r="A4023" s="232">
        <v>45080</v>
      </c>
      <c r="C4023" s="284" t="s">
        <v>9451</v>
      </c>
      <c r="D4023" s="283"/>
      <c r="E4023" s="283">
        <v>4</v>
      </c>
      <c r="H4023" t="s">
        <v>1336</v>
      </c>
    </row>
    <row r="4024" spans="1:8" hidden="1">
      <c r="A4024" s="232">
        <v>45080</v>
      </c>
      <c r="C4024" s="284" t="s">
        <v>9452</v>
      </c>
      <c r="D4024" s="283">
        <v>1290</v>
      </c>
      <c r="E4024" s="283"/>
      <c r="H4024" t="s">
        <v>1336</v>
      </c>
    </row>
    <row r="4025" spans="1:8" hidden="1">
      <c r="A4025" s="232">
        <v>45081</v>
      </c>
      <c r="C4025" s="284" t="s">
        <v>9453</v>
      </c>
      <c r="D4025" s="283">
        <v>750</v>
      </c>
      <c r="E4025" s="283"/>
      <c r="G4025" s="8" t="s">
        <v>1372</v>
      </c>
      <c r="H4025" t="s">
        <v>1336</v>
      </c>
    </row>
    <row r="4026" spans="1:8" hidden="1">
      <c r="A4026" s="232">
        <v>45081</v>
      </c>
      <c r="C4026" s="284" t="s">
        <v>9454</v>
      </c>
      <c r="D4026" s="283">
        <v>120</v>
      </c>
      <c r="E4026" s="283"/>
      <c r="H4026" t="s">
        <v>1336</v>
      </c>
    </row>
    <row r="4027" spans="1:8" hidden="1">
      <c r="A4027" s="232">
        <v>45081</v>
      </c>
      <c r="C4027" s="284" t="s">
        <v>9455</v>
      </c>
      <c r="D4027" s="283">
        <v>999</v>
      </c>
      <c r="E4027" s="283"/>
      <c r="H4027" t="s">
        <v>1336</v>
      </c>
    </row>
    <row r="4028" spans="1:8" hidden="1">
      <c r="A4028" s="232">
        <v>45081</v>
      </c>
      <c r="C4028" s="284" t="s">
        <v>9456</v>
      </c>
      <c r="D4028" s="283">
        <v>5000</v>
      </c>
      <c r="E4028" s="283"/>
      <c r="H4028" t="s">
        <v>1336</v>
      </c>
    </row>
    <row r="4029" spans="1:8" hidden="1">
      <c r="A4029" s="232">
        <v>45082</v>
      </c>
      <c r="C4029" s="284" t="s">
        <v>6583</v>
      </c>
      <c r="D4029" s="283">
        <v>53766</v>
      </c>
      <c r="E4029" s="283"/>
      <c r="G4029" s="8" t="s">
        <v>1362</v>
      </c>
      <c r="H4029" t="s">
        <v>1336</v>
      </c>
    </row>
    <row r="4030" spans="1:8" hidden="1">
      <c r="A4030" s="232">
        <v>45082</v>
      </c>
      <c r="C4030" s="284" t="s">
        <v>9457</v>
      </c>
      <c r="D4030" s="283">
        <v>1250</v>
      </c>
      <c r="E4030" s="283"/>
      <c r="G4030" s="8" t="s">
        <v>1372</v>
      </c>
      <c r="H4030" t="s">
        <v>1336</v>
      </c>
    </row>
    <row r="4031" spans="1:8" hidden="1">
      <c r="A4031" s="232">
        <v>45082</v>
      </c>
      <c r="C4031" s="284" t="s">
        <v>9458</v>
      </c>
      <c r="D4031" s="283">
        <v>1250</v>
      </c>
      <c r="E4031" s="283"/>
      <c r="G4031" s="8" t="s">
        <v>1372</v>
      </c>
      <c r="H4031" t="s">
        <v>1336</v>
      </c>
    </row>
    <row r="4032" spans="1:8" hidden="1">
      <c r="A4032" s="232">
        <v>45082</v>
      </c>
      <c r="C4032" s="284" t="s">
        <v>9459</v>
      </c>
      <c r="D4032" s="283">
        <v>3000</v>
      </c>
      <c r="E4032" s="283"/>
      <c r="H4032" t="s">
        <v>1336</v>
      </c>
    </row>
    <row r="4033" spans="1:8" hidden="1">
      <c r="A4033" s="232">
        <v>45082</v>
      </c>
      <c r="C4033" s="284" t="s">
        <v>9460</v>
      </c>
      <c r="D4033" s="283">
        <v>775</v>
      </c>
      <c r="E4033" s="283"/>
      <c r="G4033" s="8" t="s">
        <v>1372</v>
      </c>
      <c r="H4033" t="s">
        <v>1336</v>
      </c>
    </row>
    <row r="4034" spans="1:8" hidden="1">
      <c r="A4034" s="232">
        <v>45082</v>
      </c>
      <c r="C4034" s="284" t="s">
        <v>9461</v>
      </c>
      <c r="D4034" s="283">
        <v>1000</v>
      </c>
      <c r="E4034" s="283"/>
      <c r="G4034" s="8" t="s">
        <v>1372</v>
      </c>
      <c r="H4034" t="s">
        <v>1336</v>
      </c>
    </row>
    <row r="4035" spans="1:8" hidden="1">
      <c r="A4035" s="232">
        <v>45083</v>
      </c>
      <c r="C4035" s="284" t="s">
        <v>9462</v>
      </c>
      <c r="D4035" s="283">
        <v>800</v>
      </c>
      <c r="E4035" s="283"/>
      <c r="G4035" s="8" t="s">
        <v>1372</v>
      </c>
      <c r="H4035" t="s">
        <v>1336</v>
      </c>
    </row>
    <row r="4036" spans="1:8" hidden="1">
      <c r="A4036" s="232">
        <v>45083</v>
      </c>
      <c r="C4036" s="284" t="s">
        <v>9463</v>
      </c>
      <c r="D4036" s="283">
        <v>1000</v>
      </c>
      <c r="E4036" s="283"/>
      <c r="G4036" s="8" t="s">
        <v>1372</v>
      </c>
      <c r="H4036" t="s">
        <v>1336</v>
      </c>
    </row>
    <row r="4037" spans="1:8" hidden="1">
      <c r="A4037" s="232">
        <v>45084</v>
      </c>
      <c r="C4037" s="284" t="s">
        <v>9464</v>
      </c>
      <c r="D4037" s="283">
        <v>1000</v>
      </c>
      <c r="E4037" s="283"/>
      <c r="G4037" s="8" t="s">
        <v>1372</v>
      </c>
      <c r="H4037" t="s">
        <v>1336</v>
      </c>
    </row>
    <row r="4038" spans="1:8" hidden="1">
      <c r="A4038" s="232">
        <v>45085</v>
      </c>
      <c r="C4038" s="284" t="s">
        <v>9465</v>
      </c>
      <c r="D4038" s="283"/>
      <c r="E4038" s="283">
        <v>5036.24</v>
      </c>
      <c r="G4038" s="8" t="s">
        <v>1380</v>
      </c>
      <c r="H4038" t="s">
        <v>1336</v>
      </c>
    </row>
    <row r="4039" spans="1:8" hidden="1">
      <c r="A4039" s="232">
        <v>45085</v>
      </c>
      <c r="C4039" s="284" t="s">
        <v>9466</v>
      </c>
      <c r="D4039" s="283">
        <v>305</v>
      </c>
      <c r="E4039" s="283"/>
      <c r="H4039" t="s">
        <v>1336</v>
      </c>
    </row>
    <row r="4040" spans="1:8" hidden="1">
      <c r="A4040" s="232">
        <v>45085</v>
      </c>
      <c r="C4040" s="284" t="s">
        <v>9467</v>
      </c>
      <c r="D4040" s="283">
        <v>775</v>
      </c>
      <c r="E4040" s="283"/>
      <c r="G4040" s="8" t="s">
        <v>1372</v>
      </c>
      <c r="H4040" t="s">
        <v>1336</v>
      </c>
    </row>
    <row r="4041" spans="1:8" hidden="1">
      <c r="A4041" s="232">
        <v>45085</v>
      </c>
      <c r="C4041" s="284" t="s">
        <v>9468</v>
      </c>
      <c r="D4041" s="283">
        <v>1000</v>
      </c>
      <c r="E4041" s="283"/>
      <c r="G4041" s="8" t="s">
        <v>1372</v>
      </c>
      <c r="H4041" t="s">
        <v>1336</v>
      </c>
    </row>
    <row r="4042" spans="1:8" hidden="1">
      <c r="A4042" s="232">
        <v>45085</v>
      </c>
      <c r="C4042" s="284" t="s">
        <v>9469</v>
      </c>
      <c r="D4042" s="283">
        <v>401</v>
      </c>
      <c r="E4042" s="283"/>
      <c r="H4042" t="s">
        <v>1336</v>
      </c>
    </row>
    <row r="4043" spans="1:8" hidden="1">
      <c r="A4043" s="232">
        <v>45085</v>
      </c>
      <c r="C4043" s="284" t="s">
        <v>9470</v>
      </c>
      <c r="D4043" s="283">
        <v>1268.5</v>
      </c>
      <c r="E4043" s="283"/>
      <c r="H4043" t="s">
        <v>1336</v>
      </c>
    </row>
    <row r="4044" spans="1:8" hidden="1">
      <c r="A4044" s="232">
        <v>45086</v>
      </c>
      <c r="C4044" s="284" t="s">
        <v>9471</v>
      </c>
      <c r="D4044" s="283">
        <v>750</v>
      </c>
      <c r="E4044" s="283"/>
      <c r="G4044" s="8" t="s">
        <v>1372</v>
      </c>
      <c r="H4044" t="s">
        <v>1336</v>
      </c>
    </row>
    <row r="4045" spans="1:8" hidden="1">
      <c r="A4045" s="232">
        <v>45086</v>
      </c>
      <c r="C4045" s="284" t="s">
        <v>9472</v>
      </c>
      <c r="D4045" s="283">
        <v>750</v>
      </c>
      <c r="E4045" s="283"/>
      <c r="G4045" s="8" t="s">
        <v>1372</v>
      </c>
      <c r="H4045" t="s">
        <v>1336</v>
      </c>
    </row>
    <row r="4046" spans="1:8" hidden="1">
      <c r="A4046" s="232">
        <v>45086</v>
      </c>
      <c r="C4046" s="284" t="s">
        <v>9473</v>
      </c>
      <c r="D4046" s="283">
        <v>1000</v>
      </c>
      <c r="E4046" s="283"/>
      <c r="G4046" s="8" t="s">
        <v>1372</v>
      </c>
      <c r="H4046" t="s">
        <v>1336</v>
      </c>
    </row>
    <row r="4047" spans="1:8" hidden="1">
      <c r="A4047" s="232">
        <v>45087</v>
      </c>
      <c r="C4047" s="284" t="s">
        <v>9474</v>
      </c>
      <c r="D4047" s="283">
        <v>186</v>
      </c>
      <c r="E4047" s="283"/>
      <c r="H4047" t="s">
        <v>1336</v>
      </c>
    </row>
    <row r="4048" spans="1:8" hidden="1">
      <c r="A4048" s="232">
        <v>45087</v>
      </c>
      <c r="C4048" s="284" t="s">
        <v>9475</v>
      </c>
      <c r="D4048" s="283">
        <v>780</v>
      </c>
      <c r="E4048" s="283"/>
      <c r="H4048" t="s">
        <v>1336</v>
      </c>
    </row>
    <row r="4049" spans="1:8" hidden="1">
      <c r="A4049" s="232">
        <v>45087</v>
      </c>
      <c r="C4049" s="284" t="s">
        <v>9476</v>
      </c>
      <c r="D4049" s="283">
        <v>250</v>
      </c>
      <c r="E4049" s="283"/>
      <c r="H4049" t="s">
        <v>1336</v>
      </c>
    </row>
    <row r="4050" spans="1:8" hidden="1">
      <c r="A4050" s="232">
        <v>45087</v>
      </c>
      <c r="C4050" s="284" t="s">
        <v>9477</v>
      </c>
      <c r="D4050" s="283">
        <v>2050</v>
      </c>
      <c r="E4050" s="283"/>
      <c r="H4050" t="s">
        <v>1336</v>
      </c>
    </row>
    <row r="4051" spans="1:8" hidden="1">
      <c r="A4051" s="232">
        <v>45087</v>
      </c>
      <c r="C4051" s="284" t="s">
        <v>9478</v>
      </c>
      <c r="D4051" s="283">
        <v>1363</v>
      </c>
      <c r="E4051" s="283"/>
      <c r="H4051" t="s">
        <v>1336</v>
      </c>
    </row>
    <row r="4052" spans="1:8" hidden="1">
      <c r="A4052" s="232">
        <v>45088</v>
      </c>
      <c r="C4052" s="284" t="s">
        <v>9479</v>
      </c>
      <c r="D4052" s="283">
        <v>1250</v>
      </c>
      <c r="E4052" s="283"/>
      <c r="G4052" s="8" t="s">
        <v>1372</v>
      </c>
      <c r="H4052" t="s">
        <v>1336</v>
      </c>
    </row>
    <row r="4053" spans="1:8" hidden="1">
      <c r="A4053" s="232">
        <v>45088</v>
      </c>
      <c r="C4053" s="284" t="s">
        <v>9480</v>
      </c>
      <c r="D4053" s="283">
        <v>100</v>
      </c>
      <c r="E4053" s="283"/>
      <c r="H4053" t="s">
        <v>1336</v>
      </c>
    </row>
    <row r="4054" spans="1:8" hidden="1">
      <c r="A4054" s="232">
        <v>45089</v>
      </c>
      <c r="C4054" s="284" t="s">
        <v>9481</v>
      </c>
      <c r="D4054" s="283">
        <v>1250</v>
      </c>
      <c r="E4054" s="283"/>
      <c r="G4054" s="8" t="s">
        <v>1372</v>
      </c>
      <c r="H4054" t="s">
        <v>1336</v>
      </c>
    </row>
    <row r="4055" spans="1:8" hidden="1">
      <c r="A4055" s="232">
        <v>45089</v>
      </c>
      <c r="C4055" s="284" t="s">
        <v>9482</v>
      </c>
      <c r="D4055" s="283">
        <v>1000</v>
      </c>
      <c r="E4055" s="283"/>
      <c r="G4055" s="8" t="s">
        <v>1372</v>
      </c>
      <c r="H4055" t="s">
        <v>1336</v>
      </c>
    </row>
    <row r="4056" spans="1:8" hidden="1">
      <c r="A4056" s="232">
        <v>45089</v>
      </c>
      <c r="C4056" s="284" t="s">
        <v>9483</v>
      </c>
      <c r="D4056" s="283">
        <v>1780</v>
      </c>
      <c r="E4056" s="283"/>
      <c r="H4056" t="s">
        <v>1336</v>
      </c>
    </row>
    <row r="4057" spans="1:8" hidden="1">
      <c r="A4057" s="232">
        <v>45090</v>
      </c>
      <c r="C4057" s="284" t="s">
        <v>9484</v>
      </c>
      <c r="D4057" s="283">
        <v>775</v>
      </c>
      <c r="E4057" s="283"/>
      <c r="G4057" s="8" t="s">
        <v>1372</v>
      </c>
      <c r="H4057" t="s">
        <v>1336</v>
      </c>
    </row>
    <row r="4058" spans="1:8" hidden="1">
      <c r="A4058" s="232">
        <v>45090</v>
      </c>
      <c r="C4058" s="284" t="s">
        <v>9485</v>
      </c>
      <c r="D4058" s="283">
        <v>1000</v>
      </c>
      <c r="E4058" s="283"/>
      <c r="G4058" s="8" t="s">
        <v>1372</v>
      </c>
      <c r="H4058" t="s">
        <v>1336</v>
      </c>
    </row>
    <row r="4059" spans="1:8" hidden="1">
      <c r="A4059" s="232">
        <v>45090</v>
      </c>
      <c r="C4059" s="284" t="s">
        <v>9486</v>
      </c>
      <c r="D4059" s="283">
        <v>2583</v>
      </c>
      <c r="E4059" s="283"/>
      <c r="H4059" t="s">
        <v>1336</v>
      </c>
    </row>
    <row r="4060" spans="1:8" hidden="1">
      <c r="A4060" s="232">
        <v>45090</v>
      </c>
      <c r="C4060" s="284" t="s">
        <v>9487</v>
      </c>
      <c r="D4060" s="283">
        <v>310</v>
      </c>
      <c r="E4060" s="283"/>
      <c r="H4060" t="s">
        <v>1336</v>
      </c>
    </row>
    <row r="4061" spans="1:8" hidden="1">
      <c r="A4061" s="232">
        <v>45091</v>
      </c>
      <c r="C4061" s="284" t="s">
        <v>9488</v>
      </c>
      <c r="D4061" s="283">
        <v>800</v>
      </c>
      <c r="E4061" s="283"/>
      <c r="G4061" s="8" t="s">
        <v>1372</v>
      </c>
      <c r="H4061" t="s">
        <v>1336</v>
      </c>
    </row>
    <row r="4062" spans="1:8" hidden="1">
      <c r="A4062" s="232">
        <v>45091</v>
      </c>
      <c r="C4062" s="284" t="s">
        <v>9489</v>
      </c>
      <c r="D4062" s="283">
        <v>1000</v>
      </c>
      <c r="E4062" s="283"/>
      <c r="G4062" s="8" t="s">
        <v>1372</v>
      </c>
      <c r="H4062" t="s">
        <v>1336</v>
      </c>
    </row>
    <row r="4063" spans="1:8" hidden="1">
      <c r="A4063" s="232">
        <v>45091</v>
      </c>
      <c r="C4063" s="284" t="s">
        <v>9490</v>
      </c>
      <c r="D4063" s="283">
        <v>1489</v>
      </c>
      <c r="E4063" s="283"/>
      <c r="H4063" t="s">
        <v>1336</v>
      </c>
    </row>
    <row r="4064" spans="1:8" hidden="1">
      <c r="A4064" s="232">
        <v>45092</v>
      </c>
      <c r="C4064" s="284" t="s">
        <v>9491</v>
      </c>
      <c r="D4064" s="283">
        <v>750</v>
      </c>
      <c r="E4064" s="283"/>
      <c r="G4064" s="8" t="s">
        <v>1372</v>
      </c>
      <c r="H4064" t="s">
        <v>1336</v>
      </c>
    </row>
    <row r="4065" spans="1:8" hidden="1">
      <c r="A4065" s="232">
        <v>45092</v>
      </c>
      <c r="C4065" s="284" t="s">
        <v>9492</v>
      </c>
      <c r="D4065" s="283">
        <v>1250</v>
      </c>
      <c r="E4065" s="283"/>
      <c r="G4065" s="8" t="s">
        <v>1372</v>
      </c>
      <c r="H4065" t="s">
        <v>1336</v>
      </c>
    </row>
    <row r="4066" spans="1:8" hidden="1">
      <c r="A4066" s="232">
        <v>45092</v>
      </c>
      <c r="C4066" s="284" t="s">
        <v>9493</v>
      </c>
      <c r="D4066" s="283">
        <v>1250</v>
      </c>
      <c r="E4066" s="283"/>
      <c r="G4066" s="8" t="s">
        <v>1372</v>
      </c>
      <c r="H4066" t="s">
        <v>1336</v>
      </c>
    </row>
    <row r="4067" spans="1:8" hidden="1">
      <c r="A4067" s="232">
        <v>45093</v>
      </c>
      <c r="C4067" s="284" t="s">
        <v>9494</v>
      </c>
      <c r="D4067" s="283">
        <v>285</v>
      </c>
      <c r="E4067" s="283"/>
      <c r="H4067" t="s">
        <v>1336</v>
      </c>
    </row>
    <row r="4068" spans="1:8" hidden="1">
      <c r="A4068" s="232">
        <v>45093</v>
      </c>
      <c r="C4068" s="284" t="s">
        <v>9495</v>
      </c>
      <c r="D4068" s="283">
        <v>1000</v>
      </c>
      <c r="E4068" s="283"/>
      <c r="G4068" s="8" t="s">
        <v>1372</v>
      </c>
      <c r="H4068" t="s">
        <v>1336</v>
      </c>
    </row>
    <row r="4069" spans="1:8" hidden="1">
      <c r="A4069" s="232">
        <v>45093</v>
      </c>
      <c r="C4069" s="284" t="s">
        <v>9496</v>
      </c>
      <c r="D4069" s="283"/>
      <c r="E4069" s="283">
        <v>225</v>
      </c>
      <c r="H4069" t="s">
        <v>1336</v>
      </c>
    </row>
    <row r="4070" spans="1:8" hidden="1">
      <c r="A4070" s="232">
        <v>45094</v>
      </c>
      <c r="C4070" s="284" t="s">
        <v>9497</v>
      </c>
      <c r="D4070" s="283">
        <v>750</v>
      </c>
      <c r="E4070" s="283"/>
      <c r="G4070" s="8" t="s">
        <v>1372</v>
      </c>
      <c r="H4070" t="s">
        <v>1336</v>
      </c>
    </row>
    <row r="4071" spans="1:8" hidden="1">
      <c r="A4071" s="232">
        <v>45094</v>
      </c>
      <c r="C4071" s="284" t="s">
        <v>9498</v>
      </c>
      <c r="D4071" s="283"/>
      <c r="E4071" s="283">
        <v>4</v>
      </c>
      <c r="H4071" t="s">
        <v>1336</v>
      </c>
    </row>
    <row r="4072" spans="1:8" hidden="1">
      <c r="A4072" s="232">
        <v>45094</v>
      </c>
      <c r="C4072" s="284" t="s">
        <v>9499</v>
      </c>
      <c r="D4072" s="283">
        <v>1000</v>
      </c>
      <c r="E4072" s="283"/>
      <c r="H4072" t="s">
        <v>1336</v>
      </c>
    </row>
    <row r="4073" spans="1:8" hidden="1">
      <c r="A4073" s="232">
        <v>45094</v>
      </c>
      <c r="C4073" s="284" t="s">
        <v>9500</v>
      </c>
      <c r="D4073" s="283">
        <v>1480</v>
      </c>
      <c r="E4073" s="283"/>
      <c r="H4073" t="s">
        <v>1336</v>
      </c>
    </row>
    <row r="4074" spans="1:8" hidden="1">
      <c r="A4074" s="232">
        <v>45095</v>
      </c>
      <c r="C4074" s="284" t="s">
        <v>9501</v>
      </c>
      <c r="D4074" s="283">
        <v>1000</v>
      </c>
      <c r="E4074" s="283"/>
      <c r="G4074" s="8" t="s">
        <v>1372</v>
      </c>
      <c r="H4074" t="s">
        <v>1336</v>
      </c>
    </row>
    <row r="4075" spans="1:8" hidden="1">
      <c r="A4075" s="232">
        <v>45095</v>
      </c>
      <c r="C4075" s="284" t="s">
        <v>9502</v>
      </c>
      <c r="D4075" s="283">
        <v>818</v>
      </c>
      <c r="E4075" s="283"/>
      <c r="H4075" t="s">
        <v>1336</v>
      </c>
    </row>
    <row r="4076" spans="1:8" hidden="1">
      <c r="A4076" s="232">
        <v>45096</v>
      </c>
      <c r="C4076" s="284" t="s">
        <v>9503</v>
      </c>
      <c r="D4076" s="283">
        <v>750</v>
      </c>
      <c r="E4076" s="283"/>
      <c r="G4076" s="8" t="s">
        <v>1372</v>
      </c>
      <c r="H4076" t="s">
        <v>1336</v>
      </c>
    </row>
    <row r="4077" spans="1:8" hidden="1">
      <c r="A4077" s="232">
        <v>45096</v>
      </c>
      <c r="C4077" s="284" t="s">
        <v>9504</v>
      </c>
      <c r="D4077" s="283">
        <v>1000</v>
      </c>
      <c r="E4077" s="283"/>
      <c r="G4077" s="8" t="s">
        <v>1372</v>
      </c>
      <c r="H4077" t="s">
        <v>1336</v>
      </c>
    </row>
    <row r="4078" spans="1:8" hidden="1">
      <c r="A4078" s="232">
        <v>45096</v>
      </c>
      <c r="C4078" s="284" t="s">
        <v>9505</v>
      </c>
      <c r="D4078" s="283">
        <v>400</v>
      </c>
      <c r="E4078" s="283"/>
      <c r="H4078" t="s">
        <v>1336</v>
      </c>
    </row>
    <row r="4079" spans="1:8" hidden="1">
      <c r="A4079" s="232">
        <v>45097</v>
      </c>
      <c r="C4079" s="284" t="s">
        <v>9506</v>
      </c>
      <c r="D4079" s="283">
        <v>775</v>
      </c>
      <c r="E4079" s="283"/>
      <c r="G4079" s="8" t="s">
        <v>1372</v>
      </c>
      <c r="H4079" t="s">
        <v>1336</v>
      </c>
    </row>
    <row r="4080" spans="1:8" hidden="1">
      <c r="A4080" s="232">
        <v>45098</v>
      </c>
      <c r="C4080" s="284" t="s">
        <v>9507</v>
      </c>
      <c r="D4080" s="283">
        <v>1000</v>
      </c>
      <c r="E4080" s="283"/>
      <c r="G4080" s="8" t="s">
        <v>1372</v>
      </c>
      <c r="H4080" t="s">
        <v>1336</v>
      </c>
    </row>
    <row r="4081" spans="1:8" hidden="1">
      <c r="A4081" s="232">
        <v>45098</v>
      </c>
      <c r="C4081" s="284" t="s">
        <v>9508</v>
      </c>
      <c r="D4081" s="283">
        <v>1000</v>
      </c>
      <c r="E4081" s="283"/>
      <c r="G4081" s="8" t="s">
        <v>1372</v>
      </c>
      <c r="H4081" t="s">
        <v>1336</v>
      </c>
    </row>
    <row r="4082" spans="1:8" hidden="1">
      <c r="A4082" s="232">
        <v>45098</v>
      </c>
      <c r="C4082" s="284" t="s">
        <v>9509</v>
      </c>
      <c r="D4082" s="283">
        <v>750</v>
      </c>
      <c r="E4082" s="283"/>
      <c r="G4082" s="8" t="s">
        <v>1372</v>
      </c>
      <c r="H4082" t="s">
        <v>1336</v>
      </c>
    </row>
    <row r="4083" spans="1:8" hidden="1">
      <c r="A4083" s="232">
        <v>45098</v>
      </c>
      <c r="C4083" s="284" t="s">
        <v>9510</v>
      </c>
      <c r="D4083" s="283">
        <v>2500</v>
      </c>
      <c r="E4083" s="283"/>
      <c r="H4083" t="s">
        <v>1336</v>
      </c>
    </row>
    <row r="4084" spans="1:8" hidden="1">
      <c r="A4084" s="232">
        <v>45099</v>
      </c>
      <c r="C4084" s="284" t="s">
        <v>9511</v>
      </c>
      <c r="D4084" s="283">
        <v>750</v>
      </c>
      <c r="E4084" s="283"/>
      <c r="G4084" s="8" t="s">
        <v>1372</v>
      </c>
      <c r="H4084" t="s">
        <v>1336</v>
      </c>
    </row>
    <row r="4085" spans="1:8" hidden="1">
      <c r="A4085" s="232">
        <v>45099</v>
      </c>
      <c r="C4085" s="284" t="s">
        <v>9512</v>
      </c>
      <c r="D4085" s="283">
        <v>780.24</v>
      </c>
      <c r="E4085" s="283"/>
      <c r="H4085" t="s">
        <v>1336</v>
      </c>
    </row>
    <row r="4086" spans="1:8" hidden="1">
      <c r="A4086" s="232">
        <v>45100</v>
      </c>
      <c r="C4086" s="284" t="s">
        <v>9513</v>
      </c>
      <c r="D4086" s="283">
        <v>750</v>
      </c>
      <c r="E4086" s="283"/>
      <c r="G4086" s="8" t="s">
        <v>1372</v>
      </c>
      <c r="H4086" t="s">
        <v>1336</v>
      </c>
    </row>
    <row r="4087" spans="1:8" hidden="1">
      <c r="A4087" s="232">
        <v>45100</v>
      </c>
      <c r="C4087" s="284" t="s">
        <v>9514</v>
      </c>
      <c r="D4087" s="283"/>
      <c r="E4087" s="283">
        <v>370279</v>
      </c>
      <c r="G4087" s="8" t="s">
        <v>1380</v>
      </c>
      <c r="H4087" t="s">
        <v>1336</v>
      </c>
    </row>
    <row r="4088" spans="1:8" hidden="1">
      <c r="A4088" s="232">
        <v>45100</v>
      </c>
      <c r="C4088" s="284" t="s">
        <v>9515</v>
      </c>
      <c r="D4088" s="283">
        <v>25000</v>
      </c>
      <c r="E4088" s="283"/>
      <c r="G4088" s="8" t="s">
        <v>1358</v>
      </c>
      <c r="H4088" t="s">
        <v>1336</v>
      </c>
    </row>
    <row r="4089" spans="1:8" hidden="1">
      <c r="A4089" s="232">
        <v>45100</v>
      </c>
      <c r="C4089" s="284" t="s">
        <v>9516</v>
      </c>
      <c r="D4089" s="283">
        <v>2211</v>
      </c>
      <c r="E4089" s="283"/>
      <c r="H4089" t="s">
        <v>1336</v>
      </c>
    </row>
    <row r="4090" spans="1:8" hidden="1">
      <c r="A4090" s="232">
        <v>45101</v>
      </c>
      <c r="C4090" s="284" t="s">
        <v>9517</v>
      </c>
      <c r="D4090" s="283">
        <v>1000</v>
      </c>
      <c r="E4090" s="283"/>
      <c r="G4090" s="8" t="s">
        <v>1372</v>
      </c>
      <c r="H4090" t="s">
        <v>1336</v>
      </c>
    </row>
    <row r="4091" spans="1:8" hidden="1">
      <c r="A4091" s="232">
        <v>45101</v>
      </c>
      <c r="C4091" s="284" t="s">
        <v>9518</v>
      </c>
      <c r="D4091" s="283"/>
      <c r="E4091" s="283">
        <v>2087</v>
      </c>
      <c r="H4091" t="s">
        <v>1336</v>
      </c>
    </row>
    <row r="4092" spans="1:8" hidden="1">
      <c r="A4092" s="232">
        <v>45102</v>
      </c>
      <c r="C4092" s="284" t="s">
        <v>9519</v>
      </c>
      <c r="D4092" s="283">
        <v>750</v>
      </c>
      <c r="E4092" s="283"/>
      <c r="G4092" s="8" t="s">
        <v>1372</v>
      </c>
      <c r="H4092" t="s">
        <v>1336</v>
      </c>
    </row>
    <row r="4093" spans="1:8" hidden="1">
      <c r="A4093" s="232">
        <v>45102</v>
      </c>
      <c r="C4093" s="284" t="s">
        <v>9520</v>
      </c>
      <c r="D4093" s="283"/>
      <c r="E4093" s="283">
        <v>3320</v>
      </c>
      <c r="H4093" t="s">
        <v>1336</v>
      </c>
    </row>
    <row r="4094" spans="1:8" hidden="1">
      <c r="A4094" s="232">
        <v>45102</v>
      </c>
      <c r="C4094" s="284" t="s">
        <v>9521</v>
      </c>
      <c r="D4094" s="283">
        <v>156</v>
      </c>
      <c r="E4094" s="283"/>
      <c r="H4094" t="s">
        <v>1336</v>
      </c>
    </row>
    <row r="4095" spans="1:8" hidden="1">
      <c r="A4095" s="232">
        <v>45103</v>
      </c>
      <c r="C4095" s="284" t="s">
        <v>9522</v>
      </c>
      <c r="D4095" s="283">
        <v>13900</v>
      </c>
      <c r="E4095" s="283"/>
      <c r="G4095" s="8" t="s">
        <v>1379</v>
      </c>
      <c r="H4095" t="s">
        <v>1336</v>
      </c>
    </row>
    <row r="4096" spans="1:8" hidden="1">
      <c r="A4096" s="232">
        <v>45103</v>
      </c>
      <c r="C4096" s="284" t="s">
        <v>9523</v>
      </c>
      <c r="D4096" s="283">
        <v>1000</v>
      </c>
      <c r="E4096" s="283"/>
      <c r="G4096" s="8" t="s">
        <v>1372</v>
      </c>
      <c r="H4096" t="s">
        <v>1336</v>
      </c>
    </row>
    <row r="4097" spans="1:8" hidden="1">
      <c r="A4097" s="232">
        <v>45103</v>
      </c>
      <c r="C4097" s="284" t="s">
        <v>9524</v>
      </c>
      <c r="D4097" s="283">
        <v>90</v>
      </c>
      <c r="E4097" s="283"/>
      <c r="H4097" t="s">
        <v>1336</v>
      </c>
    </row>
    <row r="4098" spans="1:8" hidden="1">
      <c r="A4098" s="232">
        <v>45104</v>
      </c>
      <c r="C4098" s="284" t="s">
        <v>9525</v>
      </c>
      <c r="D4098" s="283">
        <v>1000</v>
      </c>
      <c r="E4098" s="283"/>
      <c r="G4098" s="8" t="s">
        <v>1372</v>
      </c>
      <c r="H4098" t="s">
        <v>1336</v>
      </c>
    </row>
    <row r="4099" spans="1:8" hidden="1">
      <c r="A4099" s="232">
        <v>45104</v>
      </c>
      <c r="C4099" s="284" t="s">
        <v>9526</v>
      </c>
      <c r="D4099" s="283">
        <v>620</v>
      </c>
      <c r="E4099" s="283"/>
      <c r="H4099" t="s">
        <v>1336</v>
      </c>
    </row>
    <row r="4100" spans="1:8" hidden="1">
      <c r="A4100" s="232">
        <v>45104</v>
      </c>
      <c r="C4100" s="284" t="s">
        <v>9527</v>
      </c>
      <c r="D4100" s="283">
        <v>470.82</v>
      </c>
      <c r="E4100" s="283"/>
      <c r="H4100" t="s">
        <v>1336</v>
      </c>
    </row>
    <row r="4101" spans="1:8" hidden="1">
      <c r="A4101" s="232">
        <v>45105</v>
      </c>
      <c r="C4101" s="284" t="s">
        <v>9528</v>
      </c>
      <c r="D4101" s="283">
        <v>800</v>
      </c>
      <c r="E4101" s="283"/>
      <c r="G4101" s="8" t="s">
        <v>1372</v>
      </c>
      <c r="H4101" t="s">
        <v>1336</v>
      </c>
    </row>
    <row r="4102" spans="1:8" hidden="1">
      <c r="A4102" s="232">
        <v>45105</v>
      </c>
      <c r="C4102" s="284" t="s">
        <v>9529</v>
      </c>
      <c r="D4102" s="283">
        <v>60</v>
      </c>
      <c r="E4102" s="283"/>
      <c r="H4102" t="s">
        <v>1336</v>
      </c>
    </row>
    <row r="4103" spans="1:8" hidden="1">
      <c r="A4103" s="232">
        <v>45106</v>
      </c>
      <c r="C4103" s="284" t="s">
        <v>9530</v>
      </c>
      <c r="D4103" s="283">
        <v>199</v>
      </c>
      <c r="E4103" s="283"/>
      <c r="H4103" t="s">
        <v>1336</v>
      </c>
    </row>
    <row r="4104" spans="1:8" hidden="1">
      <c r="A4104" s="232">
        <v>45106</v>
      </c>
      <c r="C4104" s="284" t="s">
        <v>9531</v>
      </c>
      <c r="D4104" s="283">
        <v>357.41</v>
      </c>
      <c r="E4104" s="283"/>
      <c r="H4104" t="s">
        <v>1336</v>
      </c>
    </row>
    <row r="4105" spans="1:8" hidden="1">
      <c r="A4105" s="232">
        <v>45106</v>
      </c>
      <c r="C4105" s="284" t="s">
        <v>9532</v>
      </c>
      <c r="D4105" s="283">
        <v>1640.2</v>
      </c>
      <c r="E4105" s="283"/>
      <c r="H4105" t="s">
        <v>1336</v>
      </c>
    </row>
    <row r="4106" spans="1:8" hidden="1">
      <c r="A4106" s="232">
        <v>45107</v>
      </c>
      <c r="C4106" s="284" t="s">
        <v>9533</v>
      </c>
      <c r="D4106" s="283">
        <v>692</v>
      </c>
      <c r="E4106" s="283"/>
      <c r="H4106" t="s">
        <v>1336</v>
      </c>
    </row>
    <row r="4107" spans="1:8" hidden="1">
      <c r="A4107" s="232">
        <v>45108</v>
      </c>
      <c r="C4107" s="284" t="s">
        <v>4256</v>
      </c>
      <c r="D4107" s="283"/>
      <c r="E4107" s="283">
        <v>15180</v>
      </c>
      <c r="G4107" s="8" t="s">
        <v>1368</v>
      </c>
      <c r="H4107" t="s">
        <v>1336</v>
      </c>
    </row>
    <row r="4108" spans="1:8" hidden="1">
      <c r="A4108" s="232">
        <v>45082</v>
      </c>
      <c r="C4108" s="17" t="s">
        <v>9534</v>
      </c>
      <c r="D4108" s="69">
        <v>0</v>
      </c>
      <c r="E4108" s="69">
        <v>9772.36</v>
      </c>
      <c r="G4108" s="8" t="s">
        <v>1375</v>
      </c>
      <c r="H4108" t="s">
        <v>1050</v>
      </c>
    </row>
    <row r="4109" spans="1:8" hidden="1">
      <c r="A4109" s="232">
        <v>45098</v>
      </c>
      <c r="C4109" s="17" t="s">
        <v>9535</v>
      </c>
      <c r="D4109" s="69">
        <v>41667</v>
      </c>
      <c r="E4109" s="69">
        <v>0</v>
      </c>
      <c r="G4109" s="8" t="s">
        <v>1381</v>
      </c>
      <c r="H4109" t="s">
        <v>1050</v>
      </c>
    </row>
    <row r="4110" spans="1:8" hidden="1">
      <c r="A4110" s="232">
        <v>45105</v>
      </c>
      <c r="C4110" s="17" t="s">
        <v>9536</v>
      </c>
      <c r="D4110" s="69">
        <v>25000</v>
      </c>
      <c r="E4110" s="69">
        <v>0</v>
      </c>
      <c r="G4110" s="8" t="s">
        <v>1381</v>
      </c>
      <c r="H4110" t="s">
        <v>1050</v>
      </c>
    </row>
    <row r="4111" spans="1:8" hidden="1">
      <c r="A4111" s="232">
        <v>45105</v>
      </c>
      <c r="C4111" s="17" t="s">
        <v>9537</v>
      </c>
      <c r="D4111" s="69">
        <v>100000</v>
      </c>
      <c r="E4111" s="69">
        <v>0</v>
      </c>
      <c r="G4111" s="8" t="s">
        <v>1363</v>
      </c>
      <c r="H4111" t="s">
        <v>1050</v>
      </c>
    </row>
    <row r="4112" spans="1:8" hidden="1">
      <c r="A4112" s="232">
        <v>45106</v>
      </c>
      <c r="C4112" s="17" t="s">
        <v>9538</v>
      </c>
      <c r="D4112" s="69">
        <v>0</v>
      </c>
      <c r="E4112" s="69">
        <v>11929</v>
      </c>
      <c r="G4112" s="8" t="s">
        <v>1368</v>
      </c>
      <c r="H4112" t="s">
        <v>1050</v>
      </c>
    </row>
    <row r="4113" spans="1:8" hidden="1">
      <c r="A4113" s="232">
        <v>45113</v>
      </c>
      <c r="C4113" s="315" t="s">
        <v>12400</v>
      </c>
      <c r="D4113">
        <v>0</v>
      </c>
      <c r="E4113">
        <v>9772.36</v>
      </c>
      <c r="G4113" s="8" t="s">
        <v>1375</v>
      </c>
      <c r="H4113" t="s">
        <v>1050</v>
      </c>
    </row>
    <row r="4114" spans="1:8" hidden="1">
      <c r="A4114" s="232">
        <v>45128</v>
      </c>
      <c r="C4114" s="315" t="s">
        <v>12401</v>
      </c>
      <c r="D4114">
        <v>41667</v>
      </c>
      <c r="E4114">
        <v>0</v>
      </c>
      <c r="G4114" s="8" t="s">
        <v>1381</v>
      </c>
      <c r="H4114" t="s">
        <v>1050</v>
      </c>
    </row>
    <row r="4115" spans="1:8" hidden="1">
      <c r="A4115" s="232">
        <v>45135</v>
      </c>
      <c r="C4115" s="315" t="s">
        <v>12402</v>
      </c>
      <c r="D4115">
        <v>0</v>
      </c>
      <c r="E4115">
        <v>100000</v>
      </c>
      <c r="G4115" s="8" t="s">
        <v>1363</v>
      </c>
      <c r="H4115" t="s">
        <v>1050</v>
      </c>
    </row>
    <row r="4116" spans="1:8" hidden="1">
      <c r="A4116" s="232">
        <v>45135</v>
      </c>
      <c r="C4116" s="315" t="s">
        <v>12403</v>
      </c>
      <c r="D4116">
        <v>25000</v>
      </c>
      <c r="E4116">
        <v>0</v>
      </c>
      <c r="G4116" s="8" t="s">
        <v>1381</v>
      </c>
      <c r="H4116" t="s">
        <v>1050</v>
      </c>
    </row>
    <row r="4117" spans="1:8" hidden="1">
      <c r="A4117" s="232">
        <v>45136</v>
      </c>
      <c r="C4117" s="315" t="s">
        <v>12404</v>
      </c>
      <c r="D4117">
        <v>199</v>
      </c>
      <c r="E4117">
        <v>0</v>
      </c>
      <c r="H4117" t="s">
        <v>1050</v>
      </c>
    </row>
    <row r="4118" spans="1:8" hidden="1">
      <c r="A4118" s="232">
        <v>45136</v>
      </c>
      <c r="C4118" s="315" t="s">
        <v>12405</v>
      </c>
      <c r="D4118">
        <v>0</v>
      </c>
      <c r="E4118">
        <v>451</v>
      </c>
      <c r="H4118" t="s">
        <v>1050</v>
      </c>
    </row>
    <row r="4119" spans="1:8" hidden="1">
      <c r="A4119" s="232">
        <v>45108</v>
      </c>
      <c r="C4119" s="316" t="s">
        <v>12408</v>
      </c>
      <c r="D4119" s="69">
        <v>1000</v>
      </c>
      <c r="E4119" s="69"/>
      <c r="G4119" s="8" t="s">
        <v>1372</v>
      </c>
      <c r="H4119" t="s">
        <v>1336</v>
      </c>
    </row>
    <row r="4120" spans="1:8" hidden="1">
      <c r="A4120" s="232">
        <v>45108</v>
      </c>
      <c r="C4120" s="316" t="s">
        <v>12409</v>
      </c>
      <c r="D4120" s="69">
        <v>1217.99</v>
      </c>
      <c r="E4120" s="69"/>
      <c r="H4120" t="s">
        <v>1336</v>
      </c>
    </row>
    <row r="4121" spans="1:8" hidden="1">
      <c r="A4121" s="232">
        <v>45109</v>
      </c>
      <c r="C4121" s="316" t="s">
        <v>12410</v>
      </c>
      <c r="D4121" s="69">
        <v>1000</v>
      </c>
      <c r="E4121" s="69"/>
      <c r="G4121" s="8" t="s">
        <v>1372</v>
      </c>
      <c r="H4121" t="s">
        <v>1336</v>
      </c>
    </row>
    <row r="4122" spans="1:8" hidden="1">
      <c r="A4122" s="232">
        <v>45109</v>
      </c>
      <c r="C4122" s="316" t="s">
        <v>12411</v>
      </c>
      <c r="D4122" s="69">
        <v>1250</v>
      </c>
      <c r="E4122" s="69"/>
      <c r="G4122" s="8" t="s">
        <v>1372</v>
      </c>
      <c r="H4122" t="s">
        <v>1336</v>
      </c>
    </row>
    <row r="4123" spans="1:8" hidden="1">
      <c r="A4123" s="232">
        <v>45109</v>
      </c>
      <c r="C4123" s="316" t="s">
        <v>12412</v>
      </c>
      <c r="D4123" s="69">
        <v>1340</v>
      </c>
      <c r="E4123" s="69"/>
      <c r="H4123" t="s">
        <v>1336</v>
      </c>
    </row>
    <row r="4124" spans="1:8" hidden="1">
      <c r="A4124" s="232">
        <v>45109</v>
      </c>
      <c r="C4124" s="316" t="s">
        <v>12413</v>
      </c>
      <c r="D4124" s="69">
        <v>3500</v>
      </c>
      <c r="E4124" s="69"/>
      <c r="H4124" t="s">
        <v>1336</v>
      </c>
    </row>
    <row r="4125" spans="1:8" hidden="1">
      <c r="A4125" s="232">
        <v>45109</v>
      </c>
      <c r="C4125" s="316" t="s">
        <v>12414</v>
      </c>
      <c r="D4125" s="69">
        <v>1000</v>
      </c>
      <c r="E4125" s="69"/>
      <c r="H4125" t="s">
        <v>1336</v>
      </c>
    </row>
    <row r="4126" spans="1:8" hidden="1">
      <c r="A4126" s="232">
        <v>45110</v>
      </c>
      <c r="C4126" s="316" t="s">
        <v>12415</v>
      </c>
      <c r="D4126" s="69">
        <v>775</v>
      </c>
      <c r="E4126" s="69"/>
      <c r="G4126" s="8" t="s">
        <v>1372</v>
      </c>
      <c r="H4126" t="s">
        <v>1336</v>
      </c>
    </row>
    <row r="4127" spans="1:8" hidden="1">
      <c r="A4127" s="232">
        <v>45110</v>
      </c>
      <c r="C4127" s="316" t="s">
        <v>12416</v>
      </c>
      <c r="D4127" s="69">
        <v>1000</v>
      </c>
      <c r="E4127" s="69"/>
      <c r="G4127" s="8" t="s">
        <v>1372</v>
      </c>
      <c r="H4127" t="s">
        <v>1336</v>
      </c>
    </row>
    <row r="4128" spans="1:8" hidden="1">
      <c r="A4128" s="232">
        <v>45110</v>
      </c>
      <c r="C4128" s="316" t="s">
        <v>12417</v>
      </c>
      <c r="D4128" s="69">
        <v>1250</v>
      </c>
      <c r="E4128" s="69"/>
      <c r="G4128" s="8" t="s">
        <v>1372</v>
      </c>
      <c r="H4128" t="s">
        <v>1336</v>
      </c>
    </row>
    <row r="4129" spans="1:8" hidden="1">
      <c r="A4129" s="232">
        <v>45110</v>
      </c>
      <c r="C4129" s="316" t="s">
        <v>12418</v>
      </c>
      <c r="D4129" s="69">
        <v>132</v>
      </c>
      <c r="E4129" s="69"/>
      <c r="H4129" t="s">
        <v>1336</v>
      </c>
    </row>
    <row r="4130" spans="1:8" hidden="1">
      <c r="A4130" s="232">
        <v>45111</v>
      </c>
      <c r="C4130" s="316" t="s">
        <v>12419</v>
      </c>
      <c r="D4130" s="69">
        <v>750</v>
      </c>
      <c r="E4130" s="69"/>
      <c r="G4130" s="8" t="s">
        <v>1372</v>
      </c>
      <c r="H4130" t="s">
        <v>1336</v>
      </c>
    </row>
    <row r="4131" spans="1:8" hidden="1">
      <c r="A4131" s="232">
        <v>45112</v>
      </c>
      <c r="C4131" s="316" t="s">
        <v>12420</v>
      </c>
      <c r="D4131" s="69">
        <v>1250</v>
      </c>
      <c r="E4131" s="69"/>
      <c r="G4131" s="8" t="s">
        <v>1372</v>
      </c>
      <c r="H4131" t="s">
        <v>1336</v>
      </c>
    </row>
    <row r="4132" spans="1:8" hidden="1">
      <c r="A4132" s="232">
        <v>45112</v>
      </c>
      <c r="C4132" s="316" t="s">
        <v>12421</v>
      </c>
      <c r="D4132" s="69">
        <v>1250</v>
      </c>
      <c r="E4132" s="69"/>
      <c r="G4132" s="8" t="s">
        <v>1372</v>
      </c>
      <c r="H4132" t="s">
        <v>1336</v>
      </c>
    </row>
    <row r="4133" spans="1:8" hidden="1">
      <c r="A4133" s="232">
        <v>45112</v>
      </c>
      <c r="C4133" s="316" t="s">
        <v>12422</v>
      </c>
      <c r="D4133" s="69">
        <v>1268.5</v>
      </c>
      <c r="E4133" s="69"/>
      <c r="H4133" t="s">
        <v>1336</v>
      </c>
    </row>
    <row r="4134" spans="1:8" hidden="1">
      <c r="A4134" s="232">
        <v>45112</v>
      </c>
      <c r="C4134" s="316" t="s">
        <v>12423</v>
      </c>
      <c r="D4134" s="69">
        <v>2908</v>
      </c>
      <c r="E4134" s="69"/>
      <c r="H4134" t="s">
        <v>1336</v>
      </c>
    </row>
    <row r="4135" spans="1:8" hidden="1">
      <c r="A4135" s="232">
        <v>45113</v>
      </c>
      <c r="C4135" s="316" t="s">
        <v>6583</v>
      </c>
      <c r="D4135" s="69">
        <v>157861</v>
      </c>
      <c r="E4135" s="69"/>
      <c r="G4135" s="8" t="s">
        <v>1362</v>
      </c>
      <c r="H4135" t="s">
        <v>1336</v>
      </c>
    </row>
    <row r="4136" spans="1:8" hidden="1">
      <c r="A4136" s="232">
        <v>45113</v>
      </c>
      <c r="C4136" s="316" t="s">
        <v>12424</v>
      </c>
      <c r="D4136" s="69">
        <v>1000</v>
      </c>
      <c r="E4136" s="69"/>
      <c r="G4136" s="8" t="s">
        <v>1372</v>
      </c>
      <c r="H4136" t="s">
        <v>1336</v>
      </c>
    </row>
    <row r="4137" spans="1:8" hidden="1">
      <c r="A4137" s="232">
        <v>45113</v>
      </c>
      <c r="C4137" s="316" t="s">
        <v>12425</v>
      </c>
      <c r="D4137" s="69">
        <v>800</v>
      </c>
      <c r="E4137" s="69"/>
      <c r="G4137" s="8" t="s">
        <v>1372</v>
      </c>
      <c r="H4137" t="s">
        <v>1336</v>
      </c>
    </row>
    <row r="4138" spans="1:8" hidden="1">
      <c r="A4138" s="232">
        <v>45113</v>
      </c>
      <c r="C4138" s="316" t="s">
        <v>12426</v>
      </c>
      <c r="E4138" s="69">
        <v>1000</v>
      </c>
      <c r="H4138" t="s">
        <v>1336</v>
      </c>
    </row>
    <row r="4139" spans="1:8" hidden="1">
      <c r="A4139" s="232">
        <v>45113</v>
      </c>
      <c r="C4139" s="316" t="s">
        <v>12427</v>
      </c>
      <c r="D4139" s="69">
        <v>1500</v>
      </c>
      <c r="E4139" s="69"/>
      <c r="H4139" t="s">
        <v>1336</v>
      </c>
    </row>
    <row r="4140" spans="1:8" hidden="1">
      <c r="A4140" s="232">
        <v>45114</v>
      </c>
      <c r="C4140" s="316" t="s">
        <v>12428</v>
      </c>
      <c r="D4140" s="69">
        <v>1000</v>
      </c>
      <c r="E4140" s="69"/>
      <c r="G4140" s="8" t="s">
        <v>1372</v>
      </c>
      <c r="H4140" t="s">
        <v>1336</v>
      </c>
    </row>
    <row r="4141" spans="1:8" hidden="1">
      <c r="A4141" s="232">
        <v>45114</v>
      </c>
      <c r="C4141" s="316" t="s">
        <v>12429</v>
      </c>
      <c r="D4141" s="69">
        <v>350</v>
      </c>
      <c r="E4141" s="69"/>
      <c r="H4141" t="s">
        <v>1336</v>
      </c>
    </row>
    <row r="4142" spans="1:8" hidden="1">
      <c r="A4142" s="232">
        <v>45114</v>
      </c>
      <c r="C4142" s="316" t="s">
        <v>12430</v>
      </c>
      <c r="D4142" s="69">
        <v>45</v>
      </c>
      <c r="E4142" s="69"/>
      <c r="H4142" t="s">
        <v>1336</v>
      </c>
    </row>
    <row r="4143" spans="1:8" hidden="1">
      <c r="A4143" s="232">
        <v>45114</v>
      </c>
      <c r="C4143" s="316" t="s">
        <v>12431</v>
      </c>
      <c r="D4143" s="69">
        <v>314</v>
      </c>
      <c r="E4143" s="69"/>
      <c r="H4143" t="s">
        <v>1336</v>
      </c>
    </row>
    <row r="4144" spans="1:8" hidden="1">
      <c r="A4144" s="232">
        <v>45114</v>
      </c>
      <c r="C4144" s="316" t="s">
        <v>12432</v>
      </c>
      <c r="D4144" s="69">
        <v>3915</v>
      </c>
      <c r="E4144" s="69"/>
      <c r="H4144" t="s">
        <v>1336</v>
      </c>
    </row>
    <row r="4145" spans="1:8" hidden="1">
      <c r="A4145" s="232">
        <v>45114</v>
      </c>
      <c r="C4145" s="316" t="s">
        <v>12433</v>
      </c>
      <c r="D4145" s="69">
        <v>2233</v>
      </c>
      <c r="E4145" s="69"/>
      <c r="H4145" t="s">
        <v>1336</v>
      </c>
    </row>
    <row r="4146" spans="1:8" hidden="1">
      <c r="A4146" s="232">
        <v>45114</v>
      </c>
      <c r="C4146" s="316" t="s">
        <v>12434</v>
      </c>
      <c r="D4146" s="69">
        <v>5000</v>
      </c>
      <c r="E4146" s="69"/>
      <c r="H4146" t="s">
        <v>1336</v>
      </c>
    </row>
    <row r="4147" spans="1:8" hidden="1">
      <c r="A4147" s="232">
        <v>45114</v>
      </c>
      <c r="C4147" s="316" t="s">
        <v>12435</v>
      </c>
      <c r="D4147" s="69">
        <v>2500</v>
      </c>
      <c r="E4147" s="69"/>
      <c r="H4147" t="s">
        <v>1336</v>
      </c>
    </row>
    <row r="4148" spans="1:8" hidden="1">
      <c r="A4148" s="232">
        <v>45115</v>
      </c>
      <c r="C4148" s="316" t="s">
        <v>12436</v>
      </c>
      <c r="D4148" s="69">
        <v>775</v>
      </c>
      <c r="E4148" s="69"/>
      <c r="G4148" s="8" t="s">
        <v>1372</v>
      </c>
      <c r="H4148" t="s">
        <v>1336</v>
      </c>
    </row>
    <row r="4149" spans="1:8" hidden="1">
      <c r="A4149" s="232">
        <v>45115</v>
      </c>
      <c r="C4149" s="316" t="s">
        <v>12437</v>
      </c>
      <c r="D4149" s="69">
        <v>3008.08</v>
      </c>
      <c r="E4149" s="69"/>
      <c r="H4149" t="s">
        <v>1336</v>
      </c>
    </row>
    <row r="4150" spans="1:8" hidden="1">
      <c r="A4150" s="232">
        <v>45115</v>
      </c>
      <c r="C4150" s="316" t="s">
        <v>12438</v>
      </c>
      <c r="D4150" s="69">
        <v>14</v>
      </c>
      <c r="E4150" s="69"/>
      <c r="H4150" t="s">
        <v>1336</v>
      </c>
    </row>
    <row r="4151" spans="1:8" hidden="1">
      <c r="A4151" s="232">
        <v>45116</v>
      </c>
      <c r="C4151" s="316" t="s">
        <v>12439</v>
      </c>
      <c r="D4151" s="69">
        <v>750</v>
      </c>
      <c r="E4151" s="69"/>
      <c r="G4151" s="8" t="s">
        <v>1372</v>
      </c>
      <c r="H4151" t="s">
        <v>1336</v>
      </c>
    </row>
    <row r="4152" spans="1:8" hidden="1">
      <c r="A4152" s="232">
        <v>45116</v>
      </c>
      <c r="C4152" s="316" t="s">
        <v>12440</v>
      </c>
      <c r="D4152" s="69">
        <v>1000</v>
      </c>
      <c r="E4152" s="69"/>
      <c r="G4152" s="8" t="s">
        <v>1372</v>
      </c>
      <c r="H4152" t="s">
        <v>1336</v>
      </c>
    </row>
    <row r="4153" spans="1:8" hidden="1">
      <c r="A4153" s="232">
        <v>45116</v>
      </c>
      <c r="C4153" s="316" t="s">
        <v>12441</v>
      </c>
      <c r="D4153" s="69">
        <v>372</v>
      </c>
      <c r="E4153" s="69"/>
      <c r="H4153" t="s">
        <v>1336</v>
      </c>
    </row>
    <row r="4154" spans="1:8" hidden="1">
      <c r="A4154" s="232">
        <v>45116</v>
      </c>
      <c r="C4154" s="316" t="s">
        <v>12442</v>
      </c>
      <c r="D4154" s="69">
        <v>494</v>
      </c>
      <c r="E4154" s="69"/>
      <c r="H4154" t="s">
        <v>1336</v>
      </c>
    </row>
    <row r="4155" spans="1:8" hidden="1">
      <c r="A4155" s="232">
        <v>45117</v>
      </c>
      <c r="C4155" s="316" t="s">
        <v>12443</v>
      </c>
      <c r="D4155" s="69">
        <v>750</v>
      </c>
      <c r="E4155" s="69"/>
      <c r="G4155" s="8" t="s">
        <v>1372</v>
      </c>
      <c r="H4155" t="s">
        <v>1336</v>
      </c>
    </row>
    <row r="4156" spans="1:8" hidden="1">
      <c r="A4156" s="232">
        <v>45117</v>
      </c>
      <c r="C4156" s="316" t="s">
        <v>12444</v>
      </c>
      <c r="D4156" s="69">
        <v>1000</v>
      </c>
      <c r="E4156" s="69"/>
      <c r="G4156" s="8" t="s">
        <v>1372</v>
      </c>
      <c r="H4156" t="s">
        <v>1336</v>
      </c>
    </row>
    <row r="4157" spans="1:8" hidden="1">
      <c r="A4157" s="232">
        <v>45117</v>
      </c>
      <c r="C4157" s="316" t="s">
        <v>12445</v>
      </c>
      <c r="D4157" s="69">
        <v>1250</v>
      </c>
      <c r="E4157" s="69"/>
      <c r="G4157" s="8" t="s">
        <v>1372</v>
      </c>
      <c r="H4157" t="s">
        <v>1336</v>
      </c>
    </row>
    <row r="4158" spans="1:8" hidden="1">
      <c r="A4158" s="232">
        <v>45117</v>
      </c>
      <c r="C4158" s="316" t="s">
        <v>12446</v>
      </c>
      <c r="D4158" s="69">
        <v>1200</v>
      </c>
      <c r="E4158" s="69"/>
      <c r="H4158" t="s">
        <v>1336</v>
      </c>
    </row>
    <row r="4159" spans="1:8" hidden="1">
      <c r="A4159" s="232">
        <v>45117</v>
      </c>
      <c r="C4159" s="316" t="s">
        <v>12447</v>
      </c>
      <c r="D4159" s="69">
        <v>1868</v>
      </c>
      <c r="E4159" s="69"/>
      <c r="H4159" t="s">
        <v>1336</v>
      </c>
    </row>
    <row r="4160" spans="1:8" hidden="1">
      <c r="A4160" s="232">
        <v>45118</v>
      </c>
      <c r="C4160" s="316" t="s">
        <v>12448</v>
      </c>
      <c r="D4160" s="69">
        <v>1250</v>
      </c>
      <c r="E4160" s="69"/>
      <c r="G4160" s="8" t="s">
        <v>1372</v>
      </c>
      <c r="H4160" t="s">
        <v>1336</v>
      </c>
    </row>
    <row r="4161" spans="1:8" hidden="1">
      <c r="A4161" s="232">
        <v>45118</v>
      </c>
      <c r="C4161" s="316" t="s">
        <v>12449</v>
      </c>
      <c r="D4161" s="69">
        <v>345</v>
      </c>
      <c r="E4161" s="69"/>
      <c r="H4161" t="s">
        <v>1336</v>
      </c>
    </row>
    <row r="4162" spans="1:8" hidden="1">
      <c r="A4162" s="232">
        <v>45119</v>
      </c>
      <c r="C4162" s="316" t="s">
        <v>12450</v>
      </c>
      <c r="D4162" s="69">
        <v>1000</v>
      </c>
      <c r="E4162" s="69"/>
      <c r="G4162" s="8" t="s">
        <v>1372</v>
      </c>
      <c r="H4162" t="s">
        <v>1336</v>
      </c>
    </row>
    <row r="4163" spans="1:8" hidden="1">
      <c r="A4163" s="232">
        <v>45119</v>
      </c>
      <c r="C4163" s="316" t="s">
        <v>12451</v>
      </c>
      <c r="D4163" s="69">
        <v>1204</v>
      </c>
      <c r="E4163" s="69"/>
      <c r="H4163" t="s">
        <v>1336</v>
      </c>
    </row>
    <row r="4164" spans="1:8" hidden="1">
      <c r="A4164" s="232">
        <v>45120</v>
      </c>
      <c r="C4164" s="316" t="s">
        <v>12452</v>
      </c>
      <c r="D4164" s="69">
        <v>775</v>
      </c>
      <c r="E4164" s="69"/>
      <c r="G4164" s="8" t="s">
        <v>1372</v>
      </c>
      <c r="H4164" t="s">
        <v>1336</v>
      </c>
    </row>
    <row r="4165" spans="1:8" hidden="1">
      <c r="A4165" s="232">
        <v>45120</v>
      </c>
      <c r="C4165" s="316" t="s">
        <v>12453</v>
      </c>
      <c r="D4165" s="69">
        <v>1000</v>
      </c>
      <c r="E4165" s="69"/>
      <c r="G4165" s="8" t="s">
        <v>1372</v>
      </c>
      <c r="H4165" t="s">
        <v>1336</v>
      </c>
    </row>
    <row r="4166" spans="1:8" hidden="1">
      <c r="A4166" s="232">
        <v>45120</v>
      </c>
      <c r="C4166" s="316" t="s">
        <v>12454</v>
      </c>
      <c r="D4166" s="69">
        <v>1341.75</v>
      </c>
      <c r="E4166" s="69"/>
      <c r="H4166" t="s">
        <v>1336</v>
      </c>
    </row>
    <row r="4167" spans="1:8" hidden="1">
      <c r="A4167" s="232">
        <v>45120</v>
      </c>
      <c r="C4167" s="316" t="s">
        <v>12455</v>
      </c>
      <c r="E4167" s="69">
        <v>115</v>
      </c>
      <c r="H4167" t="s">
        <v>1336</v>
      </c>
    </row>
    <row r="4168" spans="1:8" hidden="1">
      <c r="A4168" s="232">
        <v>45120</v>
      </c>
      <c r="C4168" s="316" t="s">
        <v>8664</v>
      </c>
      <c r="E4168" s="69">
        <v>1000</v>
      </c>
      <c r="H4168" t="s">
        <v>1336</v>
      </c>
    </row>
    <row r="4169" spans="1:8" hidden="1">
      <c r="A4169" s="232">
        <v>45121</v>
      </c>
      <c r="C4169" s="316" t="s">
        <v>12456</v>
      </c>
      <c r="D4169" s="69">
        <v>1000</v>
      </c>
      <c r="E4169" s="69"/>
      <c r="G4169" s="8" t="s">
        <v>1372</v>
      </c>
      <c r="H4169" t="s">
        <v>1336</v>
      </c>
    </row>
    <row r="4170" spans="1:8" hidden="1">
      <c r="A4170" s="232">
        <v>45121</v>
      </c>
      <c r="C4170" s="316" t="s">
        <v>12457</v>
      </c>
      <c r="D4170" s="69">
        <v>800</v>
      </c>
      <c r="E4170" s="69"/>
      <c r="G4170" s="8" t="s">
        <v>1372</v>
      </c>
      <c r="H4170" t="s">
        <v>1336</v>
      </c>
    </row>
    <row r="4171" spans="1:8" hidden="1">
      <c r="A4171" s="232">
        <v>45121</v>
      </c>
      <c r="C4171" s="316" t="s">
        <v>12458</v>
      </c>
      <c r="D4171" s="69">
        <v>777</v>
      </c>
      <c r="E4171" s="69"/>
      <c r="H4171" t="s">
        <v>1336</v>
      </c>
    </row>
    <row r="4172" spans="1:8" hidden="1">
      <c r="A4172" s="232">
        <v>45122</v>
      </c>
      <c r="C4172" s="316" t="s">
        <v>12459</v>
      </c>
      <c r="D4172" s="69">
        <v>195</v>
      </c>
      <c r="E4172" s="69"/>
      <c r="H4172" t="s">
        <v>1336</v>
      </c>
    </row>
    <row r="4173" spans="1:8" hidden="1">
      <c r="A4173" s="232">
        <v>45123</v>
      </c>
      <c r="C4173" s="316" t="s">
        <v>12460</v>
      </c>
      <c r="D4173" s="69">
        <v>1000</v>
      </c>
      <c r="E4173" s="69"/>
      <c r="G4173" s="8" t="s">
        <v>1372</v>
      </c>
      <c r="H4173" t="s">
        <v>1336</v>
      </c>
    </row>
    <row r="4174" spans="1:8" hidden="1">
      <c r="A4174" s="232">
        <v>45123</v>
      </c>
      <c r="C4174" s="316" t="s">
        <v>12461</v>
      </c>
      <c r="D4174" s="69">
        <v>2551</v>
      </c>
      <c r="E4174" s="69"/>
      <c r="H4174" t="s">
        <v>1336</v>
      </c>
    </row>
    <row r="4175" spans="1:8" hidden="1">
      <c r="A4175" s="232">
        <v>45123</v>
      </c>
      <c r="C4175" s="316" t="s">
        <v>12462</v>
      </c>
      <c r="E4175" s="69">
        <v>412</v>
      </c>
      <c r="H4175" t="s">
        <v>1336</v>
      </c>
    </row>
    <row r="4176" spans="1:8" hidden="1">
      <c r="A4176" s="232">
        <v>45124</v>
      </c>
      <c r="C4176" s="316" t="s">
        <v>12463</v>
      </c>
      <c r="D4176" s="69">
        <v>1250</v>
      </c>
      <c r="E4176" s="69"/>
      <c r="G4176" s="8" t="s">
        <v>1372</v>
      </c>
      <c r="H4176" t="s">
        <v>1336</v>
      </c>
    </row>
    <row r="4177" spans="1:8" hidden="1">
      <c r="A4177" s="232">
        <v>45124</v>
      </c>
      <c r="C4177" s="316" t="s">
        <v>12464</v>
      </c>
      <c r="D4177" s="69">
        <v>1250</v>
      </c>
      <c r="E4177" s="69"/>
      <c r="G4177" s="8" t="s">
        <v>1372</v>
      </c>
      <c r="H4177" t="s">
        <v>1336</v>
      </c>
    </row>
    <row r="4178" spans="1:8" hidden="1">
      <c r="A4178" s="232">
        <v>45124</v>
      </c>
      <c r="C4178" s="316" t="s">
        <v>12465</v>
      </c>
      <c r="D4178" s="69">
        <v>750</v>
      </c>
      <c r="E4178" s="69"/>
      <c r="G4178" s="8" t="s">
        <v>1372</v>
      </c>
      <c r="H4178" t="s">
        <v>1336</v>
      </c>
    </row>
    <row r="4179" spans="1:8" hidden="1">
      <c r="A4179" s="232">
        <v>45124</v>
      </c>
      <c r="C4179" s="316" t="s">
        <v>12466</v>
      </c>
      <c r="D4179" s="69">
        <v>750</v>
      </c>
      <c r="E4179" s="69"/>
      <c r="G4179" s="8" t="s">
        <v>1372</v>
      </c>
      <c r="H4179" t="s">
        <v>1336</v>
      </c>
    </row>
    <row r="4180" spans="1:8" hidden="1">
      <c r="A4180" s="232">
        <v>45124</v>
      </c>
      <c r="C4180" s="316" t="s">
        <v>12467</v>
      </c>
      <c r="D4180" s="69">
        <v>3800</v>
      </c>
      <c r="E4180" s="69"/>
      <c r="H4180" t="s">
        <v>1336</v>
      </c>
    </row>
    <row r="4181" spans="1:8" hidden="1">
      <c r="A4181" s="232">
        <v>45124</v>
      </c>
      <c r="C4181" s="316" t="s">
        <v>12468</v>
      </c>
      <c r="D4181" s="69">
        <v>780</v>
      </c>
      <c r="E4181" s="69"/>
      <c r="H4181" t="s">
        <v>1336</v>
      </c>
    </row>
    <row r="4182" spans="1:8" hidden="1">
      <c r="A4182" s="232">
        <v>45124</v>
      </c>
      <c r="C4182" s="316" t="s">
        <v>12469</v>
      </c>
      <c r="D4182" s="69">
        <v>450</v>
      </c>
      <c r="E4182" s="69"/>
      <c r="H4182" t="s">
        <v>1336</v>
      </c>
    </row>
    <row r="4183" spans="1:8" hidden="1">
      <c r="A4183" s="232">
        <v>45124</v>
      </c>
      <c r="C4183" s="316" t="s">
        <v>12470</v>
      </c>
      <c r="D4183" s="69">
        <v>310</v>
      </c>
      <c r="E4183" s="69"/>
      <c r="H4183" t="s">
        <v>1336</v>
      </c>
    </row>
    <row r="4184" spans="1:8" hidden="1">
      <c r="A4184" s="232">
        <v>45125</v>
      </c>
      <c r="C4184" s="316" t="s">
        <v>12471</v>
      </c>
      <c r="D4184" s="69">
        <v>1000</v>
      </c>
      <c r="E4184" s="69"/>
      <c r="G4184" s="8" t="s">
        <v>1372</v>
      </c>
      <c r="H4184" t="s">
        <v>1336</v>
      </c>
    </row>
    <row r="4185" spans="1:8" hidden="1">
      <c r="A4185" s="232">
        <v>45125</v>
      </c>
      <c r="C4185" s="316" t="s">
        <v>12472</v>
      </c>
      <c r="D4185" s="69">
        <v>162060</v>
      </c>
      <c r="E4185" s="69"/>
      <c r="H4185" t="s">
        <v>1336</v>
      </c>
    </row>
    <row r="4186" spans="1:8" hidden="1">
      <c r="A4186" s="232">
        <v>45126</v>
      </c>
      <c r="C4186" s="316" t="s">
        <v>12473</v>
      </c>
      <c r="D4186" s="69">
        <v>750</v>
      </c>
      <c r="E4186" s="69"/>
      <c r="G4186" s="8" t="s">
        <v>1372</v>
      </c>
      <c r="H4186" t="s">
        <v>1336</v>
      </c>
    </row>
    <row r="4187" spans="1:8" hidden="1">
      <c r="A4187" s="232">
        <v>45126</v>
      </c>
      <c r="C4187" s="316" t="s">
        <v>12474</v>
      </c>
      <c r="D4187" s="69">
        <v>1000</v>
      </c>
      <c r="E4187" s="69"/>
      <c r="G4187" s="8" t="s">
        <v>1372</v>
      </c>
      <c r="H4187" t="s">
        <v>1336</v>
      </c>
    </row>
    <row r="4188" spans="1:8" hidden="1">
      <c r="A4188" s="232">
        <v>45127</v>
      </c>
      <c r="C4188" s="316" t="s">
        <v>12475</v>
      </c>
      <c r="D4188" s="69">
        <v>775</v>
      </c>
      <c r="E4188" s="69"/>
      <c r="G4188" s="8" t="s">
        <v>1372</v>
      </c>
      <c r="H4188" t="s">
        <v>1336</v>
      </c>
    </row>
    <row r="4189" spans="1:8" hidden="1">
      <c r="A4189" s="232">
        <v>45127</v>
      </c>
      <c r="C4189" s="316" t="s">
        <v>12476</v>
      </c>
      <c r="D4189" s="69">
        <v>1000</v>
      </c>
      <c r="E4189" s="69"/>
      <c r="G4189" s="8" t="s">
        <v>1372</v>
      </c>
      <c r="H4189" t="s">
        <v>1336</v>
      </c>
    </row>
    <row r="4190" spans="1:8" hidden="1">
      <c r="A4190" s="232">
        <v>45127</v>
      </c>
      <c r="C4190" s="316" t="s">
        <v>12477</v>
      </c>
      <c r="D4190" s="69">
        <v>229</v>
      </c>
      <c r="E4190" s="69"/>
      <c r="H4190" t="s">
        <v>1336</v>
      </c>
    </row>
    <row r="4191" spans="1:8" hidden="1">
      <c r="A4191" s="232">
        <v>45127</v>
      </c>
      <c r="C4191" s="316" t="s">
        <v>12478</v>
      </c>
      <c r="D4191" s="69">
        <v>1741</v>
      </c>
      <c r="E4191" s="69"/>
      <c r="H4191" t="s">
        <v>1336</v>
      </c>
    </row>
    <row r="4192" spans="1:8" hidden="1">
      <c r="A4192" s="232">
        <v>45128</v>
      </c>
      <c r="C4192" s="316" t="s">
        <v>12479</v>
      </c>
      <c r="D4192" s="69">
        <v>750</v>
      </c>
      <c r="E4192" s="69"/>
      <c r="G4192" s="8" t="s">
        <v>1372</v>
      </c>
      <c r="H4192" t="s">
        <v>1336</v>
      </c>
    </row>
    <row r="4193" spans="1:8" hidden="1">
      <c r="A4193" s="232">
        <v>45128</v>
      </c>
      <c r="C4193" s="316" t="s">
        <v>12480</v>
      </c>
      <c r="D4193" s="69">
        <v>1000</v>
      </c>
      <c r="E4193" s="69"/>
      <c r="G4193" s="8" t="s">
        <v>1372</v>
      </c>
      <c r="H4193" t="s">
        <v>1336</v>
      </c>
    </row>
    <row r="4194" spans="1:8" hidden="1">
      <c r="A4194" s="232">
        <v>45128</v>
      </c>
      <c r="C4194" s="316" t="s">
        <v>12481</v>
      </c>
      <c r="D4194" s="69">
        <v>1000</v>
      </c>
      <c r="E4194" s="69"/>
      <c r="G4194" s="8" t="s">
        <v>1372</v>
      </c>
      <c r="H4194" t="s">
        <v>1336</v>
      </c>
    </row>
    <row r="4195" spans="1:8" hidden="1">
      <c r="A4195" s="232">
        <v>45128</v>
      </c>
      <c r="C4195" s="316" t="s">
        <v>12482</v>
      </c>
      <c r="D4195" s="69">
        <v>432</v>
      </c>
      <c r="E4195" s="69"/>
      <c r="H4195" t="s">
        <v>1336</v>
      </c>
    </row>
    <row r="4196" spans="1:8" hidden="1">
      <c r="A4196" s="232">
        <v>45128</v>
      </c>
      <c r="C4196" s="316" t="s">
        <v>12483</v>
      </c>
      <c r="E4196" s="69">
        <v>3008</v>
      </c>
      <c r="H4196" t="s">
        <v>1336</v>
      </c>
    </row>
    <row r="4197" spans="1:8" hidden="1">
      <c r="A4197" s="232">
        <v>45129</v>
      </c>
      <c r="C4197" s="316" t="s">
        <v>12484</v>
      </c>
      <c r="D4197" s="69">
        <v>552.73</v>
      </c>
      <c r="E4197" s="69"/>
      <c r="H4197" t="s">
        <v>1336</v>
      </c>
    </row>
    <row r="4198" spans="1:8" hidden="1">
      <c r="A4198" s="232">
        <v>45129</v>
      </c>
      <c r="C4198" s="316" t="s">
        <v>12485</v>
      </c>
      <c r="D4198" s="69">
        <v>750</v>
      </c>
      <c r="E4198" s="69"/>
      <c r="G4198" s="8" t="s">
        <v>1372</v>
      </c>
      <c r="H4198" t="s">
        <v>1336</v>
      </c>
    </row>
    <row r="4199" spans="1:8" hidden="1">
      <c r="A4199" s="232">
        <v>45129</v>
      </c>
      <c r="C4199" s="316" t="s">
        <v>12486</v>
      </c>
      <c r="D4199" s="69">
        <v>569</v>
      </c>
      <c r="E4199" s="69"/>
      <c r="H4199" t="s">
        <v>1336</v>
      </c>
    </row>
    <row r="4200" spans="1:8" hidden="1">
      <c r="A4200" s="232">
        <v>45130</v>
      </c>
      <c r="C4200" s="316" t="s">
        <v>12487</v>
      </c>
      <c r="D4200" s="69">
        <v>750</v>
      </c>
      <c r="E4200" s="69"/>
      <c r="G4200" s="8" t="s">
        <v>1372</v>
      </c>
      <c r="H4200" t="s">
        <v>1336</v>
      </c>
    </row>
    <row r="4201" spans="1:8" hidden="1">
      <c r="A4201" s="232">
        <v>45130</v>
      </c>
      <c r="C4201" s="316" t="s">
        <v>12488</v>
      </c>
      <c r="D4201" s="69">
        <v>120</v>
      </c>
      <c r="E4201" s="69"/>
      <c r="H4201" t="s">
        <v>1336</v>
      </c>
    </row>
    <row r="4202" spans="1:8" hidden="1">
      <c r="A4202" s="232">
        <v>45130</v>
      </c>
      <c r="C4202" s="316" t="s">
        <v>12489</v>
      </c>
      <c r="D4202" s="69">
        <v>60</v>
      </c>
      <c r="E4202" s="69"/>
      <c r="H4202" t="s">
        <v>1336</v>
      </c>
    </row>
    <row r="4203" spans="1:8" hidden="1">
      <c r="A4203" s="232">
        <v>45130</v>
      </c>
      <c r="C4203" s="316" t="s">
        <v>12490</v>
      </c>
      <c r="D4203" s="69">
        <v>30</v>
      </c>
      <c r="E4203" s="69"/>
      <c r="H4203" t="s">
        <v>1336</v>
      </c>
    </row>
    <row r="4204" spans="1:8" hidden="1">
      <c r="A4204" s="232">
        <v>45130</v>
      </c>
      <c r="C4204" s="316" t="s">
        <v>12491</v>
      </c>
      <c r="D4204" s="69">
        <v>971</v>
      </c>
      <c r="E4204" s="69"/>
      <c r="H4204" t="s">
        <v>1336</v>
      </c>
    </row>
    <row r="4205" spans="1:8" hidden="1">
      <c r="A4205" s="232">
        <v>45131</v>
      </c>
      <c r="C4205" s="316" t="s">
        <v>12492</v>
      </c>
      <c r="D4205" s="69">
        <v>1000</v>
      </c>
      <c r="E4205" s="69"/>
      <c r="G4205" s="8" t="s">
        <v>1372</v>
      </c>
      <c r="H4205" t="s">
        <v>1336</v>
      </c>
    </row>
    <row r="4206" spans="1:8" hidden="1">
      <c r="A4206" s="232">
        <v>45132</v>
      </c>
      <c r="C4206" s="316" t="s">
        <v>12493</v>
      </c>
      <c r="D4206" s="69">
        <v>812.99</v>
      </c>
      <c r="E4206" s="69"/>
      <c r="H4206" t="s">
        <v>1336</v>
      </c>
    </row>
    <row r="4207" spans="1:8" hidden="1">
      <c r="A4207" s="232">
        <v>45132</v>
      </c>
      <c r="C4207" s="316" t="s">
        <v>12494</v>
      </c>
      <c r="D4207" s="69">
        <v>750</v>
      </c>
      <c r="E4207" s="69"/>
      <c r="G4207" s="8" t="s">
        <v>1372</v>
      </c>
      <c r="H4207" t="s">
        <v>1336</v>
      </c>
    </row>
    <row r="4208" spans="1:8" hidden="1">
      <c r="A4208" s="232">
        <v>45132</v>
      </c>
      <c r="C4208" s="316" t="s">
        <v>12495</v>
      </c>
      <c r="E4208" s="69">
        <v>294950</v>
      </c>
      <c r="G4208" s="8" t="s">
        <v>1380</v>
      </c>
      <c r="H4208" t="s">
        <v>1336</v>
      </c>
    </row>
    <row r="4209" spans="1:8" hidden="1">
      <c r="A4209" s="232">
        <v>45132</v>
      </c>
      <c r="C4209" s="316" t="s">
        <v>12496</v>
      </c>
      <c r="D4209" s="69">
        <v>25000</v>
      </c>
      <c r="E4209" s="69"/>
      <c r="G4209" s="8" t="s">
        <v>1358</v>
      </c>
      <c r="H4209" t="s">
        <v>1336</v>
      </c>
    </row>
    <row r="4210" spans="1:8" hidden="1">
      <c r="A4210" s="232">
        <v>45132</v>
      </c>
      <c r="C4210" s="316" t="s">
        <v>12497</v>
      </c>
      <c r="D4210" s="69">
        <v>13900</v>
      </c>
      <c r="E4210" s="69"/>
      <c r="G4210" s="8" t="s">
        <v>1379</v>
      </c>
      <c r="H4210" t="s">
        <v>1336</v>
      </c>
    </row>
    <row r="4211" spans="1:8" hidden="1">
      <c r="A4211" s="232">
        <v>45133</v>
      </c>
      <c r="C4211" s="316" t="s">
        <v>12498</v>
      </c>
      <c r="D4211" s="69">
        <v>1000</v>
      </c>
      <c r="E4211" s="69"/>
      <c r="G4211" s="8" t="s">
        <v>1372</v>
      </c>
      <c r="H4211" t="s">
        <v>1336</v>
      </c>
    </row>
    <row r="4212" spans="1:8" hidden="1">
      <c r="A4212" s="232">
        <v>45133</v>
      </c>
      <c r="C4212" s="316" t="s">
        <v>12499</v>
      </c>
      <c r="D4212" s="69">
        <v>1099</v>
      </c>
      <c r="E4212" s="69"/>
      <c r="H4212" t="s">
        <v>1336</v>
      </c>
    </row>
    <row r="4213" spans="1:8" hidden="1">
      <c r="A4213" s="232">
        <v>45134</v>
      </c>
      <c r="C4213" s="316" t="s">
        <v>12500</v>
      </c>
      <c r="D4213" s="69">
        <v>1000</v>
      </c>
      <c r="E4213" s="69"/>
      <c r="G4213" s="8" t="s">
        <v>1372</v>
      </c>
      <c r="H4213" t="s">
        <v>1336</v>
      </c>
    </row>
    <row r="4214" spans="1:8" hidden="1">
      <c r="A4214" s="232">
        <v>45135</v>
      </c>
      <c r="C4214" s="316" t="s">
        <v>12501</v>
      </c>
      <c r="D4214" s="69">
        <v>800</v>
      </c>
      <c r="E4214" s="69"/>
      <c r="G4214" s="8" t="s">
        <v>1372</v>
      </c>
      <c r="H4214" t="s">
        <v>1336</v>
      </c>
    </row>
    <row r="4215" spans="1:8" hidden="1">
      <c r="A4215" s="232">
        <v>45135</v>
      </c>
      <c r="C4215" s="316" t="s">
        <v>12502</v>
      </c>
      <c r="D4215" s="69">
        <v>100000</v>
      </c>
      <c r="E4215" s="69"/>
      <c r="G4215" s="8" t="s">
        <v>1363</v>
      </c>
      <c r="H4215" t="s">
        <v>1336</v>
      </c>
    </row>
    <row r="4216" spans="1:8" hidden="1">
      <c r="A4216" s="232">
        <v>45135</v>
      </c>
      <c r="C4216" s="316" t="s">
        <v>12503</v>
      </c>
      <c r="D4216" s="69">
        <v>500</v>
      </c>
      <c r="E4216" s="69"/>
      <c r="H4216" t="s">
        <v>1336</v>
      </c>
    </row>
    <row r="4217" spans="1:8" hidden="1">
      <c r="A4217" s="232">
        <v>45135</v>
      </c>
      <c r="C4217" s="316" t="s">
        <v>12504</v>
      </c>
      <c r="E4217" s="69">
        <v>1741</v>
      </c>
      <c r="H4217" t="s">
        <v>1336</v>
      </c>
    </row>
    <row r="4218" spans="1:8" hidden="1">
      <c r="A4218" s="232">
        <v>45136</v>
      </c>
      <c r="C4218" s="316" t="s">
        <v>12505</v>
      </c>
      <c r="E4218" s="69">
        <v>450</v>
      </c>
      <c r="H4218" t="s">
        <v>1336</v>
      </c>
    </row>
    <row r="4219" spans="1:8" hidden="1">
      <c r="A4219" s="232">
        <v>45136</v>
      </c>
      <c r="C4219" s="316" t="s">
        <v>12506</v>
      </c>
      <c r="E4219" s="69">
        <v>450</v>
      </c>
      <c r="H4219" t="s">
        <v>1336</v>
      </c>
    </row>
    <row r="4220" spans="1:8" hidden="1">
      <c r="A4220" s="232">
        <v>45138</v>
      </c>
      <c r="C4220" s="316" t="s">
        <v>12507</v>
      </c>
      <c r="D4220" s="69">
        <v>7372</v>
      </c>
      <c r="E4220" s="69"/>
      <c r="H4220" t="s">
        <v>1336</v>
      </c>
    </row>
    <row r="4221" spans="1:8" hidden="1">
      <c r="A4221" s="232">
        <v>45145</v>
      </c>
      <c r="C4221" t="s">
        <v>12525</v>
      </c>
      <c r="D4221" s="69">
        <v>0</v>
      </c>
      <c r="E4221" s="69">
        <v>9772.36</v>
      </c>
      <c r="G4221" s="8" t="s">
        <v>1375</v>
      </c>
      <c r="H4221" t="s">
        <v>1050</v>
      </c>
    </row>
    <row r="4222" spans="1:8" hidden="1">
      <c r="A4222" s="232">
        <v>45148</v>
      </c>
      <c r="C4222" t="s">
        <v>6145</v>
      </c>
      <c r="D4222" s="69">
        <v>2300</v>
      </c>
      <c r="E4222" s="69">
        <v>0</v>
      </c>
      <c r="G4222" s="8" t="s">
        <v>1362</v>
      </c>
      <c r="H4222" t="s">
        <v>1050</v>
      </c>
    </row>
    <row r="4223" spans="1:8" hidden="1">
      <c r="A4223" s="232">
        <v>45159</v>
      </c>
      <c r="C4223" t="s">
        <v>12526</v>
      </c>
      <c r="D4223" s="69">
        <v>41667</v>
      </c>
      <c r="E4223" s="69">
        <v>0</v>
      </c>
      <c r="G4223" s="8" t="s">
        <v>1381</v>
      </c>
      <c r="H4223" t="s">
        <v>1050</v>
      </c>
    </row>
    <row r="4224" spans="1:8" hidden="1">
      <c r="A4224" s="232">
        <v>45166</v>
      </c>
      <c r="C4224" t="s">
        <v>12527</v>
      </c>
      <c r="D4224" s="69">
        <v>25000</v>
      </c>
      <c r="E4224" s="69">
        <v>0</v>
      </c>
      <c r="G4224" s="8" t="s">
        <v>1381</v>
      </c>
      <c r="H4224" t="s">
        <v>1050</v>
      </c>
    </row>
    <row r="4225" spans="1:8" hidden="1">
      <c r="A4225" s="232">
        <v>45166</v>
      </c>
      <c r="C4225" t="s">
        <v>12528</v>
      </c>
      <c r="D4225" s="69">
        <v>199</v>
      </c>
      <c r="E4225" s="69">
        <v>0</v>
      </c>
      <c r="H4225" t="s">
        <v>1050</v>
      </c>
    </row>
    <row r="4226" spans="1:8" hidden="1">
      <c r="A4226" s="232">
        <v>45139</v>
      </c>
      <c r="C4226" s="316" t="s">
        <v>12529</v>
      </c>
      <c r="D4226" s="318">
        <v>1000</v>
      </c>
      <c r="E4226" s="318"/>
      <c r="G4226" s="8" t="s">
        <v>1372</v>
      </c>
      <c r="H4226" t="s">
        <v>1336</v>
      </c>
    </row>
    <row r="4227" spans="1:8" hidden="1">
      <c r="A4227" s="232">
        <v>45139</v>
      </c>
      <c r="C4227" s="316" t="s">
        <v>12530</v>
      </c>
      <c r="D4227" s="318">
        <v>1250</v>
      </c>
      <c r="E4227" s="318"/>
      <c r="G4227" s="8" t="s">
        <v>1372</v>
      </c>
      <c r="H4227" t="s">
        <v>1336</v>
      </c>
    </row>
    <row r="4228" spans="1:8" hidden="1">
      <c r="A4228" s="232">
        <v>45140</v>
      </c>
      <c r="C4228" s="316" t="s">
        <v>12531</v>
      </c>
      <c r="D4228" s="318">
        <v>1000</v>
      </c>
      <c r="E4228" s="318"/>
      <c r="G4228" s="8" t="s">
        <v>1372</v>
      </c>
      <c r="H4228" t="s">
        <v>1336</v>
      </c>
    </row>
    <row r="4229" spans="1:8" hidden="1">
      <c r="A4229" s="232">
        <v>45140</v>
      </c>
      <c r="C4229" s="316" t="s">
        <v>12532</v>
      </c>
      <c r="D4229" s="318">
        <v>1250</v>
      </c>
      <c r="E4229" s="318"/>
      <c r="G4229" s="8" t="s">
        <v>1372</v>
      </c>
      <c r="H4229" t="s">
        <v>1336</v>
      </c>
    </row>
    <row r="4230" spans="1:8" hidden="1">
      <c r="A4230" s="232">
        <v>45140</v>
      </c>
      <c r="C4230" s="316" t="s">
        <v>12533</v>
      </c>
      <c r="D4230" s="318">
        <v>2211</v>
      </c>
      <c r="E4230" s="318"/>
      <c r="H4230" t="s">
        <v>1336</v>
      </c>
    </row>
    <row r="4231" spans="1:8" hidden="1">
      <c r="A4231" s="232">
        <v>45141</v>
      </c>
      <c r="C4231" s="316" t="s">
        <v>12534</v>
      </c>
      <c r="D4231" s="318">
        <v>2500</v>
      </c>
      <c r="E4231" s="318"/>
      <c r="H4231" t="s">
        <v>1336</v>
      </c>
    </row>
    <row r="4232" spans="1:8" hidden="1">
      <c r="A4232" s="232">
        <v>45141</v>
      </c>
      <c r="C4232" s="316" t="s">
        <v>12535</v>
      </c>
      <c r="D4232" s="318">
        <v>5000</v>
      </c>
      <c r="E4232" s="318"/>
      <c r="H4232" t="s">
        <v>1336</v>
      </c>
    </row>
    <row r="4233" spans="1:8" hidden="1">
      <c r="A4233" s="232">
        <v>45141</v>
      </c>
      <c r="C4233" s="316" t="s">
        <v>12536</v>
      </c>
      <c r="D4233" s="318">
        <v>775</v>
      </c>
      <c r="E4233" s="318"/>
      <c r="G4233" s="8" t="s">
        <v>1372</v>
      </c>
      <c r="H4233" t="s">
        <v>1336</v>
      </c>
    </row>
    <row r="4234" spans="1:8" hidden="1">
      <c r="A4234" s="232">
        <v>45141</v>
      </c>
      <c r="C4234" s="316" t="s">
        <v>12537</v>
      </c>
      <c r="D4234" s="318">
        <v>1000</v>
      </c>
      <c r="E4234" s="318"/>
      <c r="G4234" s="8" t="s">
        <v>1372</v>
      </c>
      <c r="H4234" t="s">
        <v>1336</v>
      </c>
    </row>
    <row r="4235" spans="1:8" hidden="1">
      <c r="A4235" s="232">
        <v>45141</v>
      </c>
      <c r="C4235" s="316" t="s">
        <v>12538</v>
      </c>
      <c r="D4235" s="318">
        <v>1312.16</v>
      </c>
      <c r="E4235" s="318"/>
      <c r="H4235" t="s">
        <v>1336</v>
      </c>
    </row>
    <row r="4236" spans="1:8" hidden="1">
      <c r="A4236" s="232">
        <v>45141</v>
      </c>
      <c r="C4236" s="316" t="s">
        <v>12539</v>
      </c>
      <c r="D4236" s="318">
        <v>1192</v>
      </c>
      <c r="E4236" s="318"/>
      <c r="H4236" t="s">
        <v>1336</v>
      </c>
    </row>
    <row r="4237" spans="1:8" hidden="1">
      <c r="A4237" s="232">
        <v>45142</v>
      </c>
      <c r="C4237" s="316" t="s">
        <v>12540</v>
      </c>
      <c r="D4237" s="318">
        <v>750</v>
      </c>
      <c r="E4237" s="318"/>
      <c r="G4237" s="8" t="s">
        <v>1372</v>
      </c>
      <c r="H4237" t="s">
        <v>1336</v>
      </c>
    </row>
    <row r="4238" spans="1:8" hidden="1">
      <c r="A4238" s="232">
        <v>45142</v>
      </c>
      <c r="C4238" s="316" t="s">
        <v>12541</v>
      </c>
      <c r="D4238" s="318">
        <v>1895</v>
      </c>
      <c r="E4238" s="318"/>
      <c r="H4238" t="s">
        <v>1336</v>
      </c>
    </row>
    <row r="4239" spans="1:8" hidden="1">
      <c r="A4239" s="232">
        <v>45142</v>
      </c>
      <c r="C4239" s="316" t="s">
        <v>12542</v>
      </c>
      <c r="D4239" s="318"/>
      <c r="E4239" s="318">
        <v>295</v>
      </c>
      <c r="H4239" t="s">
        <v>1336</v>
      </c>
    </row>
    <row r="4240" spans="1:8" hidden="1">
      <c r="A4240" s="232">
        <v>45142</v>
      </c>
      <c r="C4240" s="316" t="s">
        <v>12543</v>
      </c>
      <c r="D4240" s="318"/>
      <c r="E4240" s="318">
        <v>820</v>
      </c>
      <c r="H4240" t="s">
        <v>1336</v>
      </c>
    </row>
    <row r="4241" spans="1:8" hidden="1">
      <c r="A4241" s="232">
        <v>45142</v>
      </c>
      <c r="C4241" s="316" t="s">
        <v>12544</v>
      </c>
      <c r="D4241" s="318">
        <v>62</v>
      </c>
      <c r="E4241" s="318"/>
      <c r="H4241" t="s">
        <v>1336</v>
      </c>
    </row>
    <row r="4242" spans="1:8" hidden="1">
      <c r="A4242" s="232">
        <v>45143</v>
      </c>
      <c r="C4242" s="316" t="s">
        <v>6583</v>
      </c>
      <c r="D4242" s="318">
        <v>23018</v>
      </c>
      <c r="E4242" s="318"/>
      <c r="G4242" s="8" t="s">
        <v>1362</v>
      </c>
      <c r="H4242" t="s">
        <v>1336</v>
      </c>
    </row>
    <row r="4243" spans="1:8" hidden="1">
      <c r="A4243" s="232">
        <v>45143</v>
      </c>
      <c r="C4243" s="316" t="s">
        <v>12545</v>
      </c>
      <c r="D4243" s="318">
        <v>1750</v>
      </c>
      <c r="E4243" s="318"/>
      <c r="H4243" t="s">
        <v>1336</v>
      </c>
    </row>
    <row r="4244" spans="1:8" hidden="1">
      <c r="A4244" s="232">
        <v>45143</v>
      </c>
      <c r="C4244" s="316" t="s">
        <v>12546</v>
      </c>
      <c r="D4244" s="318"/>
      <c r="E4244" s="318">
        <v>3</v>
      </c>
      <c r="H4244" t="s">
        <v>1336</v>
      </c>
    </row>
    <row r="4245" spans="1:8" hidden="1">
      <c r="A4245" s="232">
        <v>45143</v>
      </c>
      <c r="C4245" s="316" t="s">
        <v>12547</v>
      </c>
      <c r="D4245" s="318"/>
      <c r="E4245" s="318">
        <v>821</v>
      </c>
      <c r="H4245" t="s">
        <v>1336</v>
      </c>
    </row>
    <row r="4246" spans="1:8" hidden="1">
      <c r="A4246" s="232">
        <v>45144</v>
      </c>
      <c r="C4246" s="316" t="s">
        <v>12548</v>
      </c>
      <c r="D4246" s="318">
        <v>800</v>
      </c>
      <c r="E4246" s="318"/>
      <c r="G4246" s="8" t="s">
        <v>1372</v>
      </c>
      <c r="H4246" t="s">
        <v>1336</v>
      </c>
    </row>
    <row r="4247" spans="1:8" hidden="1">
      <c r="A4247" s="232">
        <v>45144</v>
      </c>
      <c r="C4247" s="316" t="s">
        <v>12549</v>
      </c>
      <c r="D4247" s="318">
        <v>1000</v>
      </c>
      <c r="E4247" s="318"/>
      <c r="G4247" s="8" t="s">
        <v>1372</v>
      </c>
      <c r="H4247" t="s">
        <v>1336</v>
      </c>
    </row>
    <row r="4248" spans="1:8" hidden="1">
      <c r="A4248" s="232">
        <v>45144</v>
      </c>
      <c r="C4248" s="316" t="s">
        <v>12550</v>
      </c>
      <c r="D4248" s="318"/>
      <c r="E4248" s="318">
        <v>820</v>
      </c>
      <c r="H4248" t="s">
        <v>1336</v>
      </c>
    </row>
    <row r="4249" spans="1:8" hidden="1">
      <c r="A4249" s="232">
        <v>45145</v>
      </c>
      <c r="C4249" s="316" t="s">
        <v>12551</v>
      </c>
      <c r="D4249" s="318">
        <v>1250</v>
      </c>
      <c r="E4249" s="318"/>
      <c r="G4249" s="8" t="s">
        <v>1372</v>
      </c>
      <c r="H4249" t="s">
        <v>1336</v>
      </c>
    </row>
    <row r="4250" spans="1:8" hidden="1">
      <c r="A4250" s="232">
        <v>45145</v>
      </c>
      <c r="C4250" s="316" t="s">
        <v>12552</v>
      </c>
      <c r="D4250" s="318">
        <v>1250</v>
      </c>
      <c r="E4250" s="318"/>
      <c r="G4250" s="8" t="s">
        <v>1372</v>
      </c>
      <c r="H4250" t="s">
        <v>1336</v>
      </c>
    </row>
    <row r="4251" spans="1:8" hidden="1">
      <c r="A4251" s="232">
        <v>45145</v>
      </c>
      <c r="C4251" s="316" t="s">
        <v>12553</v>
      </c>
      <c r="D4251" s="318">
        <v>1000</v>
      </c>
      <c r="E4251" s="318"/>
      <c r="G4251" s="8" t="s">
        <v>1372</v>
      </c>
      <c r="H4251" t="s">
        <v>1336</v>
      </c>
    </row>
    <row r="4252" spans="1:8" hidden="1">
      <c r="A4252" s="232">
        <v>45145</v>
      </c>
      <c r="C4252" s="316" t="s">
        <v>12554</v>
      </c>
      <c r="D4252" s="318">
        <v>1000</v>
      </c>
      <c r="E4252" s="318"/>
      <c r="G4252" s="8" t="s">
        <v>1372</v>
      </c>
      <c r="H4252" t="s">
        <v>1336</v>
      </c>
    </row>
    <row r="4253" spans="1:8" hidden="1">
      <c r="A4253" s="232">
        <v>45145</v>
      </c>
      <c r="C4253" s="316" t="s">
        <v>12555</v>
      </c>
      <c r="D4253" s="318">
        <v>1268.5</v>
      </c>
      <c r="E4253" s="318"/>
      <c r="H4253" t="s">
        <v>1336</v>
      </c>
    </row>
    <row r="4254" spans="1:8" hidden="1">
      <c r="A4254" s="232">
        <v>45146</v>
      </c>
      <c r="C4254" s="316" t="s">
        <v>12556</v>
      </c>
      <c r="D4254" s="318">
        <v>1000</v>
      </c>
      <c r="E4254" s="318"/>
      <c r="G4254" s="8" t="s">
        <v>1372</v>
      </c>
      <c r="H4254" t="s">
        <v>1336</v>
      </c>
    </row>
    <row r="4255" spans="1:8" hidden="1">
      <c r="A4255" s="232">
        <v>45146</v>
      </c>
      <c r="C4255" s="316" t="s">
        <v>12557</v>
      </c>
      <c r="D4255" s="318">
        <v>775</v>
      </c>
      <c r="E4255" s="318"/>
      <c r="G4255" s="8" t="s">
        <v>1372</v>
      </c>
      <c r="H4255" t="s">
        <v>1336</v>
      </c>
    </row>
    <row r="4256" spans="1:8" hidden="1">
      <c r="A4256" s="232">
        <v>45146</v>
      </c>
      <c r="C4256" s="316" t="s">
        <v>12558</v>
      </c>
      <c r="D4256" s="318">
        <v>1100</v>
      </c>
      <c r="E4256" s="318"/>
      <c r="H4256" t="s">
        <v>1336</v>
      </c>
    </row>
    <row r="4257" spans="1:8" hidden="1">
      <c r="A4257" s="232">
        <v>45147</v>
      </c>
      <c r="C4257" s="316" t="s">
        <v>12559</v>
      </c>
      <c r="D4257" s="318">
        <v>1000</v>
      </c>
      <c r="E4257" s="318"/>
      <c r="G4257" s="8" t="s">
        <v>1372</v>
      </c>
      <c r="H4257" t="s">
        <v>1336</v>
      </c>
    </row>
    <row r="4258" spans="1:8" hidden="1">
      <c r="A4258" s="232">
        <v>45147</v>
      </c>
      <c r="C4258" s="316" t="s">
        <v>12560</v>
      </c>
      <c r="D4258" s="318">
        <v>750</v>
      </c>
      <c r="E4258" s="318"/>
      <c r="G4258" s="8" t="s">
        <v>1372</v>
      </c>
      <c r="H4258" t="s">
        <v>1336</v>
      </c>
    </row>
    <row r="4259" spans="1:8" hidden="1">
      <c r="A4259" s="232">
        <v>45147</v>
      </c>
      <c r="C4259" s="316" t="s">
        <v>12561</v>
      </c>
      <c r="D4259" s="318">
        <v>750</v>
      </c>
      <c r="E4259" s="318"/>
      <c r="G4259" s="8" t="s">
        <v>1372</v>
      </c>
      <c r="H4259" t="s">
        <v>1336</v>
      </c>
    </row>
    <row r="4260" spans="1:8" hidden="1">
      <c r="A4260" s="232">
        <v>45147</v>
      </c>
      <c r="C4260" s="316" t="s">
        <v>12562</v>
      </c>
      <c r="D4260" s="318">
        <v>890</v>
      </c>
      <c r="E4260" s="318"/>
      <c r="H4260" t="s">
        <v>1336</v>
      </c>
    </row>
    <row r="4261" spans="1:8" hidden="1">
      <c r="A4261" s="232">
        <v>45148</v>
      </c>
      <c r="C4261" s="316" t="s">
        <v>12563</v>
      </c>
      <c r="D4261" s="318">
        <v>1250</v>
      </c>
      <c r="E4261" s="318"/>
      <c r="G4261" s="8" t="s">
        <v>1372</v>
      </c>
      <c r="H4261" t="s">
        <v>1336</v>
      </c>
    </row>
    <row r="4262" spans="1:8" hidden="1">
      <c r="A4262" s="232">
        <v>45148</v>
      </c>
      <c r="C4262" s="316" t="s">
        <v>12564</v>
      </c>
      <c r="D4262" s="318">
        <v>1000</v>
      </c>
      <c r="E4262" s="318"/>
      <c r="G4262" s="8" t="s">
        <v>1372</v>
      </c>
      <c r="H4262" t="s">
        <v>1336</v>
      </c>
    </row>
    <row r="4263" spans="1:8" hidden="1">
      <c r="A4263" s="232">
        <v>45149</v>
      </c>
      <c r="C4263" s="316" t="s">
        <v>12565</v>
      </c>
      <c r="D4263" s="318">
        <v>734</v>
      </c>
      <c r="E4263" s="318"/>
      <c r="H4263" t="s">
        <v>1336</v>
      </c>
    </row>
    <row r="4264" spans="1:8" hidden="1">
      <c r="A4264" s="232">
        <v>45149</v>
      </c>
      <c r="C4264" s="316" t="s">
        <v>12566</v>
      </c>
      <c r="D4264" s="318">
        <v>246.82</v>
      </c>
      <c r="E4264" s="318"/>
      <c r="H4264" t="s">
        <v>1336</v>
      </c>
    </row>
    <row r="4265" spans="1:8" hidden="1">
      <c r="A4265" s="232">
        <v>45149</v>
      </c>
      <c r="C4265" s="316" t="s">
        <v>12567</v>
      </c>
      <c r="D4265" s="318">
        <v>730</v>
      </c>
      <c r="E4265" s="318"/>
      <c r="H4265" t="s">
        <v>1336</v>
      </c>
    </row>
    <row r="4266" spans="1:8" hidden="1">
      <c r="A4266" s="232">
        <v>45149</v>
      </c>
      <c r="C4266" s="316" t="s">
        <v>12568</v>
      </c>
      <c r="D4266" s="318">
        <v>1250</v>
      </c>
      <c r="E4266" s="318"/>
      <c r="G4266" s="8" t="s">
        <v>1372</v>
      </c>
      <c r="H4266" t="s">
        <v>1336</v>
      </c>
    </row>
    <row r="4267" spans="1:8" hidden="1">
      <c r="A4267" s="232">
        <v>45149</v>
      </c>
      <c r="C4267" s="316" t="s">
        <v>12569</v>
      </c>
      <c r="D4267" s="318">
        <v>1317</v>
      </c>
      <c r="E4267" s="318"/>
      <c r="H4267" t="s">
        <v>1336</v>
      </c>
    </row>
    <row r="4268" spans="1:8" hidden="1">
      <c r="A4268" s="232">
        <v>45151</v>
      </c>
      <c r="C4268" s="316" t="s">
        <v>12570</v>
      </c>
      <c r="D4268" s="318">
        <v>775</v>
      </c>
      <c r="E4268" s="318"/>
      <c r="G4268" s="8" t="s">
        <v>1372</v>
      </c>
      <c r="H4268" t="s">
        <v>1336</v>
      </c>
    </row>
    <row r="4269" spans="1:8" hidden="1">
      <c r="A4269" s="232">
        <v>45151</v>
      </c>
      <c r="C4269" s="316" t="s">
        <v>12571</v>
      </c>
      <c r="D4269" s="318">
        <v>1000</v>
      </c>
      <c r="E4269" s="318"/>
      <c r="G4269" s="8" t="s">
        <v>1372</v>
      </c>
      <c r="H4269" t="s">
        <v>1336</v>
      </c>
    </row>
    <row r="4270" spans="1:8" hidden="1">
      <c r="A4270" s="232">
        <v>45151</v>
      </c>
      <c r="C4270" s="316" t="s">
        <v>12572</v>
      </c>
      <c r="D4270" s="318">
        <v>2214</v>
      </c>
      <c r="E4270" s="318"/>
      <c r="H4270" t="s">
        <v>1336</v>
      </c>
    </row>
    <row r="4271" spans="1:8" hidden="1">
      <c r="A4271" s="232">
        <v>45152</v>
      </c>
      <c r="C4271" s="316" t="s">
        <v>12573</v>
      </c>
      <c r="D4271" s="318">
        <v>800</v>
      </c>
      <c r="E4271" s="318"/>
      <c r="G4271" s="8" t="s">
        <v>1372</v>
      </c>
      <c r="H4271" t="s">
        <v>1336</v>
      </c>
    </row>
    <row r="4272" spans="1:8" hidden="1">
      <c r="A4272" s="232">
        <v>45152</v>
      </c>
      <c r="C4272" s="316" t="s">
        <v>12574</v>
      </c>
      <c r="D4272" s="318">
        <v>1000</v>
      </c>
      <c r="E4272" s="318"/>
      <c r="G4272" s="8" t="s">
        <v>1372</v>
      </c>
      <c r="H4272" t="s">
        <v>1336</v>
      </c>
    </row>
    <row r="4273" spans="1:8" hidden="1">
      <c r="A4273" s="232">
        <v>45152</v>
      </c>
      <c r="C4273" s="316" t="s">
        <v>12575</v>
      </c>
      <c r="D4273" s="318">
        <v>1000</v>
      </c>
      <c r="E4273" s="318"/>
      <c r="G4273" s="8" t="s">
        <v>1372</v>
      </c>
      <c r="H4273" t="s">
        <v>1336</v>
      </c>
    </row>
    <row r="4274" spans="1:8" hidden="1">
      <c r="A4274" s="232">
        <v>45152</v>
      </c>
      <c r="C4274" s="316" t="s">
        <v>12576</v>
      </c>
      <c r="D4274" s="318">
        <v>1169</v>
      </c>
      <c r="E4274" s="318"/>
      <c r="H4274" t="s">
        <v>1336</v>
      </c>
    </row>
    <row r="4275" spans="1:8" hidden="1">
      <c r="A4275" s="232">
        <v>45153</v>
      </c>
      <c r="C4275" s="316" t="s">
        <v>12577</v>
      </c>
      <c r="D4275" s="318">
        <v>800</v>
      </c>
      <c r="E4275" s="318"/>
      <c r="H4275" t="s">
        <v>1336</v>
      </c>
    </row>
    <row r="4276" spans="1:8" hidden="1">
      <c r="A4276" s="232">
        <v>45154</v>
      </c>
      <c r="C4276" s="316" t="s">
        <v>12578</v>
      </c>
      <c r="D4276" s="318">
        <v>750</v>
      </c>
      <c r="E4276" s="318"/>
      <c r="G4276" s="8" t="s">
        <v>1372</v>
      </c>
      <c r="H4276" t="s">
        <v>1336</v>
      </c>
    </row>
    <row r="4277" spans="1:8" hidden="1">
      <c r="A4277" s="232">
        <v>45154</v>
      </c>
      <c r="C4277" s="316" t="s">
        <v>12579</v>
      </c>
      <c r="D4277" s="318">
        <v>1000</v>
      </c>
      <c r="E4277" s="318"/>
      <c r="G4277" s="8" t="s">
        <v>1372</v>
      </c>
      <c r="H4277" t="s">
        <v>1336</v>
      </c>
    </row>
    <row r="4278" spans="1:8" hidden="1">
      <c r="A4278" s="232">
        <v>45154</v>
      </c>
      <c r="C4278" s="316" t="s">
        <v>12580</v>
      </c>
      <c r="D4278" s="318">
        <v>1000</v>
      </c>
      <c r="E4278" s="318"/>
      <c r="G4278" s="8" t="s">
        <v>1372</v>
      </c>
      <c r="H4278" t="s">
        <v>1336</v>
      </c>
    </row>
    <row r="4279" spans="1:8" hidden="1">
      <c r="A4279" s="232">
        <v>45154</v>
      </c>
      <c r="C4279" s="316" t="s">
        <v>12581</v>
      </c>
      <c r="D4279" s="318">
        <v>1250</v>
      </c>
      <c r="E4279" s="318"/>
      <c r="G4279" s="8" t="s">
        <v>1372</v>
      </c>
      <c r="H4279" t="s">
        <v>1336</v>
      </c>
    </row>
    <row r="4280" spans="1:8" hidden="1">
      <c r="A4280" s="232">
        <v>45154</v>
      </c>
      <c r="C4280" s="316" t="s">
        <v>12582</v>
      </c>
      <c r="D4280" s="318">
        <v>1250</v>
      </c>
      <c r="E4280" s="318"/>
      <c r="G4280" s="8" t="s">
        <v>1372</v>
      </c>
      <c r="H4280" t="s">
        <v>1336</v>
      </c>
    </row>
    <row r="4281" spans="1:8" hidden="1">
      <c r="A4281" s="232">
        <v>45154</v>
      </c>
      <c r="C4281" s="316" t="s">
        <v>12583</v>
      </c>
      <c r="D4281" s="318">
        <v>426</v>
      </c>
      <c r="E4281" s="318"/>
      <c r="H4281" t="s">
        <v>1336</v>
      </c>
    </row>
    <row r="4282" spans="1:8" hidden="1">
      <c r="A4282" s="232">
        <v>45154</v>
      </c>
      <c r="C4282" s="316" t="s">
        <v>12584</v>
      </c>
      <c r="D4282" s="318">
        <v>3000</v>
      </c>
      <c r="E4282" s="318"/>
      <c r="H4282" t="s">
        <v>1336</v>
      </c>
    </row>
    <row r="4283" spans="1:8" hidden="1">
      <c r="A4283" s="232">
        <v>45154</v>
      </c>
      <c r="C4283" s="316" t="s">
        <v>12585</v>
      </c>
      <c r="D4283" s="318">
        <v>619</v>
      </c>
      <c r="E4283" s="318"/>
      <c r="H4283" t="s">
        <v>1336</v>
      </c>
    </row>
    <row r="4284" spans="1:8" hidden="1">
      <c r="A4284" s="232">
        <v>45155</v>
      </c>
      <c r="C4284" s="316" t="s">
        <v>12586</v>
      </c>
      <c r="D4284" s="318">
        <v>750</v>
      </c>
      <c r="E4284" s="318"/>
      <c r="G4284" s="8" t="s">
        <v>1372</v>
      </c>
      <c r="H4284" t="s">
        <v>1336</v>
      </c>
    </row>
    <row r="4285" spans="1:8" hidden="1">
      <c r="A4285" s="232">
        <v>45155</v>
      </c>
      <c r="C4285" s="316" t="s">
        <v>12587</v>
      </c>
      <c r="D4285" s="318">
        <v>556</v>
      </c>
      <c r="E4285" s="318"/>
      <c r="H4285" t="s">
        <v>1336</v>
      </c>
    </row>
    <row r="4286" spans="1:8" hidden="1">
      <c r="A4286" s="232">
        <v>45156</v>
      </c>
      <c r="C4286" s="316" t="s">
        <v>12588</v>
      </c>
      <c r="D4286" s="318">
        <v>1000</v>
      </c>
      <c r="E4286" s="318"/>
      <c r="G4286" s="8" t="s">
        <v>1372</v>
      </c>
      <c r="H4286" t="s">
        <v>1336</v>
      </c>
    </row>
    <row r="4287" spans="1:8" hidden="1">
      <c r="A4287" s="232">
        <v>45156</v>
      </c>
      <c r="C4287" s="316" t="s">
        <v>12589</v>
      </c>
      <c r="D4287" s="318">
        <v>307</v>
      </c>
      <c r="E4287" s="318"/>
      <c r="H4287" t="s">
        <v>1336</v>
      </c>
    </row>
    <row r="4288" spans="1:8" hidden="1">
      <c r="A4288" s="232">
        <v>45156</v>
      </c>
      <c r="C4288" s="316" t="s">
        <v>12590</v>
      </c>
      <c r="D4288" s="318">
        <v>1237</v>
      </c>
      <c r="E4288" s="318"/>
      <c r="H4288" t="s">
        <v>1336</v>
      </c>
    </row>
    <row r="4289" spans="1:8" hidden="1">
      <c r="A4289" s="232">
        <v>45157</v>
      </c>
      <c r="C4289" s="316" t="s">
        <v>12591</v>
      </c>
      <c r="D4289" s="318">
        <v>750</v>
      </c>
      <c r="E4289" s="318"/>
      <c r="G4289" s="8" t="s">
        <v>1372</v>
      </c>
      <c r="H4289" t="s">
        <v>1336</v>
      </c>
    </row>
    <row r="4290" spans="1:8" hidden="1">
      <c r="A4290" s="232">
        <v>45157</v>
      </c>
      <c r="C4290" s="316" t="s">
        <v>12592</v>
      </c>
      <c r="D4290" s="318">
        <v>606</v>
      </c>
      <c r="E4290" s="318"/>
      <c r="H4290" t="s">
        <v>1336</v>
      </c>
    </row>
    <row r="4291" spans="1:8" hidden="1">
      <c r="A4291" s="232">
        <v>45157</v>
      </c>
      <c r="C4291" s="316" t="s">
        <v>12593</v>
      </c>
      <c r="D4291" s="318">
        <v>1469</v>
      </c>
      <c r="E4291" s="318"/>
      <c r="H4291" t="s">
        <v>1336</v>
      </c>
    </row>
    <row r="4292" spans="1:8" hidden="1">
      <c r="A4292" s="232">
        <v>45157</v>
      </c>
      <c r="C4292" s="316" t="s">
        <v>12594</v>
      </c>
      <c r="D4292" s="318"/>
      <c r="E4292" s="318">
        <v>899</v>
      </c>
      <c r="H4292" t="s">
        <v>1336</v>
      </c>
    </row>
    <row r="4293" spans="1:8" hidden="1">
      <c r="A4293" s="232">
        <v>45158</v>
      </c>
      <c r="C4293" s="316" t="s">
        <v>12595</v>
      </c>
      <c r="D4293" s="318">
        <v>775</v>
      </c>
      <c r="E4293" s="318"/>
      <c r="G4293" s="8" t="s">
        <v>1372</v>
      </c>
      <c r="H4293" t="s">
        <v>1336</v>
      </c>
    </row>
    <row r="4294" spans="1:8" hidden="1">
      <c r="A4294" s="232">
        <v>45158</v>
      </c>
      <c r="C4294" s="316" t="s">
        <v>12596</v>
      </c>
      <c r="D4294" s="318">
        <v>199</v>
      </c>
      <c r="E4294" s="318"/>
      <c r="H4294" t="s">
        <v>1336</v>
      </c>
    </row>
    <row r="4295" spans="1:8" hidden="1">
      <c r="A4295" s="232">
        <v>45159</v>
      </c>
      <c r="C4295" s="316" t="s">
        <v>12597</v>
      </c>
      <c r="D4295" s="318">
        <v>1000</v>
      </c>
      <c r="E4295" s="318"/>
      <c r="G4295" s="8" t="s">
        <v>1372</v>
      </c>
      <c r="H4295" t="s">
        <v>1336</v>
      </c>
    </row>
    <row r="4296" spans="1:8" hidden="1">
      <c r="A4296" s="232">
        <v>45159</v>
      </c>
      <c r="C4296" s="316" t="s">
        <v>12598</v>
      </c>
      <c r="D4296" s="318">
        <v>1000</v>
      </c>
      <c r="E4296" s="318"/>
      <c r="G4296" s="8" t="s">
        <v>1372</v>
      </c>
      <c r="H4296" t="s">
        <v>1336</v>
      </c>
    </row>
    <row r="4297" spans="1:8" hidden="1">
      <c r="A4297" s="232">
        <v>45159</v>
      </c>
      <c r="C4297" s="316" t="s">
        <v>12599</v>
      </c>
      <c r="D4297" s="318">
        <v>1000</v>
      </c>
      <c r="E4297" s="318"/>
      <c r="G4297" s="8" t="s">
        <v>1372</v>
      </c>
      <c r="H4297" t="s">
        <v>1336</v>
      </c>
    </row>
    <row r="4298" spans="1:8" hidden="1">
      <c r="A4298" s="232">
        <v>45159</v>
      </c>
      <c r="C4298" s="316" t="s">
        <v>12600</v>
      </c>
      <c r="D4298" s="318">
        <v>750</v>
      </c>
      <c r="E4298" s="318"/>
      <c r="G4298" s="8" t="s">
        <v>1372</v>
      </c>
      <c r="H4298" t="s">
        <v>1336</v>
      </c>
    </row>
    <row r="4299" spans="1:8" hidden="1">
      <c r="A4299" s="232">
        <v>45159</v>
      </c>
      <c r="C4299" s="316" t="s">
        <v>12601</v>
      </c>
      <c r="D4299" s="318">
        <v>1000</v>
      </c>
      <c r="E4299" s="318"/>
      <c r="G4299" s="8" t="s">
        <v>1372</v>
      </c>
      <c r="H4299" t="s">
        <v>1336</v>
      </c>
    </row>
    <row r="4300" spans="1:8" hidden="1">
      <c r="A4300" s="232">
        <v>45159</v>
      </c>
      <c r="C4300" s="316" t="s">
        <v>12602</v>
      </c>
      <c r="D4300" s="318">
        <v>1592</v>
      </c>
      <c r="E4300" s="318"/>
      <c r="H4300" t="s">
        <v>1336</v>
      </c>
    </row>
    <row r="4301" spans="1:8" hidden="1">
      <c r="A4301" s="232">
        <v>45159</v>
      </c>
      <c r="C4301" s="316" t="s">
        <v>12603</v>
      </c>
      <c r="D4301" s="318">
        <v>1149</v>
      </c>
      <c r="E4301" s="318"/>
      <c r="H4301" t="s">
        <v>1336</v>
      </c>
    </row>
    <row r="4302" spans="1:8" hidden="1">
      <c r="A4302" s="232">
        <v>45159</v>
      </c>
      <c r="C4302" s="316" t="s">
        <v>12604</v>
      </c>
      <c r="D4302" s="318">
        <v>1286</v>
      </c>
      <c r="E4302" s="318"/>
      <c r="H4302" t="s">
        <v>1336</v>
      </c>
    </row>
    <row r="4303" spans="1:8" hidden="1">
      <c r="A4303" s="232">
        <v>45159</v>
      </c>
      <c r="C4303" s="316" t="s">
        <v>12605</v>
      </c>
      <c r="D4303" s="318"/>
      <c r="E4303" s="318">
        <v>1469</v>
      </c>
      <c r="H4303" t="s">
        <v>1336</v>
      </c>
    </row>
    <row r="4304" spans="1:8" hidden="1">
      <c r="A4304" s="232">
        <v>45159</v>
      </c>
      <c r="C4304" s="316" t="s">
        <v>12606</v>
      </c>
      <c r="D4304" s="318">
        <v>797</v>
      </c>
      <c r="E4304" s="318"/>
      <c r="H4304" t="s">
        <v>1336</v>
      </c>
    </row>
    <row r="4305" spans="1:8" hidden="1">
      <c r="A4305" s="232">
        <v>45160</v>
      </c>
      <c r="C4305" s="316" t="s">
        <v>12607</v>
      </c>
      <c r="D4305" s="318">
        <v>750</v>
      </c>
      <c r="E4305" s="318"/>
      <c r="G4305" s="8" t="s">
        <v>1372</v>
      </c>
      <c r="H4305" t="s">
        <v>1336</v>
      </c>
    </row>
    <row r="4306" spans="1:8" hidden="1">
      <c r="A4306" s="232">
        <v>45160</v>
      </c>
      <c r="C4306" s="316" t="s">
        <v>12608</v>
      </c>
      <c r="D4306" s="318">
        <v>42000</v>
      </c>
      <c r="E4306" s="318"/>
      <c r="G4306" s="8" t="s">
        <v>12632</v>
      </c>
      <c r="H4306" t="s">
        <v>1336</v>
      </c>
    </row>
    <row r="4307" spans="1:8" hidden="1">
      <c r="A4307" s="232">
        <v>45160</v>
      </c>
      <c r="C4307" s="316" t="s">
        <v>12609</v>
      </c>
      <c r="D4307" s="318">
        <v>706</v>
      </c>
      <c r="E4307" s="318"/>
      <c r="H4307" t="s">
        <v>1336</v>
      </c>
    </row>
    <row r="4308" spans="1:8" hidden="1">
      <c r="A4308" s="232">
        <v>45161</v>
      </c>
      <c r="C4308" s="316" t="s">
        <v>12610</v>
      </c>
      <c r="D4308" s="318">
        <v>564.86</v>
      </c>
      <c r="E4308" s="318"/>
      <c r="H4308" t="s">
        <v>1336</v>
      </c>
    </row>
    <row r="4309" spans="1:8" hidden="1">
      <c r="A4309" s="232">
        <v>45161</v>
      </c>
      <c r="C4309" s="316" t="s">
        <v>12611</v>
      </c>
      <c r="D4309" s="318">
        <v>750</v>
      </c>
      <c r="E4309" s="318"/>
      <c r="G4309" s="8" t="s">
        <v>1372</v>
      </c>
      <c r="H4309" t="s">
        <v>1336</v>
      </c>
    </row>
    <row r="4310" spans="1:8" hidden="1">
      <c r="A4310" s="232">
        <v>45162</v>
      </c>
      <c r="C4310" s="316" t="s">
        <v>12612</v>
      </c>
      <c r="D4310" s="318">
        <v>1000</v>
      </c>
      <c r="E4310" s="318"/>
      <c r="G4310" s="8" t="s">
        <v>1372</v>
      </c>
      <c r="H4310" t="s">
        <v>1336</v>
      </c>
    </row>
    <row r="4311" spans="1:8" hidden="1">
      <c r="A4311" s="232">
        <v>45162</v>
      </c>
      <c r="C4311" s="316" t="s">
        <v>12613</v>
      </c>
      <c r="D4311" s="318">
        <v>1146.71</v>
      </c>
      <c r="E4311" s="318"/>
      <c r="H4311" t="s">
        <v>1336</v>
      </c>
    </row>
    <row r="4312" spans="1:8" hidden="1">
      <c r="A4312" s="232">
        <v>45162</v>
      </c>
      <c r="C4312" s="316" t="s">
        <v>12614</v>
      </c>
      <c r="D4312" s="318">
        <v>674</v>
      </c>
      <c r="E4312" s="318"/>
      <c r="H4312" t="s">
        <v>1336</v>
      </c>
    </row>
    <row r="4313" spans="1:8" hidden="1">
      <c r="A4313" s="232">
        <v>45162</v>
      </c>
      <c r="C4313" s="316" t="s">
        <v>12615</v>
      </c>
      <c r="D4313" s="318">
        <v>700</v>
      </c>
      <c r="E4313" s="318"/>
      <c r="H4313" t="s">
        <v>1336</v>
      </c>
    </row>
    <row r="4314" spans="1:8" hidden="1">
      <c r="A4314" s="232">
        <v>45163</v>
      </c>
      <c r="C4314" s="316" t="s">
        <v>12616</v>
      </c>
      <c r="D4314" s="318"/>
      <c r="E4314" s="318">
        <v>294449</v>
      </c>
      <c r="G4314" s="8" t="s">
        <v>1380</v>
      </c>
      <c r="H4314" t="s">
        <v>1336</v>
      </c>
    </row>
    <row r="4315" spans="1:8" hidden="1">
      <c r="A4315" s="232">
        <v>45163</v>
      </c>
      <c r="C4315" s="316" t="s">
        <v>12617</v>
      </c>
      <c r="D4315" s="318">
        <v>750</v>
      </c>
      <c r="E4315" s="318"/>
      <c r="G4315" s="8" t="s">
        <v>1372</v>
      </c>
      <c r="H4315" t="s">
        <v>1336</v>
      </c>
    </row>
    <row r="4316" spans="1:8" hidden="1">
      <c r="A4316" s="232">
        <v>45163</v>
      </c>
      <c r="C4316" s="316" t="s">
        <v>12618</v>
      </c>
      <c r="D4316" s="318">
        <v>13900</v>
      </c>
      <c r="E4316" s="318"/>
      <c r="G4316" s="8" t="s">
        <v>1379</v>
      </c>
      <c r="H4316" t="s">
        <v>1336</v>
      </c>
    </row>
    <row r="4317" spans="1:8" hidden="1">
      <c r="A4317" s="232">
        <v>45164</v>
      </c>
      <c r="C4317" s="316" t="s">
        <v>12619</v>
      </c>
      <c r="D4317" s="318">
        <v>1403.44</v>
      </c>
      <c r="E4317" s="318"/>
      <c r="H4317" t="s">
        <v>1336</v>
      </c>
    </row>
    <row r="4318" spans="1:8" hidden="1">
      <c r="A4318" s="232">
        <v>45164</v>
      </c>
      <c r="C4318" s="316" t="s">
        <v>12620</v>
      </c>
      <c r="D4318" s="318">
        <v>262</v>
      </c>
      <c r="E4318" s="318"/>
      <c r="H4318" t="s">
        <v>1336</v>
      </c>
    </row>
    <row r="4319" spans="1:8" hidden="1">
      <c r="A4319" s="232">
        <v>45164</v>
      </c>
      <c r="C4319" s="316" t="s">
        <v>12621</v>
      </c>
      <c r="D4319" s="318">
        <v>1000</v>
      </c>
      <c r="E4319" s="318"/>
      <c r="H4319" t="s">
        <v>1336</v>
      </c>
    </row>
    <row r="4320" spans="1:8" hidden="1">
      <c r="A4320" s="232">
        <v>45165</v>
      </c>
      <c r="C4320" s="316" t="s">
        <v>12622</v>
      </c>
      <c r="D4320" s="318">
        <v>25000</v>
      </c>
      <c r="E4320" s="318"/>
      <c r="G4320" s="8" t="s">
        <v>1358</v>
      </c>
      <c r="H4320" t="s">
        <v>1336</v>
      </c>
    </row>
    <row r="4321" spans="1:8" hidden="1">
      <c r="A4321" s="232">
        <v>45165</v>
      </c>
      <c r="C4321" s="316" t="s">
        <v>12623</v>
      </c>
      <c r="D4321" s="318">
        <v>1000</v>
      </c>
      <c r="E4321" s="318"/>
      <c r="G4321" s="8" t="s">
        <v>1372</v>
      </c>
      <c r="H4321" t="s">
        <v>1336</v>
      </c>
    </row>
    <row r="4322" spans="1:8" hidden="1">
      <c r="A4322" s="232">
        <v>45165</v>
      </c>
      <c r="C4322" s="316" t="s">
        <v>12624</v>
      </c>
      <c r="D4322" s="318">
        <v>90</v>
      </c>
      <c r="E4322" s="318"/>
      <c r="H4322" t="s">
        <v>1336</v>
      </c>
    </row>
    <row r="4323" spans="1:8" hidden="1">
      <c r="A4323" s="232">
        <v>45165</v>
      </c>
      <c r="C4323" s="316" t="s">
        <v>12625</v>
      </c>
      <c r="D4323" s="318">
        <v>1999</v>
      </c>
      <c r="E4323" s="318"/>
      <c r="H4323" t="s">
        <v>1336</v>
      </c>
    </row>
    <row r="4324" spans="1:8" hidden="1">
      <c r="A4324" s="232">
        <v>45165</v>
      </c>
      <c r="C4324" s="316" t="s">
        <v>12626</v>
      </c>
      <c r="D4324" s="318">
        <v>314.62</v>
      </c>
      <c r="E4324" s="318"/>
      <c r="H4324" t="s">
        <v>1336</v>
      </c>
    </row>
    <row r="4325" spans="1:8" hidden="1">
      <c r="A4325" s="232">
        <v>45166</v>
      </c>
      <c r="C4325" s="316" t="s">
        <v>12627</v>
      </c>
      <c r="D4325" s="318">
        <v>800</v>
      </c>
      <c r="E4325" s="318"/>
      <c r="G4325" s="8" t="s">
        <v>1372</v>
      </c>
      <c r="H4325" t="s">
        <v>1336</v>
      </c>
    </row>
    <row r="4326" spans="1:8" hidden="1">
      <c r="A4326" s="232">
        <v>45166</v>
      </c>
      <c r="C4326" s="316" t="s">
        <v>12628</v>
      </c>
      <c r="D4326" s="318">
        <v>1000</v>
      </c>
      <c r="E4326" s="318"/>
      <c r="G4326" s="8" t="s">
        <v>1372</v>
      </c>
      <c r="H4326" t="s">
        <v>1336</v>
      </c>
    </row>
    <row r="4327" spans="1:8" hidden="1">
      <c r="A4327" s="232">
        <v>45166</v>
      </c>
      <c r="C4327" s="316" t="s">
        <v>12629</v>
      </c>
      <c r="D4327" s="318"/>
      <c r="E4327" s="318">
        <v>1999</v>
      </c>
      <c r="H4327" t="s">
        <v>1336</v>
      </c>
    </row>
    <row r="4328" spans="1:8" hidden="1">
      <c r="A4328" s="232">
        <v>45167</v>
      </c>
      <c r="C4328" s="316" t="s">
        <v>12630</v>
      </c>
      <c r="D4328" s="318"/>
      <c r="E4328" s="318">
        <v>323</v>
      </c>
      <c r="H4328" t="s">
        <v>1336</v>
      </c>
    </row>
    <row r="4329" spans="1:8" hidden="1">
      <c r="A4329" s="232">
        <v>45167</v>
      </c>
      <c r="C4329" s="316" t="s">
        <v>12631</v>
      </c>
      <c r="D4329" s="318">
        <v>975</v>
      </c>
      <c r="E4329" s="318"/>
      <c r="H4329" t="s">
        <v>1336</v>
      </c>
    </row>
    <row r="4330" spans="1:8" hidden="1">
      <c r="A4330" s="232">
        <v>45175</v>
      </c>
      <c r="C4330" s="17" t="s">
        <v>12723</v>
      </c>
      <c r="D4330" s="318">
        <v>0</v>
      </c>
      <c r="E4330" s="318">
        <v>9772.36</v>
      </c>
      <c r="G4330" s="8" t="s">
        <v>1375</v>
      </c>
      <c r="H4330" t="s">
        <v>1050</v>
      </c>
    </row>
    <row r="4331" spans="1:8" hidden="1">
      <c r="A4331" s="232">
        <v>45179</v>
      </c>
      <c r="C4331" s="17" t="s">
        <v>12724</v>
      </c>
      <c r="D4331" s="318">
        <v>1500</v>
      </c>
      <c r="E4331" s="318">
        <v>0</v>
      </c>
      <c r="H4331" t="s">
        <v>1050</v>
      </c>
    </row>
    <row r="4332" spans="1:8" hidden="1">
      <c r="A4332" s="232">
        <v>45190</v>
      </c>
      <c r="C4332" s="17" t="s">
        <v>12725</v>
      </c>
      <c r="D4332" s="318">
        <v>41667</v>
      </c>
      <c r="E4332" s="318">
        <v>0</v>
      </c>
      <c r="G4332" s="8" t="s">
        <v>1381</v>
      </c>
      <c r="H4332" t="s">
        <v>1050</v>
      </c>
    </row>
    <row r="4333" spans="1:8" hidden="1">
      <c r="A4333" s="232">
        <v>45197</v>
      </c>
      <c r="C4333" s="17" t="s">
        <v>12726</v>
      </c>
      <c r="D4333" s="318">
        <v>25000</v>
      </c>
      <c r="E4333" s="318">
        <v>0</v>
      </c>
      <c r="G4333" s="8" t="s">
        <v>1381</v>
      </c>
      <c r="H4333" t="s">
        <v>1050</v>
      </c>
    </row>
    <row r="4334" spans="1:8" hidden="1">
      <c r="A4334" s="232">
        <v>45197</v>
      </c>
      <c r="C4334" s="17" t="s">
        <v>12727</v>
      </c>
      <c r="D4334" s="318">
        <v>199</v>
      </c>
      <c r="E4334" s="318">
        <v>0</v>
      </c>
      <c r="H4334" t="s">
        <v>1050</v>
      </c>
    </row>
    <row r="4335" spans="1:8" hidden="1">
      <c r="A4335" s="232">
        <v>45198</v>
      </c>
      <c r="C4335" s="17" t="s">
        <v>12728</v>
      </c>
      <c r="D4335" s="318">
        <v>0</v>
      </c>
      <c r="E4335" s="318">
        <v>10326</v>
      </c>
      <c r="G4335" s="8" t="s">
        <v>1368</v>
      </c>
      <c r="H4335" t="s">
        <v>1050</v>
      </c>
    </row>
    <row r="4336" spans="1:8" hidden="1">
      <c r="A4336" s="232">
        <v>45170</v>
      </c>
      <c r="C4336" s="3" t="s">
        <v>12729</v>
      </c>
      <c r="D4336" s="280">
        <v>1000</v>
      </c>
      <c r="E4336" s="3"/>
      <c r="G4336" s="8" t="s">
        <v>1372</v>
      </c>
      <c r="H4336" t="s">
        <v>1336</v>
      </c>
    </row>
    <row r="4337" spans="1:8" hidden="1">
      <c r="A4337" s="232">
        <v>45170</v>
      </c>
      <c r="C4337" s="3" t="s">
        <v>12730</v>
      </c>
      <c r="D4337" s="280">
        <v>1250</v>
      </c>
      <c r="E4337" s="3"/>
      <c r="G4337" s="8" t="s">
        <v>1372</v>
      </c>
      <c r="H4337" t="s">
        <v>1336</v>
      </c>
    </row>
    <row r="4338" spans="1:8" hidden="1">
      <c r="A4338" s="232">
        <v>45170</v>
      </c>
      <c r="C4338" s="3" t="s">
        <v>12731</v>
      </c>
      <c r="D4338" s="3">
        <v>5000</v>
      </c>
      <c r="E4338" s="3"/>
      <c r="H4338" t="s">
        <v>1336</v>
      </c>
    </row>
    <row r="4339" spans="1:8" hidden="1">
      <c r="A4339" s="232">
        <v>45170</v>
      </c>
      <c r="C4339" s="3" t="s">
        <v>12732</v>
      </c>
      <c r="D4339" s="3">
        <v>2500</v>
      </c>
      <c r="E4339" s="3"/>
      <c r="H4339" t="s">
        <v>1336</v>
      </c>
    </row>
    <row r="4340" spans="1:8" hidden="1">
      <c r="A4340" s="232">
        <v>45170</v>
      </c>
      <c r="C4340" s="3" t="s">
        <v>12733</v>
      </c>
      <c r="D4340" s="3">
        <v>1000</v>
      </c>
      <c r="E4340" s="3"/>
      <c r="H4340" t="s">
        <v>1336</v>
      </c>
    </row>
    <row r="4341" spans="1:8" hidden="1">
      <c r="A4341" s="232">
        <v>45171</v>
      </c>
      <c r="C4341" s="3" t="s">
        <v>12734</v>
      </c>
      <c r="D4341" s="280">
        <v>1250</v>
      </c>
      <c r="E4341" s="3"/>
      <c r="G4341" s="8" t="s">
        <v>1372</v>
      </c>
      <c r="H4341" t="s">
        <v>1336</v>
      </c>
    </row>
    <row r="4342" spans="1:8" hidden="1">
      <c r="A4342" s="232">
        <v>45171</v>
      </c>
      <c r="C4342" s="3" t="s">
        <v>12735</v>
      </c>
      <c r="D4342" s="3">
        <v>1836</v>
      </c>
      <c r="E4342" s="3"/>
      <c r="H4342" t="s">
        <v>1336</v>
      </c>
    </row>
    <row r="4343" spans="1:8" hidden="1">
      <c r="A4343" s="232">
        <v>45171</v>
      </c>
      <c r="C4343" s="3" t="s">
        <v>12736</v>
      </c>
      <c r="D4343" s="3">
        <v>2260</v>
      </c>
      <c r="E4343" s="3"/>
      <c r="H4343" t="s">
        <v>1336</v>
      </c>
    </row>
    <row r="4344" spans="1:8" hidden="1">
      <c r="A4344" s="232">
        <v>45172</v>
      </c>
      <c r="C4344" s="3" t="s">
        <v>12737</v>
      </c>
      <c r="D4344" s="3">
        <v>2211</v>
      </c>
      <c r="E4344" s="3"/>
      <c r="H4344" t="s">
        <v>1336</v>
      </c>
    </row>
    <row r="4345" spans="1:8" hidden="1">
      <c r="A4345" s="232">
        <v>45172</v>
      </c>
      <c r="C4345" s="3" t="s">
        <v>12738</v>
      </c>
      <c r="D4345" s="3">
        <v>10000</v>
      </c>
      <c r="E4345" s="3"/>
      <c r="G4345" s="8" t="s">
        <v>1361</v>
      </c>
      <c r="H4345" t="s">
        <v>1336</v>
      </c>
    </row>
    <row r="4346" spans="1:8" hidden="1">
      <c r="A4346" s="232">
        <v>45172</v>
      </c>
      <c r="C4346" s="3" t="s">
        <v>12738</v>
      </c>
      <c r="D4346" s="3">
        <v>10000</v>
      </c>
      <c r="E4346" s="3"/>
      <c r="G4346" s="8" t="s">
        <v>1361</v>
      </c>
      <c r="H4346" t="s">
        <v>1336</v>
      </c>
    </row>
    <row r="4347" spans="1:8" hidden="1">
      <c r="A4347" s="232">
        <v>45172</v>
      </c>
      <c r="C4347" s="3" t="s">
        <v>12739</v>
      </c>
      <c r="D4347" s="3">
        <v>302</v>
      </c>
      <c r="E4347" s="3"/>
      <c r="H4347" t="s">
        <v>1336</v>
      </c>
    </row>
    <row r="4348" spans="1:8" hidden="1">
      <c r="A4348" s="232">
        <v>45173</v>
      </c>
      <c r="C4348" s="3" t="s">
        <v>12740</v>
      </c>
      <c r="D4348" s="280">
        <v>750</v>
      </c>
      <c r="E4348" s="3"/>
      <c r="G4348" s="8" t="s">
        <v>1372</v>
      </c>
      <c r="H4348" t="s">
        <v>1336</v>
      </c>
    </row>
    <row r="4349" spans="1:8" hidden="1">
      <c r="A4349" s="232">
        <v>45173</v>
      </c>
      <c r="C4349" s="3" t="s">
        <v>12741</v>
      </c>
      <c r="D4349" s="280">
        <v>775</v>
      </c>
      <c r="E4349" s="3"/>
      <c r="G4349" s="8" t="s">
        <v>1372</v>
      </c>
      <c r="H4349" t="s">
        <v>1336</v>
      </c>
    </row>
    <row r="4350" spans="1:8" hidden="1">
      <c r="A4350" s="232">
        <v>45173</v>
      </c>
      <c r="C4350" s="3" t="s">
        <v>12742</v>
      </c>
      <c r="D4350" s="280">
        <v>1000</v>
      </c>
      <c r="E4350" s="3"/>
      <c r="G4350" s="8" t="s">
        <v>1372</v>
      </c>
      <c r="H4350" t="s">
        <v>1336</v>
      </c>
    </row>
    <row r="4351" spans="1:8" hidden="1">
      <c r="A4351" s="232">
        <v>45173</v>
      </c>
      <c r="C4351" s="3" t="s">
        <v>12743</v>
      </c>
      <c r="D4351" s="280">
        <v>1000</v>
      </c>
      <c r="E4351" s="3"/>
      <c r="G4351" s="8" t="s">
        <v>1372</v>
      </c>
      <c r="H4351" t="s">
        <v>1336</v>
      </c>
    </row>
    <row r="4352" spans="1:8" hidden="1">
      <c r="A4352" s="232">
        <v>45174</v>
      </c>
      <c r="C4352" s="3" t="s">
        <v>6583</v>
      </c>
      <c r="D4352" s="3">
        <v>19554</v>
      </c>
      <c r="E4352" s="3"/>
      <c r="G4352" s="8" t="s">
        <v>1362</v>
      </c>
      <c r="H4352" t="s">
        <v>1336</v>
      </c>
    </row>
    <row r="4353" spans="1:8" hidden="1">
      <c r="A4353" s="232">
        <v>45174</v>
      </c>
      <c r="C4353" s="3" t="s">
        <v>12744</v>
      </c>
      <c r="D4353" s="280">
        <v>1000</v>
      </c>
      <c r="E4353" s="3"/>
      <c r="G4353" s="8" t="s">
        <v>1372</v>
      </c>
      <c r="H4353" t="s">
        <v>1336</v>
      </c>
    </row>
    <row r="4354" spans="1:8" hidden="1">
      <c r="A4354" s="232">
        <v>45174</v>
      </c>
      <c r="C4354" s="3" t="s">
        <v>12745</v>
      </c>
      <c r="D4354" s="280">
        <v>1250</v>
      </c>
      <c r="E4354" s="3"/>
      <c r="G4354" s="8" t="s">
        <v>1372</v>
      </c>
      <c r="H4354" t="s">
        <v>1336</v>
      </c>
    </row>
    <row r="4355" spans="1:8" hidden="1">
      <c r="A4355" s="232">
        <v>45174</v>
      </c>
      <c r="C4355" s="3" t="s">
        <v>12746</v>
      </c>
      <c r="D4355" s="280">
        <v>1250</v>
      </c>
      <c r="E4355" s="3"/>
      <c r="G4355" s="8" t="s">
        <v>1372</v>
      </c>
      <c r="H4355" t="s">
        <v>1336</v>
      </c>
    </row>
    <row r="4356" spans="1:8" hidden="1">
      <c r="A4356" s="232">
        <v>45174</v>
      </c>
      <c r="C4356" s="3" t="s">
        <v>12747</v>
      </c>
      <c r="D4356" s="3">
        <v>148</v>
      </c>
      <c r="E4356" s="3"/>
      <c r="H4356" t="s">
        <v>1336</v>
      </c>
    </row>
    <row r="4357" spans="1:8" hidden="1">
      <c r="A4357" s="232">
        <v>45175</v>
      </c>
      <c r="C4357" s="3" t="s">
        <v>12748</v>
      </c>
      <c r="D4357" s="280">
        <v>1000</v>
      </c>
      <c r="E4357" s="3"/>
      <c r="G4357" s="8" t="s">
        <v>1372</v>
      </c>
      <c r="H4357" t="s">
        <v>1336</v>
      </c>
    </row>
    <row r="4358" spans="1:8" hidden="1">
      <c r="A4358" s="232">
        <v>45175</v>
      </c>
      <c r="C4358" s="3" t="s">
        <v>12749</v>
      </c>
      <c r="D4358" s="280">
        <v>800</v>
      </c>
      <c r="E4358" s="3"/>
      <c r="G4358" s="8" t="s">
        <v>1372</v>
      </c>
      <c r="H4358" t="s">
        <v>1336</v>
      </c>
    </row>
    <row r="4359" spans="1:8" hidden="1">
      <c r="A4359" s="232">
        <v>45175</v>
      </c>
      <c r="C4359" s="3" t="s">
        <v>12750</v>
      </c>
      <c r="D4359" s="3">
        <v>770</v>
      </c>
      <c r="E4359" s="3"/>
      <c r="H4359" t="s">
        <v>1336</v>
      </c>
    </row>
    <row r="4360" spans="1:8" hidden="1">
      <c r="A4360" s="232">
        <v>45175</v>
      </c>
      <c r="C4360" s="3" t="s">
        <v>12751</v>
      </c>
      <c r="D4360" s="3">
        <v>420</v>
      </c>
      <c r="E4360" s="3"/>
      <c r="H4360" t="s">
        <v>1336</v>
      </c>
    </row>
    <row r="4361" spans="1:8" hidden="1">
      <c r="A4361" s="232">
        <v>45176</v>
      </c>
      <c r="C4361" s="3" t="s">
        <v>12752</v>
      </c>
      <c r="D4361" s="280">
        <v>1000</v>
      </c>
      <c r="E4361" s="3"/>
      <c r="G4361" s="8" t="s">
        <v>1372</v>
      </c>
      <c r="H4361" t="s">
        <v>1336</v>
      </c>
    </row>
    <row r="4362" spans="1:8" hidden="1">
      <c r="A4362" s="232">
        <v>45176</v>
      </c>
      <c r="C4362" s="3" t="s">
        <v>12753</v>
      </c>
      <c r="D4362" s="3">
        <v>600</v>
      </c>
      <c r="E4362" s="3"/>
      <c r="H4362" t="s">
        <v>1336</v>
      </c>
    </row>
    <row r="4363" spans="1:8" hidden="1">
      <c r="A4363" s="232">
        <v>45176</v>
      </c>
      <c r="C4363" s="3" t="s">
        <v>12754</v>
      </c>
      <c r="D4363" s="3">
        <v>804</v>
      </c>
      <c r="E4363" s="3"/>
      <c r="H4363" t="s">
        <v>1336</v>
      </c>
    </row>
    <row r="4364" spans="1:8" hidden="1">
      <c r="A4364" s="232">
        <v>45176</v>
      </c>
      <c r="C4364" s="3" t="s">
        <v>12755</v>
      </c>
      <c r="D4364" s="3">
        <v>1268.5</v>
      </c>
      <c r="E4364" s="3"/>
      <c r="H4364" t="s">
        <v>1336</v>
      </c>
    </row>
    <row r="4365" spans="1:8" hidden="1">
      <c r="A4365" s="232">
        <v>45177</v>
      </c>
      <c r="C4365" s="3" t="s">
        <v>12756</v>
      </c>
      <c r="D4365" s="280">
        <v>775</v>
      </c>
      <c r="E4365" s="3"/>
      <c r="G4365" s="8" t="s">
        <v>1372</v>
      </c>
      <c r="H4365" t="s">
        <v>1336</v>
      </c>
    </row>
    <row r="4366" spans="1:8" hidden="1">
      <c r="A4366" s="232">
        <v>45177</v>
      </c>
      <c r="C4366" s="3" t="s">
        <v>12757</v>
      </c>
      <c r="D4366" s="280">
        <v>1000</v>
      </c>
      <c r="E4366" s="3"/>
      <c r="G4366" s="8" t="s">
        <v>1372</v>
      </c>
      <c r="H4366" t="s">
        <v>1336</v>
      </c>
    </row>
    <row r="4367" spans="1:8" hidden="1">
      <c r="A4367" s="232">
        <v>45177</v>
      </c>
      <c r="C4367" s="3" t="s">
        <v>12758</v>
      </c>
      <c r="D4367" s="3">
        <v>550</v>
      </c>
      <c r="E4367" s="3"/>
      <c r="H4367" t="s">
        <v>1336</v>
      </c>
    </row>
    <row r="4368" spans="1:8" hidden="1">
      <c r="A4368" s="232">
        <v>45177</v>
      </c>
      <c r="C4368" s="3" t="s">
        <v>12759</v>
      </c>
      <c r="D4368" s="3">
        <v>6158</v>
      </c>
      <c r="E4368" s="3"/>
      <c r="H4368" t="s">
        <v>1336</v>
      </c>
    </row>
    <row r="4369" spans="1:8" hidden="1">
      <c r="A4369" s="232">
        <v>45177</v>
      </c>
      <c r="C4369" s="3" t="s">
        <v>12760</v>
      </c>
      <c r="D4369" s="3"/>
      <c r="E4369" s="3">
        <v>395</v>
      </c>
      <c r="H4369" t="s">
        <v>1336</v>
      </c>
    </row>
    <row r="4370" spans="1:8" hidden="1">
      <c r="A4370" s="232">
        <v>45177</v>
      </c>
      <c r="C4370" s="3" t="s">
        <v>12761</v>
      </c>
      <c r="D4370" s="3">
        <v>441</v>
      </c>
      <c r="E4370" s="3"/>
      <c r="H4370" t="s">
        <v>1336</v>
      </c>
    </row>
    <row r="4371" spans="1:8" hidden="1">
      <c r="A4371" s="232">
        <v>45177</v>
      </c>
      <c r="C4371" s="3" t="s">
        <v>12762</v>
      </c>
      <c r="D4371" s="3">
        <v>221</v>
      </c>
      <c r="E4371" s="3"/>
      <c r="H4371" t="s">
        <v>1336</v>
      </c>
    </row>
    <row r="4372" spans="1:8" hidden="1">
      <c r="A4372" s="232">
        <v>45178</v>
      </c>
      <c r="C4372" s="3" t="s">
        <v>12763</v>
      </c>
      <c r="D4372" s="3">
        <v>411.36</v>
      </c>
      <c r="E4372" s="3"/>
      <c r="H4372" t="s">
        <v>1336</v>
      </c>
    </row>
    <row r="4373" spans="1:8" hidden="1">
      <c r="A4373" s="232">
        <v>45178</v>
      </c>
      <c r="C4373" s="3" t="s">
        <v>12764</v>
      </c>
      <c r="D4373" s="280">
        <v>750</v>
      </c>
      <c r="E4373" s="3"/>
      <c r="G4373" s="8" t="s">
        <v>1372</v>
      </c>
      <c r="H4373" t="s">
        <v>1336</v>
      </c>
    </row>
    <row r="4374" spans="1:8" hidden="1">
      <c r="A4374" s="232">
        <v>45178</v>
      </c>
      <c r="C4374" s="3" t="s">
        <v>12765</v>
      </c>
      <c r="D4374" s="3">
        <v>237.32</v>
      </c>
      <c r="E4374" s="3"/>
      <c r="H4374" t="s">
        <v>1336</v>
      </c>
    </row>
    <row r="4375" spans="1:8" hidden="1">
      <c r="A4375" s="232">
        <v>45179</v>
      </c>
      <c r="C4375" s="3" t="s">
        <v>12766</v>
      </c>
      <c r="D4375" s="3"/>
      <c r="E4375" s="3">
        <v>176</v>
      </c>
      <c r="H4375" t="s">
        <v>1336</v>
      </c>
    </row>
    <row r="4376" spans="1:8" hidden="1">
      <c r="A4376" s="232">
        <v>45180</v>
      </c>
      <c r="C4376" s="3" t="s">
        <v>12767</v>
      </c>
      <c r="D4376" s="3">
        <v>719.2</v>
      </c>
      <c r="E4376" s="3"/>
      <c r="H4376" t="s">
        <v>1336</v>
      </c>
    </row>
    <row r="4377" spans="1:8" hidden="1">
      <c r="A4377" s="232">
        <v>45180</v>
      </c>
      <c r="C4377" s="3" t="s">
        <v>12768</v>
      </c>
      <c r="D4377" s="280">
        <v>750</v>
      </c>
      <c r="E4377" s="3"/>
      <c r="G4377" s="8" t="s">
        <v>1372</v>
      </c>
      <c r="H4377" t="s">
        <v>1336</v>
      </c>
    </row>
    <row r="4378" spans="1:8" hidden="1">
      <c r="A4378" s="232">
        <v>45180</v>
      </c>
      <c r="C4378" s="3" t="s">
        <v>12769</v>
      </c>
      <c r="D4378" s="280">
        <v>1000</v>
      </c>
      <c r="E4378" s="3"/>
      <c r="G4378" s="8" t="s">
        <v>1372</v>
      </c>
      <c r="H4378" t="s">
        <v>1336</v>
      </c>
    </row>
    <row r="4379" spans="1:8" hidden="1">
      <c r="A4379" s="232">
        <v>45180</v>
      </c>
      <c r="C4379" s="3" t="s">
        <v>12770</v>
      </c>
      <c r="D4379" s="280">
        <v>1250</v>
      </c>
      <c r="E4379" s="3"/>
      <c r="G4379" s="8" t="s">
        <v>1372</v>
      </c>
      <c r="H4379" t="s">
        <v>1336</v>
      </c>
    </row>
    <row r="4380" spans="1:8" hidden="1">
      <c r="A4380" s="232">
        <v>45180</v>
      </c>
      <c r="C4380" s="3" t="s">
        <v>12771</v>
      </c>
      <c r="D4380" s="280">
        <v>1250</v>
      </c>
      <c r="E4380" s="3"/>
      <c r="G4380" s="8" t="s">
        <v>1372</v>
      </c>
      <c r="H4380" t="s">
        <v>1336</v>
      </c>
    </row>
    <row r="4381" spans="1:8" hidden="1">
      <c r="A4381" s="232">
        <v>45180</v>
      </c>
      <c r="C4381" s="3" t="s">
        <v>12772</v>
      </c>
      <c r="D4381" s="280">
        <v>1000</v>
      </c>
      <c r="E4381" s="3"/>
      <c r="G4381" s="8" t="s">
        <v>1372</v>
      </c>
      <c r="H4381" t="s">
        <v>1336</v>
      </c>
    </row>
    <row r="4382" spans="1:8" hidden="1">
      <c r="A4382" s="232">
        <v>45180</v>
      </c>
      <c r="C4382" s="3" t="s">
        <v>12773</v>
      </c>
      <c r="D4382" s="3">
        <v>2764</v>
      </c>
      <c r="E4382" s="3"/>
      <c r="H4382" t="s">
        <v>1336</v>
      </c>
    </row>
    <row r="4383" spans="1:8" hidden="1">
      <c r="A4383" s="232">
        <v>45181</v>
      </c>
      <c r="C4383" s="3" t="s">
        <v>12774</v>
      </c>
      <c r="D4383" s="280">
        <v>1000</v>
      </c>
      <c r="E4383" s="3"/>
      <c r="G4383" s="8" t="s">
        <v>1372</v>
      </c>
      <c r="H4383" t="s">
        <v>1336</v>
      </c>
    </row>
    <row r="4384" spans="1:8" hidden="1">
      <c r="A4384" s="232">
        <v>45182</v>
      </c>
      <c r="C4384" s="3" t="s">
        <v>12775</v>
      </c>
      <c r="D4384" s="3">
        <v>440.48</v>
      </c>
      <c r="E4384" s="3"/>
      <c r="H4384" t="s">
        <v>1336</v>
      </c>
    </row>
    <row r="4385" spans="1:8" hidden="1">
      <c r="A4385" s="232">
        <v>45182</v>
      </c>
      <c r="C4385" s="3" t="s">
        <v>12776</v>
      </c>
      <c r="D4385" s="280">
        <v>775</v>
      </c>
      <c r="E4385" s="3"/>
      <c r="G4385" s="8" t="s">
        <v>1372</v>
      </c>
      <c r="H4385" t="s">
        <v>1336</v>
      </c>
    </row>
    <row r="4386" spans="1:8" hidden="1">
      <c r="A4386" s="232">
        <v>45182</v>
      </c>
      <c r="C4386" s="3" t="s">
        <v>12777</v>
      </c>
      <c r="D4386" s="280">
        <v>1000</v>
      </c>
      <c r="E4386" s="3"/>
      <c r="G4386" s="8" t="s">
        <v>1372</v>
      </c>
      <c r="H4386" t="s">
        <v>1336</v>
      </c>
    </row>
    <row r="4387" spans="1:8" hidden="1">
      <c r="A4387" s="232">
        <v>45183</v>
      </c>
      <c r="C4387" s="3" t="s">
        <v>12778</v>
      </c>
      <c r="D4387" s="280">
        <v>800</v>
      </c>
      <c r="E4387" s="3"/>
      <c r="G4387" s="8" t="s">
        <v>1372</v>
      </c>
      <c r="H4387" t="s">
        <v>1336</v>
      </c>
    </row>
    <row r="4388" spans="1:8" hidden="1">
      <c r="A4388" s="232">
        <v>45183</v>
      </c>
      <c r="C4388" s="3" t="s">
        <v>12779</v>
      </c>
      <c r="D4388" s="280">
        <v>1000</v>
      </c>
      <c r="E4388" s="3"/>
      <c r="G4388" s="8" t="s">
        <v>1372</v>
      </c>
      <c r="H4388" t="s">
        <v>1336</v>
      </c>
    </row>
    <row r="4389" spans="1:8" hidden="1">
      <c r="A4389" s="232">
        <v>45183</v>
      </c>
      <c r="C4389" s="3" t="s">
        <v>12780</v>
      </c>
      <c r="D4389" s="3">
        <v>342</v>
      </c>
      <c r="E4389" s="3"/>
      <c r="H4389" t="s">
        <v>1336</v>
      </c>
    </row>
    <row r="4390" spans="1:8" hidden="1">
      <c r="A4390" s="232">
        <v>45184</v>
      </c>
      <c r="C4390" s="3" t="s">
        <v>12781</v>
      </c>
      <c r="D4390" s="280">
        <v>1250</v>
      </c>
      <c r="E4390" s="3"/>
      <c r="G4390" s="8" t="s">
        <v>1372</v>
      </c>
      <c r="H4390" t="s">
        <v>1336</v>
      </c>
    </row>
    <row r="4391" spans="1:8" hidden="1">
      <c r="A4391" s="232">
        <v>45184</v>
      </c>
      <c r="C4391" s="3" t="s">
        <v>12782</v>
      </c>
      <c r="D4391" s="280">
        <v>1000</v>
      </c>
      <c r="E4391" s="3"/>
      <c r="G4391" s="8" t="s">
        <v>1372</v>
      </c>
      <c r="H4391" t="s">
        <v>1336</v>
      </c>
    </row>
    <row r="4392" spans="1:8" hidden="1">
      <c r="A4392" s="232">
        <v>45184</v>
      </c>
      <c r="C4392" s="3" t="s">
        <v>12783</v>
      </c>
      <c r="D4392" s="280">
        <v>750</v>
      </c>
      <c r="E4392" s="3"/>
      <c r="G4392" s="8" t="s">
        <v>1372</v>
      </c>
      <c r="H4392" t="s">
        <v>1336</v>
      </c>
    </row>
    <row r="4393" spans="1:8" hidden="1">
      <c r="A4393" s="232">
        <v>45184</v>
      </c>
      <c r="C4393" s="3" t="s">
        <v>12784</v>
      </c>
      <c r="D4393" s="280">
        <v>1250</v>
      </c>
      <c r="E4393" s="3"/>
      <c r="G4393" s="8" t="s">
        <v>1372</v>
      </c>
      <c r="H4393" t="s">
        <v>1336</v>
      </c>
    </row>
    <row r="4394" spans="1:8" hidden="1">
      <c r="A4394" s="232">
        <v>45185</v>
      </c>
      <c r="C4394" s="3" t="s">
        <v>12785</v>
      </c>
      <c r="D4394" s="280">
        <v>1000</v>
      </c>
      <c r="E4394" s="3"/>
      <c r="G4394" s="8" t="s">
        <v>1372</v>
      </c>
      <c r="H4394" t="s">
        <v>1336</v>
      </c>
    </row>
    <row r="4395" spans="1:8" hidden="1">
      <c r="A4395" s="232">
        <v>45186</v>
      </c>
      <c r="C4395" s="3" t="s">
        <v>12786</v>
      </c>
      <c r="D4395" s="3">
        <v>368</v>
      </c>
      <c r="E4395" s="3"/>
      <c r="H4395" t="s">
        <v>1336</v>
      </c>
    </row>
    <row r="4396" spans="1:8" hidden="1">
      <c r="A4396" s="232">
        <v>45186</v>
      </c>
      <c r="C4396" s="3" t="s">
        <v>12787</v>
      </c>
      <c r="D4396" s="280">
        <v>750</v>
      </c>
      <c r="E4396" s="3"/>
      <c r="G4396" s="8" t="s">
        <v>1372</v>
      </c>
      <c r="H4396" t="s">
        <v>1336</v>
      </c>
    </row>
    <row r="4397" spans="1:8" hidden="1">
      <c r="A4397" s="232">
        <v>45186</v>
      </c>
      <c r="C4397" s="3" t="s">
        <v>12788</v>
      </c>
      <c r="D4397" s="3">
        <v>2300</v>
      </c>
      <c r="E4397" s="3"/>
      <c r="H4397" t="s">
        <v>1336</v>
      </c>
    </row>
    <row r="4398" spans="1:8" hidden="1">
      <c r="A4398" s="232">
        <v>45187</v>
      </c>
      <c r="C4398" s="3" t="s">
        <v>12789</v>
      </c>
      <c r="D4398" s="280">
        <v>1000</v>
      </c>
      <c r="E4398" s="3"/>
      <c r="G4398" s="8" t="s">
        <v>1372</v>
      </c>
      <c r="H4398" t="s">
        <v>1336</v>
      </c>
    </row>
    <row r="4399" spans="1:8" hidden="1">
      <c r="A4399" s="232">
        <v>45187</v>
      </c>
      <c r="C4399" s="3" t="s">
        <v>12790</v>
      </c>
      <c r="D4399" s="3">
        <v>1500</v>
      </c>
      <c r="E4399" s="3"/>
      <c r="H4399" t="s">
        <v>1336</v>
      </c>
    </row>
    <row r="4400" spans="1:8" hidden="1">
      <c r="A4400" s="232">
        <v>45187</v>
      </c>
      <c r="C4400" s="3" t="s">
        <v>12791</v>
      </c>
      <c r="D4400" s="3">
        <v>320.5</v>
      </c>
      <c r="E4400" s="3"/>
      <c r="H4400" t="s">
        <v>1336</v>
      </c>
    </row>
    <row r="4401" spans="1:8" hidden="1">
      <c r="A4401" s="232">
        <v>45187</v>
      </c>
      <c r="C4401" s="3" t="s">
        <v>12792</v>
      </c>
      <c r="D4401" s="3">
        <v>165.91</v>
      </c>
      <c r="E4401" s="3"/>
      <c r="H4401" t="s">
        <v>1336</v>
      </c>
    </row>
    <row r="4402" spans="1:8" hidden="1">
      <c r="A4402" s="232">
        <v>45188</v>
      </c>
      <c r="C4402" s="3" t="s">
        <v>12793</v>
      </c>
      <c r="D4402" s="280">
        <v>750</v>
      </c>
      <c r="E4402" s="3"/>
      <c r="G4402" s="8" t="s">
        <v>1372</v>
      </c>
      <c r="H4402" t="s">
        <v>1336</v>
      </c>
    </row>
    <row r="4403" spans="1:8" hidden="1">
      <c r="A4403" s="232">
        <v>45189</v>
      </c>
      <c r="C4403" s="3" t="s">
        <v>12794</v>
      </c>
      <c r="D4403" s="280">
        <v>775</v>
      </c>
      <c r="E4403" s="3"/>
      <c r="G4403" s="8" t="s">
        <v>1372</v>
      </c>
      <c r="H4403" t="s">
        <v>1336</v>
      </c>
    </row>
    <row r="4404" spans="1:8" hidden="1">
      <c r="A4404" s="232">
        <v>45189</v>
      </c>
      <c r="C4404" s="3" t="s">
        <v>12795</v>
      </c>
      <c r="D4404" s="280">
        <v>1000</v>
      </c>
      <c r="E4404" s="3"/>
      <c r="G4404" s="8" t="s">
        <v>1372</v>
      </c>
      <c r="H4404" t="s">
        <v>1336</v>
      </c>
    </row>
    <row r="4405" spans="1:8" hidden="1">
      <c r="A4405" s="232">
        <v>45189</v>
      </c>
      <c r="C4405" s="3" t="s">
        <v>12796</v>
      </c>
      <c r="D4405" s="280">
        <v>1000</v>
      </c>
      <c r="E4405" s="3"/>
      <c r="G4405" s="8" t="s">
        <v>1372</v>
      </c>
      <c r="H4405" t="s">
        <v>1336</v>
      </c>
    </row>
    <row r="4406" spans="1:8" hidden="1">
      <c r="A4406" s="232">
        <v>45190</v>
      </c>
      <c r="C4406" s="3" t="s">
        <v>12797</v>
      </c>
      <c r="D4406" s="280">
        <v>750</v>
      </c>
      <c r="E4406" s="3"/>
      <c r="G4406" s="8" t="s">
        <v>1372</v>
      </c>
      <c r="H4406" t="s">
        <v>1336</v>
      </c>
    </row>
    <row r="4407" spans="1:8" hidden="1">
      <c r="A4407" s="232">
        <v>45190</v>
      </c>
      <c r="C4407" s="3" t="s">
        <v>12798</v>
      </c>
      <c r="D4407" s="280">
        <v>1000</v>
      </c>
      <c r="E4407" s="3"/>
      <c r="G4407" s="8" t="s">
        <v>1372</v>
      </c>
      <c r="H4407" t="s">
        <v>1336</v>
      </c>
    </row>
    <row r="4408" spans="1:8" hidden="1">
      <c r="A4408" s="232">
        <v>45190</v>
      </c>
      <c r="C4408" s="3" t="s">
        <v>12799</v>
      </c>
      <c r="D4408" s="280">
        <v>1000</v>
      </c>
      <c r="E4408" s="3"/>
      <c r="G4408" s="8" t="s">
        <v>1372</v>
      </c>
      <c r="H4408" t="s">
        <v>1336</v>
      </c>
    </row>
    <row r="4409" spans="1:8" hidden="1">
      <c r="A4409" s="232">
        <v>45190</v>
      </c>
      <c r="C4409" s="3" t="s">
        <v>12800</v>
      </c>
      <c r="D4409" s="3">
        <v>623.01</v>
      </c>
      <c r="E4409" s="3"/>
      <c r="H4409" t="s">
        <v>1336</v>
      </c>
    </row>
    <row r="4410" spans="1:8" hidden="1">
      <c r="A4410" s="232">
        <v>45190</v>
      </c>
      <c r="C4410" s="3" t="s">
        <v>12801</v>
      </c>
      <c r="D4410" s="3">
        <v>698</v>
      </c>
      <c r="E4410" s="3"/>
      <c r="H4410" t="s">
        <v>1336</v>
      </c>
    </row>
    <row r="4411" spans="1:8" hidden="1">
      <c r="A4411" s="232">
        <v>45191</v>
      </c>
      <c r="C4411" s="3" t="s">
        <v>12802</v>
      </c>
      <c r="D4411" s="280">
        <v>750</v>
      </c>
      <c r="E4411" s="3"/>
      <c r="G4411" s="8" t="s">
        <v>1372</v>
      </c>
      <c r="H4411" t="s">
        <v>1336</v>
      </c>
    </row>
    <row r="4412" spans="1:8" hidden="1">
      <c r="A4412" s="232">
        <v>45192</v>
      </c>
      <c r="C4412" s="3" t="s">
        <v>12803</v>
      </c>
      <c r="D4412" s="280">
        <v>750</v>
      </c>
      <c r="E4412" s="3"/>
      <c r="G4412" s="8" t="s">
        <v>1372</v>
      </c>
      <c r="H4412" t="s">
        <v>1336</v>
      </c>
    </row>
    <row r="4413" spans="1:8" hidden="1">
      <c r="A4413" s="232">
        <v>45193</v>
      </c>
      <c r="C4413" s="3" t="s">
        <v>12804</v>
      </c>
      <c r="D4413" s="3">
        <v>740</v>
      </c>
      <c r="E4413" s="3"/>
      <c r="H4413" t="s">
        <v>1336</v>
      </c>
    </row>
    <row r="4414" spans="1:8" hidden="1">
      <c r="A4414" s="232">
        <v>45193</v>
      </c>
      <c r="C4414" s="3" t="s">
        <v>12805</v>
      </c>
      <c r="D4414" s="280">
        <v>1000</v>
      </c>
      <c r="E4414" s="3"/>
      <c r="G4414" s="8" t="s">
        <v>1372</v>
      </c>
      <c r="H4414" t="s">
        <v>1336</v>
      </c>
    </row>
    <row r="4415" spans="1:8" hidden="1">
      <c r="A4415" s="232">
        <v>45194</v>
      </c>
      <c r="C4415" s="3" t="s">
        <v>12806</v>
      </c>
      <c r="D4415" s="280">
        <v>750</v>
      </c>
      <c r="E4415" s="3"/>
      <c r="G4415" s="8" t="s">
        <v>1372</v>
      </c>
      <c r="H4415" t="s">
        <v>1336</v>
      </c>
    </row>
    <row r="4416" spans="1:8" hidden="1">
      <c r="A4416" s="232">
        <v>45194</v>
      </c>
      <c r="C4416" s="3" t="s">
        <v>12807</v>
      </c>
      <c r="D4416" s="3">
        <v>1709</v>
      </c>
      <c r="E4416" s="3"/>
      <c r="H4416" t="s">
        <v>1336</v>
      </c>
    </row>
    <row r="4417" spans="1:8" hidden="1">
      <c r="A4417" s="232">
        <v>45194</v>
      </c>
      <c r="C4417" s="3" t="s">
        <v>12808</v>
      </c>
      <c r="D4417" s="3">
        <v>1616</v>
      </c>
      <c r="E4417" s="3"/>
      <c r="H4417" t="s">
        <v>1336</v>
      </c>
    </row>
    <row r="4418" spans="1:8" hidden="1">
      <c r="A4418" s="232">
        <v>45194</v>
      </c>
      <c r="C4418" s="3" t="s">
        <v>12809</v>
      </c>
      <c r="D4418" s="3">
        <v>499</v>
      </c>
      <c r="E4418" s="3"/>
      <c r="H4418" t="s">
        <v>1336</v>
      </c>
    </row>
    <row r="4419" spans="1:8" hidden="1">
      <c r="A4419" s="232">
        <v>45194</v>
      </c>
      <c r="C4419" s="3" t="s">
        <v>12810</v>
      </c>
      <c r="D4419" s="3">
        <v>13900</v>
      </c>
      <c r="E4419" s="3"/>
      <c r="G4419" s="8" t="s">
        <v>1379</v>
      </c>
      <c r="H4419" t="s">
        <v>1336</v>
      </c>
    </row>
    <row r="4420" spans="1:8" hidden="1">
      <c r="A4420" s="232">
        <v>45195</v>
      </c>
      <c r="C4420" s="3" t="s">
        <v>12811</v>
      </c>
      <c r="D4420" s="280">
        <v>1000</v>
      </c>
      <c r="E4420" s="3"/>
      <c r="G4420" s="8" t="s">
        <v>1372</v>
      </c>
      <c r="H4420" t="s">
        <v>1336</v>
      </c>
    </row>
    <row r="4421" spans="1:8" hidden="1">
      <c r="A4421" s="232">
        <v>45195</v>
      </c>
      <c r="C4421" s="3" t="s">
        <v>12812</v>
      </c>
      <c r="D4421" s="3">
        <v>447</v>
      </c>
      <c r="E4421" s="3"/>
      <c r="H4421" t="s">
        <v>1336</v>
      </c>
    </row>
    <row r="4422" spans="1:8" hidden="1">
      <c r="A4422" s="232">
        <v>45195</v>
      </c>
      <c r="C4422" s="3" t="s">
        <v>12813</v>
      </c>
      <c r="D4422" s="3">
        <v>1200</v>
      </c>
      <c r="E4422" s="3"/>
      <c r="H4422" t="s">
        <v>1336</v>
      </c>
    </row>
    <row r="4423" spans="1:8" hidden="1">
      <c r="A4423" s="232">
        <v>45195</v>
      </c>
      <c r="C4423" s="3" t="s">
        <v>12814</v>
      </c>
      <c r="D4423" s="3">
        <v>800</v>
      </c>
      <c r="E4423" s="3"/>
      <c r="H4423" t="s">
        <v>1336</v>
      </c>
    </row>
    <row r="4424" spans="1:8" hidden="1">
      <c r="A4424" s="232">
        <v>45196</v>
      </c>
      <c r="C4424" s="3" t="s">
        <v>12815</v>
      </c>
      <c r="D4424" s="280">
        <v>1000</v>
      </c>
      <c r="E4424" s="3"/>
      <c r="G4424" s="8" t="s">
        <v>1372</v>
      </c>
      <c r="H4424" t="s">
        <v>1336</v>
      </c>
    </row>
    <row r="4425" spans="1:8" hidden="1">
      <c r="A4425" s="232">
        <v>45196</v>
      </c>
      <c r="C4425" s="3" t="s">
        <v>12816</v>
      </c>
      <c r="D4425" s="3">
        <v>4000</v>
      </c>
      <c r="E4425" s="3"/>
      <c r="H4425" t="s">
        <v>1336</v>
      </c>
    </row>
    <row r="4426" spans="1:8" hidden="1">
      <c r="A4426" s="232">
        <v>45196</v>
      </c>
      <c r="C4426" s="3" t="s">
        <v>12817</v>
      </c>
      <c r="D4426" s="3">
        <v>4064</v>
      </c>
      <c r="E4426" s="3"/>
      <c r="H4426" t="s">
        <v>1336</v>
      </c>
    </row>
    <row r="4427" spans="1:8" hidden="1">
      <c r="A4427" s="232">
        <v>45197</v>
      </c>
      <c r="C4427" s="3" t="s">
        <v>12818</v>
      </c>
      <c r="D4427" s="280">
        <v>800</v>
      </c>
      <c r="E4427" s="3"/>
      <c r="G4427" s="8" t="s">
        <v>1372</v>
      </c>
      <c r="H4427" t="s">
        <v>1336</v>
      </c>
    </row>
    <row r="4428" spans="1:8" hidden="1">
      <c r="A4428" s="232">
        <v>45199</v>
      </c>
      <c r="C4428" s="3" t="s">
        <v>12819</v>
      </c>
      <c r="D4428" s="3">
        <v>476.72</v>
      </c>
      <c r="E4428" s="3"/>
      <c r="H4428" t="s">
        <v>1336</v>
      </c>
    </row>
    <row r="4429" spans="1:8" hidden="1">
      <c r="A4429" s="232">
        <v>45199</v>
      </c>
      <c r="C4429" s="3" t="s">
        <v>12820</v>
      </c>
      <c r="D4429" s="3">
        <v>1567</v>
      </c>
      <c r="E4429" s="3"/>
      <c r="H4429" t="s">
        <v>1336</v>
      </c>
    </row>
    <row r="4430" spans="1:8" hidden="1">
      <c r="A4430" s="232">
        <v>45199</v>
      </c>
      <c r="C4430" s="3" t="s">
        <v>12821</v>
      </c>
      <c r="D4430" s="3">
        <v>2500</v>
      </c>
      <c r="E4430" s="3"/>
      <c r="H4430" t="s">
        <v>1336</v>
      </c>
    </row>
    <row r="4431" spans="1:8" hidden="1">
      <c r="A4431" s="232">
        <v>45200</v>
      </c>
      <c r="C4431" s="3" t="s">
        <v>4256</v>
      </c>
      <c r="D4431" s="3"/>
      <c r="E4431" s="3">
        <v>14209</v>
      </c>
      <c r="G4431" s="8" t="s">
        <v>1368</v>
      </c>
      <c r="H4431" t="s">
        <v>1336</v>
      </c>
    </row>
    <row r="4432" spans="1:8" hidden="1">
      <c r="A4432" s="232">
        <v>45209</v>
      </c>
      <c r="C4432" s="315" t="s">
        <v>12871</v>
      </c>
      <c r="D4432" s="320">
        <v>0</v>
      </c>
      <c r="E4432" s="321">
        <v>9772.36</v>
      </c>
      <c r="G4432" s="8" t="s">
        <v>1375</v>
      </c>
      <c r="H4432" t="s">
        <v>1050</v>
      </c>
    </row>
    <row r="4433" spans="1:8" hidden="1">
      <c r="A4433" s="232">
        <v>45220</v>
      </c>
      <c r="C4433" s="315" t="s">
        <v>12872</v>
      </c>
      <c r="D4433" s="321">
        <v>41667</v>
      </c>
      <c r="E4433" s="321">
        <v>0</v>
      </c>
      <c r="G4433" s="8" t="s">
        <v>1381</v>
      </c>
      <c r="H4433" t="s">
        <v>1050</v>
      </c>
    </row>
    <row r="4434" spans="1:8" hidden="1">
      <c r="A4434" s="232">
        <v>45227</v>
      </c>
      <c r="C4434" s="315" t="s">
        <v>12873</v>
      </c>
      <c r="D4434" s="321">
        <v>199</v>
      </c>
      <c r="E4434" s="321">
        <v>0</v>
      </c>
      <c r="H4434" t="s">
        <v>1050</v>
      </c>
    </row>
    <row r="4435" spans="1:8" hidden="1">
      <c r="A4435" s="232">
        <v>45229</v>
      </c>
      <c r="C4435" s="315" t="s">
        <v>12874</v>
      </c>
      <c r="D4435" s="321">
        <v>25000</v>
      </c>
      <c r="E4435" s="321">
        <v>0</v>
      </c>
      <c r="G4435" s="8" t="s">
        <v>1381</v>
      </c>
      <c r="H4435" t="s">
        <v>1050</v>
      </c>
    </row>
    <row r="4436" spans="1:8" hidden="1">
      <c r="A4436" s="232">
        <v>45200</v>
      </c>
      <c r="C4436" s="316" t="s">
        <v>12875</v>
      </c>
      <c r="D4436" s="318">
        <v>1000</v>
      </c>
      <c r="E4436" s="318"/>
      <c r="G4436" s="8" t="s">
        <v>1372</v>
      </c>
      <c r="H4436" t="s">
        <v>1336</v>
      </c>
    </row>
    <row r="4437" spans="1:8" hidden="1">
      <c r="A4437" s="232">
        <v>45200</v>
      </c>
      <c r="C4437" s="316" t="s">
        <v>12876</v>
      </c>
      <c r="D4437" s="318">
        <v>120</v>
      </c>
      <c r="E4437" s="318"/>
      <c r="H4437" t="s">
        <v>1336</v>
      </c>
    </row>
    <row r="4438" spans="1:8" hidden="1">
      <c r="A4438" s="232">
        <v>45200</v>
      </c>
      <c r="C4438" s="316" t="s">
        <v>12877</v>
      </c>
      <c r="D4438" s="318"/>
      <c r="E4438" s="318">
        <v>13</v>
      </c>
      <c r="H4438" t="s">
        <v>1336</v>
      </c>
    </row>
    <row r="4439" spans="1:8" hidden="1">
      <c r="A4439" s="232">
        <v>45201</v>
      </c>
      <c r="C4439" s="316" t="s">
        <v>12878</v>
      </c>
      <c r="D4439" s="318">
        <v>1250</v>
      </c>
      <c r="E4439" s="318"/>
      <c r="G4439" s="8" t="s">
        <v>1372</v>
      </c>
      <c r="H4439" t="s">
        <v>1336</v>
      </c>
    </row>
    <row r="4440" spans="1:8" hidden="1">
      <c r="A4440" s="232">
        <v>45201</v>
      </c>
      <c r="C4440" s="316" t="s">
        <v>12879</v>
      </c>
      <c r="D4440" s="318"/>
      <c r="E4440" s="318">
        <v>1199</v>
      </c>
      <c r="H4440" t="s">
        <v>1336</v>
      </c>
    </row>
    <row r="4441" spans="1:8" hidden="1">
      <c r="A4441" s="232">
        <v>45201</v>
      </c>
      <c r="C4441" s="316" t="s">
        <v>12880</v>
      </c>
      <c r="D4441" s="318">
        <v>788</v>
      </c>
      <c r="E4441" s="318"/>
      <c r="H4441" t="s">
        <v>1336</v>
      </c>
    </row>
    <row r="4442" spans="1:8" hidden="1">
      <c r="A4442" s="232">
        <v>45201</v>
      </c>
      <c r="C4442" s="316" t="s">
        <v>12881</v>
      </c>
      <c r="D4442" s="318">
        <v>1200</v>
      </c>
      <c r="E4442" s="318"/>
      <c r="H4442" t="s">
        <v>1336</v>
      </c>
    </row>
    <row r="4443" spans="1:8" hidden="1">
      <c r="A4443" s="232">
        <v>45201</v>
      </c>
      <c r="C4443" s="316" t="s">
        <v>12882</v>
      </c>
      <c r="D4443" s="318">
        <v>651</v>
      </c>
      <c r="E4443" s="318"/>
      <c r="H4443" t="s">
        <v>1336</v>
      </c>
    </row>
    <row r="4444" spans="1:8" hidden="1">
      <c r="A4444" s="232">
        <v>45202</v>
      </c>
      <c r="C4444" s="316" t="s">
        <v>12883</v>
      </c>
      <c r="D4444" s="318">
        <v>1000</v>
      </c>
      <c r="E4444" s="318"/>
      <c r="G4444" s="8" t="s">
        <v>1372</v>
      </c>
      <c r="H4444" t="s">
        <v>1336</v>
      </c>
    </row>
    <row r="4445" spans="1:8" hidden="1">
      <c r="A4445" s="232">
        <v>45202</v>
      </c>
      <c r="C4445" s="316" t="s">
        <v>12884</v>
      </c>
      <c r="D4445" s="318">
        <v>775</v>
      </c>
      <c r="E4445" s="318"/>
      <c r="G4445" s="8" t="s">
        <v>1372</v>
      </c>
      <c r="H4445" t="s">
        <v>1336</v>
      </c>
    </row>
    <row r="4446" spans="1:8" hidden="1">
      <c r="A4446" s="232">
        <v>45202</v>
      </c>
      <c r="C4446" s="316" t="s">
        <v>12885</v>
      </c>
      <c r="D4446" s="318">
        <v>1000</v>
      </c>
      <c r="E4446" s="318"/>
      <c r="G4446" s="8" t="s">
        <v>1372</v>
      </c>
      <c r="H4446" t="s">
        <v>1336</v>
      </c>
    </row>
    <row r="4447" spans="1:8" hidden="1">
      <c r="A4447" s="232">
        <v>45202</v>
      </c>
      <c r="C4447" s="316" t="s">
        <v>12886</v>
      </c>
      <c r="D4447" s="318">
        <v>1250</v>
      </c>
      <c r="E4447" s="318"/>
      <c r="G4447" s="8" t="s">
        <v>1372</v>
      </c>
      <c r="H4447" t="s">
        <v>1336</v>
      </c>
    </row>
    <row r="4448" spans="1:8" hidden="1">
      <c r="A4448" s="232">
        <v>45202</v>
      </c>
      <c r="C4448" s="316" t="s">
        <v>12887</v>
      </c>
      <c r="D4448" s="318">
        <v>1148</v>
      </c>
      <c r="E4448" s="318"/>
      <c r="H4448" t="s">
        <v>1336</v>
      </c>
    </row>
    <row r="4449" spans="1:8" hidden="1">
      <c r="A4449" s="232">
        <v>45203</v>
      </c>
      <c r="C4449" s="316" t="s">
        <v>12888</v>
      </c>
      <c r="D4449" s="318">
        <v>750</v>
      </c>
      <c r="E4449" s="318"/>
      <c r="G4449" s="8" t="s">
        <v>1372</v>
      </c>
      <c r="H4449" t="s">
        <v>1336</v>
      </c>
    </row>
    <row r="4450" spans="1:8" hidden="1">
      <c r="A4450" s="232">
        <v>45204</v>
      </c>
      <c r="C4450" s="316" t="s">
        <v>12889</v>
      </c>
      <c r="D4450" s="318">
        <v>1250</v>
      </c>
      <c r="E4450" s="318"/>
      <c r="G4450" s="8" t="s">
        <v>1372</v>
      </c>
      <c r="H4450" t="s">
        <v>1336</v>
      </c>
    </row>
    <row r="4451" spans="1:8" hidden="1">
      <c r="A4451" s="232">
        <v>45204</v>
      </c>
      <c r="C4451" s="316" t="s">
        <v>12890</v>
      </c>
      <c r="D4451" s="318">
        <v>1000</v>
      </c>
      <c r="E4451" s="318"/>
      <c r="G4451" s="8" t="s">
        <v>1372</v>
      </c>
      <c r="H4451" t="s">
        <v>1336</v>
      </c>
    </row>
    <row r="4452" spans="1:8" hidden="1">
      <c r="A4452" s="232">
        <v>45204</v>
      </c>
      <c r="C4452" s="316" t="s">
        <v>12891</v>
      </c>
      <c r="D4452" s="318">
        <v>1250</v>
      </c>
      <c r="E4452" s="318"/>
      <c r="G4452" s="8" t="s">
        <v>1372</v>
      </c>
      <c r="H4452" t="s">
        <v>1336</v>
      </c>
    </row>
    <row r="4453" spans="1:8" hidden="1">
      <c r="A4453" s="232">
        <v>45204</v>
      </c>
      <c r="C4453" s="316" t="s">
        <v>12892</v>
      </c>
      <c r="D4453" s="318">
        <v>330</v>
      </c>
      <c r="E4453" s="318"/>
      <c r="H4453" t="s">
        <v>1336</v>
      </c>
    </row>
    <row r="4454" spans="1:8" hidden="1">
      <c r="A4454" s="232">
        <v>45205</v>
      </c>
      <c r="C4454" s="316" t="s">
        <v>6583</v>
      </c>
      <c r="D4454" s="318">
        <v>15600</v>
      </c>
      <c r="E4454" s="318"/>
      <c r="G4454" s="8" t="s">
        <v>1362</v>
      </c>
      <c r="H4454" t="s">
        <v>1336</v>
      </c>
    </row>
    <row r="4455" spans="1:8" hidden="1">
      <c r="A4455" s="232">
        <v>45205</v>
      </c>
      <c r="C4455" s="316" t="s">
        <v>12893</v>
      </c>
      <c r="D4455" s="318">
        <v>800</v>
      </c>
      <c r="E4455" s="318"/>
      <c r="G4455" s="8" t="s">
        <v>1372</v>
      </c>
      <c r="H4455" t="s">
        <v>1336</v>
      </c>
    </row>
    <row r="4456" spans="1:8" hidden="1">
      <c r="A4456" s="232">
        <v>45205</v>
      </c>
      <c r="C4456" s="316" t="s">
        <v>12894</v>
      </c>
      <c r="D4456" s="318">
        <v>1000</v>
      </c>
      <c r="E4456" s="318"/>
      <c r="G4456" s="8" t="s">
        <v>1372</v>
      </c>
      <c r="H4456" t="s">
        <v>1336</v>
      </c>
    </row>
    <row r="4457" spans="1:8" hidden="1">
      <c r="A4457" s="232">
        <v>45205</v>
      </c>
      <c r="C4457" s="316" t="s">
        <v>12895</v>
      </c>
      <c r="D4457" s="318">
        <v>5000</v>
      </c>
      <c r="E4457" s="318"/>
      <c r="H4457" t="s">
        <v>1336</v>
      </c>
    </row>
    <row r="4458" spans="1:8" hidden="1">
      <c r="A4458" s="232">
        <v>45205</v>
      </c>
      <c r="C4458" s="316" t="s">
        <v>12896</v>
      </c>
      <c r="D4458" s="318"/>
      <c r="E4458" s="318">
        <v>3</v>
      </c>
      <c r="H4458" t="s">
        <v>1336</v>
      </c>
    </row>
    <row r="4459" spans="1:8" hidden="1">
      <c r="A4459" s="232">
        <v>45205</v>
      </c>
      <c r="C4459" s="316" t="s">
        <v>12897</v>
      </c>
      <c r="D4459" s="318">
        <v>2500</v>
      </c>
      <c r="E4459" s="318"/>
      <c r="H4459" t="s">
        <v>1336</v>
      </c>
    </row>
    <row r="4460" spans="1:8" hidden="1">
      <c r="A4460" s="232">
        <v>45206</v>
      </c>
      <c r="C4460" s="316" t="s">
        <v>12898</v>
      </c>
      <c r="D4460" s="318">
        <v>1000</v>
      </c>
      <c r="E4460" s="318"/>
      <c r="G4460" s="8" t="s">
        <v>1372</v>
      </c>
      <c r="H4460" t="s">
        <v>1336</v>
      </c>
    </row>
    <row r="4461" spans="1:8" hidden="1">
      <c r="A4461" s="232">
        <v>45206</v>
      </c>
      <c r="C4461" s="316" t="s">
        <v>12899</v>
      </c>
      <c r="D4461" s="318">
        <v>1268.5</v>
      </c>
      <c r="E4461" s="318"/>
      <c r="H4461" t="s">
        <v>1336</v>
      </c>
    </row>
    <row r="4462" spans="1:8" hidden="1">
      <c r="A4462" s="232">
        <v>45207</v>
      </c>
      <c r="C4462" s="316" t="s">
        <v>12900</v>
      </c>
      <c r="D4462" s="318">
        <v>775</v>
      </c>
      <c r="E4462" s="318"/>
      <c r="G4462" s="8" t="s">
        <v>1372</v>
      </c>
      <c r="H4462" t="s">
        <v>1336</v>
      </c>
    </row>
    <row r="4463" spans="1:8" hidden="1">
      <c r="A4463" s="232">
        <v>45207</v>
      </c>
      <c r="C4463" s="316" t="s">
        <v>12901</v>
      </c>
      <c r="D4463" s="318">
        <v>2500</v>
      </c>
      <c r="E4463" s="318"/>
      <c r="H4463" t="s">
        <v>1336</v>
      </c>
    </row>
    <row r="4464" spans="1:8" hidden="1">
      <c r="A4464" s="232">
        <v>45208</v>
      </c>
      <c r="C4464" s="316" t="s">
        <v>12902</v>
      </c>
      <c r="D4464" s="318">
        <v>1000</v>
      </c>
      <c r="E4464" s="318"/>
      <c r="G4464" s="8" t="s">
        <v>1372</v>
      </c>
      <c r="H4464" t="s">
        <v>1336</v>
      </c>
    </row>
    <row r="4465" spans="1:8" hidden="1">
      <c r="A4465" s="232">
        <v>45208</v>
      </c>
      <c r="C4465" s="316" t="s">
        <v>12903</v>
      </c>
      <c r="D4465" s="318">
        <v>750</v>
      </c>
      <c r="E4465" s="318"/>
      <c r="G4465" s="8" t="s">
        <v>1372</v>
      </c>
      <c r="H4465" t="s">
        <v>1336</v>
      </c>
    </row>
    <row r="4466" spans="1:8" hidden="1">
      <c r="A4466" s="232">
        <v>45208</v>
      </c>
      <c r="C4466" s="316" t="s">
        <v>12904</v>
      </c>
      <c r="D4466" s="318">
        <v>750</v>
      </c>
      <c r="E4466" s="318"/>
      <c r="G4466" s="8" t="s">
        <v>1372</v>
      </c>
      <c r="H4466" t="s">
        <v>1336</v>
      </c>
    </row>
    <row r="4467" spans="1:8" hidden="1">
      <c r="A4467" s="232">
        <v>45208</v>
      </c>
      <c r="C4467" s="316" t="s">
        <v>12905</v>
      </c>
      <c r="D4467" s="318">
        <v>1000</v>
      </c>
      <c r="E4467" s="318"/>
      <c r="G4467" s="8" t="s">
        <v>1372</v>
      </c>
      <c r="H4467" t="s">
        <v>1336</v>
      </c>
    </row>
    <row r="4468" spans="1:8" hidden="1">
      <c r="A4468" s="232">
        <v>45208</v>
      </c>
      <c r="C4468" s="316" t="s">
        <v>12906</v>
      </c>
      <c r="D4468" s="318">
        <v>111.5</v>
      </c>
      <c r="E4468" s="318"/>
      <c r="H4468" t="s">
        <v>1336</v>
      </c>
    </row>
    <row r="4469" spans="1:8" hidden="1">
      <c r="A4469" s="232">
        <v>45209</v>
      </c>
      <c r="C4469" s="316" t="s">
        <v>12907</v>
      </c>
      <c r="D4469" s="318">
        <v>1250</v>
      </c>
      <c r="E4469" s="318"/>
      <c r="G4469" s="8" t="s">
        <v>1372</v>
      </c>
      <c r="H4469" t="s">
        <v>1336</v>
      </c>
    </row>
    <row r="4470" spans="1:8" hidden="1">
      <c r="A4470" s="232">
        <v>45209</v>
      </c>
      <c r="C4470" s="316" t="s">
        <v>12908</v>
      </c>
      <c r="D4470" s="318">
        <v>1000</v>
      </c>
      <c r="E4470" s="318"/>
      <c r="G4470" s="8" t="s">
        <v>1372</v>
      </c>
      <c r="H4470" t="s">
        <v>1336</v>
      </c>
    </row>
    <row r="4471" spans="1:8" hidden="1">
      <c r="A4471" s="232">
        <v>45210</v>
      </c>
      <c r="C4471" s="316" t="s">
        <v>12909</v>
      </c>
      <c r="D4471" s="318">
        <v>1250</v>
      </c>
      <c r="E4471" s="318"/>
      <c r="G4471" s="8" t="s">
        <v>1372</v>
      </c>
      <c r="H4471" t="s">
        <v>1336</v>
      </c>
    </row>
    <row r="4472" spans="1:8" hidden="1">
      <c r="A4472" s="232">
        <v>45211</v>
      </c>
      <c r="C4472" s="316" t="s">
        <v>12910</v>
      </c>
      <c r="D4472" s="318">
        <v>1000</v>
      </c>
      <c r="E4472" s="318"/>
      <c r="G4472" s="8" t="s">
        <v>1372</v>
      </c>
      <c r="H4472" t="s">
        <v>1336</v>
      </c>
    </row>
    <row r="4473" spans="1:8" hidden="1">
      <c r="A4473" s="232">
        <v>45211</v>
      </c>
      <c r="C4473" s="316" t="s">
        <v>12911</v>
      </c>
      <c r="D4473" s="318">
        <v>5000</v>
      </c>
      <c r="E4473" s="318"/>
      <c r="H4473" t="s">
        <v>1336</v>
      </c>
    </row>
    <row r="4474" spans="1:8" hidden="1">
      <c r="A4474" s="232">
        <v>45211</v>
      </c>
      <c r="C4474" s="316" t="s">
        <v>12912</v>
      </c>
      <c r="D4474" s="318">
        <v>400</v>
      </c>
      <c r="E4474" s="318"/>
      <c r="H4474" t="s">
        <v>1336</v>
      </c>
    </row>
    <row r="4475" spans="1:8" hidden="1">
      <c r="A4475" s="232">
        <v>45212</v>
      </c>
      <c r="C4475" s="316" t="s">
        <v>12913</v>
      </c>
      <c r="D4475" s="318">
        <v>1000</v>
      </c>
      <c r="E4475" s="318"/>
      <c r="G4475" s="8" t="s">
        <v>1372</v>
      </c>
      <c r="H4475" t="s">
        <v>1336</v>
      </c>
    </row>
    <row r="4476" spans="1:8" hidden="1">
      <c r="A4476" s="232">
        <v>45212</v>
      </c>
      <c r="C4476" s="316" t="s">
        <v>12914</v>
      </c>
      <c r="D4476" s="318">
        <v>775</v>
      </c>
      <c r="E4476" s="318"/>
      <c r="G4476" s="8" t="s">
        <v>1372</v>
      </c>
      <c r="H4476" t="s">
        <v>1336</v>
      </c>
    </row>
    <row r="4477" spans="1:8" hidden="1">
      <c r="A4477" s="232">
        <v>45212</v>
      </c>
      <c r="C4477" s="316" t="s">
        <v>12915</v>
      </c>
      <c r="D4477" s="318">
        <v>6750</v>
      </c>
      <c r="E4477" s="318"/>
      <c r="H4477" t="s">
        <v>1336</v>
      </c>
    </row>
    <row r="4478" spans="1:8" ht="26.25" hidden="1">
      <c r="A4478" s="232">
        <v>45212</v>
      </c>
      <c r="C4478" s="322" t="s">
        <v>12916</v>
      </c>
      <c r="D4478" s="318"/>
      <c r="E4478" s="318">
        <v>478763</v>
      </c>
      <c r="G4478" s="8" t="s">
        <v>1380</v>
      </c>
      <c r="H4478" t="s">
        <v>1336</v>
      </c>
    </row>
    <row r="4479" spans="1:8" hidden="1">
      <c r="A4479" s="232">
        <v>45212</v>
      </c>
      <c r="C4479" s="316" t="s">
        <v>12917</v>
      </c>
      <c r="D4479" s="318">
        <v>964.5</v>
      </c>
      <c r="E4479" s="318"/>
      <c r="H4479" t="s">
        <v>1336</v>
      </c>
    </row>
    <row r="4480" spans="1:8" hidden="1">
      <c r="A4480" s="232">
        <v>45212</v>
      </c>
      <c r="C4480" s="316" t="s">
        <v>12918</v>
      </c>
      <c r="D4480" s="318">
        <v>1853</v>
      </c>
      <c r="E4480" s="318"/>
      <c r="H4480" t="s">
        <v>1336</v>
      </c>
    </row>
    <row r="4481" spans="1:8" hidden="1">
      <c r="A4481" s="232">
        <v>45213</v>
      </c>
      <c r="C4481" s="316" t="s">
        <v>12919</v>
      </c>
      <c r="D4481" s="318">
        <v>369</v>
      </c>
      <c r="E4481" s="318"/>
      <c r="H4481" t="s">
        <v>1336</v>
      </c>
    </row>
    <row r="4482" spans="1:8" hidden="1">
      <c r="A4482" s="232">
        <v>45213</v>
      </c>
      <c r="C4482" s="316" t="s">
        <v>12920</v>
      </c>
      <c r="D4482" s="318">
        <v>800</v>
      </c>
      <c r="E4482" s="318"/>
      <c r="G4482" s="8" t="s">
        <v>1372</v>
      </c>
      <c r="H4482" t="s">
        <v>1336</v>
      </c>
    </row>
    <row r="4483" spans="1:8" hidden="1">
      <c r="A4483" s="232">
        <v>45213</v>
      </c>
      <c r="C4483" s="316" t="s">
        <v>12921</v>
      </c>
      <c r="D4483" s="318">
        <v>3600</v>
      </c>
      <c r="E4483" s="318"/>
      <c r="H4483" t="s">
        <v>1336</v>
      </c>
    </row>
    <row r="4484" spans="1:8" hidden="1">
      <c r="A4484" s="232">
        <v>45213</v>
      </c>
      <c r="C4484" s="316" t="s">
        <v>12922</v>
      </c>
      <c r="D4484" s="318">
        <v>251.5</v>
      </c>
      <c r="E4484" s="318"/>
      <c r="H4484" t="s">
        <v>1336</v>
      </c>
    </row>
    <row r="4485" spans="1:8" hidden="1">
      <c r="A4485" s="232">
        <v>45213</v>
      </c>
      <c r="C4485" s="316" t="s">
        <v>12923</v>
      </c>
      <c r="D4485" s="318">
        <v>270</v>
      </c>
      <c r="E4485" s="318"/>
      <c r="H4485" t="s">
        <v>1336</v>
      </c>
    </row>
    <row r="4486" spans="1:8" hidden="1">
      <c r="A4486" s="232">
        <v>45213</v>
      </c>
      <c r="C4486" s="316" t="s">
        <v>12924</v>
      </c>
      <c r="D4486" s="318">
        <v>786</v>
      </c>
      <c r="E4486" s="318"/>
      <c r="H4486" t="s">
        <v>1336</v>
      </c>
    </row>
    <row r="4487" spans="1:8" hidden="1">
      <c r="A4487" s="232">
        <v>45215</v>
      </c>
      <c r="C4487" s="316" t="s">
        <v>12925</v>
      </c>
      <c r="D4487" s="318">
        <v>750</v>
      </c>
      <c r="E4487" s="318"/>
      <c r="G4487" s="8" t="s">
        <v>1372</v>
      </c>
      <c r="H4487" t="s">
        <v>1336</v>
      </c>
    </row>
    <row r="4488" spans="1:8" hidden="1">
      <c r="A4488" s="232">
        <v>45215</v>
      </c>
      <c r="C4488" s="316" t="s">
        <v>12926</v>
      </c>
      <c r="D4488" s="318">
        <v>1000</v>
      </c>
      <c r="E4488" s="318"/>
      <c r="G4488" s="8" t="s">
        <v>1372</v>
      </c>
      <c r="H4488" t="s">
        <v>1336</v>
      </c>
    </row>
    <row r="4489" spans="1:8" hidden="1">
      <c r="A4489" s="232">
        <v>45215</v>
      </c>
      <c r="C4489" s="316" t="s">
        <v>12927</v>
      </c>
      <c r="D4489" s="318">
        <v>1000</v>
      </c>
      <c r="E4489" s="318"/>
      <c r="G4489" s="8" t="s">
        <v>1372</v>
      </c>
      <c r="H4489" t="s">
        <v>1336</v>
      </c>
    </row>
    <row r="4490" spans="1:8" hidden="1">
      <c r="A4490" s="232">
        <v>45215</v>
      </c>
      <c r="C4490" s="316" t="s">
        <v>12928</v>
      </c>
      <c r="D4490" s="318">
        <v>1000</v>
      </c>
      <c r="E4490" s="318"/>
      <c r="G4490" s="8" t="s">
        <v>1372</v>
      </c>
      <c r="H4490" t="s">
        <v>1336</v>
      </c>
    </row>
    <row r="4491" spans="1:8" hidden="1">
      <c r="A4491" s="232">
        <v>45215</v>
      </c>
      <c r="C4491" s="316" t="s">
        <v>12929</v>
      </c>
      <c r="D4491" s="318">
        <v>1250</v>
      </c>
      <c r="E4491" s="318"/>
      <c r="G4491" s="8" t="s">
        <v>1372</v>
      </c>
      <c r="H4491" t="s">
        <v>1336</v>
      </c>
    </row>
    <row r="4492" spans="1:8" hidden="1">
      <c r="A4492" s="232">
        <v>45215</v>
      </c>
      <c r="C4492" s="316" t="s">
        <v>12930</v>
      </c>
      <c r="D4492" s="318">
        <v>1250</v>
      </c>
      <c r="E4492" s="318"/>
      <c r="G4492" s="8" t="s">
        <v>1372</v>
      </c>
      <c r="H4492" t="s">
        <v>1336</v>
      </c>
    </row>
    <row r="4493" spans="1:8" hidden="1">
      <c r="A4493" s="232">
        <v>45216</v>
      </c>
      <c r="C4493" s="316" t="s">
        <v>12931</v>
      </c>
      <c r="D4493" s="318">
        <v>750</v>
      </c>
      <c r="E4493" s="318"/>
      <c r="G4493" s="8" t="s">
        <v>1372</v>
      </c>
      <c r="H4493" t="s">
        <v>1336</v>
      </c>
    </row>
    <row r="4494" spans="1:8" hidden="1">
      <c r="A4494" s="232">
        <v>45217</v>
      </c>
      <c r="C4494" s="316" t="s">
        <v>12932</v>
      </c>
      <c r="D4494" s="318">
        <v>1000</v>
      </c>
      <c r="E4494" s="318"/>
      <c r="G4494" s="8" t="s">
        <v>1372</v>
      </c>
      <c r="H4494" t="s">
        <v>1336</v>
      </c>
    </row>
    <row r="4495" spans="1:8" hidden="1">
      <c r="A4495" s="232">
        <v>45218</v>
      </c>
      <c r="C4495" s="316" t="s">
        <v>12933</v>
      </c>
      <c r="D4495" s="318">
        <v>750</v>
      </c>
      <c r="E4495" s="318"/>
      <c r="G4495" s="8" t="s">
        <v>1372</v>
      </c>
      <c r="H4495" t="s">
        <v>1336</v>
      </c>
    </row>
    <row r="4496" spans="1:8" hidden="1">
      <c r="A4496" s="232">
        <v>45218</v>
      </c>
      <c r="C4496" s="316" t="s">
        <v>12934</v>
      </c>
      <c r="D4496" s="318">
        <v>1000</v>
      </c>
      <c r="E4496" s="318"/>
      <c r="G4496" s="8" t="s">
        <v>1372</v>
      </c>
      <c r="H4496" t="s">
        <v>1336</v>
      </c>
    </row>
    <row r="4497" spans="1:8" hidden="1">
      <c r="A4497" s="232">
        <v>45219</v>
      </c>
      <c r="C4497" s="316" t="s">
        <v>12935</v>
      </c>
      <c r="D4497" s="318">
        <v>1000</v>
      </c>
      <c r="E4497" s="318"/>
      <c r="G4497" s="8" t="s">
        <v>1372</v>
      </c>
      <c r="H4497" t="s">
        <v>1336</v>
      </c>
    </row>
    <row r="4498" spans="1:8" hidden="1">
      <c r="A4498" s="232">
        <v>45219</v>
      </c>
      <c r="C4498" s="316" t="s">
        <v>12936</v>
      </c>
      <c r="D4498" s="318">
        <v>775</v>
      </c>
      <c r="E4498" s="318"/>
      <c r="G4498" s="8" t="s">
        <v>1372</v>
      </c>
      <c r="H4498" t="s">
        <v>1336</v>
      </c>
    </row>
    <row r="4499" spans="1:8" hidden="1">
      <c r="A4499" s="232">
        <v>45220</v>
      </c>
      <c r="C4499" s="316" t="s">
        <v>12937</v>
      </c>
      <c r="D4499" s="318">
        <v>1000</v>
      </c>
      <c r="E4499" s="318"/>
      <c r="G4499" s="8" t="s">
        <v>1372</v>
      </c>
      <c r="H4499" t="s">
        <v>1336</v>
      </c>
    </row>
    <row r="4500" spans="1:8" hidden="1">
      <c r="A4500" s="232">
        <v>45221</v>
      </c>
      <c r="C4500" s="316" t="s">
        <v>12938</v>
      </c>
      <c r="D4500" s="318">
        <v>750</v>
      </c>
      <c r="E4500" s="318"/>
      <c r="G4500" s="8" t="s">
        <v>1372</v>
      </c>
      <c r="H4500" t="s">
        <v>1336</v>
      </c>
    </row>
    <row r="4501" spans="1:8" hidden="1">
      <c r="A4501" s="232">
        <v>45221</v>
      </c>
      <c r="C4501" s="316" t="s">
        <v>12939</v>
      </c>
      <c r="D4501" s="318">
        <v>1999</v>
      </c>
      <c r="E4501" s="318"/>
      <c r="H4501" t="s">
        <v>1336</v>
      </c>
    </row>
    <row r="4502" spans="1:8" hidden="1">
      <c r="A4502" s="232">
        <v>45221</v>
      </c>
      <c r="C4502" s="316" t="s">
        <v>12940</v>
      </c>
      <c r="D4502" s="318">
        <v>434</v>
      </c>
      <c r="E4502" s="318"/>
      <c r="H4502" t="s">
        <v>1336</v>
      </c>
    </row>
    <row r="4503" spans="1:8" hidden="1">
      <c r="A4503" s="232">
        <v>45221</v>
      </c>
      <c r="C4503" s="316" t="s">
        <v>12941</v>
      </c>
      <c r="D4503" s="318">
        <v>1250</v>
      </c>
      <c r="E4503" s="318"/>
      <c r="H4503" t="s">
        <v>1336</v>
      </c>
    </row>
    <row r="4504" spans="1:8" hidden="1">
      <c r="A4504" s="232">
        <v>45222</v>
      </c>
      <c r="C4504" s="316" t="s">
        <v>12942</v>
      </c>
      <c r="D4504" s="318">
        <v>1000</v>
      </c>
      <c r="E4504" s="318"/>
      <c r="G4504" s="8" t="s">
        <v>1372</v>
      </c>
      <c r="H4504" t="s">
        <v>1336</v>
      </c>
    </row>
    <row r="4505" spans="1:8" hidden="1">
      <c r="A4505" s="232">
        <v>45222</v>
      </c>
      <c r="C4505" s="316" t="s">
        <v>12943</v>
      </c>
      <c r="D4505" s="318">
        <v>750</v>
      </c>
      <c r="E4505" s="318"/>
      <c r="G4505" s="8" t="s">
        <v>1372</v>
      </c>
      <c r="H4505" t="s">
        <v>1336</v>
      </c>
    </row>
    <row r="4506" spans="1:8" hidden="1">
      <c r="A4506" s="232">
        <v>45222</v>
      </c>
      <c r="C4506" s="316" t="s">
        <v>12944</v>
      </c>
      <c r="D4506" s="318">
        <v>750</v>
      </c>
      <c r="E4506" s="318"/>
      <c r="G4506" s="8" t="s">
        <v>1372</v>
      </c>
      <c r="H4506" t="s">
        <v>1336</v>
      </c>
    </row>
    <row r="4507" spans="1:8" hidden="1">
      <c r="A4507" s="232">
        <v>45222</v>
      </c>
      <c r="C4507" s="316" t="s">
        <v>12945</v>
      </c>
      <c r="D4507" s="318">
        <v>153</v>
      </c>
      <c r="E4507" s="318"/>
      <c r="H4507" t="s">
        <v>1336</v>
      </c>
    </row>
    <row r="4508" spans="1:8" hidden="1">
      <c r="A4508" s="232">
        <v>45222</v>
      </c>
      <c r="C4508" s="316" t="s">
        <v>12946</v>
      </c>
      <c r="D4508" s="318">
        <v>156.30000000000001</v>
      </c>
      <c r="E4508" s="318"/>
      <c r="H4508" t="s">
        <v>1336</v>
      </c>
    </row>
    <row r="4509" spans="1:8" hidden="1">
      <c r="A4509" s="232">
        <v>45223</v>
      </c>
      <c r="C4509" s="316" t="s">
        <v>12947</v>
      </c>
      <c r="D4509" s="318">
        <v>298</v>
      </c>
      <c r="E4509" s="318"/>
      <c r="H4509" t="s">
        <v>1336</v>
      </c>
    </row>
    <row r="4510" spans="1:8" hidden="1">
      <c r="A4510" s="232">
        <v>45223</v>
      </c>
      <c r="C4510" s="316" t="s">
        <v>12948</v>
      </c>
      <c r="D4510" s="318"/>
      <c r="E4510" s="318">
        <v>298</v>
      </c>
      <c r="H4510" t="s">
        <v>1336</v>
      </c>
    </row>
    <row r="4511" spans="1:8" hidden="1">
      <c r="A4511" s="232">
        <v>45223</v>
      </c>
      <c r="C4511" s="316" t="s">
        <v>12949</v>
      </c>
      <c r="D4511" s="318">
        <v>1000</v>
      </c>
      <c r="E4511" s="318"/>
      <c r="G4511" s="8" t="s">
        <v>1372</v>
      </c>
      <c r="H4511" t="s">
        <v>1336</v>
      </c>
    </row>
    <row r="4512" spans="1:8" hidden="1">
      <c r="A4512" s="232">
        <v>45223</v>
      </c>
      <c r="C4512" s="316" t="s">
        <v>12950</v>
      </c>
      <c r="D4512" s="318">
        <v>905</v>
      </c>
      <c r="E4512" s="318"/>
      <c r="H4512" t="s">
        <v>1336</v>
      </c>
    </row>
    <row r="4513" spans="1:8" hidden="1">
      <c r="A4513" s="232">
        <v>45224</v>
      </c>
      <c r="C4513" s="316" t="s">
        <v>12951</v>
      </c>
      <c r="D4513" s="318">
        <v>750</v>
      </c>
      <c r="E4513" s="318"/>
      <c r="G4513" s="8" t="s">
        <v>1372</v>
      </c>
      <c r="H4513" t="s">
        <v>1336</v>
      </c>
    </row>
    <row r="4514" spans="1:8" hidden="1">
      <c r="A4514" s="232">
        <v>45224</v>
      </c>
      <c r="C4514" s="316" t="s">
        <v>12952</v>
      </c>
      <c r="D4514" s="318">
        <v>74</v>
      </c>
      <c r="E4514" s="318"/>
      <c r="H4514" t="s">
        <v>1336</v>
      </c>
    </row>
    <row r="4515" spans="1:8" hidden="1">
      <c r="A4515" s="232">
        <v>45224</v>
      </c>
      <c r="C4515" s="316" t="s">
        <v>12953</v>
      </c>
      <c r="D4515" s="318">
        <v>13900</v>
      </c>
      <c r="E4515" s="318"/>
      <c r="G4515" s="8" t="s">
        <v>1379</v>
      </c>
      <c r="H4515" t="s">
        <v>1336</v>
      </c>
    </row>
    <row r="4516" spans="1:8" hidden="1">
      <c r="A4516" s="232">
        <v>45225</v>
      </c>
      <c r="C4516" s="316" t="s">
        <v>12954</v>
      </c>
      <c r="D4516" s="318">
        <v>1000</v>
      </c>
      <c r="E4516" s="318"/>
      <c r="G4516" s="8" t="s">
        <v>1372</v>
      </c>
      <c r="H4516" t="s">
        <v>1336</v>
      </c>
    </row>
    <row r="4517" spans="1:8" hidden="1">
      <c r="A4517" s="232">
        <v>45226</v>
      </c>
      <c r="C4517" s="316" t="s">
        <v>12955</v>
      </c>
      <c r="D4517" s="318"/>
      <c r="E4517" s="318">
        <v>672344</v>
      </c>
      <c r="G4517" s="8" t="s">
        <v>1380</v>
      </c>
      <c r="H4517" t="s">
        <v>1336</v>
      </c>
    </row>
    <row r="4518" spans="1:8" hidden="1">
      <c r="A4518" s="232">
        <v>45226</v>
      </c>
      <c r="C4518" s="316" t="s">
        <v>12956</v>
      </c>
      <c r="D4518" s="318">
        <v>1000</v>
      </c>
      <c r="E4518" s="318"/>
      <c r="G4518" s="8" t="s">
        <v>1372</v>
      </c>
      <c r="H4518" t="s">
        <v>1336</v>
      </c>
    </row>
    <row r="4519" spans="1:8" hidden="1">
      <c r="A4519" s="232">
        <v>45226</v>
      </c>
      <c r="C4519" s="316" t="s">
        <v>12957</v>
      </c>
      <c r="D4519" s="318">
        <v>50000</v>
      </c>
      <c r="E4519" s="318"/>
      <c r="G4519" s="8" t="s">
        <v>1358</v>
      </c>
      <c r="H4519" t="s">
        <v>1336</v>
      </c>
    </row>
    <row r="4520" spans="1:8" hidden="1">
      <c r="A4520" s="232">
        <v>45226</v>
      </c>
      <c r="C4520" s="316" t="s">
        <v>12958</v>
      </c>
      <c r="D4520" s="318">
        <v>3185</v>
      </c>
      <c r="E4520" s="318"/>
      <c r="H4520" t="s">
        <v>1336</v>
      </c>
    </row>
    <row r="4521" spans="1:8" hidden="1">
      <c r="A4521" s="232">
        <v>45226</v>
      </c>
      <c r="C4521" s="316" t="s">
        <v>12959</v>
      </c>
      <c r="D4521" s="318">
        <v>738</v>
      </c>
      <c r="E4521" s="318"/>
      <c r="H4521" t="s">
        <v>1336</v>
      </c>
    </row>
    <row r="4522" spans="1:8" hidden="1">
      <c r="A4522" s="232">
        <v>45226</v>
      </c>
      <c r="C4522" s="316" t="s">
        <v>12960</v>
      </c>
      <c r="D4522" s="318">
        <v>2961.8</v>
      </c>
      <c r="E4522" s="318"/>
      <c r="H4522" t="s">
        <v>1336</v>
      </c>
    </row>
    <row r="4523" spans="1:8" hidden="1">
      <c r="A4523" s="232">
        <v>45226</v>
      </c>
      <c r="C4523" s="316" t="s">
        <v>12961</v>
      </c>
      <c r="D4523" s="318">
        <v>650</v>
      </c>
      <c r="E4523" s="318"/>
      <c r="H4523" t="s">
        <v>1336</v>
      </c>
    </row>
    <row r="4524" spans="1:8" hidden="1">
      <c r="A4524" s="232">
        <v>45227</v>
      </c>
      <c r="C4524" s="316" t="s">
        <v>12962</v>
      </c>
      <c r="D4524" s="318">
        <v>786</v>
      </c>
      <c r="E4524" s="318"/>
      <c r="H4524" t="s">
        <v>1336</v>
      </c>
    </row>
    <row r="4525" spans="1:8" hidden="1">
      <c r="A4525" s="232">
        <v>45227</v>
      </c>
      <c r="C4525" s="316" t="s">
        <v>12963</v>
      </c>
      <c r="D4525" s="318">
        <v>400</v>
      </c>
      <c r="E4525" s="318"/>
      <c r="H4525" t="s">
        <v>1336</v>
      </c>
    </row>
    <row r="4526" spans="1:8" hidden="1">
      <c r="A4526" s="232">
        <v>45227</v>
      </c>
      <c r="C4526" s="316" t="s">
        <v>12964</v>
      </c>
      <c r="D4526" s="318">
        <v>100</v>
      </c>
      <c r="E4526" s="318"/>
      <c r="H4526" t="s">
        <v>1336</v>
      </c>
    </row>
    <row r="4527" spans="1:8" hidden="1">
      <c r="A4527" s="232">
        <v>45227</v>
      </c>
      <c r="C4527" s="316" t="s">
        <v>12965</v>
      </c>
      <c r="D4527" s="318">
        <v>800</v>
      </c>
      <c r="E4527" s="318"/>
      <c r="G4527" s="8" t="s">
        <v>1372</v>
      </c>
      <c r="H4527" t="s">
        <v>1336</v>
      </c>
    </row>
    <row r="4528" spans="1:8" hidden="1">
      <c r="A4528" s="232">
        <v>45227</v>
      </c>
      <c r="C4528" s="316" t="s">
        <v>12966</v>
      </c>
      <c r="D4528" s="318">
        <v>236</v>
      </c>
      <c r="E4528" s="318"/>
      <c r="H4528" t="s">
        <v>1336</v>
      </c>
    </row>
    <row r="4529" spans="1:8" hidden="1">
      <c r="A4529" s="232">
        <v>45227</v>
      </c>
      <c r="C4529" s="316" t="s">
        <v>12967</v>
      </c>
      <c r="D4529" s="318"/>
      <c r="E4529" s="318">
        <v>3</v>
      </c>
      <c r="H4529" t="s">
        <v>1336</v>
      </c>
    </row>
    <row r="4530" spans="1:8" hidden="1">
      <c r="A4530" s="232">
        <v>45227</v>
      </c>
      <c r="C4530" s="316" t="s">
        <v>12968</v>
      </c>
      <c r="D4530" s="318">
        <v>786</v>
      </c>
      <c r="E4530" s="318"/>
      <c r="H4530" t="s">
        <v>1336</v>
      </c>
    </row>
    <row r="4531" spans="1:8" hidden="1">
      <c r="A4531" s="232">
        <v>45228</v>
      </c>
      <c r="C4531" s="316" t="s">
        <v>12969</v>
      </c>
      <c r="D4531" s="318">
        <v>1500</v>
      </c>
      <c r="E4531" s="318"/>
      <c r="H4531" t="s">
        <v>1336</v>
      </c>
    </row>
    <row r="4532" spans="1:8" hidden="1">
      <c r="A4532" s="232">
        <v>45229</v>
      </c>
      <c r="C4532" s="316" t="s">
        <v>12970</v>
      </c>
      <c r="D4532" s="318">
        <v>75.36</v>
      </c>
      <c r="E4532" s="318"/>
      <c r="H4532" t="s">
        <v>1336</v>
      </c>
    </row>
    <row r="4533" spans="1:8" hidden="1">
      <c r="A4533" s="232">
        <v>45230</v>
      </c>
      <c r="C4533" s="316" t="s">
        <v>12971</v>
      </c>
      <c r="D4533" s="318">
        <v>500</v>
      </c>
      <c r="E4533" s="318"/>
      <c r="H4533" t="s">
        <v>1336</v>
      </c>
    </row>
    <row r="4534" spans="1:8" hidden="1">
      <c r="A4534" s="232">
        <v>45230</v>
      </c>
      <c r="C4534" s="316" t="s">
        <v>12972</v>
      </c>
      <c r="D4534" s="318">
        <v>75.36</v>
      </c>
      <c r="E4534" s="318"/>
      <c r="H4534" t="s">
        <v>1336</v>
      </c>
    </row>
    <row r="4535" spans="1:8" hidden="1">
      <c r="A4535" s="232">
        <v>45230</v>
      </c>
      <c r="C4535" s="316" t="s">
        <v>12973</v>
      </c>
      <c r="D4535" s="318">
        <v>109</v>
      </c>
      <c r="E4535" s="318"/>
      <c r="H4535" t="s">
        <v>1336</v>
      </c>
    </row>
    <row r="4536" spans="1:8" hidden="1">
      <c r="A4536" s="232">
        <v>45230</v>
      </c>
      <c r="C4536" s="316" t="s">
        <v>12974</v>
      </c>
      <c r="D4536" s="318">
        <v>243</v>
      </c>
      <c r="E4536" s="318"/>
      <c r="H4536" t="s">
        <v>1336</v>
      </c>
    </row>
    <row r="4537" spans="1:8" hidden="1">
      <c r="A4537" s="232">
        <v>45236</v>
      </c>
      <c r="C4537" s="315" t="s">
        <v>13018</v>
      </c>
      <c r="D4537" s="320">
        <v>0</v>
      </c>
      <c r="E4537" s="320">
        <v>9772.36</v>
      </c>
      <c r="G4537" s="8" t="s">
        <v>1375</v>
      </c>
      <c r="H4537" t="s">
        <v>1050</v>
      </c>
    </row>
    <row r="4538" spans="1:8" hidden="1">
      <c r="A4538" s="232">
        <v>45240</v>
      </c>
      <c r="C4538" s="315" t="s">
        <v>6526</v>
      </c>
      <c r="D4538" s="320">
        <v>14514.38</v>
      </c>
      <c r="E4538" s="320">
        <v>0</v>
      </c>
      <c r="G4538" s="8" t="s">
        <v>1362</v>
      </c>
      <c r="H4538" t="s">
        <v>1050</v>
      </c>
    </row>
    <row r="4539" spans="1:8" hidden="1">
      <c r="A4539" s="232">
        <v>45251</v>
      </c>
      <c r="C4539" s="315" t="s">
        <v>13019</v>
      </c>
      <c r="D4539" s="320">
        <v>41667</v>
      </c>
      <c r="E4539" s="320">
        <v>0</v>
      </c>
      <c r="G4539" s="8" t="s">
        <v>1381</v>
      </c>
      <c r="H4539" t="s">
        <v>1050</v>
      </c>
    </row>
    <row r="4540" spans="1:8" hidden="1">
      <c r="A4540" s="232">
        <v>45253</v>
      </c>
      <c r="C4540" s="315" t="s">
        <v>13020</v>
      </c>
      <c r="D4540" s="320">
        <v>0</v>
      </c>
      <c r="E4540" s="320">
        <v>50000</v>
      </c>
      <c r="G4540" s="8" t="s">
        <v>1363</v>
      </c>
      <c r="H4540" t="s">
        <v>1050</v>
      </c>
    </row>
    <row r="4541" spans="1:8" hidden="1">
      <c r="A4541" s="232">
        <v>45258</v>
      </c>
      <c r="C4541" s="315" t="s">
        <v>13021</v>
      </c>
      <c r="D4541" s="320">
        <v>25000</v>
      </c>
      <c r="E4541" s="320">
        <v>0</v>
      </c>
      <c r="G4541" s="8" t="s">
        <v>1381</v>
      </c>
      <c r="H4541" t="s">
        <v>1050</v>
      </c>
    </row>
    <row r="4542" spans="1:8" hidden="1">
      <c r="A4542" s="232">
        <v>45259</v>
      </c>
      <c r="C4542" s="315" t="s">
        <v>13022</v>
      </c>
      <c r="D4542" s="320">
        <v>199</v>
      </c>
      <c r="E4542" s="320">
        <v>0</v>
      </c>
      <c r="H4542" t="s">
        <v>1050</v>
      </c>
    </row>
    <row r="4543" spans="1:8" hidden="1">
      <c r="A4543" s="232">
        <v>45231</v>
      </c>
      <c r="C4543" s="316" t="s">
        <v>13024</v>
      </c>
      <c r="D4543" s="69">
        <v>1000</v>
      </c>
      <c r="E4543" s="69"/>
      <c r="G4543" s="8" t="s">
        <v>1372</v>
      </c>
      <c r="H4543" t="s">
        <v>1336</v>
      </c>
    </row>
    <row r="4544" spans="1:8" hidden="1">
      <c r="A4544" s="232">
        <v>45231</v>
      </c>
      <c r="C4544" s="316" t="s">
        <v>13025</v>
      </c>
      <c r="D4544" s="69">
        <v>1250</v>
      </c>
      <c r="E4544" s="69"/>
      <c r="G4544" s="8" t="s">
        <v>1372</v>
      </c>
      <c r="H4544" t="s">
        <v>1336</v>
      </c>
    </row>
    <row r="4545" spans="1:8" hidden="1">
      <c r="A4545" s="232">
        <v>45231</v>
      </c>
      <c r="C4545" s="316" t="s">
        <v>13026</v>
      </c>
      <c r="D4545" s="69">
        <v>69.489999999999995</v>
      </c>
      <c r="E4545" s="69"/>
      <c r="H4545" t="s">
        <v>1336</v>
      </c>
    </row>
    <row r="4546" spans="1:8" hidden="1">
      <c r="A4546" s="232">
        <v>45231</v>
      </c>
      <c r="C4546" s="316" t="s">
        <v>13027</v>
      </c>
      <c r="D4546" s="69">
        <v>9908</v>
      </c>
      <c r="E4546" s="69"/>
      <c r="H4546" t="s">
        <v>1336</v>
      </c>
    </row>
    <row r="4547" spans="1:8" hidden="1">
      <c r="A4547" s="232">
        <v>45231</v>
      </c>
      <c r="C4547" s="316" t="s">
        <v>13028</v>
      </c>
      <c r="D4547" s="69">
        <v>96</v>
      </c>
      <c r="E4547" s="69"/>
      <c r="H4547" t="s">
        <v>1336</v>
      </c>
    </row>
    <row r="4548" spans="1:8" hidden="1">
      <c r="A4548" s="232">
        <v>45232</v>
      </c>
      <c r="C4548" s="316" t="s">
        <v>13029</v>
      </c>
      <c r="D4548" s="69">
        <v>1250</v>
      </c>
      <c r="E4548" s="69"/>
      <c r="G4548" s="8" t="s">
        <v>1372</v>
      </c>
      <c r="H4548" t="s">
        <v>1336</v>
      </c>
    </row>
    <row r="4549" spans="1:8" hidden="1">
      <c r="A4549" s="232">
        <v>45232</v>
      </c>
      <c r="C4549" s="316" t="s">
        <v>13030</v>
      </c>
      <c r="D4549" s="69">
        <v>1000</v>
      </c>
      <c r="E4549" s="69"/>
      <c r="G4549" s="8" t="s">
        <v>1372</v>
      </c>
      <c r="H4549" t="s">
        <v>1336</v>
      </c>
    </row>
    <row r="4550" spans="1:8" hidden="1">
      <c r="A4550" s="232">
        <v>45232</v>
      </c>
      <c r="C4550" s="316" t="s">
        <v>13031</v>
      </c>
      <c r="D4550" s="69">
        <v>1268.5</v>
      </c>
      <c r="E4550" s="69"/>
      <c r="H4550" t="s">
        <v>1336</v>
      </c>
    </row>
    <row r="4551" spans="1:8" hidden="1">
      <c r="A4551" s="232">
        <v>45232</v>
      </c>
      <c r="C4551" s="316" t="s">
        <v>13032</v>
      </c>
      <c r="D4551" s="69">
        <v>199</v>
      </c>
      <c r="E4551" s="69"/>
      <c r="H4551" t="s">
        <v>1336</v>
      </c>
    </row>
    <row r="4552" spans="1:8" hidden="1">
      <c r="A4552" s="232">
        <v>45233</v>
      </c>
      <c r="C4552" s="316" t="s">
        <v>13033</v>
      </c>
      <c r="D4552" s="69">
        <v>1000</v>
      </c>
      <c r="E4552" s="69"/>
      <c r="G4552" s="8" t="s">
        <v>1372</v>
      </c>
      <c r="H4552" t="s">
        <v>1336</v>
      </c>
    </row>
    <row r="4553" spans="1:8" hidden="1">
      <c r="A4553" s="232">
        <v>45233</v>
      </c>
      <c r="C4553" s="316" t="s">
        <v>13034</v>
      </c>
      <c r="D4553" s="69">
        <v>775</v>
      </c>
      <c r="E4553" s="69"/>
      <c r="G4553" s="8" t="s">
        <v>1372</v>
      </c>
      <c r="H4553" t="s">
        <v>1336</v>
      </c>
    </row>
    <row r="4554" spans="1:8" hidden="1">
      <c r="A4554" s="232">
        <v>45233</v>
      </c>
      <c r="C4554" s="316" t="s">
        <v>13035</v>
      </c>
      <c r="D4554" s="69">
        <v>300</v>
      </c>
      <c r="E4554" s="69"/>
      <c r="H4554" t="s">
        <v>1336</v>
      </c>
    </row>
    <row r="4555" spans="1:8" hidden="1">
      <c r="A4555" s="232">
        <v>45233</v>
      </c>
      <c r="C4555" s="316" t="s">
        <v>13036</v>
      </c>
      <c r="D4555" s="69">
        <v>3176</v>
      </c>
      <c r="E4555" s="69"/>
      <c r="H4555" t="s">
        <v>1336</v>
      </c>
    </row>
    <row r="4556" spans="1:8" hidden="1">
      <c r="A4556" s="232">
        <v>45234</v>
      </c>
      <c r="C4556" s="316" t="s">
        <v>13037</v>
      </c>
      <c r="D4556" s="69">
        <v>750</v>
      </c>
      <c r="E4556" s="69"/>
      <c r="G4556" s="8" t="s">
        <v>1372</v>
      </c>
      <c r="H4556" t="s">
        <v>1336</v>
      </c>
    </row>
    <row r="4557" spans="1:8" hidden="1">
      <c r="A4557" s="232">
        <v>45234</v>
      </c>
      <c r="C4557" s="316" t="s">
        <v>13038</v>
      </c>
      <c r="D4557" s="69">
        <v>1340</v>
      </c>
      <c r="E4557" s="69"/>
      <c r="H4557" t="s">
        <v>1336</v>
      </c>
    </row>
    <row r="4558" spans="1:8" hidden="1">
      <c r="A4558" s="232">
        <v>45234</v>
      </c>
      <c r="C4558" s="316" t="s">
        <v>13039</v>
      </c>
      <c r="D4558" s="69">
        <v>60</v>
      </c>
      <c r="E4558" s="69"/>
      <c r="H4558" t="s">
        <v>1336</v>
      </c>
    </row>
    <row r="4559" spans="1:8" hidden="1">
      <c r="A4559" s="232">
        <v>45234</v>
      </c>
      <c r="C4559" s="316" t="s">
        <v>8197</v>
      </c>
      <c r="D4559" s="69">
        <v>5000</v>
      </c>
      <c r="E4559" s="69"/>
      <c r="G4559" s="8" t="s">
        <v>1361</v>
      </c>
      <c r="H4559" t="s">
        <v>1336</v>
      </c>
    </row>
    <row r="4560" spans="1:8" hidden="1">
      <c r="A4560" s="232">
        <v>45234</v>
      </c>
      <c r="C4560" s="316" t="s">
        <v>8197</v>
      </c>
      <c r="D4560" s="69">
        <v>5000</v>
      </c>
      <c r="E4560" s="69"/>
      <c r="G4560" s="8" t="s">
        <v>1361</v>
      </c>
      <c r="H4560" t="s">
        <v>1336</v>
      </c>
    </row>
    <row r="4561" spans="1:8" hidden="1">
      <c r="A4561" s="232">
        <v>45234</v>
      </c>
      <c r="C4561" s="316" t="s">
        <v>13040</v>
      </c>
      <c r="D4561" s="69">
        <v>3450</v>
      </c>
      <c r="E4561" s="69"/>
      <c r="H4561" t="s">
        <v>1336</v>
      </c>
    </row>
    <row r="4562" spans="1:8" hidden="1">
      <c r="A4562" s="232">
        <v>45235</v>
      </c>
      <c r="C4562" s="316" t="s">
        <v>6583</v>
      </c>
      <c r="D4562" s="69">
        <v>23894</v>
      </c>
      <c r="E4562" s="69"/>
      <c r="G4562" s="8" t="s">
        <v>1362</v>
      </c>
      <c r="H4562" t="s">
        <v>1336</v>
      </c>
    </row>
    <row r="4563" spans="1:8" hidden="1">
      <c r="A4563" s="232">
        <v>45236</v>
      </c>
      <c r="C4563" s="316" t="s">
        <v>13041</v>
      </c>
      <c r="D4563" s="69">
        <v>1000</v>
      </c>
      <c r="E4563" s="69"/>
      <c r="G4563" s="8" t="s">
        <v>1372</v>
      </c>
      <c r="H4563" t="s">
        <v>1336</v>
      </c>
    </row>
    <row r="4564" spans="1:8" hidden="1">
      <c r="A4564" s="232">
        <v>45236</v>
      </c>
      <c r="C4564" s="316" t="s">
        <v>13042</v>
      </c>
      <c r="D4564" s="69">
        <v>1000</v>
      </c>
      <c r="E4564" s="69"/>
      <c r="G4564" s="8" t="s">
        <v>1372</v>
      </c>
      <c r="H4564" t="s">
        <v>1336</v>
      </c>
    </row>
    <row r="4565" spans="1:8" hidden="1">
      <c r="A4565" s="232">
        <v>45236</v>
      </c>
      <c r="C4565" s="316" t="s">
        <v>13043</v>
      </c>
      <c r="D4565" s="69">
        <v>800</v>
      </c>
      <c r="E4565" s="69"/>
      <c r="G4565" s="8" t="s">
        <v>1372</v>
      </c>
      <c r="H4565" t="s">
        <v>1336</v>
      </c>
    </row>
    <row r="4566" spans="1:8" hidden="1">
      <c r="A4566" s="232">
        <v>45236</v>
      </c>
      <c r="C4566" s="316" t="s">
        <v>13044</v>
      </c>
      <c r="D4566" s="69">
        <v>1250</v>
      </c>
      <c r="E4566" s="69"/>
      <c r="G4566" s="8" t="s">
        <v>1372</v>
      </c>
      <c r="H4566" t="s">
        <v>1336</v>
      </c>
    </row>
    <row r="4567" spans="1:8" hidden="1">
      <c r="A4567" s="232">
        <v>45236</v>
      </c>
      <c r="C4567" s="316" t="s">
        <v>13045</v>
      </c>
      <c r="D4567" s="69">
        <v>1250</v>
      </c>
      <c r="E4567" s="69"/>
      <c r="G4567" s="8" t="s">
        <v>1372</v>
      </c>
      <c r="H4567" t="s">
        <v>1336</v>
      </c>
    </row>
    <row r="4568" spans="1:8" hidden="1">
      <c r="A4568" s="232">
        <v>45236</v>
      </c>
      <c r="C4568" s="316" t="s">
        <v>13046</v>
      </c>
      <c r="D4568" s="69">
        <v>74</v>
      </c>
      <c r="E4568" s="69"/>
      <c r="H4568" t="s">
        <v>1336</v>
      </c>
    </row>
    <row r="4569" spans="1:8" hidden="1">
      <c r="A4569" s="232">
        <v>45236</v>
      </c>
      <c r="C4569" s="316" t="s">
        <v>13047</v>
      </c>
      <c r="D4569" s="69">
        <v>1180</v>
      </c>
      <c r="E4569" s="69"/>
      <c r="H4569" t="s">
        <v>1336</v>
      </c>
    </row>
    <row r="4570" spans="1:8" hidden="1">
      <c r="A4570" s="232">
        <v>45236</v>
      </c>
      <c r="C4570" s="316" t="s">
        <v>13048</v>
      </c>
      <c r="E4570" s="69">
        <v>3</v>
      </c>
      <c r="H4570" t="s">
        <v>1336</v>
      </c>
    </row>
    <row r="4571" spans="1:8" hidden="1">
      <c r="A4571" s="232">
        <v>45236</v>
      </c>
      <c r="C4571" s="316" t="s">
        <v>13049</v>
      </c>
      <c r="D4571" s="69">
        <v>95.18</v>
      </c>
      <c r="E4571" s="69"/>
      <c r="H4571" t="s">
        <v>1336</v>
      </c>
    </row>
    <row r="4572" spans="1:8" hidden="1">
      <c r="A4572" s="232">
        <v>45237</v>
      </c>
      <c r="C4572" s="316" t="s">
        <v>13050</v>
      </c>
      <c r="D4572" s="69">
        <v>1000</v>
      </c>
      <c r="E4572" s="69"/>
      <c r="G4572" s="8" t="s">
        <v>1372</v>
      </c>
      <c r="H4572" t="s">
        <v>1336</v>
      </c>
    </row>
    <row r="4573" spans="1:8" hidden="1">
      <c r="A4573" s="232">
        <v>45237</v>
      </c>
      <c r="C4573" s="316" t="s">
        <v>13051</v>
      </c>
      <c r="D4573" s="69">
        <v>65</v>
      </c>
      <c r="E4573" s="69"/>
      <c r="H4573" t="s">
        <v>1336</v>
      </c>
    </row>
    <row r="4574" spans="1:8" hidden="1">
      <c r="A4574" s="232">
        <v>45237</v>
      </c>
      <c r="C4574" s="316" t="s">
        <v>13052</v>
      </c>
      <c r="D4574" s="69">
        <v>96</v>
      </c>
      <c r="E4574" s="69"/>
      <c r="H4574" t="s">
        <v>1336</v>
      </c>
    </row>
    <row r="4575" spans="1:8" hidden="1">
      <c r="A4575" s="232">
        <v>45238</v>
      </c>
      <c r="C4575" s="316" t="s">
        <v>13053</v>
      </c>
      <c r="E4575" s="69">
        <v>181998.95</v>
      </c>
      <c r="G4575" s="8" t="s">
        <v>1380</v>
      </c>
      <c r="H4575" t="s">
        <v>1336</v>
      </c>
    </row>
    <row r="4576" spans="1:8" hidden="1">
      <c r="A4576" s="232">
        <v>45238</v>
      </c>
      <c r="C4576" s="316" t="s">
        <v>13054</v>
      </c>
      <c r="D4576" s="69">
        <v>1000</v>
      </c>
      <c r="E4576" s="69"/>
      <c r="G4576" s="8" t="s">
        <v>1372</v>
      </c>
      <c r="H4576" t="s">
        <v>1336</v>
      </c>
    </row>
    <row r="4577" spans="1:8" hidden="1">
      <c r="A4577" s="232">
        <v>45238</v>
      </c>
      <c r="C4577" s="316" t="s">
        <v>13055</v>
      </c>
      <c r="D4577" s="69">
        <v>775</v>
      </c>
      <c r="E4577" s="69"/>
      <c r="G4577" s="8" t="s">
        <v>1372</v>
      </c>
      <c r="H4577" t="s">
        <v>1336</v>
      </c>
    </row>
    <row r="4578" spans="1:8" hidden="1">
      <c r="A4578" s="232">
        <v>45238</v>
      </c>
      <c r="C4578" s="316" t="s">
        <v>13056</v>
      </c>
      <c r="D4578" s="69">
        <v>73</v>
      </c>
      <c r="E4578" s="69"/>
      <c r="H4578" t="s">
        <v>1336</v>
      </c>
    </row>
    <row r="4579" spans="1:8" hidden="1">
      <c r="A4579" s="232">
        <v>45238</v>
      </c>
      <c r="C4579" s="316" t="s">
        <v>13057</v>
      </c>
      <c r="D4579" s="69">
        <v>1021</v>
      </c>
      <c r="E4579" s="69"/>
      <c r="H4579" t="s">
        <v>1336</v>
      </c>
    </row>
    <row r="4580" spans="1:8" hidden="1">
      <c r="A4580" s="232">
        <v>45238</v>
      </c>
      <c r="C4580" s="316" t="s">
        <v>13058</v>
      </c>
      <c r="D4580" s="69">
        <v>5000</v>
      </c>
      <c r="E4580" s="69"/>
      <c r="H4580" t="s">
        <v>1336</v>
      </c>
    </row>
    <row r="4581" spans="1:8" hidden="1">
      <c r="A4581" s="232">
        <v>45238</v>
      </c>
      <c r="C4581" s="316" t="s">
        <v>13059</v>
      </c>
      <c r="D4581" s="69">
        <v>2500</v>
      </c>
      <c r="E4581" s="69"/>
      <c r="H4581" t="s">
        <v>1336</v>
      </c>
    </row>
    <row r="4582" spans="1:8" hidden="1">
      <c r="A4582" s="232">
        <v>45238</v>
      </c>
      <c r="C4582" s="316" t="s">
        <v>13060</v>
      </c>
      <c r="D4582" s="69">
        <v>285</v>
      </c>
      <c r="E4582" s="69"/>
      <c r="H4582" t="s">
        <v>1336</v>
      </c>
    </row>
    <row r="4583" spans="1:8" hidden="1">
      <c r="A4583" s="232">
        <v>45239</v>
      </c>
      <c r="C4583" s="316" t="s">
        <v>13061</v>
      </c>
      <c r="D4583" s="69">
        <v>1000</v>
      </c>
      <c r="E4583" s="69"/>
      <c r="G4583" s="8" t="s">
        <v>1372</v>
      </c>
      <c r="H4583" t="s">
        <v>1336</v>
      </c>
    </row>
    <row r="4584" spans="1:8" hidden="1">
      <c r="A4584" s="232">
        <v>45239</v>
      </c>
      <c r="C4584" s="316" t="s">
        <v>13062</v>
      </c>
      <c r="D4584" s="69">
        <v>750</v>
      </c>
      <c r="E4584" s="69"/>
      <c r="G4584" s="8" t="s">
        <v>1372</v>
      </c>
      <c r="H4584" t="s">
        <v>1336</v>
      </c>
    </row>
    <row r="4585" spans="1:8" hidden="1">
      <c r="A4585" s="232">
        <v>45239</v>
      </c>
      <c r="C4585" s="316" t="s">
        <v>13063</v>
      </c>
      <c r="D4585" s="69">
        <v>750</v>
      </c>
      <c r="E4585" s="69"/>
      <c r="G4585" s="8" t="s">
        <v>1372</v>
      </c>
      <c r="H4585" t="s">
        <v>1336</v>
      </c>
    </row>
    <row r="4586" spans="1:8" hidden="1">
      <c r="A4586" s="232">
        <v>45239</v>
      </c>
      <c r="C4586" s="316" t="s">
        <v>13064</v>
      </c>
      <c r="D4586" s="69">
        <v>55</v>
      </c>
      <c r="E4586" s="69"/>
      <c r="H4586" t="s">
        <v>1336</v>
      </c>
    </row>
    <row r="4587" spans="1:8" hidden="1">
      <c r="A4587" s="232">
        <v>45239</v>
      </c>
      <c r="C4587" s="316" t="s">
        <v>13065</v>
      </c>
      <c r="D4587" s="69">
        <v>247</v>
      </c>
      <c r="E4587" s="69"/>
      <c r="H4587" t="s">
        <v>1336</v>
      </c>
    </row>
    <row r="4588" spans="1:8" hidden="1">
      <c r="A4588" s="232">
        <v>45239</v>
      </c>
      <c r="C4588" s="316" t="s">
        <v>13066</v>
      </c>
      <c r="D4588" s="69">
        <v>61</v>
      </c>
      <c r="E4588" s="69"/>
      <c r="H4588" t="s">
        <v>1336</v>
      </c>
    </row>
    <row r="4589" spans="1:8" hidden="1">
      <c r="A4589" s="232">
        <v>45239</v>
      </c>
      <c r="C4589" s="316" t="s">
        <v>13067</v>
      </c>
      <c r="D4589" s="69">
        <v>95.2</v>
      </c>
      <c r="E4589" s="69"/>
      <c r="H4589" t="s">
        <v>1336</v>
      </c>
    </row>
    <row r="4590" spans="1:8" hidden="1">
      <c r="A4590" s="232">
        <v>45239</v>
      </c>
      <c r="C4590" s="316" t="s">
        <v>13068</v>
      </c>
      <c r="D4590" s="69">
        <v>213</v>
      </c>
      <c r="E4590" s="69"/>
      <c r="H4590" t="s">
        <v>1336</v>
      </c>
    </row>
    <row r="4591" spans="1:8" hidden="1">
      <c r="A4591" s="232">
        <v>45240</v>
      </c>
      <c r="C4591" s="316" t="s">
        <v>13069</v>
      </c>
      <c r="D4591" s="69">
        <v>1000</v>
      </c>
      <c r="E4591" s="69"/>
      <c r="G4591" s="8" t="s">
        <v>1372</v>
      </c>
      <c r="H4591" t="s">
        <v>1336</v>
      </c>
    </row>
    <row r="4592" spans="1:8" hidden="1">
      <c r="A4592" s="232">
        <v>45240</v>
      </c>
      <c r="C4592" s="316" t="s">
        <v>13070</v>
      </c>
      <c r="D4592" s="69">
        <v>1250</v>
      </c>
      <c r="E4592" s="69"/>
      <c r="G4592" s="8" t="s">
        <v>1372</v>
      </c>
      <c r="H4592" t="s">
        <v>1336</v>
      </c>
    </row>
    <row r="4593" spans="1:8" hidden="1">
      <c r="A4593" s="232">
        <v>45241</v>
      </c>
      <c r="C4593" s="316" t="s">
        <v>13071</v>
      </c>
      <c r="D4593" s="69">
        <v>786</v>
      </c>
      <c r="E4593" s="69"/>
      <c r="H4593" t="s">
        <v>1336</v>
      </c>
    </row>
    <row r="4594" spans="1:8" hidden="1">
      <c r="A4594" s="232">
        <v>45241</v>
      </c>
      <c r="C4594" s="316" t="s">
        <v>13072</v>
      </c>
      <c r="D4594" s="69">
        <v>400</v>
      </c>
      <c r="E4594" s="69"/>
      <c r="H4594" t="s">
        <v>1336</v>
      </c>
    </row>
    <row r="4595" spans="1:8" hidden="1">
      <c r="A4595" s="232">
        <v>45241</v>
      </c>
      <c r="C4595" s="316" t="s">
        <v>13073</v>
      </c>
      <c r="D4595" s="69">
        <v>1250</v>
      </c>
      <c r="E4595" s="69"/>
      <c r="G4595" s="8" t="s">
        <v>1372</v>
      </c>
      <c r="H4595" t="s">
        <v>1336</v>
      </c>
    </row>
    <row r="4596" spans="1:8" hidden="1">
      <c r="A4596" s="232">
        <v>45241</v>
      </c>
      <c r="C4596" s="316" t="s">
        <v>13074</v>
      </c>
      <c r="D4596" s="69">
        <v>600</v>
      </c>
      <c r="E4596" s="69"/>
      <c r="H4596" t="s">
        <v>1336</v>
      </c>
    </row>
    <row r="4597" spans="1:8" hidden="1">
      <c r="A4597" s="232">
        <v>45241</v>
      </c>
      <c r="C4597" s="316" t="s">
        <v>13075</v>
      </c>
      <c r="D4597" s="69">
        <v>3300</v>
      </c>
      <c r="E4597" s="69"/>
      <c r="H4597" t="s">
        <v>1336</v>
      </c>
    </row>
    <row r="4598" spans="1:8" hidden="1">
      <c r="A4598" s="232">
        <v>45243</v>
      </c>
      <c r="C4598" s="316" t="s">
        <v>13076</v>
      </c>
      <c r="D4598" s="69">
        <v>775</v>
      </c>
      <c r="E4598" s="69"/>
      <c r="G4598" s="8" t="s">
        <v>1372</v>
      </c>
      <c r="H4598" t="s">
        <v>1336</v>
      </c>
    </row>
    <row r="4599" spans="1:8" hidden="1">
      <c r="A4599" s="232">
        <v>45243</v>
      </c>
      <c r="C4599" s="316" t="s">
        <v>13077</v>
      </c>
      <c r="D4599" s="69">
        <v>1000</v>
      </c>
      <c r="E4599" s="69"/>
      <c r="G4599" s="8" t="s">
        <v>1372</v>
      </c>
      <c r="H4599" t="s">
        <v>1336</v>
      </c>
    </row>
    <row r="4600" spans="1:8" hidden="1">
      <c r="A4600" s="232">
        <v>45243</v>
      </c>
      <c r="C4600" s="316" t="s">
        <v>13078</v>
      </c>
      <c r="D4600" s="69">
        <v>1000</v>
      </c>
      <c r="E4600" s="69"/>
      <c r="G4600" s="8" t="s">
        <v>1372</v>
      </c>
      <c r="H4600" t="s">
        <v>1336</v>
      </c>
    </row>
    <row r="4601" spans="1:8" hidden="1">
      <c r="A4601" s="232">
        <v>45243</v>
      </c>
      <c r="C4601" s="316" t="s">
        <v>13079</v>
      </c>
      <c r="D4601" s="69">
        <v>349</v>
      </c>
      <c r="E4601" s="69"/>
      <c r="H4601" t="s">
        <v>1336</v>
      </c>
    </row>
    <row r="4602" spans="1:8" hidden="1">
      <c r="A4602" s="232">
        <v>45243</v>
      </c>
      <c r="C4602" s="316" t="s">
        <v>13080</v>
      </c>
      <c r="D4602" s="69">
        <v>319</v>
      </c>
      <c r="E4602" s="69"/>
      <c r="H4602" t="s">
        <v>1336</v>
      </c>
    </row>
    <row r="4603" spans="1:8" hidden="1">
      <c r="A4603" s="232">
        <v>45244</v>
      </c>
      <c r="C4603" s="316" t="s">
        <v>13081</v>
      </c>
      <c r="D4603" s="69">
        <v>800</v>
      </c>
      <c r="E4603" s="69"/>
      <c r="G4603" s="8" t="s">
        <v>1372</v>
      </c>
      <c r="H4603" t="s">
        <v>1336</v>
      </c>
    </row>
    <row r="4604" spans="1:8" hidden="1">
      <c r="A4604" s="232">
        <v>45244</v>
      </c>
      <c r="C4604" s="316" t="s">
        <v>13082</v>
      </c>
      <c r="D4604" s="69">
        <v>1284</v>
      </c>
      <c r="E4604" s="69"/>
      <c r="H4604" t="s">
        <v>1336</v>
      </c>
    </row>
    <row r="4605" spans="1:8" hidden="1">
      <c r="A4605" s="232">
        <v>45245</v>
      </c>
      <c r="C4605" s="316" t="s">
        <v>13083</v>
      </c>
      <c r="D4605" s="69">
        <v>750</v>
      </c>
      <c r="E4605" s="69"/>
      <c r="G4605" s="8" t="s">
        <v>1372</v>
      </c>
      <c r="H4605" t="s">
        <v>1336</v>
      </c>
    </row>
    <row r="4606" spans="1:8" hidden="1">
      <c r="A4606" s="232">
        <v>45245</v>
      </c>
      <c r="C4606" s="316" t="s">
        <v>13084</v>
      </c>
      <c r="D4606" s="69">
        <v>1000</v>
      </c>
      <c r="E4606" s="69"/>
      <c r="G4606" s="8" t="s">
        <v>1372</v>
      </c>
      <c r="H4606" t="s">
        <v>1336</v>
      </c>
    </row>
    <row r="4607" spans="1:8" hidden="1">
      <c r="A4607" s="232">
        <v>45245</v>
      </c>
      <c r="C4607" s="316" t="s">
        <v>13085</v>
      </c>
      <c r="D4607" s="69">
        <v>1000</v>
      </c>
      <c r="E4607" s="69"/>
      <c r="G4607" s="8" t="s">
        <v>1372</v>
      </c>
      <c r="H4607" t="s">
        <v>1336</v>
      </c>
    </row>
    <row r="4608" spans="1:8" hidden="1">
      <c r="A4608" s="232">
        <v>45245</v>
      </c>
      <c r="C4608" s="316" t="s">
        <v>13086</v>
      </c>
      <c r="D4608" s="69">
        <v>1250</v>
      </c>
      <c r="E4608" s="69"/>
      <c r="G4608" s="8" t="s">
        <v>1372</v>
      </c>
      <c r="H4608" t="s">
        <v>1336</v>
      </c>
    </row>
    <row r="4609" spans="1:8" hidden="1">
      <c r="A4609" s="232">
        <v>45245</v>
      </c>
      <c r="C4609" s="316" t="s">
        <v>13087</v>
      </c>
      <c r="D4609" s="69">
        <v>1250</v>
      </c>
      <c r="E4609" s="69"/>
      <c r="G4609" s="8" t="s">
        <v>1372</v>
      </c>
      <c r="H4609" t="s">
        <v>1336</v>
      </c>
    </row>
    <row r="4610" spans="1:8" hidden="1">
      <c r="A4610" s="232">
        <v>45245</v>
      </c>
      <c r="C4610" s="316" t="s">
        <v>13088</v>
      </c>
      <c r="D4610" s="69">
        <v>1600</v>
      </c>
      <c r="E4610" s="69"/>
      <c r="H4610" t="s">
        <v>1336</v>
      </c>
    </row>
    <row r="4611" spans="1:8" hidden="1">
      <c r="A4611" s="232">
        <v>45246</v>
      </c>
      <c r="C4611" s="316" t="s">
        <v>13089</v>
      </c>
      <c r="D4611" s="69">
        <v>1000</v>
      </c>
      <c r="E4611" s="69"/>
      <c r="G4611" s="8" t="s">
        <v>1372</v>
      </c>
      <c r="H4611" t="s">
        <v>1336</v>
      </c>
    </row>
    <row r="4612" spans="1:8" hidden="1">
      <c r="A4612" s="232">
        <v>45247</v>
      </c>
      <c r="C4612" s="316" t="s">
        <v>13090</v>
      </c>
      <c r="D4612" s="69">
        <v>750</v>
      </c>
      <c r="E4612" s="69"/>
      <c r="G4612" s="8" t="s">
        <v>1372</v>
      </c>
      <c r="H4612" t="s">
        <v>1336</v>
      </c>
    </row>
    <row r="4613" spans="1:8" hidden="1">
      <c r="A4613" s="232">
        <v>45247</v>
      </c>
      <c r="C4613" s="316" t="s">
        <v>13091</v>
      </c>
      <c r="D4613" s="69">
        <v>206</v>
      </c>
      <c r="E4613" s="69"/>
      <c r="H4613" t="s">
        <v>1336</v>
      </c>
    </row>
    <row r="4614" spans="1:8" hidden="1">
      <c r="A4614" s="232">
        <v>45248</v>
      </c>
      <c r="C4614" s="316" t="s">
        <v>13092</v>
      </c>
      <c r="D4614" s="69">
        <v>1000</v>
      </c>
      <c r="E4614" s="69"/>
      <c r="G4614" s="8" t="s">
        <v>1372</v>
      </c>
      <c r="H4614" t="s">
        <v>1336</v>
      </c>
    </row>
    <row r="4615" spans="1:8" hidden="1">
      <c r="A4615" s="232">
        <v>45248</v>
      </c>
      <c r="C4615" s="316" t="s">
        <v>13093</v>
      </c>
      <c r="D4615" s="69">
        <v>5300</v>
      </c>
      <c r="E4615" s="69"/>
      <c r="H4615" t="s">
        <v>1336</v>
      </c>
    </row>
    <row r="4616" spans="1:8" hidden="1">
      <c r="A4616" s="232">
        <v>45249</v>
      </c>
      <c r="C4616" s="316" t="s">
        <v>13094</v>
      </c>
      <c r="D4616" s="69">
        <v>750</v>
      </c>
      <c r="E4616" s="69"/>
      <c r="G4616" s="8" t="s">
        <v>1372</v>
      </c>
      <c r="H4616" t="s">
        <v>1336</v>
      </c>
    </row>
    <row r="4617" spans="1:8" hidden="1">
      <c r="A4617" s="232">
        <v>45249</v>
      </c>
      <c r="C4617" s="316" t="s">
        <v>13095</v>
      </c>
      <c r="D4617" s="69">
        <v>1269</v>
      </c>
      <c r="E4617" s="69"/>
      <c r="H4617" t="s">
        <v>1336</v>
      </c>
    </row>
    <row r="4618" spans="1:8" hidden="1">
      <c r="A4618" s="232">
        <v>45250</v>
      </c>
      <c r="C4618" s="316" t="s">
        <v>13096</v>
      </c>
      <c r="D4618" s="69">
        <v>1000</v>
      </c>
      <c r="E4618" s="69"/>
      <c r="G4618" s="8" t="s">
        <v>1372</v>
      </c>
      <c r="H4618" t="s">
        <v>1336</v>
      </c>
    </row>
    <row r="4619" spans="1:8" hidden="1">
      <c r="A4619" s="232">
        <v>45250</v>
      </c>
      <c r="C4619" s="316" t="s">
        <v>13097</v>
      </c>
      <c r="D4619" s="69">
        <v>775</v>
      </c>
      <c r="E4619" s="69"/>
      <c r="G4619" s="8" t="s">
        <v>1372</v>
      </c>
      <c r="H4619" t="s">
        <v>1336</v>
      </c>
    </row>
    <row r="4620" spans="1:8" hidden="1">
      <c r="A4620" s="232">
        <v>45250</v>
      </c>
      <c r="C4620" s="316" t="s">
        <v>13098</v>
      </c>
      <c r="D4620" s="69">
        <v>1000</v>
      </c>
      <c r="E4620" s="69"/>
      <c r="G4620" s="8" t="s">
        <v>1372</v>
      </c>
      <c r="H4620" t="s">
        <v>1336</v>
      </c>
    </row>
    <row r="4621" spans="1:8" hidden="1">
      <c r="A4621" s="232">
        <v>45251</v>
      </c>
      <c r="C4621" s="316" t="s">
        <v>13099</v>
      </c>
      <c r="D4621" s="69">
        <v>1000</v>
      </c>
      <c r="E4621" s="69"/>
      <c r="G4621" s="8" t="s">
        <v>1372</v>
      </c>
      <c r="H4621" t="s">
        <v>1336</v>
      </c>
    </row>
    <row r="4622" spans="1:8" hidden="1">
      <c r="A4622" s="232">
        <v>45251</v>
      </c>
      <c r="C4622" s="316" t="s">
        <v>13100</v>
      </c>
      <c r="D4622" s="69">
        <v>1000</v>
      </c>
      <c r="E4622" s="69"/>
      <c r="G4622" s="8" t="s">
        <v>1372</v>
      </c>
      <c r="H4622" t="s">
        <v>1336</v>
      </c>
    </row>
    <row r="4623" spans="1:8" hidden="1">
      <c r="A4623" s="232">
        <v>45251</v>
      </c>
      <c r="C4623" s="316" t="s">
        <v>13101</v>
      </c>
      <c r="D4623" s="69">
        <v>750</v>
      </c>
      <c r="E4623" s="69"/>
      <c r="G4623" s="8" t="s">
        <v>1372</v>
      </c>
      <c r="H4623" t="s">
        <v>1336</v>
      </c>
    </row>
    <row r="4624" spans="1:8" hidden="1">
      <c r="A4624" s="232">
        <v>45251</v>
      </c>
      <c r="C4624" s="316" t="s">
        <v>13102</v>
      </c>
      <c r="D4624" s="69">
        <v>125</v>
      </c>
      <c r="E4624" s="69"/>
      <c r="H4624" t="s">
        <v>1336</v>
      </c>
    </row>
    <row r="4625" spans="1:8" hidden="1">
      <c r="A4625" s="232">
        <v>45251</v>
      </c>
      <c r="C4625" s="316" t="s">
        <v>13103</v>
      </c>
      <c r="D4625" s="69">
        <v>125</v>
      </c>
      <c r="E4625" s="69"/>
      <c r="H4625" t="s">
        <v>1336</v>
      </c>
    </row>
    <row r="4626" spans="1:8" hidden="1">
      <c r="A4626" s="232">
        <v>45251</v>
      </c>
      <c r="C4626" s="316" t="s">
        <v>13104</v>
      </c>
      <c r="D4626" s="69">
        <v>80</v>
      </c>
      <c r="E4626" s="69"/>
      <c r="H4626" t="s">
        <v>1336</v>
      </c>
    </row>
    <row r="4627" spans="1:8" hidden="1">
      <c r="A4627" s="232">
        <v>45252</v>
      </c>
      <c r="C4627" s="316" t="s">
        <v>13105</v>
      </c>
      <c r="D4627" s="69">
        <v>750</v>
      </c>
      <c r="E4627" s="69"/>
      <c r="G4627" s="8" t="s">
        <v>1372</v>
      </c>
      <c r="H4627" t="s">
        <v>1336</v>
      </c>
    </row>
    <row r="4628" spans="1:8" hidden="1">
      <c r="A4628" s="232">
        <v>45253</v>
      </c>
      <c r="C4628" s="316" t="s">
        <v>13106</v>
      </c>
      <c r="D4628" s="69">
        <v>750</v>
      </c>
      <c r="E4628" s="69"/>
      <c r="G4628" s="8" t="s">
        <v>1372</v>
      </c>
      <c r="H4628" t="s">
        <v>1336</v>
      </c>
    </row>
    <row r="4629" spans="1:8" hidden="1">
      <c r="A4629" s="232">
        <v>45253</v>
      </c>
      <c r="C4629" s="316" t="s">
        <v>13107</v>
      </c>
      <c r="E4629" s="69">
        <v>3</v>
      </c>
      <c r="H4629" t="s">
        <v>1336</v>
      </c>
    </row>
    <row r="4630" spans="1:8" hidden="1">
      <c r="A4630" s="232">
        <v>45253</v>
      </c>
      <c r="C4630" s="316" t="s">
        <v>13108</v>
      </c>
      <c r="D4630" s="69">
        <v>50000</v>
      </c>
      <c r="E4630" s="69"/>
      <c r="G4630" s="8" t="s">
        <v>1363</v>
      </c>
      <c r="H4630" t="s">
        <v>1336</v>
      </c>
    </row>
    <row r="4631" spans="1:8" hidden="1">
      <c r="A4631" s="232">
        <v>45254</v>
      </c>
      <c r="C4631" s="316" t="s">
        <v>13109</v>
      </c>
      <c r="D4631" s="69">
        <v>1115</v>
      </c>
      <c r="E4631" s="69"/>
      <c r="H4631" t="s">
        <v>1336</v>
      </c>
    </row>
    <row r="4632" spans="1:8" hidden="1">
      <c r="A4632" s="232">
        <v>45254</v>
      </c>
      <c r="C4632" s="316" t="s">
        <v>13110</v>
      </c>
      <c r="D4632" s="69">
        <v>1000</v>
      </c>
      <c r="E4632" s="69"/>
      <c r="G4632" s="8" t="s">
        <v>1372</v>
      </c>
      <c r="H4632" t="s">
        <v>1336</v>
      </c>
    </row>
    <row r="4633" spans="1:8" hidden="1">
      <c r="A4633" s="232">
        <v>45254</v>
      </c>
      <c r="C4633" s="316" t="s">
        <v>13111</v>
      </c>
      <c r="D4633" s="69">
        <v>740</v>
      </c>
      <c r="E4633" s="69"/>
      <c r="H4633" t="s">
        <v>1336</v>
      </c>
    </row>
    <row r="4634" spans="1:8" hidden="1">
      <c r="A4634" s="232">
        <v>45255</v>
      </c>
      <c r="C4634" s="316" t="s">
        <v>13112</v>
      </c>
      <c r="D4634" s="69">
        <v>750</v>
      </c>
      <c r="E4634" s="69"/>
      <c r="G4634" s="8" t="s">
        <v>1372</v>
      </c>
      <c r="H4634" t="s">
        <v>1336</v>
      </c>
    </row>
    <row r="4635" spans="1:8" hidden="1">
      <c r="A4635" s="232">
        <v>45255</v>
      </c>
      <c r="C4635" s="316" t="s">
        <v>13113</v>
      </c>
      <c r="D4635" s="69">
        <v>1300</v>
      </c>
      <c r="E4635" s="69"/>
      <c r="H4635" t="s">
        <v>1336</v>
      </c>
    </row>
    <row r="4636" spans="1:8" hidden="1">
      <c r="A4636" s="232">
        <v>45255</v>
      </c>
      <c r="C4636" s="316" t="s">
        <v>13114</v>
      </c>
      <c r="D4636" s="69">
        <v>196</v>
      </c>
      <c r="E4636" s="69"/>
      <c r="H4636" t="s">
        <v>1336</v>
      </c>
    </row>
    <row r="4637" spans="1:8" hidden="1">
      <c r="A4637" s="232">
        <v>45255</v>
      </c>
      <c r="C4637" s="316" t="s">
        <v>13115</v>
      </c>
      <c r="D4637" s="69">
        <v>722</v>
      </c>
      <c r="E4637" s="69"/>
      <c r="H4637" t="s">
        <v>1336</v>
      </c>
    </row>
    <row r="4638" spans="1:8" hidden="1">
      <c r="A4638" s="232">
        <v>45256</v>
      </c>
      <c r="C4638" s="316" t="s">
        <v>13116</v>
      </c>
      <c r="D4638" s="69">
        <v>13900</v>
      </c>
      <c r="E4638" s="69"/>
      <c r="G4638" s="8" t="s">
        <v>1379</v>
      </c>
      <c r="H4638" t="s">
        <v>1336</v>
      </c>
    </row>
    <row r="4639" spans="1:8" hidden="1">
      <c r="A4639" s="232">
        <v>45256</v>
      </c>
      <c r="C4639" s="316" t="s">
        <v>13117</v>
      </c>
      <c r="D4639" s="69">
        <v>625.82000000000005</v>
      </c>
      <c r="E4639" s="69"/>
      <c r="H4639" t="s">
        <v>1336</v>
      </c>
    </row>
    <row r="4640" spans="1:8" hidden="1">
      <c r="A4640" s="232">
        <v>45256</v>
      </c>
      <c r="C4640" s="316" t="s">
        <v>13118</v>
      </c>
      <c r="D4640" s="69">
        <v>700</v>
      </c>
      <c r="E4640" s="69"/>
      <c r="H4640" t="s">
        <v>1336</v>
      </c>
    </row>
    <row r="4641" spans="1:9" hidden="1">
      <c r="A4641" s="232">
        <v>45257</v>
      </c>
      <c r="C4641" s="316" t="s">
        <v>13119</v>
      </c>
      <c r="D4641" s="69">
        <v>1000</v>
      </c>
      <c r="E4641" s="69"/>
      <c r="G4641" s="8" t="s">
        <v>1372</v>
      </c>
      <c r="H4641" t="s">
        <v>1336</v>
      </c>
    </row>
    <row r="4642" spans="1:9" hidden="1">
      <c r="A4642" s="232">
        <v>45257</v>
      </c>
      <c r="C4642" s="316" t="s">
        <v>13120</v>
      </c>
      <c r="D4642" s="69">
        <v>97</v>
      </c>
      <c r="E4642" s="69"/>
      <c r="H4642" t="s">
        <v>1336</v>
      </c>
    </row>
    <row r="4643" spans="1:9" hidden="1">
      <c r="A4643" s="232">
        <v>45257</v>
      </c>
      <c r="C4643" s="316" t="s">
        <v>13121</v>
      </c>
      <c r="D4643" s="69">
        <v>1721</v>
      </c>
      <c r="E4643" s="69"/>
      <c r="H4643" t="s">
        <v>1336</v>
      </c>
    </row>
    <row r="4644" spans="1:9" hidden="1">
      <c r="A4644" s="232">
        <v>45258</v>
      </c>
      <c r="C4644" s="316" t="s">
        <v>13122</v>
      </c>
      <c r="D4644" s="69">
        <v>1000</v>
      </c>
      <c r="E4644" s="69"/>
      <c r="G4644" s="8" t="s">
        <v>1372</v>
      </c>
      <c r="H4644" t="s">
        <v>1336</v>
      </c>
    </row>
    <row r="4645" spans="1:9" hidden="1">
      <c r="A4645" s="232">
        <v>45258</v>
      </c>
      <c r="C4645" s="316" t="s">
        <v>13123</v>
      </c>
      <c r="D4645" s="69">
        <v>800</v>
      </c>
      <c r="E4645" s="69"/>
      <c r="G4645" s="8" t="s">
        <v>1372</v>
      </c>
      <c r="H4645" t="s">
        <v>1336</v>
      </c>
    </row>
    <row r="4646" spans="1:9" hidden="1">
      <c r="A4646" s="232">
        <v>45258</v>
      </c>
      <c r="C4646" s="316" t="s">
        <v>13124</v>
      </c>
      <c r="D4646" s="69">
        <v>65</v>
      </c>
      <c r="E4646" s="69"/>
      <c r="H4646" t="s">
        <v>1336</v>
      </c>
    </row>
    <row r="4647" spans="1:9" hidden="1">
      <c r="A4647" s="232">
        <v>45258</v>
      </c>
      <c r="C4647" s="316" t="s">
        <v>13125</v>
      </c>
      <c r="D4647" s="69">
        <v>103</v>
      </c>
      <c r="E4647" s="69"/>
      <c r="H4647" t="s">
        <v>1336</v>
      </c>
    </row>
    <row r="4648" spans="1:9" hidden="1">
      <c r="A4648" s="232">
        <v>45259</v>
      </c>
      <c r="C4648" s="316" t="s">
        <v>13126</v>
      </c>
      <c r="E4648" s="69">
        <v>1359880</v>
      </c>
      <c r="G4648" s="8" t="s">
        <v>1380</v>
      </c>
      <c r="H4648" t="s">
        <v>1336</v>
      </c>
    </row>
    <row r="4649" spans="1:9" hidden="1">
      <c r="A4649" s="232">
        <v>45260</v>
      </c>
      <c r="C4649" s="316" t="s">
        <v>13127</v>
      </c>
      <c r="D4649" s="69">
        <v>270</v>
      </c>
      <c r="E4649" s="69"/>
      <c r="H4649" t="s">
        <v>1336</v>
      </c>
    </row>
    <row r="4650" spans="1:9" hidden="1">
      <c r="A4650" s="232">
        <v>45266</v>
      </c>
      <c r="C4650" t="s">
        <v>13174</v>
      </c>
      <c r="D4650" s="69">
        <v>0</v>
      </c>
      <c r="E4650" s="69">
        <v>9772.36</v>
      </c>
      <c r="G4650" s="8" t="s">
        <v>1375</v>
      </c>
      <c r="H4650" t="s">
        <v>1050</v>
      </c>
    </row>
    <row r="4651" spans="1:9" hidden="1">
      <c r="A4651" s="232">
        <v>45281</v>
      </c>
      <c r="C4651" t="s">
        <v>13175</v>
      </c>
      <c r="D4651" s="69">
        <v>41667</v>
      </c>
      <c r="E4651" s="69">
        <v>0</v>
      </c>
      <c r="G4651" s="8" t="s">
        <v>1381</v>
      </c>
      <c r="H4651" t="s">
        <v>1050</v>
      </c>
    </row>
    <row r="4652" spans="1:9" hidden="1">
      <c r="A4652" s="232">
        <v>45287</v>
      </c>
      <c r="C4652" t="s">
        <v>13176</v>
      </c>
      <c r="D4652" s="69">
        <v>1</v>
      </c>
      <c r="E4652" s="69">
        <v>0</v>
      </c>
      <c r="H4652" t="s">
        <v>1050</v>
      </c>
      <c r="I4652" s="232" t="s">
        <v>13173</v>
      </c>
    </row>
    <row r="4653" spans="1:9" hidden="1">
      <c r="A4653" s="232">
        <v>45287</v>
      </c>
      <c r="C4653" t="s">
        <v>13177</v>
      </c>
      <c r="D4653" s="69">
        <v>999999</v>
      </c>
      <c r="E4653" s="69">
        <v>0</v>
      </c>
      <c r="H4653" t="s">
        <v>1050</v>
      </c>
      <c r="I4653" s="232" t="s">
        <v>13173</v>
      </c>
    </row>
    <row r="4654" spans="1:9" hidden="1">
      <c r="A4654" s="232">
        <v>45288</v>
      </c>
      <c r="C4654" t="s">
        <v>13178</v>
      </c>
      <c r="D4654" s="69">
        <v>25000</v>
      </c>
      <c r="E4654" s="69">
        <v>0</v>
      </c>
      <c r="G4654" s="8" t="s">
        <v>1381</v>
      </c>
      <c r="H4654" t="s">
        <v>1050</v>
      </c>
    </row>
    <row r="4655" spans="1:9" hidden="1">
      <c r="A4655" s="232">
        <v>45288</v>
      </c>
      <c r="C4655" t="s">
        <v>13179</v>
      </c>
      <c r="D4655" s="69">
        <v>0</v>
      </c>
      <c r="E4655" s="69">
        <v>1000000</v>
      </c>
      <c r="H4655" t="s">
        <v>1050</v>
      </c>
      <c r="I4655" s="232" t="s">
        <v>13173</v>
      </c>
    </row>
    <row r="4656" spans="1:9" hidden="1">
      <c r="A4656" s="232">
        <v>45288</v>
      </c>
      <c r="C4656" t="s">
        <v>13180</v>
      </c>
      <c r="D4656" s="69">
        <v>199</v>
      </c>
      <c r="E4656" s="69">
        <v>0</v>
      </c>
      <c r="H4656" t="s">
        <v>1050</v>
      </c>
    </row>
    <row r="4657" spans="1:8" hidden="1">
      <c r="A4657" s="232">
        <v>45289</v>
      </c>
      <c r="C4657" t="s">
        <v>13181</v>
      </c>
      <c r="D4657" s="69">
        <v>0</v>
      </c>
      <c r="E4657" s="69">
        <v>9239</v>
      </c>
      <c r="G4657" s="8" t="s">
        <v>1368</v>
      </c>
      <c r="H4657" t="s">
        <v>1050</v>
      </c>
    </row>
    <row r="4658" spans="1:8" hidden="1">
      <c r="A4658" s="232">
        <v>45261</v>
      </c>
      <c r="C4658" t="s">
        <v>13182</v>
      </c>
      <c r="D4658" s="69">
        <v>1000</v>
      </c>
      <c r="G4658" s="8" t="s">
        <v>1372</v>
      </c>
      <c r="H4658" t="s">
        <v>1336</v>
      </c>
    </row>
    <row r="4659" spans="1:8" hidden="1">
      <c r="A4659" s="232">
        <v>45261</v>
      </c>
      <c r="C4659" t="s">
        <v>13183</v>
      </c>
      <c r="D4659" s="69">
        <v>1250</v>
      </c>
      <c r="G4659" s="8" t="s">
        <v>1372</v>
      </c>
      <c r="H4659" t="s">
        <v>1336</v>
      </c>
    </row>
    <row r="4660" spans="1:8" hidden="1">
      <c r="A4660" s="232">
        <v>45261</v>
      </c>
      <c r="C4660" t="s">
        <v>13184</v>
      </c>
      <c r="D4660" s="69">
        <v>3000</v>
      </c>
      <c r="H4660" t="s">
        <v>1336</v>
      </c>
    </row>
    <row r="4661" spans="1:8" hidden="1">
      <c r="A4661" s="232">
        <v>45262</v>
      </c>
      <c r="C4661" t="s">
        <v>13185</v>
      </c>
      <c r="D4661" s="69">
        <v>1250</v>
      </c>
      <c r="G4661" s="8" t="s">
        <v>1372</v>
      </c>
      <c r="H4661" t="s">
        <v>1336</v>
      </c>
    </row>
    <row r="4662" spans="1:8" hidden="1">
      <c r="A4662" s="232">
        <v>45262</v>
      </c>
      <c r="C4662" t="s">
        <v>13186</v>
      </c>
      <c r="D4662" s="69">
        <v>690.01</v>
      </c>
      <c r="H4662" t="s">
        <v>1336</v>
      </c>
    </row>
    <row r="4663" spans="1:8" hidden="1">
      <c r="A4663" s="232">
        <v>45262</v>
      </c>
      <c r="C4663" t="s">
        <v>13187</v>
      </c>
      <c r="D4663" s="69">
        <v>688</v>
      </c>
      <c r="H4663" t="s">
        <v>1336</v>
      </c>
    </row>
    <row r="4664" spans="1:8" hidden="1">
      <c r="A4664" s="232">
        <v>45262</v>
      </c>
      <c r="C4664" t="s">
        <v>13188</v>
      </c>
      <c r="E4664">
        <v>4</v>
      </c>
      <c r="H4664" t="s">
        <v>1336</v>
      </c>
    </row>
    <row r="4665" spans="1:8" hidden="1">
      <c r="A4665" s="232">
        <v>45262</v>
      </c>
      <c r="C4665" t="s">
        <v>13189</v>
      </c>
      <c r="E4665">
        <v>3</v>
      </c>
      <c r="H4665" t="s">
        <v>1336</v>
      </c>
    </row>
    <row r="4666" spans="1:8" hidden="1">
      <c r="A4666" s="232">
        <v>45262</v>
      </c>
      <c r="C4666" t="s">
        <v>13190</v>
      </c>
      <c r="D4666" s="69">
        <v>660</v>
      </c>
      <c r="H4666" t="s">
        <v>1336</v>
      </c>
    </row>
    <row r="4667" spans="1:8" hidden="1">
      <c r="A4667" s="232">
        <v>45262</v>
      </c>
      <c r="C4667" t="s">
        <v>13191</v>
      </c>
      <c r="D4667" s="69">
        <v>470.82</v>
      </c>
      <c r="H4667" t="s">
        <v>1336</v>
      </c>
    </row>
    <row r="4668" spans="1:8" hidden="1">
      <c r="A4668" s="232">
        <v>45262</v>
      </c>
      <c r="C4668" t="s">
        <v>13192</v>
      </c>
      <c r="D4668" s="69">
        <v>2500</v>
      </c>
      <c r="H4668" t="s">
        <v>1336</v>
      </c>
    </row>
    <row r="4669" spans="1:8" hidden="1">
      <c r="A4669" s="232">
        <v>45262</v>
      </c>
      <c r="C4669" t="s">
        <v>13193</v>
      </c>
      <c r="D4669" s="69">
        <v>50000</v>
      </c>
      <c r="G4669" s="8" t="s">
        <v>1358</v>
      </c>
      <c r="H4669" t="s">
        <v>1336</v>
      </c>
    </row>
    <row r="4670" spans="1:8" hidden="1">
      <c r="A4670" s="232">
        <v>45263</v>
      </c>
      <c r="C4670" t="s">
        <v>13194</v>
      </c>
      <c r="E4670">
        <v>3000</v>
      </c>
      <c r="H4670" t="s">
        <v>1336</v>
      </c>
    </row>
    <row r="4671" spans="1:8" hidden="1">
      <c r="A4671" s="232">
        <v>45264</v>
      </c>
      <c r="C4671" t="s">
        <v>13195</v>
      </c>
      <c r="D4671" s="69">
        <v>1000</v>
      </c>
      <c r="G4671" s="8" t="s">
        <v>1372</v>
      </c>
      <c r="H4671" t="s">
        <v>1336</v>
      </c>
    </row>
    <row r="4672" spans="1:8" hidden="1">
      <c r="A4672" s="232">
        <v>45264</v>
      </c>
      <c r="C4672" t="s">
        <v>13196</v>
      </c>
      <c r="D4672" s="69">
        <v>750</v>
      </c>
      <c r="G4672" s="8" t="s">
        <v>1372</v>
      </c>
      <c r="H4672" t="s">
        <v>1336</v>
      </c>
    </row>
    <row r="4673" spans="1:8" hidden="1">
      <c r="A4673" s="232">
        <v>45264</v>
      </c>
      <c r="C4673" t="s">
        <v>13197</v>
      </c>
      <c r="D4673" s="69">
        <v>775</v>
      </c>
      <c r="G4673" s="8" t="s">
        <v>1372</v>
      </c>
      <c r="H4673" t="s">
        <v>1336</v>
      </c>
    </row>
    <row r="4674" spans="1:8" hidden="1">
      <c r="A4674" s="232">
        <v>45264</v>
      </c>
      <c r="C4674" t="s">
        <v>13198</v>
      </c>
      <c r="D4674" s="69">
        <v>1000</v>
      </c>
      <c r="G4674" s="8" t="s">
        <v>1372</v>
      </c>
      <c r="H4674" t="s">
        <v>1336</v>
      </c>
    </row>
    <row r="4675" spans="1:8" hidden="1">
      <c r="A4675" s="232">
        <v>45264</v>
      </c>
      <c r="C4675" t="s">
        <v>13199</v>
      </c>
      <c r="D4675" s="69">
        <v>1051</v>
      </c>
      <c r="H4675" t="s">
        <v>1336</v>
      </c>
    </row>
    <row r="4676" spans="1:8" hidden="1">
      <c r="A4676" s="232">
        <v>45265</v>
      </c>
      <c r="C4676" t="s">
        <v>13200</v>
      </c>
      <c r="D4676" s="69">
        <v>1250</v>
      </c>
      <c r="G4676" s="8" t="s">
        <v>1372</v>
      </c>
      <c r="H4676" t="s">
        <v>1336</v>
      </c>
    </row>
    <row r="4677" spans="1:8" hidden="1">
      <c r="A4677" s="232">
        <v>45265</v>
      </c>
      <c r="C4677" t="s">
        <v>13201</v>
      </c>
      <c r="D4677" s="69">
        <v>1250</v>
      </c>
      <c r="G4677" s="8" t="s">
        <v>1372</v>
      </c>
      <c r="H4677" t="s">
        <v>1336</v>
      </c>
    </row>
    <row r="4678" spans="1:8" hidden="1">
      <c r="A4678" s="232">
        <v>45265</v>
      </c>
      <c r="C4678" t="s">
        <v>13202</v>
      </c>
      <c r="D4678" s="69">
        <v>1000</v>
      </c>
      <c r="G4678" s="8" t="s">
        <v>1372</v>
      </c>
      <c r="H4678" t="s">
        <v>1336</v>
      </c>
    </row>
    <row r="4679" spans="1:8" hidden="1">
      <c r="A4679" s="232">
        <v>45265</v>
      </c>
      <c r="C4679" t="s">
        <v>13203</v>
      </c>
      <c r="D4679" s="69">
        <v>106</v>
      </c>
      <c r="H4679" t="s">
        <v>1336</v>
      </c>
    </row>
    <row r="4680" spans="1:8" hidden="1">
      <c r="A4680" s="232">
        <v>45266</v>
      </c>
      <c r="C4680" t="s">
        <v>6583</v>
      </c>
      <c r="D4680" s="69">
        <v>68359</v>
      </c>
      <c r="G4680" s="8" t="s">
        <v>1362</v>
      </c>
      <c r="H4680" t="s">
        <v>1336</v>
      </c>
    </row>
    <row r="4681" spans="1:8" hidden="1">
      <c r="A4681" s="232">
        <v>45266</v>
      </c>
      <c r="C4681" t="s">
        <v>13204</v>
      </c>
      <c r="D4681" s="69">
        <v>1000</v>
      </c>
      <c r="G4681" s="8" t="s">
        <v>1372</v>
      </c>
      <c r="H4681" t="s">
        <v>1336</v>
      </c>
    </row>
    <row r="4682" spans="1:8" hidden="1">
      <c r="A4682" s="232">
        <v>45266</v>
      </c>
      <c r="C4682" t="s">
        <v>13205</v>
      </c>
      <c r="D4682" s="69">
        <v>800</v>
      </c>
      <c r="G4682" s="8" t="s">
        <v>1372</v>
      </c>
      <c r="H4682" t="s">
        <v>1336</v>
      </c>
    </row>
    <row r="4683" spans="1:8" hidden="1">
      <c r="A4683" s="232">
        <v>45266</v>
      </c>
      <c r="C4683" t="s">
        <v>13206</v>
      </c>
      <c r="D4683" s="69">
        <v>328</v>
      </c>
      <c r="H4683" t="s">
        <v>1336</v>
      </c>
    </row>
    <row r="4684" spans="1:8" hidden="1">
      <c r="A4684" s="232">
        <v>45266</v>
      </c>
      <c r="C4684" t="s">
        <v>13207</v>
      </c>
      <c r="D4684" s="69">
        <v>99</v>
      </c>
      <c r="H4684" t="s">
        <v>1336</v>
      </c>
    </row>
    <row r="4685" spans="1:8" hidden="1">
      <c r="A4685" s="232">
        <v>45267</v>
      </c>
      <c r="C4685" t="s">
        <v>13208</v>
      </c>
      <c r="D4685" s="69">
        <v>1268.5</v>
      </c>
      <c r="H4685" t="s">
        <v>1336</v>
      </c>
    </row>
    <row r="4686" spans="1:8" hidden="1">
      <c r="A4686" s="232">
        <v>45267</v>
      </c>
      <c r="C4686" t="s">
        <v>13209</v>
      </c>
      <c r="D4686" s="69">
        <v>1955.6</v>
      </c>
      <c r="H4686" t="s">
        <v>1336</v>
      </c>
    </row>
    <row r="4687" spans="1:8" hidden="1">
      <c r="A4687" s="232">
        <v>45267</v>
      </c>
      <c r="C4687" t="s">
        <v>13210</v>
      </c>
      <c r="D4687" s="69">
        <v>1000</v>
      </c>
      <c r="G4687" s="8" t="s">
        <v>1372</v>
      </c>
      <c r="H4687" t="s">
        <v>1336</v>
      </c>
    </row>
    <row r="4688" spans="1:8" hidden="1">
      <c r="A4688" s="232">
        <v>45268</v>
      </c>
      <c r="C4688" t="s">
        <v>13211</v>
      </c>
      <c r="D4688" s="69">
        <v>1000</v>
      </c>
      <c r="G4688" s="8" t="s">
        <v>1372</v>
      </c>
      <c r="H4688" t="s">
        <v>1336</v>
      </c>
    </row>
    <row r="4689" spans="1:8" hidden="1">
      <c r="A4689" s="232">
        <v>45268</v>
      </c>
      <c r="C4689" t="s">
        <v>13212</v>
      </c>
      <c r="D4689" s="69">
        <v>775</v>
      </c>
      <c r="G4689" s="8" t="s">
        <v>1372</v>
      </c>
      <c r="H4689" t="s">
        <v>1336</v>
      </c>
    </row>
    <row r="4690" spans="1:8" hidden="1">
      <c r="A4690" s="232">
        <v>45268</v>
      </c>
      <c r="C4690" t="s">
        <v>13213</v>
      </c>
      <c r="D4690" s="69">
        <v>651</v>
      </c>
      <c r="H4690" t="s">
        <v>1336</v>
      </c>
    </row>
    <row r="4691" spans="1:8" hidden="1">
      <c r="A4691" s="232">
        <v>45269</v>
      </c>
      <c r="C4691" t="s">
        <v>13214</v>
      </c>
      <c r="D4691" s="69">
        <v>750</v>
      </c>
      <c r="G4691" s="8" t="s">
        <v>1372</v>
      </c>
      <c r="H4691" t="s">
        <v>1336</v>
      </c>
    </row>
    <row r="4692" spans="1:8" hidden="1">
      <c r="A4692" s="232">
        <v>45269</v>
      </c>
      <c r="C4692" t="s">
        <v>13215</v>
      </c>
      <c r="D4692" s="69">
        <v>403.28</v>
      </c>
      <c r="H4692" t="s">
        <v>1336</v>
      </c>
    </row>
    <row r="4693" spans="1:8" hidden="1">
      <c r="A4693" s="232">
        <v>45270</v>
      </c>
      <c r="C4693" t="s">
        <v>13216</v>
      </c>
      <c r="D4693" s="69">
        <v>337.4</v>
      </c>
      <c r="H4693" t="s">
        <v>1336</v>
      </c>
    </row>
    <row r="4694" spans="1:8" hidden="1">
      <c r="A4694" s="232">
        <v>45270</v>
      </c>
      <c r="C4694" t="s">
        <v>13217</v>
      </c>
      <c r="D4694" s="69">
        <v>413</v>
      </c>
      <c r="H4694" t="s">
        <v>1336</v>
      </c>
    </row>
    <row r="4695" spans="1:8" hidden="1">
      <c r="A4695" s="232">
        <v>45271</v>
      </c>
      <c r="C4695" t="s">
        <v>13218</v>
      </c>
      <c r="D4695" s="69">
        <v>750</v>
      </c>
      <c r="G4695" s="8" t="s">
        <v>1372</v>
      </c>
      <c r="H4695" t="s">
        <v>1336</v>
      </c>
    </row>
    <row r="4696" spans="1:8" hidden="1">
      <c r="A4696" s="232">
        <v>45271</v>
      </c>
      <c r="C4696" t="s">
        <v>13219</v>
      </c>
      <c r="D4696" s="69">
        <v>1000</v>
      </c>
      <c r="G4696" s="8" t="s">
        <v>1372</v>
      </c>
      <c r="H4696" t="s">
        <v>1336</v>
      </c>
    </row>
    <row r="4697" spans="1:8" hidden="1">
      <c r="A4697" s="232">
        <v>45271</v>
      </c>
      <c r="C4697" t="s">
        <v>13220</v>
      </c>
      <c r="D4697" s="69">
        <v>1000</v>
      </c>
      <c r="G4697" s="8" t="s">
        <v>1372</v>
      </c>
      <c r="H4697" t="s">
        <v>1336</v>
      </c>
    </row>
    <row r="4698" spans="1:8" hidden="1">
      <c r="A4698" s="232">
        <v>45271</v>
      </c>
      <c r="C4698" t="s">
        <v>13221</v>
      </c>
      <c r="D4698" s="69">
        <v>1250</v>
      </c>
      <c r="G4698" s="8" t="s">
        <v>1372</v>
      </c>
      <c r="H4698" t="s">
        <v>1336</v>
      </c>
    </row>
    <row r="4699" spans="1:8" hidden="1">
      <c r="A4699" s="232">
        <v>45271</v>
      </c>
      <c r="C4699" t="s">
        <v>13222</v>
      </c>
      <c r="D4699" s="69">
        <v>1250</v>
      </c>
      <c r="G4699" s="8" t="s">
        <v>1372</v>
      </c>
      <c r="H4699" t="s">
        <v>1336</v>
      </c>
    </row>
    <row r="4700" spans="1:8" hidden="1">
      <c r="A4700" s="232">
        <v>45272</v>
      </c>
      <c r="C4700" t="s">
        <v>13223</v>
      </c>
      <c r="D4700" s="69">
        <v>1000</v>
      </c>
      <c r="G4700" s="8" t="s">
        <v>1372</v>
      </c>
      <c r="H4700" t="s">
        <v>1336</v>
      </c>
    </row>
    <row r="4701" spans="1:8" hidden="1">
      <c r="A4701" s="232">
        <v>45272</v>
      </c>
      <c r="C4701" t="s">
        <v>13224</v>
      </c>
      <c r="D4701" s="69">
        <v>600</v>
      </c>
      <c r="H4701" t="s">
        <v>1336</v>
      </c>
    </row>
    <row r="4702" spans="1:8" hidden="1">
      <c r="A4702" s="232">
        <v>45273</v>
      </c>
      <c r="C4702" t="s">
        <v>13225</v>
      </c>
      <c r="D4702" s="69">
        <v>1000</v>
      </c>
      <c r="G4702" s="8" t="s">
        <v>1372</v>
      </c>
      <c r="H4702" t="s">
        <v>1336</v>
      </c>
    </row>
    <row r="4703" spans="1:8" hidden="1">
      <c r="A4703" s="232">
        <v>45273</v>
      </c>
      <c r="C4703" t="s">
        <v>13226</v>
      </c>
      <c r="D4703" s="69">
        <v>775</v>
      </c>
      <c r="G4703" s="8" t="s">
        <v>1372</v>
      </c>
      <c r="H4703" t="s">
        <v>1336</v>
      </c>
    </row>
    <row r="4704" spans="1:8" hidden="1">
      <c r="A4704" s="232">
        <v>45273</v>
      </c>
      <c r="C4704" t="s">
        <v>13227</v>
      </c>
      <c r="D4704" s="69">
        <v>1500</v>
      </c>
      <c r="H4704" t="s">
        <v>1336</v>
      </c>
    </row>
    <row r="4705" spans="1:8" hidden="1">
      <c r="A4705" s="232">
        <v>45273</v>
      </c>
      <c r="C4705" t="s">
        <v>13228</v>
      </c>
      <c r="D4705" s="69">
        <v>104</v>
      </c>
      <c r="H4705" t="s">
        <v>1336</v>
      </c>
    </row>
    <row r="4706" spans="1:8" hidden="1">
      <c r="A4706" s="232">
        <v>45273</v>
      </c>
      <c r="C4706" t="s">
        <v>13229</v>
      </c>
      <c r="D4706" s="69">
        <v>1350</v>
      </c>
      <c r="H4706" t="s">
        <v>1336</v>
      </c>
    </row>
    <row r="4707" spans="1:8" hidden="1">
      <c r="A4707" s="232">
        <v>45274</v>
      </c>
      <c r="C4707" t="s">
        <v>13230</v>
      </c>
      <c r="D4707" s="69">
        <v>800</v>
      </c>
      <c r="G4707" s="8" t="s">
        <v>1372</v>
      </c>
      <c r="H4707" t="s">
        <v>1336</v>
      </c>
    </row>
    <row r="4708" spans="1:8" hidden="1">
      <c r="A4708" s="232">
        <v>45274</v>
      </c>
      <c r="C4708" t="s">
        <v>13231</v>
      </c>
      <c r="D4708" s="69">
        <v>1000</v>
      </c>
      <c r="G4708" s="8" t="s">
        <v>1372</v>
      </c>
      <c r="H4708" t="s">
        <v>1336</v>
      </c>
    </row>
    <row r="4709" spans="1:8" hidden="1">
      <c r="A4709" s="232">
        <v>45274</v>
      </c>
      <c r="C4709" t="s">
        <v>13232</v>
      </c>
      <c r="D4709" s="69">
        <v>96</v>
      </c>
      <c r="H4709" t="s">
        <v>1336</v>
      </c>
    </row>
    <row r="4710" spans="1:8" hidden="1">
      <c r="A4710" s="232">
        <v>45274</v>
      </c>
      <c r="C4710" t="s">
        <v>13233</v>
      </c>
      <c r="D4710" s="69">
        <v>1</v>
      </c>
      <c r="H4710" t="s">
        <v>1336</v>
      </c>
    </row>
    <row r="4711" spans="1:8" hidden="1">
      <c r="A4711" s="232">
        <v>45274</v>
      </c>
      <c r="C4711" t="s">
        <v>13234</v>
      </c>
      <c r="D4711" s="69">
        <v>2402</v>
      </c>
      <c r="H4711" t="s">
        <v>1336</v>
      </c>
    </row>
    <row r="4712" spans="1:8" hidden="1">
      <c r="A4712" s="232">
        <v>45275</v>
      </c>
      <c r="C4712" t="s">
        <v>13235</v>
      </c>
      <c r="D4712" s="69">
        <v>750</v>
      </c>
      <c r="G4712" s="8" t="s">
        <v>1372</v>
      </c>
      <c r="H4712" t="s">
        <v>1336</v>
      </c>
    </row>
    <row r="4713" spans="1:8" hidden="1">
      <c r="A4713" s="232">
        <v>45275</v>
      </c>
      <c r="C4713" t="s">
        <v>13236</v>
      </c>
      <c r="D4713" s="69">
        <v>1250</v>
      </c>
      <c r="G4713" s="8" t="s">
        <v>1372</v>
      </c>
      <c r="H4713" t="s">
        <v>1336</v>
      </c>
    </row>
    <row r="4714" spans="1:8" hidden="1">
      <c r="A4714" s="232">
        <v>45275</v>
      </c>
      <c r="C4714" t="s">
        <v>13237</v>
      </c>
      <c r="D4714" s="69">
        <v>1250</v>
      </c>
      <c r="G4714" s="8" t="s">
        <v>1372</v>
      </c>
      <c r="H4714" t="s">
        <v>1336</v>
      </c>
    </row>
    <row r="4715" spans="1:8" hidden="1">
      <c r="A4715" s="232">
        <v>45275</v>
      </c>
      <c r="C4715" t="s">
        <v>13238</v>
      </c>
      <c r="D4715" s="69">
        <v>1000</v>
      </c>
      <c r="G4715" s="8" t="s">
        <v>1372</v>
      </c>
      <c r="H4715" t="s">
        <v>1336</v>
      </c>
    </row>
    <row r="4716" spans="1:8" hidden="1">
      <c r="A4716" s="232">
        <v>45275</v>
      </c>
      <c r="C4716" t="s">
        <v>13239</v>
      </c>
      <c r="D4716" s="69">
        <v>1350</v>
      </c>
      <c r="H4716" t="s">
        <v>1336</v>
      </c>
    </row>
    <row r="4717" spans="1:8" hidden="1">
      <c r="A4717" s="232">
        <v>45276</v>
      </c>
      <c r="C4717" t="s">
        <v>13240</v>
      </c>
      <c r="D4717" s="69">
        <v>1000</v>
      </c>
      <c r="G4717" s="8" t="s">
        <v>1372</v>
      </c>
      <c r="H4717" t="s">
        <v>1336</v>
      </c>
    </row>
    <row r="4718" spans="1:8" hidden="1">
      <c r="A4718" s="232">
        <v>45276</v>
      </c>
      <c r="C4718" t="s">
        <v>13241</v>
      </c>
      <c r="D4718" s="69">
        <v>580</v>
      </c>
      <c r="H4718" t="s">
        <v>1336</v>
      </c>
    </row>
    <row r="4719" spans="1:8" hidden="1">
      <c r="A4719" s="232">
        <v>45277</v>
      </c>
      <c r="C4719" t="s">
        <v>13242</v>
      </c>
      <c r="D4719" s="69">
        <v>750</v>
      </c>
      <c r="G4719" s="8" t="s">
        <v>1372</v>
      </c>
      <c r="H4719" t="s">
        <v>1336</v>
      </c>
    </row>
    <row r="4720" spans="1:8" hidden="1">
      <c r="A4720" s="232">
        <v>45277</v>
      </c>
      <c r="C4720" t="s">
        <v>13243</v>
      </c>
      <c r="D4720" s="69">
        <v>270</v>
      </c>
      <c r="H4720" t="s">
        <v>1336</v>
      </c>
    </row>
    <row r="4721" spans="1:8" hidden="1">
      <c r="A4721" s="232">
        <v>45277</v>
      </c>
      <c r="C4721" t="s">
        <v>13244</v>
      </c>
      <c r="D4721" s="69">
        <v>1350</v>
      </c>
      <c r="H4721" t="s">
        <v>1336</v>
      </c>
    </row>
    <row r="4722" spans="1:8" hidden="1">
      <c r="A4722" s="232">
        <v>45278</v>
      </c>
      <c r="C4722" t="s">
        <v>13245</v>
      </c>
      <c r="D4722" s="69">
        <v>571.74</v>
      </c>
      <c r="H4722" t="s">
        <v>1336</v>
      </c>
    </row>
    <row r="4723" spans="1:8" hidden="1">
      <c r="A4723" s="232">
        <v>45278</v>
      </c>
      <c r="C4723" t="s">
        <v>13246</v>
      </c>
      <c r="D4723" s="69">
        <v>1000</v>
      </c>
      <c r="G4723" s="8" t="s">
        <v>1372</v>
      </c>
      <c r="H4723" t="s">
        <v>1336</v>
      </c>
    </row>
    <row r="4724" spans="1:8" hidden="1">
      <c r="A4724" s="232">
        <v>45278</v>
      </c>
      <c r="C4724" t="s">
        <v>13247</v>
      </c>
      <c r="D4724" s="69">
        <v>141</v>
      </c>
      <c r="H4724" t="s">
        <v>1336</v>
      </c>
    </row>
    <row r="4725" spans="1:8" hidden="1">
      <c r="A4725" s="232">
        <v>45278</v>
      </c>
      <c r="C4725" t="s">
        <v>13248</v>
      </c>
      <c r="D4725" s="69">
        <v>149</v>
      </c>
      <c r="H4725" t="s">
        <v>1336</v>
      </c>
    </row>
    <row r="4726" spans="1:8" hidden="1">
      <c r="A4726" s="232">
        <v>45278</v>
      </c>
      <c r="C4726" t="s">
        <v>13249</v>
      </c>
      <c r="D4726" s="69">
        <v>1350</v>
      </c>
      <c r="H4726" t="s">
        <v>1336</v>
      </c>
    </row>
    <row r="4727" spans="1:8" hidden="1">
      <c r="A4727" s="232">
        <v>45279</v>
      </c>
      <c r="C4727" t="s">
        <v>13250</v>
      </c>
      <c r="D4727" s="69">
        <v>750</v>
      </c>
      <c r="G4727" s="8" t="s">
        <v>1372</v>
      </c>
      <c r="H4727" t="s">
        <v>1336</v>
      </c>
    </row>
    <row r="4728" spans="1:8" hidden="1">
      <c r="A4728" s="232">
        <v>45279</v>
      </c>
      <c r="C4728" t="s">
        <v>13251</v>
      </c>
      <c r="D4728" s="69">
        <v>1000</v>
      </c>
      <c r="G4728" s="8" t="s">
        <v>1372</v>
      </c>
      <c r="H4728" t="s">
        <v>1336</v>
      </c>
    </row>
    <row r="4729" spans="1:8" hidden="1">
      <c r="A4729" s="232">
        <v>45280</v>
      </c>
      <c r="C4729" t="s">
        <v>13252</v>
      </c>
      <c r="D4729" s="69">
        <v>775</v>
      </c>
      <c r="G4729" s="8" t="s">
        <v>1372</v>
      </c>
      <c r="H4729" t="s">
        <v>1336</v>
      </c>
    </row>
    <row r="4730" spans="1:8" hidden="1">
      <c r="A4730" s="232">
        <v>45280</v>
      </c>
      <c r="C4730" t="s">
        <v>13253</v>
      </c>
      <c r="D4730" s="69">
        <v>1000</v>
      </c>
      <c r="G4730" s="8" t="s">
        <v>1372</v>
      </c>
      <c r="H4730" t="s">
        <v>1336</v>
      </c>
    </row>
    <row r="4731" spans="1:8" hidden="1">
      <c r="A4731" s="232">
        <v>45280</v>
      </c>
      <c r="C4731" t="s">
        <v>13254</v>
      </c>
      <c r="D4731" s="69">
        <v>74</v>
      </c>
      <c r="H4731" t="s">
        <v>1336</v>
      </c>
    </row>
    <row r="4732" spans="1:8" hidden="1">
      <c r="A4732" s="232">
        <v>45280</v>
      </c>
      <c r="C4732" t="s">
        <v>13255</v>
      </c>
      <c r="D4732" s="69">
        <v>92</v>
      </c>
      <c r="H4732" t="s">
        <v>1336</v>
      </c>
    </row>
    <row r="4733" spans="1:8" hidden="1">
      <c r="A4733" s="232">
        <v>45281</v>
      </c>
      <c r="C4733" t="s">
        <v>13256</v>
      </c>
      <c r="D4733" s="69">
        <v>750</v>
      </c>
      <c r="G4733" s="8" t="s">
        <v>1372</v>
      </c>
      <c r="H4733" t="s">
        <v>1336</v>
      </c>
    </row>
    <row r="4734" spans="1:8" hidden="1">
      <c r="A4734" s="232">
        <v>45281</v>
      </c>
      <c r="C4734" t="s">
        <v>13257</v>
      </c>
      <c r="D4734" s="69">
        <v>1000</v>
      </c>
      <c r="G4734" s="8" t="s">
        <v>1372</v>
      </c>
      <c r="H4734" t="s">
        <v>1336</v>
      </c>
    </row>
    <row r="4735" spans="1:8" hidden="1">
      <c r="A4735" s="232">
        <v>45281</v>
      </c>
      <c r="C4735" t="s">
        <v>13258</v>
      </c>
      <c r="D4735" s="69">
        <v>1000</v>
      </c>
      <c r="G4735" s="8" t="s">
        <v>1372</v>
      </c>
      <c r="H4735" t="s">
        <v>1336</v>
      </c>
    </row>
    <row r="4736" spans="1:8" hidden="1">
      <c r="A4736" s="232">
        <v>45282</v>
      </c>
      <c r="C4736" t="s">
        <v>13259</v>
      </c>
      <c r="D4736" s="69">
        <v>750</v>
      </c>
      <c r="G4736" s="8" t="s">
        <v>1372</v>
      </c>
      <c r="H4736" t="s">
        <v>1336</v>
      </c>
    </row>
    <row r="4737" spans="1:8" hidden="1">
      <c r="A4737" s="232">
        <v>45282</v>
      </c>
      <c r="C4737" t="s">
        <v>13260</v>
      </c>
      <c r="D4737" s="69">
        <v>740</v>
      </c>
      <c r="H4737" t="s">
        <v>1336</v>
      </c>
    </row>
    <row r="4738" spans="1:8" hidden="1">
      <c r="A4738" s="232">
        <v>45282</v>
      </c>
      <c r="C4738" t="s">
        <v>13261</v>
      </c>
      <c r="E4738">
        <v>421606</v>
      </c>
      <c r="G4738" s="8" t="s">
        <v>1380</v>
      </c>
      <c r="H4738" t="s">
        <v>1336</v>
      </c>
    </row>
    <row r="4739" spans="1:8" hidden="1">
      <c r="A4739" s="232">
        <v>45282</v>
      </c>
      <c r="C4739" t="s">
        <v>13262</v>
      </c>
      <c r="D4739" s="69">
        <v>786</v>
      </c>
      <c r="H4739" t="s">
        <v>1336</v>
      </c>
    </row>
    <row r="4740" spans="1:8" hidden="1">
      <c r="A4740" s="232">
        <v>45282</v>
      </c>
      <c r="C4740" t="s">
        <v>13263</v>
      </c>
      <c r="E4740">
        <v>3</v>
      </c>
      <c r="H4740" t="s">
        <v>1336</v>
      </c>
    </row>
    <row r="4741" spans="1:8" hidden="1">
      <c r="A4741" s="232">
        <v>45282</v>
      </c>
      <c r="C4741" t="s">
        <v>13264</v>
      </c>
      <c r="D4741" s="69">
        <v>798</v>
      </c>
      <c r="H4741" t="s">
        <v>1336</v>
      </c>
    </row>
    <row r="4742" spans="1:8" hidden="1">
      <c r="A4742" s="232">
        <v>45282</v>
      </c>
      <c r="C4742" t="s">
        <v>13265</v>
      </c>
      <c r="D4742" s="69">
        <v>40</v>
      </c>
      <c r="H4742" t="s">
        <v>1336</v>
      </c>
    </row>
    <row r="4743" spans="1:8" hidden="1">
      <c r="A4743" s="232">
        <v>45282</v>
      </c>
      <c r="C4743" t="s">
        <v>13266</v>
      </c>
      <c r="D4743" s="69">
        <v>1454</v>
      </c>
      <c r="H4743" t="s">
        <v>1336</v>
      </c>
    </row>
    <row r="4744" spans="1:8" hidden="1">
      <c r="A4744" s="232">
        <v>45283</v>
      </c>
      <c r="C4744" t="s">
        <v>13267</v>
      </c>
      <c r="D4744" s="69">
        <v>750</v>
      </c>
      <c r="G4744" s="8" t="s">
        <v>1372</v>
      </c>
      <c r="H4744" t="s">
        <v>1336</v>
      </c>
    </row>
    <row r="4745" spans="1:8" hidden="1">
      <c r="A4745" s="232">
        <v>45284</v>
      </c>
      <c r="C4745" t="s">
        <v>13268</v>
      </c>
      <c r="D4745" s="69">
        <v>1000</v>
      </c>
      <c r="G4745" s="8" t="s">
        <v>1372</v>
      </c>
      <c r="H4745" t="s">
        <v>1336</v>
      </c>
    </row>
    <row r="4746" spans="1:8" hidden="1">
      <c r="A4746" s="232">
        <v>45284</v>
      </c>
      <c r="C4746" t="s">
        <v>13269</v>
      </c>
      <c r="D4746" s="69">
        <v>436</v>
      </c>
      <c r="H4746" t="s">
        <v>1336</v>
      </c>
    </row>
    <row r="4747" spans="1:8" hidden="1">
      <c r="A4747" s="232">
        <v>45285</v>
      </c>
      <c r="C4747" t="s">
        <v>13270</v>
      </c>
      <c r="E4747">
        <v>398620</v>
      </c>
      <c r="G4747" s="8" t="s">
        <v>1379</v>
      </c>
      <c r="H4747" t="s">
        <v>1336</v>
      </c>
    </row>
    <row r="4748" spans="1:8" hidden="1">
      <c r="A4748" s="232">
        <v>45285</v>
      </c>
      <c r="C4748" t="s">
        <v>13271</v>
      </c>
      <c r="D4748" s="69">
        <v>750</v>
      </c>
      <c r="G4748" s="8" t="s">
        <v>1372</v>
      </c>
      <c r="H4748" t="s">
        <v>1336</v>
      </c>
    </row>
    <row r="4749" spans="1:8" hidden="1">
      <c r="A4749" s="232">
        <v>45285</v>
      </c>
      <c r="C4749" t="s">
        <v>13272</v>
      </c>
      <c r="D4749" s="69">
        <v>2200</v>
      </c>
      <c r="H4749" t="s">
        <v>1336</v>
      </c>
    </row>
    <row r="4750" spans="1:8" hidden="1">
      <c r="A4750" s="232">
        <v>45285</v>
      </c>
      <c r="C4750" t="s">
        <v>13273</v>
      </c>
      <c r="D4750" s="69">
        <v>3500</v>
      </c>
      <c r="H4750" t="s">
        <v>1336</v>
      </c>
    </row>
    <row r="4751" spans="1:8" hidden="1">
      <c r="A4751" s="232">
        <v>45285</v>
      </c>
      <c r="C4751" t="s">
        <v>13274</v>
      </c>
      <c r="D4751" s="69">
        <v>21</v>
      </c>
      <c r="H4751" t="s">
        <v>1336</v>
      </c>
    </row>
    <row r="4752" spans="1:8" hidden="1">
      <c r="A4752" s="232">
        <v>45285</v>
      </c>
      <c r="C4752" t="s">
        <v>13275</v>
      </c>
      <c r="D4752" s="69">
        <v>2856</v>
      </c>
      <c r="H4752" t="s">
        <v>1336</v>
      </c>
    </row>
    <row r="4753" spans="1:9" hidden="1">
      <c r="A4753" s="232">
        <v>45285</v>
      </c>
      <c r="C4753" t="s">
        <v>13276</v>
      </c>
      <c r="D4753" s="69">
        <v>105</v>
      </c>
      <c r="H4753" t="s">
        <v>1336</v>
      </c>
    </row>
    <row r="4754" spans="1:9" hidden="1">
      <c r="A4754" s="232">
        <v>45286</v>
      </c>
      <c r="C4754" t="s">
        <v>13277</v>
      </c>
      <c r="D4754" s="69">
        <v>1000</v>
      </c>
      <c r="G4754" s="8" t="s">
        <v>1372</v>
      </c>
      <c r="H4754" t="s">
        <v>1336</v>
      </c>
    </row>
    <row r="4755" spans="1:9" hidden="1">
      <c r="A4755" s="232">
        <v>45286</v>
      </c>
      <c r="C4755" t="s">
        <v>13278</v>
      </c>
      <c r="D4755" s="69">
        <v>10000</v>
      </c>
      <c r="H4755" t="s">
        <v>1336</v>
      </c>
      <c r="I4755" s="232" t="s">
        <v>13286</v>
      </c>
    </row>
    <row r="4756" spans="1:9" hidden="1">
      <c r="A4756" s="232">
        <v>45286</v>
      </c>
      <c r="C4756" t="s">
        <v>13279</v>
      </c>
      <c r="D4756" s="69">
        <v>2500</v>
      </c>
      <c r="H4756" t="s">
        <v>1336</v>
      </c>
    </row>
    <row r="4757" spans="1:9" hidden="1">
      <c r="A4757" s="232">
        <v>45287</v>
      </c>
      <c r="C4757" t="s">
        <v>13280</v>
      </c>
      <c r="D4757" s="69">
        <v>1000</v>
      </c>
      <c r="G4757" s="8" t="s">
        <v>1372</v>
      </c>
      <c r="H4757" t="s">
        <v>1336</v>
      </c>
    </row>
    <row r="4758" spans="1:9" hidden="1">
      <c r="A4758" s="232">
        <v>45287</v>
      </c>
      <c r="C4758" t="s">
        <v>13281</v>
      </c>
      <c r="D4758" s="69">
        <v>23500</v>
      </c>
      <c r="H4758" t="s">
        <v>1336</v>
      </c>
      <c r="I4758" s="232" t="s">
        <v>13286</v>
      </c>
    </row>
    <row r="4759" spans="1:9" hidden="1">
      <c r="A4759" s="232">
        <v>45288</v>
      </c>
      <c r="C4759" t="s">
        <v>13282</v>
      </c>
      <c r="D4759" s="69">
        <v>800</v>
      </c>
      <c r="G4759" s="8" t="s">
        <v>1372</v>
      </c>
      <c r="H4759" t="s">
        <v>1336</v>
      </c>
    </row>
    <row r="4760" spans="1:9" hidden="1">
      <c r="A4760" s="232">
        <v>45290</v>
      </c>
      <c r="C4760" t="s">
        <v>13283</v>
      </c>
      <c r="D4760" s="69">
        <v>470.82</v>
      </c>
      <c r="H4760" t="s">
        <v>1336</v>
      </c>
    </row>
    <row r="4761" spans="1:9" hidden="1">
      <c r="A4761" s="232">
        <v>45291</v>
      </c>
      <c r="C4761" t="s">
        <v>13284</v>
      </c>
      <c r="D4761" s="69">
        <v>50000</v>
      </c>
      <c r="G4761" s="8" t="s">
        <v>1358</v>
      </c>
      <c r="H4761" t="s">
        <v>1336</v>
      </c>
    </row>
    <row r="4762" spans="1:9" hidden="1">
      <c r="A4762" s="232">
        <v>45291</v>
      </c>
      <c r="C4762" t="s">
        <v>13285</v>
      </c>
      <c r="D4762" s="69">
        <v>1875</v>
      </c>
      <c r="H4762" t="s">
        <v>1336</v>
      </c>
    </row>
    <row r="4763" spans="1:9" hidden="1">
      <c r="A4763" s="232">
        <v>45292</v>
      </c>
      <c r="C4763" t="s">
        <v>4256</v>
      </c>
      <c r="E4763">
        <v>23481</v>
      </c>
      <c r="G4763" s="8" t="s">
        <v>1368</v>
      </c>
      <c r="H4763" t="s">
        <v>1336</v>
      </c>
    </row>
    <row r="4764" spans="1:9" hidden="1">
      <c r="A4764" s="232">
        <v>45294</v>
      </c>
      <c r="C4764" t="s">
        <v>13526</v>
      </c>
      <c r="D4764" s="69">
        <v>500000</v>
      </c>
      <c r="E4764">
        <v>0</v>
      </c>
      <c r="H4764" t="s">
        <v>1050</v>
      </c>
      <c r="I4764" s="232" t="s">
        <v>13173</v>
      </c>
    </row>
    <row r="4765" spans="1:9" hidden="1">
      <c r="A4765" s="232">
        <v>45299</v>
      </c>
      <c r="C4765" t="s">
        <v>13527</v>
      </c>
      <c r="D4765" s="69">
        <v>0</v>
      </c>
      <c r="E4765">
        <v>9772.36</v>
      </c>
      <c r="G4765" s="8" t="s">
        <v>1375</v>
      </c>
      <c r="H4765" t="s">
        <v>1050</v>
      </c>
    </row>
    <row r="4766" spans="1:9" hidden="1">
      <c r="A4766" s="232">
        <v>45300</v>
      </c>
      <c r="C4766" t="s">
        <v>6526</v>
      </c>
      <c r="D4766" s="69">
        <v>3411</v>
      </c>
      <c r="E4766">
        <v>0</v>
      </c>
      <c r="G4766" s="8" t="s">
        <v>1362</v>
      </c>
      <c r="H4766" t="s">
        <v>1050</v>
      </c>
    </row>
    <row r="4767" spans="1:9" hidden="1">
      <c r="A4767" s="232">
        <v>45313</v>
      </c>
      <c r="C4767" t="s">
        <v>13528</v>
      </c>
      <c r="D4767" s="69">
        <v>41667</v>
      </c>
      <c r="E4767">
        <v>0</v>
      </c>
      <c r="G4767" s="8" t="s">
        <v>1381</v>
      </c>
      <c r="H4767" t="s">
        <v>1050</v>
      </c>
    </row>
    <row r="4768" spans="1:9" hidden="1">
      <c r="A4768" s="232">
        <v>45320</v>
      </c>
      <c r="C4768" t="s">
        <v>13529</v>
      </c>
      <c r="D4768" s="69">
        <v>199</v>
      </c>
      <c r="E4768">
        <v>0</v>
      </c>
      <c r="H4768" t="s">
        <v>1050</v>
      </c>
    </row>
    <row r="4769" spans="1:8" hidden="1">
      <c r="A4769" s="232">
        <v>45320</v>
      </c>
      <c r="C4769" t="s">
        <v>13530</v>
      </c>
      <c r="D4769" s="69">
        <v>25000</v>
      </c>
      <c r="E4769">
        <v>0</v>
      </c>
      <c r="G4769" s="8" t="s">
        <v>1381</v>
      </c>
      <c r="H4769" t="s">
        <v>1050</v>
      </c>
    </row>
    <row r="4770" spans="1:8" hidden="1">
      <c r="A4770" s="232">
        <v>45292</v>
      </c>
      <c r="C4770" t="s">
        <v>13531</v>
      </c>
      <c r="D4770" s="69">
        <v>1600</v>
      </c>
      <c r="H4770" t="s">
        <v>1336</v>
      </c>
    </row>
    <row r="4771" spans="1:8" hidden="1">
      <c r="A4771" s="232">
        <v>45292</v>
      </c>
      <c r="C4771" t="s">
        <v>13532</v>
      </c>
      <c r="D4771" s="69">
        <v>1000</v>
      </c>
      <c r="G4771" s="8" t="s">
        <v>1372</v>
      </c>
      <c r="H4771" t="s">
        <v>1336</v>
      </c>
    </row>
    <row r="4772" spans="1:8" hidden="1">
      <c r="A4772" s="232">
        <v>45292</v>
      </c>
      <c r="C4772" t="s">
        <v>13533</v>
      </c>
      <c r="D4772" s="69">
        <v>1250</v>
      </c>
      <c r="G4772" s="8" t="s">
        <v>1372</v>
      </c>
      <c r="H4772" t="s">
        <v>1336</v>
      </c>
    </row>
    <row r="4773" spans="1:8" hidden="1">
      <c r="A4773" s="232">
        <v>45293</v>
      </c>
      <c r="C4773" t="s">
        <v>13534</v>
      </c>
      <c r="D4773" s="69">
        <v>1000</v>
      </c>
      <c r="G4773" s="8" t="s">
        <v>1372</v>
      </c>
      <c r="H4773" t="s">
        <v>1336</v>
      </c>
    </row>
    <row r="4774" spans="1:8" hidden="1">
      <c r="A4774" s="232">
        <v>45293</v>
      </c>
      <c r="C4774" t="s">
        <v>13535</v>
      </c>
      <c r="D4774" s="69">
        <v>1250</v>
      </c>
      <c r="G4774" s="8" t="s">
        <v>1372</v>
      </c>
      <c r="H4774" t="s">
        <v>1336</v>
      </c>
    </row>
    <row r="4775" spans="1:8" hidden="1">
      <c r="A4775" s="232">
        <v>45293</v>
      </c>
      <c r="C4775" t="s">
        <v>13536</v>
      </c>
      <c r="D4775" s="69">
        <v>1268.5</v>
      </c>
      <c r="H4775" t="s">
        <v>1336</v>
      </c>
    </row>
    <row r="4776" spans="1:8" hidden="1">
      <c r="A4776" s="232">
        <v>45293</v>
      </c>
      <c r="C4776" t="s">
        <v>13537</v>
      </c>
      <c r="D4776" s="69">
        <v>500</v>
      </c>
      <c r="H4776" t="s">
        <v>1336</v>
      </c>
    </row>
    <row r="4777" spans="1:8" hidden="1">
      <c r="A4777" s="232">
        <v>45294</v>
      </c>
      <c r="C4777" t="s">
        <v>13538</v>
      </c>
      <c r="D4777" s="69">
        <v>775</v>
      </c>
      <c r="G4777" s="8" t="s">
        <v>1372</v>
      </c>
      <c r="H4777" t="s">
        <v>1336</v>
      </c>
    </row>
    <row r="4778" spans="1:8" hidden="1">
      <c r="A4778" s="232">
        <v>45294</v>
      </c>
      <c r="C4778" t="s">
        <v>13539</v>
      </c>
      <c r="D4778" s="69">
        <v>1000</v>
      </c>
      <c r="G4778" s="8" t="s">
        <v>1372</v>
      </c>
      <c r="H4778" t="s">
        <v>1336</v>
      </c>
    </row>
    <row r="4779" spans="1:8" hidden="1">
      <c r="A4779" s="232">
        <v>45295</v>
      </c>
      <c r="C4779" t="s">
        <v>13540</v>
      </c>
      <c r="D4779" s="69">
        <v>750</v>
      </c>
      <c r="G4779" s="8" t="s">
        <v>1372</v>
      </c>
      <c r="H4779" t="s">
        <v>1336</v>
      </c>
    </row>
    <row r="4780" spans="1:8" hidden="1">
      <c r="A4780" s="232">
        <v>45296</v>
      </c>
      <c r="C4780" t="s">
        <v>13541</v>
      </c>
      <c r="E4780">
        <v>3300</v>
      </c>
      <c r="G4780" s="8" t="s">
        <v>1380</v>
      </c>
      <c r="H4780" t="s">
        <v>1336</v>
      </c>
    </row>
    <row r="4781" spans="1:8" hidden="1">
      <c r="A4781" s="232">
        <v>45296</v>
      </c>
      <c r="C4781" t="s">
        <v>6583</v>
      </c>
      <c r="D4781" s="69">
        <v>15124</v>
      </c>
      <c r="G4781" s="8" t="s">
        <v>1362</v>
      </c>
      <c r="H4781" t="s">
        <v>1336</v>
      </c>
    </row>
    <row r="4782" spans="1:8" hidden="1">
      <c r="A4782" s="232">
        <v>45296</v>
      </c>
      <c r="C4782" t="s">
        <v>13542</v>
      </c>
      <c r="D4782" s="69">
        <v>1250</v>
      </c>
      <c r="G4782" s="8" t="s">
        <v>1372</v>
      </c>
      <c r="H4782" t="s">
        <v>1336</v>
      </c>
    </row>
    <row r="4783" spans="1:8" hidden="1">
      <c r="A4783" s="232">
        <v>45296</v>
      </c>
      <c r="C4783" t="s">
        <v>13543</v>
      </c>
      <c r="D4783" s="69">
        <v>1250</v>
      </c>
      <c r="G4783" s="8" t="s">
        <v>1372</v>
      </c>
      <c r="H4783" t="s">
        <v>1336</v>
      </c>
    </row>
    <row r="4784" spans="1:8" hidden="1">
      <c r="A4784" s="232">
        <v>45296</v>
      </c>
      <c r="C4784" t="s">
        <v>13544</v>
      </c>
      <c r="D4784" s="69">
        <v>1000</v>
      </c>
      <c r="G4784" s="8" t="s">
        <v>1372</v>
      </c>
      <c r="H4784" t="s">
        <v>1336</v>
      </c>
    </row>
    <row r="4785" spans="1:8" hidden="1">
      <c r="A4785" s="232">
        <v>45297</v>
      </c>
      <c r="C4785" t="s">
        <v>13545</v>
      </c>
      <c r="D4785" s="69">
        <v>800</v>
      </c>
      <c r="G4785" s="8" t="s">
        <v>1372</v>
      </c>
      <c r="H4785" t="s">
        <v>1336</v>
      </c>
    </row>
    <row r="4786" spans="1:8" hidden="1">
      <c r="A4786" s="232">
        <v>45297</v>
      </c>
      <c r="C4786" t="s">
        <v>13546</v>
      </c>
      <c r="D4786" s="69">
        <v>1000</v>
      </c>
      <c r="G4786" s="8" t="s">
        <v>1372</v>
      </c>
      <c r="H4786" t="s">
        <v>1336</v>
      </c>
    </row>
    <row r="4787" spans="1:8" hidden="1">
      <c r="A4787" s="232">
        <v>45298</v>
      </c>
      <c r="C4787" t="s">
        <v>13547</v>
      </c>
      <c r="D4787" s="69">
        <v>1000</v>
      </c>
      <c r="G4787" s="8" t="s">
        <v>1372</v>
      </c>
      <c r="H4787" t="s">
        <v>1336</v>
      </c>
    </row>
    <row r="4788" spans="1:8" hidden="1">
      <c r="A4788" s="232">
        <v>45298</v>
      </c>
      <c r="C4788" t="s">
        <v>13548</v>
      </c>
      <c r="D4788" s="69">
        <v>165</v>
      </c>
      <c r="H4788" t="s">
        <v>1336</v>
      </c>
    </row>
    <row r="4789" spans="1:8" hidden="1">
      <c r="A4789" s="232">
        <v>45298</v>
      </c>
      <c r="C4789" t="s">
        <v>13549</v>
      </c>
      <c r="D4789" s="69">
        <v>1000</v>
      </c>
      <c r="H4789" t="s">
        <v>1336</v>
      </c>
    </row>
    <row r="4790" spans="1:8" hidden="1">
      <c r="A4790" s="232">
        <v>45298</v>
      </c>
      <c r="C4790" t="s">
        <v>13550</v>
      </c>
      <c r="D4790" s="69">
        <v>460</v>
      </c>
      <c r="H4790" t="s">
        <v>1336</v>
      </c>
    </row>
    <row r="4791" spans="1:8" hidden="1">
      <c r="A4791" s="232">
        <v>45298</v>
      </c>
      <c r="C4791" t="s">
        <v>13551</v>
      </c>
      <c r="D4791" s="69">
        <v>1700</v>
      </c>
      <c r="H4791" t="s">
        <v>1336</v>
      </c>
    </row>
    <row r="4792" spans="1:8" hidden="1">
      <c r="A4792" s="232">
        <v>45299</v>
      </c>
      <c r="C4792" t="s">
        <v>13552</v>
      </c>
      <c r="D4792" s="69">
        <v>775</v>
      </c>
      <c r="G4792" s="8" t="s">
        <v>1372</v>
      </c>
      <c r="H4792" t="s">
        <v>1336</v>
      </c>
    </row>
    <row r="4793" spans="1:8" hidden="1">
      <c r="A4793" s="232">
        <v>45299</v>
      </c>
      <c r="C4793" t="s">
        <v>13553</v>
      </c>
      <c r="D4793" s="69">
        <v>1000</v>
      </c>
      <c r="G4793" s="8" t="s">
        <v>1372</v>
      </c>
      <c r="H4793" t="s">
        <v>1336</v>
      </c>
    </row>
    <row r="4794" spans="1:8" hidden="1">
      <c r="A4794" s="232">
        <v>45299</v>
      </c>
      <c r="C4794" t="s">
        <v>13554</v>
      </c>
      <c r="D4794" s="69">
        <v>652</v>
      </c>
      <c r="H4794" t="s">
        <v>1336</v>
      </c>
    </row>
    <row r="4795" spans="1:8" hidden="1">
      <c r="A4795" s="232">
        <v>45300</v>
      </c>
      <c r="C4795" t="s">
        <v>13555</v>
      </c>
      <c r="D4795" s="69">
        <v>1000</v>
      </c>
      <c r="G4795" s="8" t="s">
        <v>1372</v>
      </c>
      <c r="H4795" t="s">
        <v>1336</v>
      </c>
    </row>
    <row r="4796" spans="1:8" hidden="1">
      <c r="A4796" s="232">
        <v>45300</v>
      </c>
      <c r="C4796" t="s">
        <v>13556</v>
      </c>
      <c r="D4796" s="69">
        <v>750</v>
      </c>
      <c r="G4796" s="8" t="s">
        <v>1372</v>
      </c>
      <c r="H4796" t="s">
        <v>1336</v>
      </c>
    </row>
    <row r="4797" spans="1:8" hidden="1">
      <c r="A4797" s="232">
        <v>45300</v>
      </c>
      <c r="C4797" t="s">
        <v>13557</v>
      </c>
      <c r="D4797" s="69">
        <v>750</v>
      </c>
      <c r="G4797" s="8" t="s">
        <v>1372</v>
      </c>
      <c r="H4797" t="s">
        <v>1336</v>
      </c>
    </row>
    <row r="4798" spans="1:8" hidden="1">
      <c r="A4798" s="232">
        <v>45300</v>
      </c>
      <c r="C4798" t="s">
        <v>13558</v>
      </c>
      <c r="D4798" s="69">
        <v>3000</v>
      </c>
      <c r="H4798" t="s">
        <v>1336</v>
      </c>
    </row>
    <row r="4799" spans="1:8" hidden="1">
      <c r="A4799" s="232">
        <v>45300</v>
      </c>
      <c r="C4799" t="s">
        <v>13559</v>
      </c>
      <c r="D4799" s="69">
        <v>27</v>
      </c>
      <c r="H4799" t="s">
        <v>1336</v>
      </c>
    </row>
    <row r="4800" spans="1:8" hidden="1">
      <c r="A4800" s="232">
        <v>45301</v>
      </c>
      <c r="C4800" t="s">
        <v>13560</v>
      </c>
      <c r="D4800" s="69">
        <v>1250</v>
      </c>
      <c r="G4800" s="8" t="s">
        <v>1372</v>
      </c>
      <c r="H4800" t="s">
        <v>1336</v>
      </c>
    </row>
    <row r="4801" spans="1:8" hidden="1">
      <c r="A4801" s="232">
        <v>45301</v>
      </c>
      <c r="C4801" t="s">
        <v>13561</v>
      </c>
      <c r="D4801" s="69">
        <v>1000</v>
      </c>
      <c r="G4801" s="8" t="s">
        <v>1372</v>
      </c>
      <c r="H4801" t="s">
        <v>1336</v>
      </c>
    </row>
    <row r="4802" spans="1:8" hidden="1">
      <c r="A4802" s="232">
        <v>45302</v>
      </c>
      <c r="C4802" t="s">
        <v>13562</v>
      </c>
      <c r="D4802" s="69">
        <v>1250</v>
      </c>
      <c r="G4802" s="8" t="s">
        <v>1372</v>
      </c>
      <c r="H4802" t="s">
        <v>1336</v>
      </c>
    </row>
    <row r="4803" spans="1:8" hidden="1">
      <c r="A4803" s="232">
        <v>45302</v>
      </c>
      <c r="C4803" t="s">
        <v>13563</v>
      </c>
      <c r="D4803" s="69">
        <v>295</v>
      </c>
      <c r="H4803" t="s">
        <v>1336</v>
      </c>
    </row>
    <row r="4804" spans="1:8" hidden="1">
      <c r="A4804" s="232">
        <v>45303</v>
      </c>
      <c r="C4804" t="s">
        <v>13564</v>
      </c>
      <c r="D4804" s="69">
        <v>1000</v>
      </c>
      <c r="G4804" s="8" t="s">
        <v>1372</v>
      </c>
      <c r="H4804" t="s">
        <v>1336</v>
      </c>
    </row>
    <row r="4805" spans="1:8" hidden="1">
      <c r="A4805" s="232">
        <v>45303</v>
      </c>
      <c r="C4805" t="s">
        <v>13565</v>
      </c>
      <c r="D4805" s="69">
        <v>40</v>
      </c>
      <c r="H4805" t="s">
        <v>1336</v>
      </c>
    </row>
    <row r="4806" spans="1:8" hidden="1">
      <c r="A4806" s="232">
        <v>45303</v>
      </c>
      <c r="C4806" t="s">
        <v>13566</v>
      </c>
      <c r="D4806" s="69">
        <v>5850</v>
      </c>
      <c r="H4806" t="s">
        <v>1336</v>
      </c>
    </row>
    <row r="4807" spans="1:8" hidden="1">
      <c r="A4807" s="232">
        <v>45303</v>
      </c>
      <c r="C4807" t="s">
        <v>13567</v>
      </c>
      <c r="D4807" s="69">
        <v>190</v>
      </c>
      <c r="H4807" t="s">
        <v>1336</v>
      </c>
    </row>
    <row r="4808" spans="1:8" hidden="1">
      <c r="A4808" s="232">
        <v>45304</v>
      </c>
      <c r="C4808" t="s">
        <v>13568</v>
      </c>
      <c r="D4808" s="69">
        <v>775</v>
      </c>
      <c r="G4808" s="8" t="s">
        <v>1372</v>
      </c>
      <c r="H4808" t="s">
        <v>1336</v>
      </c>
    </row>
    <row r="4809" spans="1:8" hidden="1">
      <c r="A4809" s="232">
        <v>45304</v>
      </c>
      <c r="C4809" t="s">
        <v>13569</v>
      </c>
      <c r="D4809" s="69">
        <v>1000</v>
      </c>
      <c r="G4809" s="8" t="s">
        <v>1372</v>
      </c>
      <c r="H4809" t="s">
        <v>1336</v>
      </c>
    </row>
    <row r="4810" spans="1:8" hidden="1">
      <c r="A4810" s="232">
        <v>45304</v>
      </c>
      <c r="C4810" t="s">
        <v>13570</v>
      </c>
      <c r="D4810" s="69">
        <v>495.01</v>
      </c>
      <c r="H4810" t="s">
        <v>1336</v>
      </c>
    </row>
    <row r="4811" spans="1:8" hidden="1">
      <c r="A4811" s="232">
        <v>45305</v>
      </c>
      <c r="C4811" t="s">
        <v>13571</v>
      </c>
      <c r="D4811" s="69">
        <v>800</v>
      </c>
      <c r="G4811" s="8" t="s">
        <v>1372</v>
      </c>
      <c r="H4811" t="s">
        <v>1336</v>
      </c>
    </row>
    <row r="4812" spans="1:8" hidden="1">
      <c r="A4812" s="232">
        <v>45305</v>
      </c>
      <c r="C4812" t="s">
        <v>13572</v>
      </c>
      <c r="D4812" s="69">
        <v>1500</v>
      </c>
      <c r="H4812" t="s">
        <v>1336</v>
      </c>
    </row>
    <row r="4813" spans="1:8" hidden="1">
      <c r="A4813" s="232">
        <v>45305</v>
      </c>
      <c r="C4813" t="s">
        <v>13573</v>
      </c>
      <c r="D4813" s="69">
        <v>531</v>
      </c>
      <c r="H4813" t="s">
        <v>1336</v>
      </c>
    </row>
    <row r="4814" spans="1:8" hidden="1">
      <c r="A4814" s="232">
        <v>45306</v>
      </c>
      <c r="C4814" t="s">
        <v>13574</v>
      </c>
      <c r="D4814" s="69">
        <v>1000</v>
      </c>
      <c r="G4814" s="8" t="s">
        <v>1372</v>
      </c>
      <c r="H4814" t="s">
        <v>1336</v>
      </c>
    </row>
    <row r="4815" spans="1:8" hidden="1">
      <c r="A4815" s="232">
        <v>45306</v>
      </c>
      <c r="C4815" t="s">
        <v>13575</v>
      </c>
      <c r="D4815" s="69">
        <v>750</v>
      </c>
      <c r="G4815" s="8" t="s">
        <v>1372</v>
      </c>
      <c r="H4815" t="s">
        <v>1336</v>
      </c>
    </row>
    <row r="4816" spans="1:8" hidden="1">
      <c r="A4816" s="232">
        <v>45306</v>
      </c>
      <c r="C4816" t="s">
        <v>13576</v>
      </c>
      <c r="D4816" s="69">
        <v>1000</v>
      </c>
      <c r="G4816" s="8" t="s">
        <v>1372</v>
      </c>
      <c r="H4816" t="s">
        <v>1336</v>
      </c>
    </row>
    <row r="4817" spans="1:8" hidden="1">
      <c r="A4817" s="232">
        <v>45306</v>
      </c>
      <c r="C4817" t="s">
        <v>13577</v>
      </c>
      <c r="D4817" s="69">
        <v>1250</v>
      </c>
      <c r="G4817" s="8" t="s">
        <v>1372</v>
      </c>
      <c r="H4817" t="s">
        <v>1336</v>
      </c>
    </row>
    <row r="4818" spans="1:8" hidden="1">
      <c r="A4818" s="232">
        <v>45306</v>
      </c>
      <c r="C4818" t="s">
        <v>13578</v>
      </c>
      <c r="D4818" s="69">
        <v>1250</v>
      </c>
      <c r="G4818" s="8" t="s">
        <v>1372</v>
      </c>
      <c r="H4818" t="s">
        <v>1336</v>
      </c>
    </row>
    <row r="4819" spans="1:8" hidden="1">
      <c r="A4819" s="232">
        <v>45306</v>
      </c>
      <c r="C4819" t="s">
        <v>13579</v>
      </c>
      <c r="D4819" s="69">
        <v>1606</v>
      </c>
      <c r="H4819" t="s">
        <v>1336</v>
      </c>
    </row>
    <row r="4820" spans="1:8" hidden="1">
      <c r="A4820" s="232">
        <v>45306</v>
      </c>
      <c r="C4820" t="s">
        <v>13580</v>
      </c>
      <c r="E4820">
        <v>3</v>
      </c>
      <c r="H4820" t="s">
        <v>1336</v>
      </c>
    </row>
    <row r="4821" spans="1:8" hidden="1">
      <c r="A4821" s="232">
        <v>45306</v>
      </c>
      <c r="C4821" t="s">
        <v>13581</v>
      </c>
      <c r="E4821">
        <v>3</v>
      </c>
      <c r="H4821" t="s">
        <v>1336</v>
      </c>
    </row>
    <row r="4822" spans="1:8" hidden="1">
      <c r="A4822" s="232">
        <v>45306</v>
      </c>
      <c r="C4822" t="s">
        <v>13582</v>
      </c>
      <c r="D4822" s="69">
        <v>6000</v>
      </c>
      <c r="H4822" t="s">
        <v>1336</v>
      </c>
    </row>
    <row r="4823" spans="1:8" hidden="1">
      <c r="A4823" s="232">
        <v>45306</v>
      </c>
      <c r="C4823" t="s">
        <v>13583</v>
      </c>
      <c r="E4823">
        <v>573</v>
      </c>
      <c r="H4823" t="s">
        <v>1336</v>
      </c>
    </row>
    <row r="4824" spans="1:8" hidden="1">
      <c r="A4824" s="232">
        <v>45307</v>
      </c>
      <c r="C4824" t="s">
        <v>13584</v>
      </c>
      <c r="D4824" s="69">
        <v>1000</v>
      </c>
      <c r="G4824" s="8" t="s">
        <v>1372</v>
      </c>
      <c r="H4824" t="s">
        <v>1336</v>
      </c>
    </row>
    <row r="4825" spans="1:8" hidden="1">
      <c r="A4825" s="232">
        <v>45307</v>
      </c>
      <c r="C4825" t="s">
        <v>13585</v>
      </c>
      <c r="D4825" s="69">
        <v>3200</v>
      </c>
      <c r="H4825" t="s">
        <v>1336</v>
      </c>
    </row>
    <row r="4826" spans="1:8" hidden="1">
      <c r="A4826" s="232">
        <v>45307</v>
      </c>
      <c r="C4826" t="s">
        <v>13586</v>
      </c>
      <c r="D4826" s="69">
        <v>104</v>
      </c>
      <c r="H4826" t="s">
        <v>1336</v>
      </c>
    </row>
    <row r="4827" spans="1:8" hidden="1">
      <c r="A4827" s="232">
        <v>45308</v>
      </c>
      <c r="C4827" t="s">
        <v>13587</v>
      </c>
      <c r="D4827" s="69">
        <v>750</v>
      </c>
      <c r="G4827" s="8" t="s">
        <v>1372</v>
      </c>
      <c r="H4827" t="s">
        <v>1336</v>
      </c>
    </row>
    <row r="4828" spans="1:8" hidden="1">
      <c r="A4828" s="232">
        <v>45308</v>
      </c>
      <c r="C4828" t="s">
        <v>13588</v>
      </c>
      <c r="D4828" s="69">
        <v>272</v>
      </c>
      <c r="H4828" t="s">
        <v>1336</v>
      </c>
    </row>
    <row r="4829" spans="1:8" hidden="1">
      <c r="A4829" s="232">
        <v>45309</v>
      </c>
      <c r="C4829" t="s">
        <v>13589</v>
      </c>
      <c r="D4829" s="69">
        <v>995.06</v>
      </c>
      <c r="H4829" t="s">
        <v>1336</v>
      </c>
    </row>
    <row r="4830" spans="1:8" hidden="1">
      <c r="A4830" s="232">
        <v>45309</v>
      </c>
      <c r="C4830" t="s">
        <v>13590</v>
      </c>
      <c r="D4830" s="69">
        <v>1000</v>
      </c>
      <c r="G4830" s="8" t="s">
        <v>1372</v>
      </c>
      <c r="H4830" t="s">
        <v>1336</v>
      </c>
    </row>
    <row r="4831" spans="1:8" hidden="1">
      <c r="A4831" s="232">
        <v>45309</v>
      </c>
      <c r="C4831" t="s">
        <v>13591</v>
      </c>
      <c r="D4831" s="69">
        <v>500</v>
      </c>
      <c r="H4831" t="s">
        <v>1336</v>
      </c>
    </row>
    <row r="4832" spans="1:8" hidden="1">
      <c r="A4832" s="232">
        <v>45310</v>
      </c>
      <c r="C4832" t="s">
        <v>13592</v>
      </c>
      <c r="D4832" s="69">
        <v>1000</v>
      </c>
      <c r="G4832" s="8" t="s">
        <v>1372</v>
      </c>
      <c r="H4832" t="s">
        <v>1336</v>
      </c>
    </row>
    <row r="4833" spans="1:8" hidden="1">
      <c r="A4833" s="232">
        <v>45310</v>
      </c>
      <c r="C4833" t="s">
        <v>13593</v>
      </c>
      <c r="D4833" s="69">
        <v>750</v>
      </c>
      <c r="G4833" s="8" t="s">
        <v>1372</v>
      </c>
      <c r="H4833" t="s">
        <v>1336</v>
      </c>
    </row>
    <row r="4834" spans="1:8" hidden="1">
      <c r="A4834" s="232">
        <v>45311</v>
      </c>
      <c r="C4834" t="s">
        <v>13594</v>
      </c>
      <c r="D4834" s="69">
        <v>775</v>
      </c>
      <c r="G4834" s="8" t="s">
        <v>1372</v>
      </c>
      <c r="H4834" t="s">
        <v>1336</v>
      </c>
    </row>
    <row r="4835" spans="1:8" hidden="1">
      <c r="A4835" s="232">
        <v>45311</v>
      </c>
      <c r="C4835" t="s">
        <v>13595</v>
      </c>
      <c r="D4835" s="69">
        <v>3600</v>
      </c>
      <c r="H4835" t="s">
        <v>1336</v>
      </c>
    </row>
    <row r="4836" spans="1:8" hidden="1">
      <c r="A4836" s="232">
        <v>45312</v>
      </c>
      <c r="C4836" t="s">
        <v>13596</v>
      </c>
      <c r="D4836" s="69">
        <v>1922</v>
      </c>
      <c r="H4836" t="s">
        <v>1336</v>
      </c>
    </row>
    <row r="4837" spans="1:8" hidden="1">
      <c r="A4837" s="232">
        <v>45312</v>
      </c>
      <c r="C4837" t="s">
        <v>13597</v>
      </c>
      <c r="D4837" s="69">
        <v>1000</v>
      </c>
      <c r="G4837" s="8" t="s">
        <v>1372</v>
      </c>
      <c r="H4837" t="s">
        <v>1336</v>
      </c>
    </row>
    <row r="4838" spans="1:8" hidden="1">
      <c r="A4838" s="232">
        <v>45312</v>
      </c>
      <c r="C4838" t="s">
        <v>13598</v>
      </c>
      <c r="D4838" s="69">
        <v>3600</v>
      </c>
      <c r="H4838" t="s">
        <v>1336</v>
      </c>
    </row>
    <row r="4839" spans="1:8" hidden="1">
      <c r="A4839" s="232">
        <v>45312</v>
      </c>
      <c r="C4839" t="s">
        <v>13599</v>
      </c>
      <c r="D4839" s="69">
        <v>2540</v>
      </c>
      <c r="H4839" t="s">
        <v>1336</v>
      </c>
    </row>
    <row r="4840" spans="1:8" hidden="1">
      <c r="A4840" s="232">
        <v>45313</v>
      </c>
      <c r="C4840" t="s">
        <v>13600</v>
      </c>
      <c r="D4840" s="69">
        <v>1000</v>
      </c>
      <c r="G4840" s="8" t="s">
        <v>1372</v>
      </c>
      <c r="H4840" t="s">
        <v>1336</v>
      </c>
    </row>
    <row r="4841" spans="1:8" hidden="1">
      <c r="A4841" s="232">
        <v>45313</v>
      </c>
      <c r="C4841" t="s">
        <v>13601</v>
      </c>
      <c r="D4841" s="69">
        <v>1000</v>
      </c>
      <c r="G4841" s="8" t="s">
        <v>1372</v>
      </c>
      <c r="H4841" t="s">
        <v>1336</v>
      </c>
    </row>
    <row r="4842" spans="1:8" hidden="1">
      <c r="A4842" s="232">
        <v>45313</v>
      </c>
      <c r="C4842" t="s">
        <v>13602</v>
      </c>
      <c r="D4842" s="69">
        <v>750</v>
      </c>
      <c r="G4842" s="8" t="s">
        <v>1372</v>
      </c>
      <c r="H4842" t="s">
        <v>1336</v>
      </c>
    </row>
    <row r="4843" spans="1:8" hidden="1">
      <c r="A4843" s="232">
        <v>45313</v>
      </c>
      <c r="C4843" t="s">
        <v>13603</v>
      </c>
      <c r="D4843" s="69">
        <v>750</v>
      </c>
      <c r="G4843" s="8" t="s">
        <v>1372</v>
      </c>
      <c r="H4843" t="s">
        <v>1336</v>
      </c>
    </row>
    <row r="4844" spans="1:8" hidden="1">
      <c r="A4844" s="232">
        <v>45314</v>
      </c>
      <c r="C4844" t="s">
        <v>13604</v>
      </c>
      <c r="D4844" s="69">
        <v>750</v>
      </c>
      <c r="G4844" s="8" t="s">
        <v>1372</v>
      </c>
      <c r="H4844" t="s">
        <v>1336</v>
      </c>
    </row>
    <row r="4845" spans="1:8" hidden="1">
      <c r="A4845" s="232">
        <v>45314</v>
      </c>
      <c r="C4845" t="s">
        <v>13605</v>
      </c>
      <c r="D4845" s="69">
        <v>740</v>
      </c>
      <c r="H4845" t="s">
        <v>1336</v>
      </c>
    </row>
    <row r="4846" spans="1:8" hidden="1">
      <c r="A4846" s="232">
        <v>45314</v>
      </c>
      <c r="C4846" t="s">
        <v>13606</v>
      </c>
      <c r="D4846" s="69">
        <v>1843.8</v>
      </c>
      <c r="H4846" t="s">
        <v>1336</v>
      </c>
    </row>
    <row r="4847" spans="1:8" hidden="1">
      <c r="A4847" s="232">
        <v>45314</v>
      </c>
      <c r="C4847" t="s">
        <v>13607</v>
      </c>
      <c r="E4847">
        <v>950</v>
      </c>
      <c r="G4847" s="8" t="s">
        <v>1380</v>
      </c>
      <c r="H4847" t="s">
        <v>1336</v>
      </c>
    </row>
    <row r="4848" spans="1:8" hidden="1">
      <c r="A4848" s="232">
        <v>45314</v>
      </c>
      <c r="C4848" t="s">
        <v>13608</v>
      </c>
      <c r="E4848">
        <v>950</v>
      </c>
      <c r="G4848" s="8" t="s">
        <v>1380</v>
      </c>
      <c r="H4848" t="s">
        <v>1336</v>
      </c>
    </row>
    <row r="4849" spans="1:8" hidden="1">
      <c r="A4849" s="232">
        <v>45314</v>
      </c>
      <c r="C4849" t="s">
        <v>13609</v>
      </c>
      <c r="E4849">
        <v>950</v>
      </c>
      <c r="G4849" s="8" t="s">
        <v>1380</v>
      </c>
      <c r="H4849" t="s">
        <v>1336</v>
      </c>
    </row>
    <row r="4850" spans="1:8" hidden="1">
      <c r="A4850" s="232">
        <v>45315</v>
      </c>
      <c r="C4850" t="s">
        <v>13610</v>
      </c>
      <c r="D4850" s="69">
        <v>1000</v>
      </c>
      <c r="G4850" s="8" t="s">
        <v>1372</v>
      </c>
      <c r="H4850" t="s">
        <v>1336</v>
      </c>
    </row>
    <row r="4851" spans="1:8" hidden="1">
      <c r="A4851" s="232">
        <v>45315</v>
      </c>
      <c r="C4851" t="s">
        <v>13611</v>
      </c>
      <c r="D4851" s="69">
        <v>2000</v>
      </c>
      <c r="H4851" t="s">
        <v>1336</v>
      </c>
    </row>
    <row r="4852" spans="1:8" hidden="1">
      <c r="A4852" s="232">
        <v>45315</v>
      </c>
      <c r="C4852" t="s">
        <v>13612</v>
      </c>
      <c r="D4852" s="69">
        <v>2000</v>
      </c>
      <c r="H4852" t="s">
        <v>1336</v>
      </c>
    </row>
    <row r="4853" spans="1:8" hidden="1">
      <c r="A4853" s="232">
        <v>45315</v>
      </c>
      <c r="C4853" t="s">
        <v>13613</v>
      </c>
      <c r="D4853" s="69">
        <v>1750</v>
      </c>
      <c r="H4853" t="s">
        <v>1336</v>
      </c>
    </row>
    <row r="4854" spans="1:8" hidden="1">
      <c r="A4854" s="232">
        <v>45315</v>
      </c>
      <c r="C4854" t="s">
        <v>13614</v>
      </c>
      <c r="D4854" s="69">
        <v>1160</v>
      </c>
      <c r="H4854" t="s">
        <v>1336</v>
      </c>
    </row>
    <row r="4855" spans="1:8" hidden="1">
      <c r="A4855" s="232">
        <v>45315</v>
      </c>
      <c r="C4855" t="s">
        <v>13615</v>
      </c>
      <c r="E4855">
        <v>7400</v>
      </c>
      <c r="G4855" s="8" t="s">
        <v>1380</v>
      </c>
      <c r="H4855" t="s">
        <v>1336</v>
      </c>
    </row>
    <row r="4856" spans="1:8" hidden="1">
      <c r="A4856" s="232">
        <v>45316</v>
      </c>
      <c r="C4856" t="s">
        <v>13616</v>
      </c>
      <c r="D4856" s="69">
        <v>750</v>
      </c>
      <c r="G4856" s="8" t="s">
        <v>1372</v>
      </c>
      <c r="H4856" t="s">
        <v>1336</v>
      </c>
    </row>
    <row r="4857" spans="1:8" hidden="1">
      <c r="A4857" s="232">
        <v>45318</v>
      </c>
      <c r="C4857" t="s">
        <v>13617</v>
      </c>
      <c r="D4857" s="69">
        <v>1000</v>
      </c>
      <c r="G4857" s="8" t="s">
        <v>1372</v>
      </c>
      <c r="H4857" t="s">
        <v>1336</v>
      </c>
    </row>
    <row r="4858" spans="1:8" hidden="1">
      <c r="A4858" s="232">
        <v>45318</v>
      </c>
      <c r="C4858" t="s">
        <v>13618</v>
      </c>
      <c r="D4858" s="69">
        <v>403</v>
      </c>
      <c r="H4858" t="s">
        <v>1336</v>
      </c>
    </row>
    <row r="4859" spans="1:8" hidden="1">
      <c r="A4859" s="232">
        <v>45319</v>
      </c>
      <c r="C4859" t="s">
        <v>13619</v>
      </c>
      <c r="D4859" s="69">
        <v>800</v>
      </c>
      <c r="G4859" s="8" t="s">
        <v>1372</v>
      </c>
      <c r="H4859" t="s">
        <v>1336</v>
      </c>
    </row>
    <row r="4860" spans="1:8" hidden="1">
      <c r="A4860" s="232">
        <v>45320</v>
      </c>
      <c r="C4860" t="s">
        <v>13620</v>
      </c>
      <c r="D4860" s="69">
        <v>1000</v>
      </c>
      <c r="G4860" s="8" t="s">
        <v>1372</v>
      </c>
      <c r="H4860" t="s">
        <v>1336</v>
      </c>
    </row>
    <row r="4861" spans="1:8" hidden="1">
      <c r="A4861" s="232">
        <v>45320</v>
      </c>
      <c r="C4861" t="s">
        <v>13621</v>
      </c>
      <c r="D4861" s="69">
        <v>6358</v>
      </c>
      <c r="H4861" t="s">
        <v>1336</v>
      </c>
    </row>
    <row r="4862" spans="1:8" hidden="1">
      <c r="A4862" s="232">
        <v>45320</v>
      </c>
      <c r="C4862" t="s">
        <v>13622</v>
      </c>
      <c r="E4862">
        <v>421608</v>
      </c>
      <c r="G4862" s="8" t="s">
        <v>1380</v>
      </c>
      <c r="H4862" t="s">
        <v>1336</v>
      </c>
    </row>
    <row r="4863" spans="1:8" hidden="1">
      <c r="A4863" s="232">
        <v>45320</v>
      </c>
      <c r="C4863" t="s">
        <v>13623</v>
      </c>
      <c r="D4863" s="69">
        <v>532</v>
      </c>
      <c r="H4863" t="s">
        <v>1336</v>
      </c>
    </row>
    <row r="4864" spans="1:8" hidden="1">
      <c r="A4864" s="232">
        <v>45321</v>
      </c>
      <c r="C4864" t="s">
        <v>13624</v>
      </c>
      <c r="D4864" s="69">
        <v>470.82</v>
      </c>
      <c r="H4864" t="s">
        <v>1336</v>
      </c>
    </row>
    <row r="4865" spans="1:8" hidden="1">
      <c r="A4865" s="232">
        <v>45321</v>
      </c>
      <c r="C4865" t="s">
        <v>13625</v>
      </c>
      <c r="D4865" s="69">
        <v>50000</v>
      </c>
      <c r="G4865" s="8" t="s">
        <v>1358</v>
      </c>
      <c r="H4865" t="s">
        <v>1336</v>
      </c>
    </row>
    <row r="4866" spans="1:8" hidden="1">
      <c r="A4866" s="232">
        <v>45322</v>
      </c>
      <c r="C4866" t="s">
        <v>13626</v>
      </c>
      <c r="E4866">
        <v>6910</v>
      </c>
      <c r="G4866" s="8" t="s">
        <v>1380</v>
      </c>
      <c r="H4866" t="s">
        <v>1336</v>
      </c>
    </row>
    <row r="4867" spans="1:8" hidden="1">
      <c r="A4867" s="232">
        <v>45322</v>
      </c>
      <c r="C4867" t="s">
        <v>13627</v>
      </c>
      <c r="D4867" s="69">
        <v>7283</v>
      </c>
      <c r="H4867" t="s">
        <v>1336</v>
      </c>
    </row>
    <row r="4868" spans="1:8" hidden="1">
      <c r="A4868" s="232">
        <v>45327</v>
      </c>
      <c r="C4868" t="s">
        <v>13667</v>
      </c>
      <c r="D4868" s="69">
        <v>0</v>
      </c>
      <c r="E4868">
        <v>9772.36</v>
      </c>
      <c r="G4868" s="8" t="s">
        <v>1375</v>
      </c>
      <c r="H4868" t="s">
        <v>1050</v>
      </c>
    </row>
    <row r="4869" spans="1:8" hidden="1">
      <c r="A4869" s="232">
        <v>45338</v>
      </c>
      <c r="C4869" t="s">
        <v>13668</v>
      </c>
      <c r="D4869" s="69">
        <v>3500</v>
      </c>
      <c r="E4869">
        <v>0</v>
      </c>
      <c r="H4869" t="s">
        <v>1050</v>
      </c>
    </row>
    <row r="4870" spans="1:8" hidden="1">
      <c r="A4870" s="232">
        <v>45343</v>
      </c>
      <c r="C4870" t="s">
        <v>13669</v>
      </c>
      <c r="D4870" s="69">
        <v>41667</v>
      </c>
      <c r="E4870">
        <v>0</v>
      </c>
      <c r="G4870" s="8" t="s">
        <v>1381</v>
      </c>
      <c r="H4870" t="s">
        <v>1050</v>
      </c>
    </row>
    <row r="4871" spans="1:8" hidden="1">
      <c r="A4871" s="232">
        <v>45347</v>
      </c>
      <c r="C4871" t="s">
        <v>13670</v>
      </c>
      <c r="D4871" s="69">
        <v>59138</v>
      </c>
      <c r="E4871">
        <v>0</v>
      </c>
      <c r="G4871" s="8" t="s">
        <v>1370</v>
      </c>
      <c r="H4871" t="s">
        <v>1050</v>
      </c>
    </row>
    <row r="4872" spans="1:8" hidden="1">
      <c r="A4872" s="232">
        <v>45350</v>
      </c>
      <c r="C4872" t="s">
        <v>13671</v>
      </c>
      <c r="D4872" s="69">
        <v>25000</v>
      </c>
      <c r="E4872">
        <v>0</v>
      </c>
      <c r="G4872" s="8" t="s">
        <v>1381</v>
      </c>
      <c r="H4872" t="s">
        <v>1050</v>
      </c>
    </row>
    <row r="4873" spans="1:8" hidden="1">
      <c r="A4873" s="232">
        <v>45351</v>
      </c>
      <c r="C4873" t="s">
        <v>13672</v>
      </c>
      <c r="D4873" s="69">
        <v>199</v>
      </c>
      <c r="E4873">
        <v>0</v>
      </c>
      <c r="H4873" t="s">
        <v>1050</v>
      </c>
    </row>
    <row r="4874" spans="1:8" hidden="1">
      <c r="A4874" s="232">
        <v>45323</v>
      </c>
      <c r="C4874" t="s">
        <v>13673</v>
      </c>
      <c r="D4874" s="69">
        <v>1000</v>
      </c>
      <c r="G4874" s="8" t="s">
        <v>1372</v>
      </c>
      <c r="H4874" t="s">
        <v>1336</v>
      </c>
    </row>
    <row r="4875" spans="1:8" hidden="1">
      <c r="A4875" s="232">
        <v>45323</v>
      </c>
      <c r="C4875" t="s">
        <v>13674</v>
      </c>
      <c r="D4875" s="69">
        <v>1250</v>
      </c>
      <c r="G4875" s="8" t="s">
        <v>1372</v>
      </c>
      <c r="H4875" t="s">
        <v>1336</v>
      </c>
    </row>
    <row r="4876" spans="1:8" hidden="1">
      <c r="A4876" s="232">
        <v>45324</v>
      </c>
      <c r="C4876" t="s">
        <v>13675</v>
      </c>
      <c r="D4876" s="69">
        <v>1000</v>
      </c>
      <c r="G4876" s="8" t="s">
        <v>1372</v>
      </c>
      <c r="H4876" t="s">
        <v>1336</v>
      </c>
    </row>
    <row r="4877" spans="1:8" hidden="1">
      <c r="A4877" s="232">
        <v>45324</v>
      </c>
      <c r="C4877" t="s">
        <v>13676</v>
      </c>
      <c r="D4877" s="69">
        <v>1250</v>
      </c>
      <c r="G4877" s="8" t="s">
        <v>1372</v>
      </c>
      <c r="H4877" t="s">
        <v>1336</v>
      </c>
    </row>
    <row r="4878" spans="1:8" hidden="1">
      <c r="A4878" s="232">
        <v>45325</v>
      </c>
      <c r="C4878" t="s">
        <v>13677</v>
      </c>
      <c r="D4878" s="69">
        <v>1268.5</v>
      </c>
      <c r="H4878" t="s">
        <v>1336</v>
      </c>
    </row>
    <row r="4879" spans="1:8" hidden="1">
      <c r="A4879" s="232">
        <v>45325</v>
      </c>
      <c r="C4879" t="s">
        <v>13678</v>
      </c>
      <c r="D4879" s="69">
        <v>2500</v>
      </c>
      <c r="H4879" t="s">
        <v>1336</v>
      </c>
    </row>
    <row r="4880" spans="1:8" hidden="1">
      <c r="A4880" s="232">
        <v>45325</v>
      </c>
      <c r="C4880" t="s">
        <v>13679</v>
      </c>
      <c r="D4880" s="69">
        <v>2288</v>
      </c>
      <c r="H4880" t="s">
        <v>1336</v>
      </c>
    </row>
    <row r="4881" spans="1:8" hidden="1">
      <c r="A4881" s="232">
        <v>45326</v>
      </c>
      <c r="C4881" t="s">
        <v>13680</v>
      </c>
      <c r="D4881" s="69">
        <v>750</v>
      </c>
      <c r="G4881" s="8" t="s">
        <v>1372</v>
      </c>
      <c r="H4881" t="s">
        <v>1336</v>
      </c>
    </row>
    <row r="4882" spans="1:8" hidden="1">
      <c r="A4882" s="232">
        <v>45327</v>
      </c>
      <c r="C4882" t="s">
        <v>6583</v>
      </c>
      <c r="D4882" s="69">
        <v>69042</v>
      </c>
      <c r="G4882" s="8" t="s">
        <v>1362</v>
      </c>
      <c r="H4882" t="s">
        <v>1336</v>
      </c>
    </row>
    <row r="4883" spans="1:8" hidden="1">
      <c r="A4883" s="232">
        <v>45327</v>
      </c>
      <c r="C4883" t="s">
        <v>13681</v>
      </c>
      <c r="D4883" s="69">
        <v>1250</v>
      </c>
      <c r="G4883" s="8" t="s">
        <v>1372</v>
      </c>
      <c r="H4883" t="s">
        <v>1336</v>
      </c>
    </row>
    <row r="4884" spans="1:8" hidden="1">
      <c r="A4884" s="232">
        <v>45327</v>
      </c>
      <c r="C4884" t="s">
        <v>13682</v>
      </c>
      <c r="D4884" s="69">
        <v>1000</v>
      </c>
      <c r="G4884" s="8" t="s">
        <v>1372</v>
      </c>
      <c r="H4884" t="s">
        <v>1336</v>
      </c>
    </row>
    <row r="4885" spans="1:8" hidden="1">
      <c r="A4885" s="232">
        <v>45327</v>
      </c>
      <c r="C4885" t="s">
        <v>13683</v>
      </c>
      <c r="D4885" s="69">
        <v>1250</v>
      </c>
      <c r="G4885" s="8" t="s">
        <v>1372</v>
      </c>
      <c r="H4885" t="s">
        <v>1336</v>
      </c>
    </row>
    <row r="4886" spans="1:8" hidden="1">
      <c r="A4886" s="232">
        <v>45327</v>
      </c>
      <c r="C4886" t="s">
        <v>13684</v>
      </c>
      <c r="D4886" s="69">
        <v>775</v>
      </c>
      <c r="G4886" s="8" t="s">
        <v>1372</v>
      </c>
      <c r="H4886" t="s">
        <v>1336</v>
      </c>
    </row>
    <row r="4887" spans="1:8" hidden="1">
      <c r="A4887" s="232">
        <v>45327</v>
      </c>
      <c r="C4887" t="s">
        <v>13685</v>
      </c>
      <c r="D4887" s="69">
        <v>1000</v>
      </c>
      <c r="G4887" s="8" t="s">
        <v>1372</v>
      </c>
      <c r="H4887" t="s">
        <v>1336</v>
      </c>
    </row>
    <row r="4888" spans="1:8" hidden="1">
      <c r="A4888" s="232">
        <v>45328</v>
      </c>
      <c r="C4888" t="s">
        <v>13686</v>
      </c>
      <c r="D4888" s="69">
        <v>1000</v>
      </c>
      <c r="G4888" s="8" t="s">
        <v>1372</v>
      </c>
      <c r="H4888" t="s">
        <v>1336</v>
      </c>
    </row>
    <row r="4889" spans="1:8" hidden="1">
      <c r="A4889" s="232">
        <v>45328</v>
      </c>
      <c r="C4889" t="s">
        <v>13687</v>
      </c>
      <c r="D4889" s="69">
        <v>800</v>
      </c>
      <c r="G4889" s="8" t="s">
        <v>1372</v>
      </c>
      <c r="H4889" t="s">
        <v>1336</v>
      </c>
    </row>
    <row r="4890" spans="1:8" hidden="1">
      <c r="A4890" s="232">
        <v>45329</v>
      </c>
      <c r="C4890" t="s">
        <v>13688</v>
      </c>
      <c r="E4890">
        <v>7283</v>
      </c>
      <c r="G4890" s="8" t="s">
        <v>1380</v>
      </c>
      <c r="H4890" t="s">
        <v>1336</v>
      </c>
    </row>
    <row r="4891" spans="1:8" hidden="1">
      <c r="A4891" s="232">
        <v>45329</v>
      </c>
      <c r="C4891" t="s">
        <v>13689</v>
      </c>
      <c r="D4891" s="69">
        <v>1000</v>
      </c>
      <c r="G4891" s="8" t="s">
        <v>1372</v>
      </c>
      <c r="H4891" t="s">
        <v>1336</v>
      </c>
    </row>
    <row r="4892" spans="1:8" hidden="1">
      <c r="A4892" s="232">
        <v>45330</v>
      </c>
      <c r="C4892" t="s">
        <v>13690</v>
      </c>
      <c r="D4892" s="69">
        <v>1000</v>
      </c>
      <c r="G4892" s="8" t="s">
        <v>1372</v>
      </c>
      <c r="H4892" t="s">
        <v>1336</v>
      </c>
    </row>
    <row r="4893" spans="1:8" hidden="1">
      <c r="A4893" s="232">
        <v>45330</v>
      </c>
      <c r="C4893" t="s">
        <v>13691</v>
      </c>
      <c r="D4893" s="69">
        <v>775</v>
      </c>
      <c r="G4893" s="8" t="s">
        <v>1372</v>
      </c>
      <c r="H4893" t="s">
        <v>1336</v>
      </c>
    </row>
    <row r="4894" spans="1:8" hidden="1">
      <c r="A4894" s="232">
        <v>45331</v>
      </c>
      <c r="C4894" t="s">
        <v>13692</v>
      </c>
      <c r="D4894" s="69">
        <v>1000</v>
      </c>
      <c r="G4894" s="8" t="s">
        <v>1372</v>
      </c>
      <c r="H4894" t="s">
        <v>1336</v>
      </c>
    </row>
    <row r="4895" spans="1:8" hidden="1">
      <c r="A4895" s="232">
        <v>45331</v>
      </c>
      <c r="C4895" t="s">
        <v>13693</v>
      </c>
      <c r="D4895" s="69">
        <v>750</v>
      </c>
      <c r="G4895" s="8" t="s">
        <v>1372</v>
      </c>
      <c r="H4895" t="s">
        <v>1336</v>
      </c>
    </row>
    <row r="4896" spans="1:8" hidden="1">
      <c r="A4896" s="232">
        <v>45331</v>
      </c>
      <c r="C4896" t="s">
        <v>13694</v>
      </c>
      <c r="D4896" s="69">
        <v>750</v>
      </c>
      <c r="G4896" s="8" t="s">
        <v>1372</v>
      </c>
      <c r="H4896" t="s">
        <v>1336</v>
      </c>
    </row>
    <row r="4897" spans="1:8" hidden="1">
      <c r="A4897" s="232">
        <v>45331</v>
      </c>
      <c r="C4897" t="s">
        <v>13695</v>
      </c>
      <c r="D4897" s="69">
        <v>1152.5</v>
      </c>
      <c r="H4897" t="s">
        <v>1336</v>
      </c>
    </row>
    <row r="4898" spans="1:8" hidden="1">
      <c r="A4898" s="232">
        <v>45332</v>
      </c>
      <c r="C4898" t="s">
        <v>13696</v>
      </c>
      <c r="D4898" s="69">
        <v>9086</v>
      </c>
      <c r="H4898" t="s">
        <v>1336</v>
      </c>
    </row>
    <row r="4899" spans="1:8" hidden="1">
      <c r="A4899" s="232">
        <v>45332</v>
      </c>
      <c r="C4899" t="s">
        <v>13697</v>
      </c>
      <c r="D4899" s="69">
        <v>826</v>
      </c>
      <c r="H4899" t="s">
        <v>1336</v>
      </c>
    </row>
    <row r="4900" spans="1:8" hidden="1">
      <c r="A4900" s="232">
        <v>45332</v>
      </c>
      <c r="C4900" t="s">
        <v>13698</v>
      </c>
      <c r="D4900" s="69">
        <v>950</v>
      </c>
      <c r="H4900" t="s">
        <v>1336</v>
      </c>
    </row>
    <row r="4901" spans="1:8" hidden="1">
      <c r="A4901" s="232">
        <v>45333</v>
      </c>
      <c r="C4901" t="s">
        <v>13699</v>
      </c>
      <c r="D4901" s="69">
        <v>1250</v>
      </c>
      <c r="G4901" s="8" t="s">
        <v>1372</v>
      </c>
      <c r="H4901" t="s">
        <v>1336</v>
      </c>
    </row>
    <row r="4902" spans="1:8" hidden="1">
      <c r="A4902" s="232">
        <v>45333</v>
      </c>
      <c r="C4902" t="s">
        <v>13700</v>
      </c>
      <c r="D4902" s="69">
        <v>660</v>
      </c>
      <c r="H4902" t="s">
        <v>1336</v>
      </c>
    </row>
    <row r="4903" spans="1:8" hidden="1">
      <c r="A4903" s="232">
        <v>45333</v>
      </c>
      <c r="C4903" t="s">
        <v>13701</v>
      </c>
      <c r="D4903" s="69">
        <v>10000</v>
      </c>
      <c r="H4903" t="s">
        <v>1336</v>
      </c>
    </row>
    <row r="4904" spans="1:8" hidden="1">
      <c r="A4904" s="232">
        <v>45334</v>
      </c>
      <c r="C4904" t="s">
        <v>13702</v>
      </c>
      <c r="D4904" s="69">
        <v>1000</v>
      </c>
      <c r="G4904" s="8" t="s">
        <v>1372</v>
      </c>
      <c r="H4904" t="s">
        <v>1336</v>
      </c>
    </row>
    <row r="4905" spans="1:8" hidden="1">
      <c r="A4905" s="232">
        <v>45334</v>
      </c>
      <c r="C4905" t="s">
        <v>13703</v>
      </c>
      <c r="D4905" s="69">
        <v>1000</v>
      </c>
      <c r="G4905" s="8" t="s">
        <v>1372</v>
      </c>
      <c r="H4905" t="s">
        <v>1336</v>
      </c>
    </row>
    <row r="4906" spans="1:8" hidden="1">
      <c r="A4906" s="232">
        <v>45334</v>
      </c>
      <c r="C4906" t="s">
        <v>13704</v>
      </c>
      <c r="D4906" s="69">
        <v>1250</v>
      </c>
      <c r="G4906" s="8" t="s">
        <v>1372</v>
      </c>
      <c r="H4906" t="s">
        <v>1336</v>
      </c>
    </row>
    <row r="4907" spans="1:8" hidden="1">
      <c r="A4907" s="232">
        <v>45334</v>
      </c>
      <c r="C4907" t="s">
        <v>13705</v>
      </c>
      <c r="D4907" s="69">
        <v>2500</v>
      </c>
      <c r="H4907" t="s">
        <v>1336</v>
      </c>
    </row>
    <row r="4908" spans="1:8" hidden="1">
      <c r="A4908" s="232">
        <v>45335</v>
      </c>
      <c r="C4908" t="s">
        <v>13706</v>
      </c>
      <c r="D4908" s="69">
        <v>775</v>
      </c>
      <c r="G4908" s="8" t="s">
        <v>1372</v>
      </c>
      <c r="H4908" t="s">
        <v>1336</v>
      </c>
    </row>
    <row r="4909" spans="1:8" hidden="1">
      <c r="A4909" s="232">
        <v>45335</v>
      </c>
      <c r="C4909" t="s">
        <v>13707</v>
      </c>
      <c r="D4909" s="69">
        <v>1000</v>
      </c>
      <c r="G4909" s="8" t="s">
        <v>1372</v>
      </c>
      <c r="H4909" t="s">
        <v>1336</v>
      </c>
    </row>
    <row r="4910" spans="1:8" hidden="1">
      <c r="A4910" s="232">
        <v>45336</v>
      </c>
      <c r="C4910" t="s">
        <v>13708</v>
      </c>
      <c r="D4910" s="69">
        <v>800</v>
      </c>
      <c r="G4910" s="8" t="s">
        <v>1372</v>
      </c>
      <c r="H4910" t="s">
        <v>1336</v>
      </c>
    </row>
    <row r="4911" spans="1:8" hidden="1">
      <c r="A4911" s="232">
        <v>45336</v>
      </c>
      <c r="C4911" t="s">
        <v>13709</v>
      </c>
      <c r="D4911" s="69">
        <v>1000</v>
      </c>
      <c r="G4911" s="8" t="s">
        <v>1372</v>
      </c>
      <c r="H4911" t="s">
        <v>1336</v>
      </c>
    </row>
    <row r="4912" spans="1:8" hidden="1">
      <c r="A4912" s="232">
        <v>45336</v>
      </c>
      <c r="C4912" t="s">
        <v>13710</v>
      </c>
      <c r="D4912" s="69">
        <v>66</v>
      </c>
      <c r="H4912" t="s">
        <v>1336</v>
      </c>
    </row>
    <row r="4913" spans="1:8" hidden="1">
      <c r="A4913" s="232">
        <v>45337</v>
      </c>
      <c r="C4913" t="s">
        <v>13711</v>
      </c>
      <c r="D4913" s="69">
        <v>750</v>
      </c>
      <c r="G4913" s="8" t="s">
        <v>1372</v>
      </c>
      <c r="H4913" t="s">
        <v>1336</v>
      </c>
    </row>
    <row r="4914" spans="1:8" hidden="1">
      <c r="A4914" s="232">
        <v>45337</v>
      </c>
      <c r="C4914" t="s">
        <v>13712</v>
      </c>
      <c r="D4914" s="69">
        <v>1000</v>
      </c>
      <c r="G4914" s="8" t="s">
        <v>1372</v>
      </c>
      <c r="H4914" t="s">
        <v>1336</v>
      </c>
    </row>
    <row r="4915" spans="1:8" hidden="1">
      <c r="A4915" s="232">
        <v>45337</v>
      </c>
      <c r="C4915" t="s">
        <v>13713</v>
      </c>
      <c r="D4915" s="69">
        <v>1250</v>
      </c>
      <c r="G4915" s="8" t="s">
        <v>1372</v>
      </c>
      <c r="H4915" t="s">
        <v>1336</v>
      </c>
    </row>
    <row r="4916" spans="1:8" hidden="1">
      <c r="A4916" s="232">
        <v>45337</v>
      </c>
      <c r="C4916" t="s">
        <v>13714</v>
      </c>
      <c r="D4916" s="69">
        <v>1250</v>
      </c>
      <c r="G4916" s="8" t="s">
        <v>1372</v>
      </c>
      <c r="H4916" t="s">
        <v>1336</v>
      </c>
    </row>
    <row r="4917" spans="1:8" hidden="1">
      <c r="A4917" s="232">
        <v>45338</v>
      </c>
      <c r="C4917" t="s">
        <v>13715</v>
      </c>
      <c r="D4917" s="69">
        <v>1000</v>
      </c>
      <c r="G4917" s="8" t="s">
        <v>1372</v>
      </c>
      <c r="H4917" t="s">
        <v>1336</v>
      </c>
    </row>
    <row r="4918" spans="1:8" hidden="1">
      <c r="A4918" s="232">
        <v>45339</v>
      </c>
      <c r="C4918" t="s">
        <v>13716</v>
      </c>
      <c r="D4918" s="69">
        <v>750</v>
      </c>
      <c r="G4918" s="8" t="s">
        <v>1372</v>
      </c>
      <c r="H4918" t="s">
        <v>1336</v>
      </c>
    </row>
    <row r="4919" spans="1:8" hidden="1">
      <c r="A4919" s="232">
        <v>45339</v>
      </c>
      <c r="C4919" t="s">
        <v>13717</v>
      </c>
      <c r="D4919" s="69">
        <v>600</v>
      </c>
      <c r="H4919" t="s">
        <v>1336</v>
      </c>
    </row>
    <row r="4920" spans="1:8" hidden="1">
      <c r="A4920" s="232">
        <v>45340</v>
      </c>
      <c r="C4920" t="s">
        <v>13718</v>
      </c>
      <c r="D4920" s="69">
        <v>1000</v>
      </c>
      <c r="G4920" s="8" t="s">
        <v>1372</v>
      </c>
      <c r="H4920" t="s">
        <v>1336</v>
      </c>
    </row>
    <row r="4921" spans="1:8" hidden="1">
      <c r="A4921" s="232">
        <v>45341</v>
      </c>
      <c r="C4921" t="s">
        <v>13719</v>
      </c>
      <c r="D4921" s="69">
        <v>750</v>
      </c>
      <c r="G4921" s="8" t="s">
        <v>1372</v>
      </c>
      <c r="H4921" t="s">
        <v>1336</v>
      </c>
    </row>
    <row r="4922" spans="1:8" hidden="1">
      <c r="A4922" s="232">
        <v>45341</v>
      </c>
      <c r="C4922" t="s">
        <v>13720</v>
      </c>
      <c r="D4922" s="69">
        <v>1000</v>
      </c>
      <c r="G4922" s="8" t="s">
        <v>1372</v>
      </c>
      <c r="H4922" t="s">
        <v>1336</v>
      </c>
    </row>
    <row r="4923" spans="1:8" hidden="1">
      <c r="A4923" s="232">
        <v>45342</v>
      </c>
      <c r="C4923" t="s">
        <v>13721</v>
      </c>
      <c r="D4923" s="69">
        <v>775</v>
      </c>
      <c r="G4923" s="8" t="s">
        <v>1372</v>
      </c>
      <c r="H4923" t="s">
        <v>1336</v>
      </c>
    </row>
    <row r="4924" spans="1:8" hidden="1">
      <c r="A4924" s="232">
        <v>45342</v>
      </c>
      <c r="C4924" t="s">
        <v>13722</v>
      </c>
      <c r="D4924" s="69">
        <v>1000</v>
      </c>
      <c r="G4924" s="8" t="s">
        <v>1372</v>
      </c>
      <c r="H4924" t="s">
        <v>1336</v>
      </c>
    </row>
    <row r="4925" spans="1:8" hidden="1">
      <c r="A4925" s="232">
        <v>45343</v>
      </c>
      <c r="C4925" t="s">
        <v>13723</v>
      </c>
      <c r="D4925" s="69">
        <v>1000</v>
      </c>
      <c r="G4925" s="8" t="s">
        <v>1372</v>
      </c>
      <c r="H4925" t="s">
        <v>1336</v>
      </c>
    </row>
    <row r="4926" spans="1:8" hidden="1">
      <c r="A4926" s="232">
        <v>45343</v>
      </c>
      <c r="C4926" t="s">
        <v>13724</v>
      </c>
      <c r="D4926" s="69">
        <v>750</v>
      </c>
      <c r="G4926" s="8" t="s">
        <v>1372</v>
      </c>
      <c r="H4926" t="s">
        <v>1336</v>
      </c>
    </row>
    <row r="4927" spans="1:8" hidden="1">
      <c r="A4927" s="232">
        <v>45343</v>
      </c>
      <c r="C4927" t="s">
        <v>13725</v>
      </c>
      <c r="D4927" s="69">
        <v>1000</v>
      </c>
      <c r="G4927" s="8" t="s">
        <v>1372</v>
      </c>
      <c r="H4927" t="s">
        <v>1336</v>
      </c>
    </row>
    <row r="4928" spans="1:8" hidden="1">
      <c r="A4928" s="232">
        <v>45344</v>
      </c>
      <c r="C4928" t="s">
        <v>13726</v>
      </c>
      <c r="D4928" s="69">
        <v>750</v>
      </c>
      <c r="G4928" s="8" t="s">
        <v>1372</v>
      </c>
      <c r="H4928" t="s">
        <v>1336</v>
      </c>
    </row>
    <row r="4929" spans="1:8" hidden="1">
      <c r="A4929" s="232">
        <v>45345</v>
      </c>
      <c r="C4929" t="s">
        <v>13727</v>
      </c>
      <c r="D4929" s="69">
        <v>750</v>
      </c>
      <c r="G4929" s="8" t="s">
        <v>1372</v>
      </c>
      <c r="H4929" t="s">
        <v>1336</v>
      </c>
    </row>
    <row r="4930" spans="1:8" hidden="1">
      <c r="A4930" s="232">
        <v>45345</v>
      </c>
      <c r="C4930" t="s">
        <v>13728</v>
      </c>
      <c r="D4930" s="69">
        <v>800</v>
      </c>
      <c r="H4930" t="s">
        <v>1336</v>
      </c>
    </row>
    <row r="4931" spans="1:8" hidden="1">
      <c r="A4931" s="232">
        <v>45345</v>
      </c>
      <c r="C4931" t="s">
        <v>13729</v>
      </c>
      <c r="D4931" s="69">
        <v>600</v>
      </c>
      <c r="H4931" t="s">
        <v>1336</v>
      </c>
    </row>
    <row r="4932" spans="1:8" hidden="1">
      <c r="A4932" s="232">
        <v>45346</v>
      </c>
      <c r="C4932" t="s">
        <v>13730</v>
      </c>
      <c r="D4932" s="69">
        <v>1000</v>
      </c>
      <c r="G4932" s="8" t="s">
        <v>1372</v>
      </c>
      <c r="H4932" t="s">
        <v>1336</v>
      </c>
    </row>
    <row r="4933" spans="1:8" hidden="1">
      <c r="A4933" s="232">
        <v>45346</v>
      </c>
      <c r="C4933" t="s">
        <v>13731</v>
      </c>
      <c r="D4933" s="69">
        <v>1000</v>
      </c>
      <c r="H4933" t="s">
        <v>1336</v>
      </c>
    </row>
    <row r="4934" spans="1:8" hidden="1">
      <c r="A4934" s="232">
        <v>45346</v>
      </c>
      <c r="C4934" t="s">
        <v>13732</v>
      </c>
      <c r="D4934" s="69">
        <v>1700</v>
      </c>
      <c r="H4934" t="s">
        <v>1336</v>
      </c>
    </row>
    <row r="4935" spans="1:8" hidden="1">
      <c r="A4935" s="232">
        <v>45347</v>
      </c>
      <c r="C4935" t="s">
        <v>13733</v>
      </c>
      <c r="D4935" s="69">
        <v>750</v>
      </c>
      <c r="G4935" s="8" t="s">
        <v>1372</v>
      </c>
      <c r="H4935" t="s">
        <v>1336</v>
      </c>
    </row>
    <row r="4936" spans="1:8" hidden="1">
      <c r="A4936" s="232">
        <v>45348</v>
      </c>
      <c r="C4936" t="s">
        <v>13734</v>
      </c>
      <c r="D4936" s="69">
        <v>1000</v>
      </c>
      <c r="G4936" s="8" t="s">
        <v>1372</v>
      </c>
      <c r="H4936" t="s">
        <v>1336</v>
      </c>
    </row>
    <row r="4937" spans="1:8" hidden="1">
      <c r="A4937" s="232">
        <v>45348</v>
      </c>
      <c r="C4937" t="s">
        <v>13735</v>
      </c>
      <c r="D4937" s="69">
        <v>1000</v>
      </c>
      <c r="H4937" t="s">
        <v>1336</v>
      </c>
    </row>
    <row r="4938" spans="1:8" hidden="1">
      <c r="A4938" s="232">
        <v>45348</v>
      </c>
      <c r="C4938" t="s">
        <v>13736</v>
      </c>
      <c r="D4938" s="69">
        <v>98</v>
      </c>
      <c r="H4938" t="s">
        <v>1336</v>
      </c>
    </row>
    <row r="4939" spans="1:8" hidden="1">
      <c r="A4939" s="232">
        <v>45349</v>
      </c>
      <c r="C4939" t="s">
        <v>13737</v>
      </c>
      <c r="D4939" s="69">
        <v>1000</v>
      </c>
      <c r="G4939" s="8" t="s">
        <v>1372</v>
      </c>
      <c r="H4939" t="s">
        <v>1336</v>
      </c>
    </row>
    <row r="4940" spans="1:8" hidden="1">
      <c r="A4940" s="232">
        <v>45350</v>
      </c>
      <c r="C4940" t="s">
        <v>13738</v>
      </c>
      <c r="D4940" s="69">
        <v>800</v>
      </c>
      <c r="G4940" s="8" t="s">
        <v>1372</v>
      </c>
      <c r="H4940" t="s">
        <v>1336</v>
      </c>
    </row>
    <row r="4941" spans="1:8" hidden="1">
      <c r="A4941" s="232">
        <v>45350</v>
      </c>
      <c r="C4941" t="s">
        <v>13739</v>
      </c>
      <c r="D4941" s="69">
        <v>1000</v>
      </c>
      <c r="H4941" t="s">
        <v>1336</v>
      </c>
    </row>
    <row r="4942" spans="1:8" hidden="1">
      <c r="A4942" s="232">
        <v>45351</v>
      </c>
      <c r="C4942" t="s">
        <v>13740</v>
      </c>
      <c r="E4942">
        <v>684497</v>
      </c>
      <c r="G4942" s="8" t="s">
        <v>1380</v>
      </c>
      <c r="H4942" t="s">
        <v>1336</v>
      </c>
    </row>
    <row r="4943" spans="1:8" hidden="1">
      <c r="A4943" s="232">
        <v>45351</v>
      </c>
      <c r="C4943" t="s">
        <v>13741</v>
      </c>
      <c r="D4943" s="69">
        <v>76</v>
      </c>
      <c r="H4943" t="s">
        <v>1336</v>
      </c>
    </row>
    <row r="4944" spans="1:8" hidden="1">
      <c r="A4944" s="232">
        <v>45353</v>
      </c>
      <c r="C4944" t="s">
        <v>13796</v>
      </c>
      <c r="D4944" s="69">
        <v>50000</v>
      </c>
      <c r="E4944">
        <v>0</v>
      </c>
      <c r="G4944" s="8" t="s">
        <v>1358</v>
      </c>
      <c r="H4944" t="s">
        <v>1050</v>
      </c>
    </row>
    <row r="4945" spans="1:8" hidden="1">
      <c r="A4945" s="232">
        <v>45357</v>
      </c>
      <c r="C4945" t="s">
        <v>13797</v>
      </c>
      <c r="D4945" s="69">
        <v>0</v>
      </c>
      <c r="E4945">
        <v>9772.36</v>
      </c>
      <c r="G4945" s="8" t="s">
        <v>1375</v>
      </c>
      <c r="H4945" t="s">
        <v>1050</v>
      </c>
    </row>
    <row r="4946" spans="1:8" hidden="1">
      <c r="A4946" s="232">
        <v>45366</v>
      </c>
      <c r="C4946" t="s">
        <v>13798</v>
      </c>
      <c r="D4946" s="69">
        <v>355959</v>
      </c>
      <c r="E4946">
        <v>0</v>
      </c>
      <c r="H4946" t="s">
        <v>1050</v>
      </c>
    </row>
    <row r="4947" spans="1:8" hidden="1">
      <c r="A4947" s="232">
        <v>45367</v>
      </c>
      <c r="C4947" t="s">
        <v>13799</v>
      </c>
      <c r="D4947" s="69">
        <v>0</v>
      </c>
      <c r="E4947">
        <v>8819</v>
      </c>
      <c r="G4947" s="8" t="s">
        <v>1369</v>
      </c>
      <c r="H4947" t="s">
        <v>1050</v>
      </c>
    </row>
    <row r="4948" spans="1:8" hidden="1">
      <c r="A4948" s="232">
        <v>45372</v>
      </c>
      <c r="C4948" t="s">
        <v>13800</v>
      </c>
      <c r="D4948" s="69">
        <v>41667</v>
      </c>
      <c r="E4948">
        <v>0</v>
      </c>
      <c r="G4948" s="8" t="s">
        <v>1381</v>
      </c>
      <c r="H4948" t="s">
        <v>1050</v>
      </c>
    </row>
    <row r="4949" spans="1:8" hidden="1">
      <c r="A4949" s="232">
        <v>45374</v>
      </c>
      <c r="C4949" t="s">
        <v>13801</v>
      </c>
      <c r="D4949" s="69">
        <v>500</v>
      </c>
      <c r="E4949">
        <v>0</v>
      </c>
      <c r="H4949" t="s">
        <v>1050</v>
      </c>
    </row>
    <row r="4950" spans="1:8" hidden="1">
      <c r="A4950" s="232">
        <v>45379</v>
      </c>
      <c r="C4950" t="s">
        <v>13802</v>
      </c>
      <c r="D4950" s="69">
        <v>25000</v>
      </c>
      <c r="E4950">
        <v>0</v>
      </c>
      <c r="G4950" s="8" t="s">
        <v>1381</v>
      </c>
      <c r="H4950" t="s">
        <v>1050</v>
      </c>
    </row>
    <row r="4951" spans="1:8" hidden="1">
      <c r="A4951" s="232">
        <v>45379</v>
      </c>
      <c r="C4951" t="s">
        <v>13803</v>
      </c>
      <c r="D4951" s="69">
        <v>199</v>
      </c>
      <c r="E4951">
        <v>0</v>
      </c>
      <c r="H4951" t="s">
        <v>1050</v>
      </c>
    </row>
    <row r="4952" spans="1:8" hidden="1">
      <c r="A4952" s="232">
        <v>45380</v>
      </c>
      <c r="C4952" t="s">
        <v>13804</v>
      </c>
      <c r="D4952" s="69">
        <v>0</v>
      </c>
      <c r="E4952">
        <v>3975</v>
      </c>
      <c r="G4952" s="8" t="s">
        <v>1368</v>
      </c>
      <c r="H4952" t="s">
        <v>1050</v>
      </c>
    </row>
    <row r="4953" spans="1:8" hidden="1">
      <c r="A4953" s="232">
        <v>45352</v>
      </c>
      <c r="C4953" t="s">
        <v>13805</v>
      </c>
      <c r="D4953" s="69">
        <v>1000</v>
      </c>
      <c r="G4953" s="8" t="s">
        <v>1372</v>
      </c>
      <c r="H4953" t="s">
        <v>1336</v>
      </c>
    </row>
    <row r="4954" spans="1:8" hidden="1">
      <c r="A4954" s="232">
        <v>45352</v>
      </c>
      <c r="C4954" t="s">
        <v>13806</v>
      </c>
      <c r="D4954" s="69">
        <v>1250</v>
      </c>
      <c r="G4954" s="8" t="s">
        <v>1372</v>
      </c>
      <c r="H4954" t="s">
        <v>1336</v>
      </c>
    </row>
    <row r="4955" spans="1:8" hidden="1">
      <c r="A4955" s="232">
        <v>45353</v>
      </c>
      <c r="C4955" t="s">
        <v>13807</v>
      </c>
      <c r="D4955" s="69">
        <v>1250</v>
      </c>
      <c r="G4955" s="8" t="s">
        <v>1372</v>
      </c>
      <c r="H4955" t="s">
        <v>1336</v>
      </c>
    </row>
    <row r="4956" spans="1:8" hidden="1">
      <c r="A4956" s="232">
        <v>45354</v>
      </c>
      <c r="C4956" t="s">
        <v>13808</v>
      </c>
      <c r="D4956" s="69">
        <v>470.82</v>
      </c>
      <c r="H4956" t="s">
        <v>1336</v>
      </c>
    </row>
    <row r="4957" spans="1:8" hidden="1">
      <c r="A4957" s="232">
        <v>45354</v>
      </c>
      <c r="C4957" t="s">
        <v>13809</v>
      </c>
      <c r="D4957" s="69">
        <v>1268.5</v>
      </c>
      <c r="H4957" t="s">
        <v>1336</v>
      </c>
    </row>
    <row r="4958" spans="1:8" hidden="1">
      <c r="A4958" s="232">
        <v>45354</v>
      </c>
      <c r="C4958" t="s">
        <v>13810</v>
      </c>
      <c r="D4958" s="69">
        <v>1840.97</v>
      </c>
      <c r="H4958" t="s">
        <v>1336</v>
      </c>
    </row>
    <row r="4959" spans="1:8" hidden="1">
      <c r="A4959" s="232">
        <v>45355</v>
      </c>
      <c r="C4959" t="s">
        <v>13811</v>
      </c>
      <c r="D4959" s="69">
        <v>1000</v>
      </c>
      <c r="G4959" s="8" t="s">
        <v>1372</v>
      </c>
      <c r="H4959" t="s">
        <v>1336</v>
      </c>
    </row>
    <row r="4960" spans="1:8" hidden="1">
      <c r="A4960" s="232">
        <v>45355</v>
      </c>
      <c r="C4960" t="s">
        <v>13812</v>
      </c>
      <c r="D4960" s="69">
        <v>750</v>
      </c>
      <c r="G4960" s="8" t="s">
        <v>1372</v>
      </c>
      <c r="H4960" t="s">
        <v>1336</v>
      </c>
    </row>
    <row r="4961" spans="1:8" hidden="1">
      <c r="A4961" s="232">
        <v>45355</v>
      </c>
      <c r="C4961" t="s">
        <v>13813</v>
      </c>
      <c r="D4961" s="69">
        <v>1000</v>
      </c>
      <c r="G4961" s="8" t="s">
        <v>1372</v>
      </c>
      <c r="H4961" t="s">
        <v>1336</v>
      </c>
    </row>
    <row r="4962" spans="1:8" hidden="1">
      <c r="A4962" s="232">
        <v>45355</v>
      </c>
      <c r="C4962" t="s">
        <v>13814</v>
      </c>
      <c r="D4962" s="69">
        <v>775</v>
      </c>
      <c r="G4962" s="8" t="s">
        <v>1372</v>
      </c>
      <c r="H4962" t="s">
        <v>1336</v>
      </c>
    </row>
    <row r="4963" spans="1:8" hidden="1">
      <c r="A4963" s="232">
        <v>45355</v>
      </c>
      <c r="C4963" t="s">
        <v>13815</v>
      </c>
      <c r="D4963" s="69">
        <v>94</v>
      </c>
      <c r="H4963" t="s">
        <v>1336</v>
      </c>
    </row>
    <row r="4964" spans="1:8" hidden="1">
      <c r="A4964" s="232">
        <v>45356</v>
      </c>
      <c r="C4964" t="s">
        <v>13816</v>
      </c>
      <c r="D4964" s="69">
        <v>1250</v>
      </c>
      <c r="G4964" s="8" t="s">
        <v>1372</v>
      </c>
      <c r="H4964" t="s">
        <v>1336</v>
      </c>
    </row>
    <row r="4965" spans="1:8" hidden="1">
      <c r="A4965" s="232">
        <v>45356</v>
      </c>
      <c r="C4965" t="s">
        <v>13817</v>
      </c>
      <c r="D4965" s="69">
        <v>1000</v>
      </c>
      <c r="G4965" s="8" t="s">
        <v>1372</v>
      </c>
      <c r="H4965" t="s">
        <v>1336</v>
      </c>
    </row>
    <row r="4966" spans="1:8" hidden="1">
      <c r="A4966" s="232">
        <v>45356</v>
      </c>
      <c r="C4966" t="s">
        <v>13818</v>
      </c>
      <c r="D4966" s="69">
        <v>1250</v>
      </c>
      <c r="G4966" s="8" t="s">
        <v>1372</v>
      </c>
      <c r="H4966" t="s">
        <v>1336</v>
      </c>
    </row>
    <row r="4967" spans="1:8" hidden="1">
      <c r="A4967" s="232">
        <v>45356</v>
      </c>
      <c r="C4967" t="s">
        <v>13819</v>
      </c>
      <c r="E4967">
        <v>600</v>
      </c>
      <c r="H4967" t="s">
        <v>1336</v>
      </c>
    </row>
    <row r="4968" spans="1:8" hidden="1">
      <c r="A4968" s="232">
        <v>45357</v>
      </c>
      <c r="C4968" t="s">
        <v>13820</v>
      </c>
      <c r="D4968" s="69">
        <v>1000</v>
      </c>
      <c r="G4968" s="8" t="s">
        <v>1372</v>
      </c>
      <c r="H4968" t="s">
        <v>1336</v>
      </c>
    </row>
    <row r="4969" spans="1:8" hidden="1">
      <c r="A4969" s="232">
        <v>45357</v>
      </c>
      <c r="C4969" t="s">
        <v>13821</v>
      </c>
      <c r="D4969" s="69">
        <v>800</v>
      </c>
      <c r="G4969" s="8" t="s">
        <v>1372</v>
      </c>
      <c r="H4969" t="s">
        <v>1336</v>
      </c>
    </row>
    <row r="4970" spans="1:8" hidden="1">
      <c r="A4970" s="232">
        <v>45358</v>
      </c>
      <c r="C4970" t="s">
        <v>6583</v>
      </c>
      <c r="D4970" s="69">
        <v>21288</v>
      </c>
      <c r="G4970" s="8" t="s">
        <v>1362</v>
      </c>
      <c r="H4970" t="s">
        <v>1336</v>
      </c>
    </row>
    <row r="4971" spans="1:8" hidden="1">
      <c r="A4971" s="232">
        <v>45358</v>
      </c>
      <c r="C4971" t="s">
        <v>13822</v>
      </c>
      <c r="D4971" s="69">
        <v>1000</v>
      </c>
      <c r="G4971" s="8" t="s">
        <v>1372</v>
      </c>
      <c r="H4971" t="s">
        <v>1336</v>
      </c>
    </row>
    <row r="4972" spans="1:8" hidden="1">
      <c r="A4972" s="232">
        <v>45358</v>
      </c>
      <c r="C4972" t="s">
        <v>13823</v>
      </c>
      <c r="D4972" s="69">
        <v>650</v>
      </c>
      <c r="H4972" t="s">
        <v>1336</v>
      </c>
    </row>
    <row r="4973" spans="1:8" hidden="1">
      <c r="A4973" s="232">
        <v>45358</v>
      </c>
      <c r="C4973" t="s">
        <v>13824</v>
      </c>
      <c r="E4973">
        <v>1940</v>
      </c>
      <c r="H4973" t="s">
        <v>1336</v>
      </c>
    </row>
    <row r="4974" spans="1:8" hidden="1">
      <c r="A4974" s="232">
        <v>45358</v>
      </c>
      <c r="C4974" t="s">
        <v>13825</v>
      </c>
      <c r="E4974">
        <v>536</v>
      </c>
      <c r="H4974" t="s">
        <v>1336</v>
      </c>
    </row>
    <row r="4975" spans="1:8" hidden="1">
      <c r="A4975" s="232">
        <v>45359</v>
      </c>
      <c r="C4975" t="s">
        <v>13826</v>
      </c>
      <c r="D4975" s="69">
        <v>618.6</v>
      </c>
      <c r="H4975" t="s">
        <v>1336</v>
      </c>
    </row>
    <row r="4976" spans="1:8" hidden="1">
      <c r="A4976" s="232">
        <v>45359</v>
      </c>
      <c r="C4976" t="s">
        <v>13827</v>
      </c>
      <c r="D4976" s="69">
        <v>775</v>
      </c>
      <c r="G4976" s="8" t="s">
        <v>1372</v>
      </c>
      <c r="H4976" t="s">
        <v>1336</v>
      </c>
    </row>
    <row r="4977" spans="1:8" hidden="1">
      <c r="A4977" s="232">
        <v>45360</v>
      </c>
      <c r="C4977" t="s">
        <v>13828</v>
      </c>
      <c r="D4977" s="69">
        <v>750</v>
      </c>
      <c r="G4977" s="8" t="s">
        <v>1372</v>
      </c>
      <c r="H4977" t="s">
        <v>1336</v>
      </c>
    </row>
    <row r="4978" spans="1:8" hidden="1">
      <c r="A4978" s="232">
        <v>45362</v>
      </c>
      <c r="C4978" t="s">
        <v>13829</v>
      </c>
      <c r="D4978" s="69">
        <v>750</v>
      </c>
      <c r="G4978" s="8" t="s">
        <v>1372</v>
      </c>
      <c r="H4978" t="s">
        <v>1336</v>
      </c>
    </row>
    <row r="4979" spans="1:8" hidden="1">
      <c r="A4979" s="232">
        <v>45362</v>
      </c>
      <c r="C4979" t="s">
        <v>13830</v>
      </c>
      <c r="D4979" s="69">
        <v>1000</v>
      </c>
      <c r="G4979" s="8" t="s">
        <v>1372</v>
      </c>
      <c r="H4979" t="s">
        <v>1336</v>
      </c>
    </row>
    <row r="4980" spans="1:8" hidden="1">
      <c r="A4980" s="232">
        <v>45362</v>
      </c>
      <c r="C4980" t="s">
        <v>13831</v>
      </c>
      <c r="D4980" s="69">
        <v>1250</v>
      </c>
      <c r="G4980" s="8" t="s">
        <v>1372</v>
      </c>
      <c r="H4980" t="s">
        <v>1336</v>
      </c>
    </row>
    <row r="4981" spans="1:8" hidden="1">
      <c r="A4981" s="232">
        <v>45362</v>
      </c>
      <c r="C4981" t="s">
        <v>13832</v>
      </c>
      <c r="D4981" s="69">
        <v>1250</v>
      </c>
      <c r="G4981" s="8" t="s">
        <v>1372</v>
      </c>
      <c r="H4981" t="s">
        <v>1336</v>
      </c>
    </row>
    <row r="4982" spans="1:8" hidden="1">
      <c r="A4982" s="232">
        <v>45362</v>
      </c>
      <c r="C4982" t="s">
        <v>13833</v>
      </c>
      <c r="D4982" s="69">
        <v>66</v>
      </c>
      <c r="H4982" t="s">
        <v>1336</v>
      </c>
    </row>
    <row r="4983" spans="1:8" hidden="1">
      <c r="A4983" s="232">
        <v>45362</v>
      </c>
      <c r="C4983" t="s">
        <v>13834</v>
      </c>
      <c r="D4983" s="69">
        <v>1000</v>
      </c>
      <c r="G4983" s="8" t="s">
        <v>1372</v>
      </c>
      <c r="H4983" t="s">
        <v>1336</v>
      </c>
    </row>
    <row r="4984" spans="1:8" hidden="1">
      <c r="A4984" s="232">
        <v>45362</v>
      </c>
      <c r="C4984" t="s">
        <v>13835</v>
      </c>
      <c r="D4984" s="69">
        <v>1000</v>
      </c>
      <c r="G4984" s="8" t="s">
        <v>1372</v>
      </c>
      <c r="H4984" t="s">
        <v>1336</v>
      </c>
    </row>
    <row r="4985" spans="1:8" hidden="1">
      <c r="A4985" s="232">
        <v>45362</v>
      </c>
      <c r="C4985" t="s">
        <v>13836</v>
      </c>
      <c r="D4985" s="69">
        <v>69</v>
      </c>
      <c r="H4985" t="s">
        <v>1336</v>
      </c>
    </row>
    <row r="4986" spans="1:8" hidden="1">
      <c r="A4986" s="232">
        <v>45362</v>
      </c>
      <c r="C4986" t="s">
        <v>13837</v>
      </c>
      <c r="E4986">
        <v>678</v>
      </c>
      <c r="H4986" t="s">
        <v>1336</v>
      </c>
    </row>
    <row r="4987" spans="1:8" hidden="1">
      <c r="A4987" s="232">
        <v>45363</v>
      </c>
      <c r="C4987" t="s">
        <v>13838</v>
      </c>
      <c r="D4987" s="69">
        <v>1000</v>
      </c>
      <c r="G4987" s="8" t="s">
        <v>1372</v>
      </c>
      <c r="H4987" t="s">
        <v>1336</v>
      </c>
    </row>
    <row r="4988" spans="1:8" hidden="1">
      <c r="A4988" s="232">
        <v>45364</v>
      </c>
      <c r="C4988" t="s">
        <v>13839</v>
      </c>
      <c r="D4988" s="69">
        <v>73</v>
      </c>
      <c r="H4988" t="s">
        <v>1336</v>
      </c>
    </row>
    <row r="4989" spans="1:8" hidden="1">
      <c r="A4989" s="232">
        <v>45364</v>
      </c>
      <c r="C4989" t="s">
        <v>13840</v>
      </c>
      <c r="D4989" s="69">
        <v>1000</v>
      </c>
      <c r="G4989" s="8" t="s">
        <v>1372</v>
      </c>
      <c r="H4989" t="s">
        <v>1336</v>
      </c>
    </row>
    <row r="4990" spans="1:8" hidden="1">
      <c r="A4990" s="232">
        <v>45364</v>
      </c>
      <c r="C4990" t="s">
        <v>13841</v>
      </c>
      <c r="D4990" s="69">
        <v>775</v>
      </c>
      <c r="G4990" s="8" t="s">
        <v>1372</v>
      </c>
      <c r="H4990" t="s">
        <v>1336</v>
      </c>
    </row>
    <row r="4991" spans="1:8" hidden="1">
      <c r="A4991" s="232">
        <v>45364</v>
      </c>
      <c r="C4991" t="s">
        <v>13842</v>
      </c>
      <c r="D4991" s="69">
        <v>3650</v>
      </c>
      <c r="H4991" t="s">
        <v>1336</v>
      </c>
    </row>
    <row r="4992" spans="1:8" hidden="1">
      <c r="A4992" s="232">
        <v>45365</v>
      </c>
      <c r="C4992" t="s">
        <v>13843</v>
      </c>
      <c r="D4992" s="69">
        <v>1000</v>
      </c>
      <c r="G4992" s="8" t="s">
        <v>1372</v>
      </c>
      <c r="H4992" t="s">
        <v>1336</v>
      </c>
    </row>
    <row r="4993" spans="1:8" hidden="1">
      <c r="A4993" s="232">
        <v>45365</v>
      </c>
      <c r="C4993" t="s">
        <v>13844</v>
      </c>
      <c r="D4993" s="69">
        <v>800</v>
      </c>
      <c r="G4993" s="8" t="s">
        <v>1372</v>
      </c>
      <c r="H4993" t="s">
        <v>1336</v>
      </c>
    </row>
    <row r="4994" spans="1:8" hidden="1">
      <c r="A4994" s="232">
        <v>45365</v>
      </c>
      <c r="C4994" t="s">
        <v>13845</v>
      </c>
      <c r="D4994" s="69">
        <v>1136.1600000000001</v>
      </c>
      <c r="H4994" t="s">
        <v>1336</v>
      </c>
    </row>
    <row r="4995" spans="1:8" hidden="1">
      <c r="A4995" s="232">
        <v>45365</v>
      </c>
      <c r="C4995" t="s">
        <v>13846</v>
      </c>
      <c r="D4995" s="69">
        <v>110</v>
      </c>
      <c r="H4995" t="s">
        <v>1336</v>
      </c>
    </row>
    <row r="4996" spans="1:8" hidden="1">
      <c r="A4996" s="232">
        <v>45366</v>
      </c>
      <c r="C4996" t="s">
        <v>13847</v>
      </c>
      <c r="D4996" s="69">
        <v>750</v>
      </c>
      <c r="G4996" s="8" t="s">
        <v>1372</v>
      </c>
      <c r="H4996" t="s">
        <v>1336</v>
      </c>
    </row>
    <row r="4997" spans="1:8" hidden="1">
      <c r="A4997" s="232">
        <v>45366</v>
      </c>
      <c r="C4997" t="s">
        <v>13848</v>
      </c>
      <c r="D4997" s="69">
        <v>1250</v>
      </c>
      <c r="G4997" s="8" t="s">
        <v>1372</v>
      </c>
      <c r="H4997" t="s">
        <v>1336</v>
      </c>
    </row>
    <row r="4998" spans="1:8" hidden="1">
      <c r="A4998" s="232">
        <v>45366</v>
      </c>
      <c r="C4998" t="s">
        <v>13849</v>
      </c>
      <c r="D4998" s="69">
        <v>1250</v>
      </c>
      <c r="G4998" s="8" t="s">
        <v>1372</v>
      </c>
      <c r="H4998" t="s">
        <v>1336</v>
      </c>
    </row>
    <row r="4999" spans="1:8" hidden="1">
      <c r="A4999" s="232">
        <v>45366</v>
      </c>
      <c r="C4999" t="s">
        <v>13850</v>
      </c>
      <c r="D4999" s="69">
        <v>1000</v>
      </c>
      <c r="G4999" s="8" t="s">
        <v>1372</v>
      </c>
      <c r="H4999" t="s">
        <v>1336</v>
      </c>
    </row>
    <row r="5000" spans="1:8" hidden="1">
      <c r="A5000" s="232">
        <v>45366</v>
      </c>
      <c r="C5000" t="s">
        <v>13851</v>
      </c>
      <c r="D5000" s="69">
        <v>940.32</v>
      </c>
      <c r="H5000" t="s">
        <v>1336</v>
      </c>
    </row>
    <row r="5001" spans="1:8" hidden="1">
      <c r="A5001" s="232">
        <v>45368</v>
      </c>
      <c r="C5001" t="s">
        <v>13852</v>
      </c>
      <c r="D5001" s="69">
        <v>750</v>
      </c>
      <c r="G5001" s="8" t="s">
        <v>1372</v>
      </c>
      <c r="H5001" t="s">
        <v>1336</v>
      </c>
    </row>
    <row r="5002" spans="1:8" hidden="1">
      <c r="A5002" s="232">
        <v>45369</v>
      </c>
      <c r="C5002" t="s">
        <v>13853</v>
      </c>
      <c r="D5002" s="69">
        <v>1000</v>
      </c>
      <c r="G5002" s="8" t="s">
        <v>1372</v>
      </c>
      <c r="H5002" t="s">
        <v>1336</v>
      </c>
    </row>
    <row r="5003" spans="1:8" hidden="1">
      <c r="A5003" s="232">
        <v>45370</v>
      </c>
      <c r="C5003" t="s">
        <v>13854</v>
      </c>
      <c r="D5003" s="69">
        <v>500</v>
      </c>
      <c r="H5003" t="s">
        <v>1336</v>
      </c>
    </row>
    <row r="5004" spans="1:8" hidden="1">
      <c r="A5004" s="232">
        <v>45370</v>
      </c>
      <c r="C5004" t="s">
        <v>13855</v>
      </c>
      <c r="D5004" s="69">
        <v>1000</v>
      </c>
      <c r="G5004" s="8" t="s">
        <v>1372</v>
      </c>
      <c r="H5004" t="s">
        <v>1336</v>
      </c>
    </row>
    <row r="5005" spans="1:8" hidden="1">
      <c r="A5005" s="232">
        <v>45370</v>
      </c>
      <c r="C5005" t="s">
        <v>13856</v>
      </c>
      <c r="D5005" s="69">
        <v>750</v>
      </c>
      <c r="G5005" s="8" t="s">
        <v>1372</v>
      </c>
      <c r="H5005" t="s">
        <v>1336</v>
      </c>
    </row>
    <row r="5006" spans="1:8" hidden="1">
      <c r="A5006" s="232">
        <v>45371</v>
      </c>
      <c r="C5006" t="s">
        <v>13857</v>
      </c>
      <c r="D5006" s="69">
        <v>775</v>
      </c>
      <c r="G5006" s="8" t="s">
        <v>1372</v>
      </c>
      <c r="H5006" t="s">
        <v>1336</v>
      </c>
    </row>
    <row r="5007" spans="1:8" hidden="1">
      <c r="A5007" s="232">
        <v>45371</v>
      </c>
      <c r="C5007" t="s">
        <v>13858</v>
      </c>
      <c r="D5007" s="69">
        <v>1000</v>
      </c>
      <c r="G5007" s="8" t="s">
        <v>1372</v>
      </c>
      <c r="H5007" t="s">
        <v>1336</v>
      </c>
    </row>
    <row r="5008" spans="1:8" hidden="1">
      <c r="A5008" s="232">
        <v>45372</v>
      </c>
      <c r="C5008" t="s">
        <v>13859</v>
      </c>
      <c r="D5008" s="69">
        <v>750</v>
      </c>
      <c r="G5008" s="8" t="s">
        <v>1372</v>
      </c>
      <c r="H5008" t="s">
        <v>1336</v>
      </c>
    </row>
    <row r="5009" spans="1:8" hidden="1">
      <c r="A5009" s="232">
        <v>45372</v>
      </c>
      <c r="C5009" t="s">
        <v>13860</v>
      </c>
      <c r="D5009" s="69">
        <v>1000</v>
      </c>
      <c r="G5009" s="8" t="s">
        <v>1372</v>
      </c>
      <c r="H5009" t="s">
        <v>1336</v>
      </c>
    </row>
    <row r="5010" spans="1:8" hidden="1">
      <c r="A5010" s="232">
        <v>45372</v>
      </c>
      <c r="C5010" t="s">
        <v>13861</v>
      </c>
      <c r="D5010" s="69">
        <v>1000</v>
      </c>
      <c r="G5010" s="8" t="s">
        <v>1372</v>
      </c>
      <c r="H5010" t="s">
        <v>1336</v>
      </c>
    </row>
    <row r="5011" spans="1:8" hidden="1">
      <c r="A5011" s="232">
        <v>45373</v>
      </c>
      <c r="C5011" t="s">
        <v>13862</v>
      </c>
      <c r="D5011" s="69">
        <v>750</v>
      </c>
      <c r="G5011" s="8" t="s">
        <v>1372</v>
      </c>
      <c r="H5011" t="s">
        <v>1336</v>
      </c>
    </row>
    <row r="5012" spans="1:8" hidden="1">
      <c r="A5012" s="232">
        <v>45373</v>
      </c>
      <c r="C5012" t="s">
        <v>13863</v>
      </c>
      <c r="D5012" s="69">
        <v>1000</v>
      </c>
      <c r="H5012" t="s">
        <v>1336</v>
      </c>
    </row>
    <row r="5013" spans="1:8" hidden="1">
      <c r="A5013" s="232">
        <v>45373</v>
      </c>
      <c r="C5013" t="s">
        <v>13864</v>
      </c>
      <c r="D5013" s="69">
        <v>4130</v>
      </c>
      <c r="H5013" t="s">
        <v>1336</v>
      </c>
    </row>
    <row r="5014" spans="1:8" hidden="1">
      <c r="A5014" s="232">
        <v>45374</v>
      </c>
      <c r="C5014" t="s">
        <v>13865</v>
      </c>
      <c r="D5014" s="69">
        <v>760</v>
      </c>
      <c r="H5014" t="s">
        <v>1336</v>
      </c>
    </row>
    <row r="5015" spans="1:8" hidden="1">
      <c r="A5015" s="232">
        <v>45374</v>
      </c>
      <c r="C5015" t="s">
        <v>13866</v>
      </c>
      <c r="D5015" s="69">
        <v>911</v>
      </c>
      <c r="H5015" t="s">
        <v>1336</v>
      </c>
    </row>
    <row r="5016" spans="1:8" hidden="1">
      <c r="A5016" s="232">
        <v>45374</v>
      </c>
      <c r="C5016" t="s">
        <v>13867</v>
      </c>
      <c r="D5016" s="69">
        <v>750</v>
      </c>
      <c r="G5016" s="8" t="s">
        <v>1372</v>
      </c>
      <c r="H5016" t="s">
        <v>1336</v>
      </c>
    </row>
    <row r="5017" spans="1:8" hidden="1">
      <c r="A5017" s="232">
        <v>45374</v>
      </c>
      <c r="C5017" t="s">
        <v>13868</v>
      </c>
      <c r="D5017" s="69">
        <v>30</v>
      </c>
      <c r="H5017" t="s">
        <v>1336</v>
      </c>
    </row>
    <row r="5018" spans="1:8" hidden="1">
      <c r="A5018" s="232">
        <v>45374</v>
      </c>
      <c r="C5018" t="s">
        <v>13869</v>
      </c>
      <c r="D5018" s="69">
        <v>150</v>
      </c>
      <c r="H5018" t="s">
        <v>1336</v>
      </c>
    </row>
    <row r="5019" spans="1:8" hidden="1">
      <c r="A5019" s="232">
        <v>45375</v>
      </c>
      <c r="C5019" t="s">
        <v>13870</v>
      </c>
      <c r="D5019" s="69">
        <v>1000</v>
      </c>
      <c r="G5019" s="8" t="s">
        <v>1372</v>
      </c>
      <c r="H5019" t="s">
        <v>1336</v>
      </c>
    </row>
    <row r="5020" spans="1:8" hidden="1">
      <c r="A5020" s="232">
        <v>45376</v>
      </c>
      <c r="C5020" t="s">
        <v>13871</v>
      </c>
      <c r="D5020" s="69">
        <v>750</v>
      </c>
      <c r="G5020" s="8" t="s">
        <v>1372</v>
      </c>
      <c r="H5020" t="s">
        <v>1336</v>
      </c>
    </row>
    <row r="5021" spans="1:8" hidden="1">
      <c r="A5021" s="232">
        <v>45376</v>
      </c>
      <c r="C5021" t="s">
        <v>13872</v>
      </c>
      <c r="D5021" s="69">
        <v>2050</v>
      </c>
      <c r="H5021" t="s">
        <v>1336</v>
      </c>
    </row>
    <row r="5022" spans="1:8" hidden="1">
      <c r="A5022" s="232">
        <v>45377</v>
      </c>
      <c r="C5022" t="s">
        <v>13873</v>
      </c>
      <c r="D5022" s="69">
        <v>1000</v>
      </c>
      <c r="G5022" s="8" t="s">
        <v>1372</v>
      </c>
      <c r="H5022" t="s">
        <v>1336</v>
      </c>
    </row>
    <row r="5023" spans="1:8" hidden="1">
      <c r="A5023" s="232">
        <v>45377</v>
      </c>
      <c r="C5023" t="s">
        <v>13874</v>
      </c>
      <c r="D5023" s="69">
        <v>6500</v>
      </c>
      <c r="H5023" t="s">
        <v>1336</v>
      </c>
    </row>
    <row r="5024" spans="1:8" hidden="1">
      <c r="A5024" s="232">
        <v>45377</v>
      </c>
      <c r="C5024" t="s">
        <v>13875</v>
      </c>
      <c r="D5024" s="69">
        <v>909</v>
      </c>
      <c r="H5024" t="s">
        <v>1336</v>
      </c>
    </row>
    <row r="5025" spans="1:8" hidden="1">
      <c r="A5025" s="232">
        <v>45377</v>
      </c>
      <c r="C5025" t="s">
        <v>13876</v>
      </c>
      <c r="D5025" s="69">
        <v>270</v>
      </c>
      <c r="H5025" t="s">
        <v>1336</v>
      </c>
    </row>
    <row r="5026" spans="1:8" hidden="1">
      <c r="A5026" s="232">
        <v>45377</v>
      </c>
      <c r="C5026" t="s">
        <v>13877</v>
      </c>
      <c r="D5026" s="69">
        <v>852.12</v>
      </c>
      <c r="H5026" t="s">
        <v>1336</v>
      </c>
    </row>
    <row r="5027" spans="1:8" hidden="1">
      <c r="A5027" s="232">
        <v>45377</v>
      </c>
      <c r="C5027" t="s">
        <v>13878</v>
      </c>
      <c r="D5027" s="69">
        <v>800</v>
      </c>
      <c r="H5027" t="s">
        <v>1336</v>
      </c>
    </row>
    <row r="5028" spans="1:8" hidden="1">
      <c r="A5028" s="232">
        <v>45377</v>
      </c>
      <c r="C5028" t="s">
        <v>13879</v>
      </c>
      <c r="D5028" s="69">
        <v>1500</v>
      </c>
      <c r="H5028" t="s">
        <v>1336</v>
      </c>
    </row>
    <row r="5029" spans="1:8" hidden="1">
      <c r="A5029" s="232">
        <v>45377</v>
      </c>
      <c r="C5029" t="s">
        <v>13880</v>
      </c>
      <c r="D5029" s="69">
        <v>899</v>
      </c>
      <c r="H5029" t="s">
        <v>1336</v>
      </c>
    </row>
    <row r="5030" spans="1:8" hidden="1">
      <c r="A5030" s="232">
        <v>45377</v>
      </c>
      <c r="C5030" t="s">
        <v>13881</v>
      </c>
      <c r="D5030" s="69">
        <v>1999</v>
      </c>
      <c r="H5030" t="s">
        <v>1336</v>
      </c>
    </row>
    <row r="5031" spans="1:8" hidden="1">
      <c r="A5031" s="232">
        <v>45378</v>
      </c>
      <c r="C5031" t="s">
        <v>13882</v>
      </c>
      <c r="D5031" s="69">
        <v>132.81</v>
      </c>
      <c r="H5031" t="s">
        <v>1336</v>
      </c>
    </row>
    <row r="5032" spans="1:8" hidden="1">
      <c r="A5032" s="232">
        <v>45378</v>
      </c>
      <c r="C5032" t="s">
        <v>13883</v>
      </c>
      <c r="D5032" s="69">
        <v>1000</v>
      </c>
      <c r="G5032" s="8" t="s">
        <v>1372</v>
      </c>
      <c r="H5032" t="s">
        <v>1336</v>
      </c>
    </row>
    <row r="5033" spans="1:8" hidden="1">
      <c r="A5033" s="232">
        <v>45379</v>
      </c>
      <c r="C5033" t="s">
        <v>13884</v>
      </c>
      <c r="E5033">
        <v>942288</v>
      </c>
      <c r="G5033" s="8" t="s">
        <v>1380</v>
      </c>
      <c r="H5033" t="s">
        <v>1336</v>
      </c>
    </row>
    <row r="5034" spans="1:8" hidden="1">
      <c r="A5034" s="232">
        <v>45379</v>
      </c>
      <c r="C5034" t="s">
        <v>13885</v>
      </c>
      <c r="D5034" s="69">
        <v>800</v>
      </c>
      <c r="G5034" s="8" t="s">
        <v>1372</v>
      </c>
      <c r="H5034" t="s">
        <v>1336</v>
      </c>
    </row>
    <row r="5035" spans="1:8" hidden="1">
      <c r="A5035" s="232">
        <v>45380</v>
      </c>
      <c r="C5035" t="s">
        <v>13886</v>
      </c>
      <c r="D5035" s="69">
        <v>3600</v>
      </c>
      <c r="H5035" t="s">
        <v>1336</v>
      </c>
    </row>
    <row r="5036" spans="1:8" hidden="1">
      <c r="A5036" s="232">
        <v>45380</v>
      </c>
      <c r="C5036" t="s">
        <v>13887</v>
      </c>
      <c r="D5036" s="69">
        <v>2199</v>
      </c>
      <c r="H5036" t="s">
        <v>1336</v>
      </c>
    </row>
    <row r="5037" spans="1:8" hidden="1">
      <c r="A5037" s="232">
        <v>45380</v>
      </c>
      <c r="C5037" t="s">
        <v>13888</v>
      </c>
      <c r="D5037" s="69">
        <v>317</v>
      </c>
      <c r="H5037" t="s">
        <v>1336</v>
      </c>
    </row>
    <row r="5038" spans="1:8" hidden="1">
      <c r="A5038" s="232">
        <v>45381</v>
      </c>
      <c r="C5038" t="s">
        <v>13889</v>
      </c>
      <c r="D5038" s="69">
        <v>476.72</v>
      </c>
      <c r="H5038" t="s">
        <v>1336</v>
      </c>
    </row>
    <row r="5039" spans="1:8" hidden="1">
      <c r="A5039" s="232">
        <v>45381</v>
      </c>
      <c r="C5039" t="s">
        <v>13890</v>
      </c>
      <c r="D5039" s="69">
        <v>888</v>
      </c>
      <c r="H5039" t="s">
        <v>1336</v>
      </c>
    </row>
    <row r="5040" spans="1:8" hidden="1">
      <c r="A5040" s="232">
        <v>45384</v>
      </c>
      <c r="C5040" t="s">
        <v>6433</v>
      </c>
      <c r="D5040" s="69">
        <v>150000</v>
      </c>
      <c r="E5040">
        <v>0</v>
      </c>
      <c r="G5040" s="8" t="s">
        <v>1378</v>
      </c>
      <c r="H5040" t="s">
        <v>1336</v>
      </c>
    </row>
    <row r="5041" spans="1:8" hidden="1">
      <c r="A5041" s="232">
        <v>45384</v>
      </c>
      <c r="C5041" t="s">
        <v>13956</v>
      </c>
      <c r="D5041" s="69">
        <v>0</v>
      </c>
      <c r="E5041">
        <v>125000</v>
      </c>
      <c r="H5041" t="s">
        <v>1336</v>
      </c>
    </row>
    <row r="5042" spans="1:8" hidden="1">
      <c r="A5042" s="232">
        <v>45384</v>
      </c>
      <c r="C5042" t="s">
        <v>13957</v>
      </c>
      <c r="D5042" s="69">
        <v>0</v>
      </c>
      <c r="E5042">
        <v>5413</v>
      </c>
      <c r="H5042" t="s">
        <v>1336</v>
      </c>
    </row>
    <row r="5043" spans="1:8" hidden="1">
      <c r="A5043" s="232">
        <v>45386</v>
      </c>
      <c r="C5043" t="s">
        <v>13958</v>
      </c>
      <c r="D5043" s="69">
        <v>0</v>
      </c>
      <c r="E5043">
        <v>9772.36</v>
      </c>
      <c r="G5043" s="8" t="s">
        <v>1375</v>
      </c>
      <c r="H5043" t="s">
        <v>1336</v>
      </c>
    </row>
    <row r="5044" spans="1:8" hidden="1">
      <c r="A5044" s="232">
        <v>45387</v>
      </c>
      <c r="C5044" t="s">
        <v>13959</v>
      </c>
      <c r="D5044" s="69">
        <v>0</v>
      </c>
      <c r="E5044">
        <v>600000</v>
      </c>
      <c r="H5044" t="s">
        <v>1336</v>
      </c>
    </row>
    <row r="5045" spans="1:8" hidden="1">
      <c r="A5045" s="232">
        <v>45404</v>
      </c>
      <c r="C5045" t="s">
        <v>13960</v>
      </c>
      <c r="D5045" s="69">
        <v>41667</v>
      </c>
      <c r="E5045">
        <v>0</v>
      </c>
      <c r="G5045" s="8" t="s">
        <v>1381</v>
      </c>
      <c r="H5045" t="s">
        <v>1336</v>
      </c>
    </row>
    <row r="5046" spans="1:8" hidden="1">
      <c r="A5046" s="232">
        <v>45410</v>
      </c>
      <c r="C5046" t="s">
        <v>13961</v>
      </c>
      <c r="D5046" s="69">
        <v>199</v>
      </c>
      <c r="E5046">
        <v>0</v>
      </c>
      <c r="H5046" t="s">
        <v>1336</v>
      </c>
    </row>
    <row r="5047" spans="1:8" hidden="1">
      <c r="A5047" s="232">
        <v>45411</v>
      </c>
      <c r="C5047" t="s">
        <v>13962</v>
      </c>
      <c r="D5047" s="69">
        <v>25000</v>
      </c>
      <c r="E5047">
        <v>0</v>
      </c>
      <c r="G5047" s="8" t="s">
        <v>1381</v>
      </c>
      <c r="H5047" t="s">
        <v>1336</v>
      </c>
    </row>
    <row r="5048" spans="1:8" hidden="1">
      <c r="A5048" s="232">
        <v>45383</v>
      </c>
      <c r="C5048" t="s">
        <v>13963</v>
      </c>
      <c r="D5048" s="69">
        <v>1000</v>
      </c>
      <c r="G5048" s="8" t="s">
        <v>1372</v>
      </c>
      <c r="H5048" t="s">
        <v>1050</v>
      </c>
    </row>
    <row r="5049" spans="1:8" hidden="1">
      <c r="A5049" s="232">
        <v>45383</v>
      </c>
      <c r="C5049" t="s">
        <v>13964</v>
      </c>
      <c r="D5049" s="69">
        <v>1250</v>
      </c>
      <c r="G5049" s="8" t="s">
        <v>1372</v>
      </c>
      <c r="H5049" t="s">
        <v>1050</v>
      </c>
    </row>
    <row r="5050" spans="1:8" hidden="1">
      <c r="A5050" s="232">
        <v>45384</v>
      </c>
      <c r="C5050" t="s">
        <v>13965</v>
      </c>
      <c r="D5050" s="69">
        <v>1000</v>
      </c>
      <c r="G5050" s="8" t="s">
        <v>1372</v>
      </c>
      <c r="H5050" t="s">
        <v>1050</v>
      </c>
    </row>
    <row r="5051" spans="1:8" hidden="1">
      <c r="A5051" s="232">
        <v>45384</v>
      </c>
      <c r="C5051" t="s">
        <v>13966</v>
      </c>
      <c r="D5051" s="69">
        <v>1250</v>
      </c>
      <c r="G5051" s="8" t="s">
        <v>1372</v>
      </c>
      <c r="H5051" t="s">
        <v>1050</v>
      </c>
    </row>
    <row r="5052" spans="1:8" hidden="1">
      <c r="A5052" s="232">
        <v>45385</v>
      </c>
      <c r="C5052" t="s">
        <v>13967</v>
      </c>
      <c r="D5052" s="69">
        <v>775</v>
      </c>
      <c r="G5052" s="8" t="s">
        <v>1372</v>
      </c>
      <c r="H5052" t="s">
        <v>1050</v>
      </c>
    </row>
    <row r="5053" spans="1:8" hidden="1">
      <c r="A5053" s="232">
        <v>45385</v>
      </c>
      <c r="C5053" t="s">
        <v>13968</v>
      </c>
      <c r="D5053" s="69">
        <v>1000</v>
      </c>
      <c r="G5053" s="8" t="s">
        <v>1372</v>
      </c>
      <c r="H5053" t="s">
        <v>1050</v>
      </c>
    </row>
    <row r="5054" spans="1:8" hidden="1">
      <c r="A5054" s="232">
        <v>45385</v>
      </c>
      <c r="C5054" t="s">
        <v>13969</v>
      </c>
      <c r="E5054">
        <v>320.33</v>
      </c>
      <c r="H5054" t="s">
        <v>1050</v>
      </c>
    </row>
    <row r="5055" spans="1:8" hidden="1">
      <c r="A5055" s="232">
        <v>45386</v>
      </c>
      <c r="C5055" t="s">
        <v>13970</v>
      </c>
      <c r="D5055" s="69">
        <v>750</v>
      </c>
      <c r="G5055" s="8" t="s">
        <v>1372</v>
      </c>
      <c r="H5055" t="s">
        <v>1050</v>
      </c>
    </row>
    <row r="5056" spans="1:8" hidden="1">
      <c r="A5056" s="232">
        <v>45387</v>
      </c>
      <c r="C5056" t="s">
        <v>13971</v>
      </c>
      <c r="D5056" s="69">
        <v>1268.5</v>
      </c>
      <c r="H5056" t="s">
        <v>1050</v>
      </c>
    </row>
    <row r="5057" spans="1:8" hidden="1">
      <c r="A5057" s="232">
        <v>45387</v>
      </c>
      <c r="C5057" t="s">
        <v>6583</v>
      </c>
      <c r="D5057" s="69">
        <v>14683</v>
      </c>
      <c r="G5057" s="8" t="s">
        <v>1362</v>
      </c>
      <c r="H5057" t="s">
        <v>1050</v>
      </c>
    </row>
    <row r="5058" spans="1:8" hidden="1">
      <c r="A5058" s="232">
        <v>45387</v>
      </c>
      <c r="C5058" t="s">
        <v>13972</v>
      </c>
      <c r="D5058" s="69">
        <v>1250</v>
      </c>
      <c r="G5058" s="8" t="s">
        <v>1372</v>
      </c>
      <c r="H5058" t="s">
        <v>1050</v>
      </c>
    </row>
    <row r="5059" spans="1:8" hidden="1">
      <c r="A5059" s="232">
        <v>45387</v>
      </c>
      <c r="C5059" t="s">
        <v>13973</v>
      </c>
      <c r="D5059" s="69">
        <v>1000</v>
      </c>
      <c r="G5059" s="8" t="s">
        <v>1372</v>
      </c>
      <c r="H5059" t="s">
        <v>1050</v>
      </c>
    </row>
    <row r="5060" spans="1:8" hidden="1">
      <c r="A5060" s="232">
        <v>45387</v>
      </c>
      <c r="C5060" t="s">
        <v>13974</v>
      </c>
      <c r="D5060" s="69">
        <v>1250</v>
      </c>
      <c r="G5060" s="8" t="s">
        <v>1372</v>
      </c>
      <c r="H5060" t="s">
        <v>1050</v>
      </c>
    </row>
    <row r="5061" spans="1:8" hidden="1">
      <c r="A5061" s="232">
        <v>45388</v>
      </c>
      <c r="C5061" t="s">
        <v>13975</v>
      </c>
      <c r="D5061" s="69">
        <v>800</v>
      </c>
      <c r="G5061" s="8" t="s">
        <v>1372</v>
      </c>
      <c r="H5061" t="s">
        <v>1050</v>
      </c>
    </row>
    <row r="5062" spans="1:8" hidden="1">
      <c r="A5062" s="232">
        <v>45388</v>
      </c>
      <c r="C5062" t="s">
        <v>13976</v>
      </c>
      <c r="D5062" s="69">
        <v>1000</v>
      </c>
      <c r="G5062" s="8" t="s">
        <v>1372</v>
      </c>
      <c r="H5062" t="s">
        <v>1050</v>
      </c>
    </row>
    <row r="5063" spans="1:8" hidden="1">
      <c r="A5063" s="232">
        <v>45389</v>
      </c>
      <c r="C5063" t="s">
        <v>13977</v>
      </c>
      <c r="D5063" s="69">
        <v>1000</v>
      </c>
      <c r="G5063" s="8" t="s">
        <v>1372</v>
      </c>
      <c r="H5063" t="s">
        <v>1050</v>
      </c>
    </row>
    <row r="5064" spans="1:8" hidden="1">
      <c r="A5064" s="232">
        <v>45390</v>
      </c>
      <c r="C5064" t="s">
        <v>13978</v>
      </c>
      <c r="D5064" s="69">
        <v>775</v>
      </c>
      <c r="G5064" s="8" t="s">
        <v>1372</v>
      </c>
      <c r="H5064" t="s">
        <v>1050</v>
      </c>
    </row>
    <row r="5065" spans="1:8" hidden="1">
      <c r="A5065" s="232">
        <v>45390</v>
      </c>
      <c r="C5065" t="s">
        <v>13979</v>
      </c>
      <c r="D5065" s="69">
        <v>1000</v>
      </c>
      <c r="G5065" s="8" t="s">
        <v>1372</v>
      </c>
      <c r="H5065" t="s">
        <v>1050</v>
      </c>
    </row>
    <row r="5066" spans="1:8" hidden="1">
      <c r="A5066" s="232">
        <v>45390</v>
      </c>
      <c r="C5066" t="s">
        <v>13980</v>
      </c>
      <c r="E5066">
        <v>27.5</v>
      </c>
      <c r="H5066" t="s">
        <v>1050</v>
      </c>
    </row>
    <row r="5067" spans="1:8" hidden="1">
      <c r="A5067" s="232">
        <v>45390</v>
      </c>
      <c r="C5067" t="s">
        <v>13981</v>
      </c>
      <c r="E5067">
        <v>600</v>
      </c>
      <c r="H5067" t="s">
        <v>1050</v>
      </c>
    </row>
    <row r="5068" spans="1:8" hidden="1">
      <c r="A5068" s="232">
        <v>45391</v>
      </c>
      <c r="C5068" t="s">
        <v>13982</v>
      </c>
      <c r="D5068" s="69">
        <v>750</v>
      </c>
      <c r="G5068" s="8" t="s">
        <v>1372</v>
      </c>
      <c r="H5068" t="s">
        <v>1050</v>
      </c>
    </row>
    <row r="5069" spans="1:8" hidden="1">
      <c r="A5069" s="232">
        <v>45391</v>
      </c>
      <c r="C5069" t="s">
        <v>13983</v>
      </c>
      <c r="D5069" s="69">
        <v>750</v>
      </c>
      <c r="G5069" s="8" t="s">
        <v>1372</v>
      </c>
      <c r="H5069" t="s">
        <v>1050</v>
      </c>
    </row>
    <row r="5070" spans="1:8" hidden="1">
      <c r="A5070" s="232">
        <v>45391</v>
      </c>
      <c r="C5070" t="s">
        <v>13984</v>
      </c>
      <c r="D5070" s="69">
        <v>1000</v>
      </c>
      <c r="G5070" s="8" t="s">
        <v>1372</v>
      </c>
      <c r="H5070" t="s">
        <v>1050</v>
      </c>
    </row>
    <row r="5071" spans="1:8" hidden="1">
      <c r="A5071" s="232">
        <v>45392</v>
      </c>
      <c r="C5071" t="s">
        <v>13985</v>
      </c>
      <c r="D5071" s="69">
        <v>1000</v>
      </c>
      <c r="G5071" s="8" t="s">
        <v>1372</v>
      </c>
      <c r="H5071" t="s">
        <v>1050</v>
      </c>
    </row>
    <row r="5072" spans="1:8" hidden="1">
      <c r="A5072" s="232">
        <v>45392</v>
      </c>
      <c r="C5072" t="s">
        <v>13986</v>
      </c>
      <c r="D5072" s="69">
        <v>1250</v>
      </c>
      <c r="G5072" s="8" t="s">
        <v>1372</v>
      </c>
      <c r="H5072" t="s">
        <v>1050</v>
      </c>
    </row>
    <row r="5073" spans="1:8" hidden="1">
      <c r="A5073" s="232">
        <v>45393</v>
      </c>
      <c r="C5073" t="s">
        <v>13987</v>
      </c>
      <c r="D5073" s="69">
        <v>1250</v>
      </c>
      <c r="G5073" s="8" t="s">
        <v>1372</v>
      </c>
      <c r="H5073" t="s">
        <v>1050</v>
      </c>
    </row>
    <row r="5074" spans="1:8" hidden="1">
      <c r="A5074" s="232">
        <v>45393</v>
      </c>
      <c r="C5074" t="s">
        <v>13988</v>
      </c>
      <c r="D5074" s="69">
        <v>50</v>
      </c>
      <c r="H5074" t="s">
        <v>1050</v>
      </c>
    </row>
    <row r="5075" spans="1:8" hidden="1">
      <c r="A5075" s="232">
        <v>45393</v>
      </c>
      <c r="C5075" t="s">
        <v>13989</v>
      </c>
      <c r="D5075" s="69">
        <v>3540</v>
      </c>
      <c r="H5075" t="s">
        <v>1050</v>
      </c>
    </row>
    <row r="5076" spans="1:8" hidden="1">
      <c r="A5076" s="232">
        <v>45394</v>
      </c>
      <c r="C5076" t="s">
        <v>13990</v>
      </c>
      <c r="D5076" s="69">
        <v>1000</v>
      </c>
      <c r="G5076" s="8" t="s">
        <v>1372</v>
      </c>
      <c r="H5076" t="s">
        <v>1050</v>
      </c>
    </row>
    <row r="5077" spans="1:8" hidden="1">
      <c r="A5077" s="232">
        <v>45395</v>
      </c>
      <c r="C5077" t="s">
        <v>13991</v>
      </c>
      <c r="D5077" s="69">
        <v>1148.5999999999999</v>
      </c>
      <c r="H5077" t="s">
        <v>1050</v>
      </c>
    </row>
    <row r="5078" spans="1:8" hidden="1">
      <c r="A5078" s="232">
        <v>45395</v>
      </c>
      <c r="C5078" t="s">
        <v>13992</v>
      </c>
      <c r="D5078" s="69">
        <v>775</v>
      </c>
      <c r="G5078" s="8" t="s">
        <v>1372</v>
      </c>
      <c r="H5078" t="s">
        <v>1050</v>
      </c>
    </row>
    <row r="5079" spans="1:8" hidden="1">
      <c r="A5079" s="232">
        <v>45395</v>
      </c>
      <c r="C5079" t="s">
        <v>13993</v>
      </c>
      <c r="D5079" s="69">
        <v>1000</v>
      </c>
      <c r="G5079" s="8" t="s">
        <v>1372</v>
      </c>
      <c r="H5079" t="s">
        <v>1050</v>
      </c>
    </row>
    <row r="5080" spans="1:8" hidden="1">
      <c r="A5080" s="232">
        <v>45395</v>
      </c>
      <c r="C5080" t="s">
        <v>13994</v>
      </c>
      <c r="D5080" s="69">
        <v>1000</v>
      </c>
      <c r="H5080" t="s">
        <v>1050</v>
      </c>
    </row>
    <row r="5081" spans="1:8" hidden="1">
      <c r="A5081" s="232">
        <v>45395</v>
      </c>
      <c r="C5081" t="s">
        <v>13995</v>
      </c>
      <c r="D5081" s="69">
        <v>100</v>
      </c>
      <c r="H5081" t="s">
        <v>1050</v>
      </c>
    </row>
    <row r="5082" spans="1:8" hidden="1">
      <c r="A5082" s="232">
        <v>45395</v>
      </c>
      <c r="C5082" t="s">
        <v>13996</v>
      </c>
      <c r="D5082" s="69">
        <v>140</v>
      </c>
      <c r="H5082" t="s">
        <v>1050</v>
      </c>
    </row>
    <row r="5083" spans="1:8" hidden="1">
      <c r="A5083" s="232">
        <v>45395</v>
      </c>
      <c r="C5083" t="s">
        <v>13997</v>
      </c>
      <c r="D5083" s="69">
        <v>90</v>
      </c>
      <c r="H5083" t="s">
        <v>1050</v>
      </c>
    </row>
    <row r="5084" spans="1:8" hidden="1">
      <c r="A5084" s="232">
        <v>45395</v>
      </c>
      <c r="C5084" t="s">
        <v>13998</v>
      </c>
      <c r="D5084" s="69">
        <v>30</v>
      </c>
      <c r="H5084" t="s">
        <v>1050</v>
      </c>
    </row>
    <row r="5085" spans="1:8" hidden="1">
      <c r="A5085" s="232">
        <v>45395</v>
      </c>
      <c r="C5085" t="s">
        <v>13999</v>
      </c>
      <c r="D5085" s="69">
        <v>40</v>
      </c>
      <c r="H5085" t="s">
        <v>1050</v>
      </c>
    </row>
    <row r="5086" spans="1:8" hidden="1">
      <c r="A5086" s="232">
        <v>45395</v>
      </c>
      <c r="C5086" t="s">
        <v>14000</v>
      </c>
      <c r="D5086" s="69">
        <v>100</v>
      </c>
      <c r="H5086" t="s">
        <v>1050</v>
      </c>
    </row>
    <row r="5087" spans="1:8" hidden="1">
      <c r="A5087" s="232">
        <v>45395</v>
      </c>
      <c r="C5087" t="s">
        <v>14001</v>
      </c>
      <c r="E5087">
        <v>3</v>
      </c>
      <c r="H5087" t="s">
        <v>1050</v>
      </c>
    </row>
    <row r="5088" spans="1:8" hidden="1">
      <c r="A5088" s="232">
        <v>45395</v>
      </c>
      <c r="C5088" t="s">
        <v>14002</v>
      </c>
      <c r="D5088" s="69">
        <v>150</v>
      </c>
      <c r="H5088" t="s">
        <v>1050</v>
      </c>
    </row>
    <row r="5089" spans="1:8" hidden="1">
      <c r="A5089" s="232">
        <v>45395</v>
      </c>
      <c r="C5089" t="s">
        <v>14003</v>
      </c>
      <c r="D5089" s="69">
        <v>100</v>
      </c>
      <c r="H5089" t="s">
        <v>1050</v>
      </c>
    </row>
    <row r="5090" spans="1:8" hidden="1">
      <c r="A5090" s="232">
        <v>45396</v>
      </c>
      <c r="C5090" t="s">
        <v>14004</v>
      </c>
      <c r="D5090" s="69">
        <v>800</v>
      </c>
      <c r="G5090" s="8" t="s">
        <v>1372</v>
      </c>
      <c r="H5090" t="s">
        <v>1050</v>
      </c>
    </row>
    <row r="5091" spans="1:8" hidden="1">
      <c r="A5091" s="232">
        <v>45397</v>
      </c>
      <c r="C5091" t="s">
        <v>14005</v>
      </c>
      <c r="D5091" s="69">
        <v>1000</v>
      </c>
      <c r="G5091" s="8" t="s">
        <v>1372</v>
      </c>
      <c r="H5091" t="s">
        <v>1050</v>
      </c>
    </row>
    <row r="5092" spans="1:8" hidden="1">
      <c r="A5092" s="232">
        <v>45397</v>
      </c>
      <c r="C5092" t="s">
        <v>14006</v>
      </c>
      <c r="D5092" s="69">
        <v>1000</v>
      </c>
      <c r="G5092" s="8" t="s">
        <v>1372</v>
      </c>
      <c r="H5092" t="s">
        <v>1050</v>
      </c>
    </row>
    <row r="5093" spans="1:8" hidden="1">
      <c r="A5093" s="232">
        <v>45397</v>
      </c>
      <c r="C5093" t="s">
        <v>14007</v>
      </c>
      <c r="D5093" s="69">
        <v>1250</v>
      </c>
      <c r="G5093" s="8" t="s">
        <v>1372</v>
      </c>
      <c r="H5093" t="s">
        <v>1050</v>
      </c>
    </row>
    <row r="5094" spans="1:8" hidden="1">
      <c r="A5094" s="232">
        <v>45397</v>
      </c>
      <c r="C5094" t="s">
        <v>14008</v>
      </c>
      <c r="D5094" s="69">
        <v>750</v>
      </c>
      <c r="G5094" s="8" t="s">
        <v>1372</v>
      </c>
      <c r="H5094" t="s">
        <v>1050</v>
      </c>
    </row>
    <row r="5095" spans="1:8" hidden="1">
      <c r="A5095" s="232">
        <v>45397</v>
      </c>
      <c r="C5095" t="s">
        <v>14009</v>
      </c>
      <c r="D5095" s="69">
        <v>1250</v>
      </c>
      <c r="G5095" s="8" t="s">
        <v>1372</v>
      </c>
      <c r="H5095" t="s">
        <v>1050</v>
      </c>
    </row>
    <row r="5096" spans="1:8" hidden="1">
      <c r="A5096" s="232">
        <v>45397</v>
      </c>
      <c r="C5096" t="s">
        <v>14010</v>
      </c>
      <c r="D5096" s="69">
        <v>5000</v>
      </c>
      <c r="H5096" t="s">
        <v>1050</v>
      </c>
    </row>
    <row r="5097" spans="1:8" hidden="1">
      <c r="A5097" s="232">
        <v>45398</v>
      </c>
      <c r="C5097" t="s">
        <v>14011</v>
      </c>
      <c r="D5097" s="69">
        <v>1000</v>
      </c>
      <c r="G5097" s="8" t="s">
        <v>1372</v>
      </c>
      <c r="H5097" t="s">
        <v>1050</v>
      </c>
    </row>
    <row r="5098" spans="1:8" hidden="1">
      <c r="A5098" s="232">
        <v>45399</v>
      </c>
      <c r="C5098" t="s">
        <v>14012</v>
      </c>
      <c r="D5098" s="69">
        <v>750</v>
      </c>
      <c r="G5098" s="8" t="s">
        <v>1372</v>
      </c>
      <c r="H5098" t="s">
        <v>1050</v>
      </c>
    </row>
    <row r="5099" spans="1:8" hidden="1">
      <c r="A5099" s="232">
        <v>45400</v>
      </c>
      <c r="C5099" t="s">
        <v>14013</v>
      </c>
      <c r="D5099" s="69">
        <v>1000</v>
      </c>
      <c r="G5099" s="8" t="s">
        <v>1372</v>
      </c>
      <c r="H5099" t="s">
        <v>1050</v>
      </c>
    </row>
    <row r="5100" spans="1:8" hidden="1">
      <c r="A5100" s="232">
        <v>45401</v>
      </c>
      <c r="C5100" t="s">
        <v>14014</v>
      </c>
      <c r="D5100" s="69">
        <v>1000</v>
      </c>
      <c r="G5100" s="8" t="s">
        <v>1372</v>
      </c>
      <c r="H5100" t="s">
        <v>1050</v>
      </c>
    </row>
    <row r="5101" spans="1:8" hidden="1">
      <c r="A5101" s="232">
        <v>45401</v>
      </c>
      <c r="C5101" t="s">
        <v>14015</v>
      </c>
      <c r="D5101" s="69">
        <v>750</v>
      </c>
      <c r="G5101" s="8" t="s">
        <v>1372</v>
      </c>
      <c r="H5101" t="s">
        <v>1050</v>
      </c>
    </row>
    <row r="5102" spans="1:8" hidden="1">
      <c r="A5102" s="232">
        <v>45402</v>
      </c>
      <c r="C5102" t="s">
        <v>14016</v>
      </c>
      <c r="D5102" s="69">
        <v>775</v>
      </c>
      <c r="G5102" s="8" t="s">
        <v>1372</v>
      </c>
      <c r="H5102" t="s">
        <v>1050</v>
      </c>
    </row>
    <row r="5103" spans="1:8" hidden="1">
      <c r="A5103" s="232">
        <v>45403</v>
      </c>
      <c r="C5103" t="s">
        <v>14017</v>
      </c>
      <c r="D5103" s="69">
        <v>1000</v>
      </c>
      <c r="G5103" s="8" t="s">
        <v>1372</v>
      </c>
      <c r="H5103" t="s">
        <v>1050</v>
      </c>
    </row>
    <row r="5104" spans="1:8" hidden="1">
      <c r="A5104" s="232">
        <v>45404</v>
      </c>
      <c r="C5104" t="s">
        <v>14018</v>
      </c>
      <c r="D5104" s="69">
        <v>1000</v>
      </c>
      <c r="G5104" s="8" t="s">
        <v>1372</v>
      </c>
      <c r="H5104" t="s">
        <v>1050</v>
      </c>
    </row>
    <row r="5105" spans="1:8" hidden="1">
      <c r="A5105" s="232">
        <v>45404</v>
      </c>
      <c r="C5105" t="s">
        <v>14019</v>
      </c>
      <c r="D5105" s="69">
        <v>1000</v>
      </c>
      <c r="G5105" s="8" t="s">
        <v>1372</v>
      </c>
      <c r="H5105" t="s">
        <v>1050</v>
      </c>
    </row>
    <row r="5106" spans="1:8" hidden="1">
      <c r="A5106" s="232">
        <v>45404</v>
      </c>
      <c r="C5106" t="s">
        <v>14020</v>
      </c>
      <c r="D5106" s="69">
        <v>750</v>
      </c>
      <c r="G5106" s="8" t="s">
        <v>1372</v>
      </c>
      <c r="H5106" t="s">
        <v>1050</v>
      </c>
    </row>
    <row r="5107" spans="1:8" hidden="1">
      <c r="A5107" s="232">
        <v>45404</v>
      </c>
      <c r="C5107" t="s">
        <v>14021</v>
      </c>
      <c r="D5107" s="69">
        <v>750</v>
      </c>
      <c r="G5107" s="8" t="s">
        <v>1372</v>
      </c>
      <c r="H5107" t="s">
        <v>1050</v>
      </c>
    </row>
    <row r="5108" spans="1:8" hidden="1">
      <c r="A5108" s="232">
        <v>45405</v>
      </c>
      <c r="C5108" t="s">
        <v>14022</v>
      </c>
      <c r="D5108" s="69">
        <v>750</v>
      </c>
      <c r="G5108" s="8" t="s">
        <v>1372</v>
      </c>
      <c r="H5108" t="s">
        <v>1050</v>
      </c>
    </row>
    <row r="5109" spans="1:8" hidden="1">
      <c r="A5109" s="232">
        <v>45405</v>
      </c>
      <c r="C5109" t="s">
        <v>14023</v>
      </c>
      <c r="D5109" s="69">
        <v>760</v>
      </c>
      <c r="H5109" t="s">
        <v>1050</v>
      </c>
    </row>
    <row r="5110" spans="1:8" hidden="1">
      <c r="A5110" s="232">
        <v>45405</v>
      </c>
      <c r="C5110" t="s">
        <v>14024</v>
      </c>
      <c r="D5110" s="69">
        <v>252</v>
      </c>
      <c r="H5110" t="s">
        <v>1050</v>
      </c>
    </row>
    <row r="5111" spans="1:8" hidden="1">
      <c r="A5111" s="232">
        <v>45406</v>
      </c>
      <c r="C5111" t="s">
        <v>14025</v>
      </c>
      <c r="D5111" s="69">
        <v>1000</v>
      </c>
      <c r="G5111" s="8" t="s">
        <v>1372</v>
      </c>
      <c r="H5111" t="s">
        <v>1050</v>
      </c>
    </row>
    <row r="5112" spans="1:8" hidden="1">
      <c r="A5112" s="232">
        <v>45406</v>
      </c>
      <c r="C5112" t="s">
        <v>14026</v>
      </c>
      <c r="D5112" s="69">
        <v>899</v>
      </c>
      <c r="H5112" t="s">
        <v>1050</v>
      </c>
    </row>
    <row r="5113" spans="1:8" hidden="1">
      <c r="A5113" s="232">
        <v>45407</v>
      </c>
      <c r="C5113" t="s">
        <v>14027</v>
      </c>
      <c r="D5113" s="69">
        <v>750</v>
      </c>
      <c r="G5113" s="8" t="s">
        <v>1372</v>
      </c>
      <c r="H5113" t="s">
        <v>1050</v>
      </c>
    </row>
    <row r="5114" spans="1:8" hidden="1">
      <c r="A5114" s="232">
        <v>45408</v>
      </c>
      <c r="C5114" t="s">
        <v>14028</v>
      </c>
      <c r="D5114" s="69">
        <v>1000</v>
      </c>
      <c r="G5114" s="8" t="s">
        <v>1372</v>
      </c>
      <c r="H5114" t="s">
        <v>1050</v>
      </c>
    </row>
    <row r="5115" spans="1:8" hidden="1">
      <c r="A5115" s="232">
        <v>45408</v>
      </c>
      <c r="C5115" t="s">
        <v>14029</v>
      </c>
      <c r="D5115" s="69">
        <v>500</v>
      </c>
      <c r="H5115" t="s">
        <v>1050</v>
      </c>
    </row>
    <row r="5116" spans="1:8" hidden="1">
      <c r="A5116" s="232">
        <v>45409</v>
      </c>
      <c r="C5116" t="s">
        <v>14030</v>
      </c>
      <c r="D5116" s="69">
        <v>1000</v>
      </c>
      <c r="G5116" s="8" t="s">
        <v>1372</v>
      </c>
      <c r="H5116" t="s">
        <v>1050</v>
      </c>
    </row>
    <row r="5117" spans="1:8" hidden="1">
      <c r="A5117" s="232">
        <v>45410</v>
      </c>
      <c r="C5117" t="s">
        <v>14031</v>
      </c>
      <c r="D5117" s="69">
        <v>800</v>
      </c>
      <c r="G5117" s="8" t="s">
        <v>1372</v>
      </c>
      <c r="H5117" t="s">
        <v>1050</v>
      </c>
    </row>
    <row r="5118" spans="1:8" hidden="1">
      <c r="A5118" s="232">
        <v>45410</v>
      </c>
      <c r="C5118" t="s">
        <v>14032</v>
      </c>
      <c r="D5118" s="69">
        <v>2000</v>
      </c>
      <c r="H5118" t="s">
        <v>1050</v>
      </c>
    </row>
    <row r="5119" spans="1:8" hidden="1">
      <c r="A5119" s="232">
        <v>45410</v>
      </c>
      <c r="C5119" t="s">
        <v>14033</v>
      </c>
      <c r="D5119" s="69">
        <v>29247</v>
      </c>
      <c r="G5119" s="8" t="s">
        <v>1370</v>
      </c>
      <c r="H5119" t="s">
        <v>1050</v>
      </c>
    </row>
    <row r="5120" spans="1:8" hidden="1">
      <c r="A5120" s="232">
        <v>45410</v>
      </c>
      <c r="C5120" t="s">
        <v>14034</v>
      </c>
      <c r="D5120" s="69">
        <v>35938</v>
      </c>
      <c r="G5120" s="8" t="s">
        <v>1370</v>
      </c>
      <c r="H5120" t="s">
        <v>1050</v>
      </c>
    </row>
    <row r="5121" spans="1:8" hidden="1">
      <c r="A5121" s="232">
        <v>45410</v>
      </c>
      <c r="C5121" t="s">
        <v>14035</v>
      </c>
      <c r="D5121" s="69">
        <v>110131</v>
      </c>
      <c r="G5121" s="8" t="s">
        <v>1370</v>
      </c>
      <c r="H5121" t="s">
        <v>1050</v>
      </c>
    </row>
    <row r="5122" spans="1:8" hidden="1">
      <c r="A5122" s="232">
        <v>45410</v>
      </c>
      <c r="C5122" t="s">
        <v>14036</v>
      </c>
      <c r="D5122" s="69">
        <v>160596</v>
      </c>
      <c r="G5122" s="8" t="s">
        <v>1370</v>
      </c>
      <c r="H5122" t="s">
        <v>1050</v>
      </c>
    </row>
    <row r="5123" spans="1:8" hidden="1">
      <c r="A5123" s="232">
        <v>45410</v>
      </c>
      <c r="C5123" t="s">
        <v>14037</v>
      </c>
      <c r="D5123" s="69">
        <v>164430</v>
      </c>
      <c r="G5123" s="8" t="s">
        <v>1370</v>
      </c>
      <c r="H5123" t="s">
        <v>1050</v>
      </c>
    </row>
    <row r="5124" spans="1:8" hidden="1">
      <c r="A5124" s="232">
        <v>45410</v>
      </c>
      <c r="C5124" t="s">
        <v>14038</v>
      </c>
      <c r="D5124" s="69">
        <v>18205</v>
      </c>
      <c r="G5124" s="8" t="s">
        <v>1370</v>
      </c>
      <c r="H5124" t="s">
        <v>1050</v>
      </c>
    </row>
    <row r="5125" spans="1:8" hidden="1">
      <c r="A5125" s="232">
        <v>45410</v>
      </c>
      <c r="C5125" t="s">
        <v>14039</v>
      </c>
      <c r="D5125" s="69">
        <v>19156</v>
      </c>
      <c r="G5125" s="8" t="s">
        <v>1370</v>
      </c>
      <c r="H5125" t="s">
        <v>1050</v>
      </c>
    </row>
    <row r="5126" spans="1:8" hidden="1">
      <c r="A5126" s="232">
        <v>45411</v>
      </c>
      <c r="C5126" t="s">
        <v>14040</v>
      </c>
      <c r="E5126">
        <v>503972</v>
      </c>
      <c r="G5126" s="8" t="s">
        <v>1380</v>
      </c>
      <c r="H5126" t="s">
        <v>1050</v>
      </c>
    </row>
    <row r="5127" spans="1:8" hidden="1">
      <c r="A5127" s="232">
        <v>45411</v>
      </c>
      <c r="C5127" t="s">
        <v>14041</v>
      </c>
      <c r="D5127" s="69">
        <v>213</v>
      </c>
      <c r="H5127" t="s">
        <v>1050</v>
      </c>
    </row>
    <row r="5128" spans="1:8" hidden="1">
      <c r="A5128" s="232">
        <v>45411</v>
      </c>
      <c r="C5128" t="s">
        <v>14042</v>
      </c>
      <c r="E5128">
        <v>3</v>
      </c>
      <c r="H5128" t="s">
        <v>1050</v>
      </c>
    </row>
    <row r="5129" spans="1:8" hidden="1">
      <c r="A5129" s="232">
        <v>45421</v>
      </c>
      <c r="C5129" t="s">
        <v>14132</v>
      </c>
      <c r="D5129">
        <v>0</v>
      </c>
      <c r="E5129">
        <v>9772.36</v>
      </c>
      <c r="G5129" s="8" t="s">
        <v>1375</v>
      </c>
      <c r="H5129" t="s">
        <v>1050</v>
      </c>
    </row>
    <row r="5130" spans="1:8" hidden="1">
      <c r="A5130" s="232">
        <v>45433</v>
      </c>
      <c r="C5130" t="s">
        <v>14133</v>
      </c>
      <c r="D5130">
        <v>41667</v>
      </c>
      <c r="E5130">
        <v>0</v>
      </c>
      <c r="G5130" s="8" t="s">
        <v>1381</v>
      </c>
      <c r="H5130" t="s">
        <v>1050</v>
      </c>
    </row>
    <row r="5131" spans="1:8" hidden="1">
      <c r="A5131" s="232">
        <v>45439</v>
      </c>
      <c r="C5131" t="s">
        <v>14134</v>
      </c>
      <c r="D5131">
        <v>105</v>
      </c>
      <c r="E5131">
        <v>0</v>
      </c>
      <c r="H5131" t="s">
        <v>1050</v>
      </c>
    </row>
    <row r="5132" spans="1:8" hidden="1">
      <c r="A5132" s="232">
        <v>45440</v>
      </c>
      <c r="C5132" t="s">
        <v>14135</v>
      </c>
      <c r="D5132">
        <v>25000</v>
      </c>
      <c r="E5132">
        <v>0</v>
      </c>
      <c r="G5132" s="8" t="s">
        <v>1381</v>
      </c>
      <c r="H5132" t="s">
        <v>1050</v>
      </c>
    </row>
    <row r="5133" spans="1:8" hidden="1">
      <c r="A5133" s="232">
        <v>45440</v>
      </c>
      <c r="C5133" t="s">
        <v>14136</v>
      </c>
      <c r="D5133">
        <v>199</v>
      </c>
      <c r="E5133">
        <v>0</v>
      </c>
      <c r="H5133" t="s">
        <v>1050</v>
      </c>
    </row>
    <row r="5134" spans="1:8" hidden="1">
      <c r="A5134" s="232">
        <v>45412</v>
      </c>
      <c r="C5134" t="s">
        <v>14146</v>
      </c>
      <c r="D5134" s="69">
        <v>5018.54</v>
      </c>
      <c r="H5134" t="s">
        <v>1336</v>
      </c>
    </row>
    <row r="5135" spans="1:8" hidden="1">
      <c r="A5135" s="232">
        <v>45413</v>
      </c>
      <c r="C5135" t="s">
        <v>14147</v>
      </c>
      <c r="E5135">
        <v>4429.72</v>
      </c>
      <c r="G5135" s="8" t="s">
        <v>1380</v>
      </c>
      <c r="H5135" t="s">
        <v>1336</v>
      </c>
    </row>
    <row r="5136" spans="1:8" hidden="1">
      <c r="A5136" s="232">
        <v>45413</v>
      </c>
      <c r="C5136" t="s">
        <v>14148</v>
      </c>
      <c r="D5136" s="69">
        <v>1000</v>
      </c>
      <c r="G5136" s="8" t="s">
        <v>1372</v>
      </c>
      <c r="H5136" t="s">
        <v>1336</v>
      </c>
    </row>
    <row r="5137" spans="1:8" hidden="1">
      <c r="A5137" s="232">
        <v>45413</v>
      </c>
      <c r="C5137" t="s">
        <v>14149</v>
      </c>
      <c r="D5137" s="69">
        <v>900</v>
      </c>
      <c r="H5137" t="s">
        <v>1336</v>
      </c>
    </row>
    <row r="5138" spans="1:8" hidden="1">
      <c r="A5138" s="232">
        <v>45413</v>
      </c>
      <c r="C5138" t="s">
        <v>14150</v>
      </c>
      <c r="D5138" s="69">
        <v>180</v>
      </c>
      <c r="H5138" t="s">
        <v>1336</v>
      </c>
    </row>
    <row r="5139" spans="1:8" hidden="1">
      <c r="A5139" s="232">
        <v>45414</v>
      </c>
      <c r="C5139" t="s">
        <v>14151</v>
      </c>
      <c r="D5139" s="69">
        <v>1000</v>
      </c>
      <c r="G5139" s="8" t="s">
        <v>1372</v>
      </c>
      <c r="H5139" t="s">
        <v>1336</v>
      </c>
    </row>
    <row r="5140" spans="1:8" hidden="1">
      <c r="A5140" s="232">
        <v>45414</v>
      </c>
      <c r="C5140" t="s">
        <v>14152</v>
      </c>
      <c r="D5140" s="69">
        <v>1250</v>
      </c>
      <c r="G5140" s="8" t="s">
        <v>1372</v>
      </c>
      <c r="H5140" t="s">
        <v>1336</v>
      </c>
    </row>
    <row r="5141" spans="1:8" hidden="1">
      <c r="A5141" s="232">
        <v>45414</v>
      </c>
      <c r="C5141" t="s">
        <v>14153</v>
      </c>
      <c r="D5141" s="69">
        <v>1250</v>
      </c>
      <c r="G5141" s="8" t="s">
        <v>1372</v>
      </c>
      <c r="H5141" t="s">
        <v>1336</v>
      </c>
    </row>
    <row r="5142" spans="1:8" hidden="1">
      <c r="A5142" s="232">
        <v>45414</v>
      </c>
      <c r="C5142" t="s">
        <v>14154</v>
      </c>
      <c r="D5142" s="69">
        <v>1090</v>
      </c>
      <c r="H5142" t="s">
        <v>1336</v>
      </c>
    </row>
    <row r="5143" spans="1:8" hidden="1">
      <c r="A5143" s="232">
        <v>45415</v>
      </c>
      <c r="C5143" t="s">
        <v>14155</v>
      </c>
      <c r="D5143" s="69">
        <v>775</v>
      </c>
      <c r="G5143" s="8" t="s">
        <v>1372</v>
      </c>
      <c r="H5143" t="s">
        <v>1336</v>
      </c>
    </row>
    <row r="5144" spans="1:8" hidden="1">
      <c r="A5144" s="232">
        <v>45415</v>
      </c>
      <c r="C5144" t="s">
        <v>14156</v>
      </c>
      <c r="D5144" s="69">
        <v>1000</v>
      </c>
      <c r="G5144" s="8" t="s">
        <v>1372</v>
      </c>
      <c r="H5144" t="s">
        <v>1336</v>
      </c>
    </row>
    <row r="5145" spans="1:8" hidden="1">
      <c r="A5145" s="232">
        <v>45416</v>
      </c>
      <c r="C5145" t="s">
        <v>14157</v>
      </c>
      <c r="D5145" s="69">
        <v>750</v>
      </c>
      <c r="G5145" s="8" t="s">
        <v>1372</v>
      </c>
      <c r="H5145" t="s">
        <v>1336</v>
      </c>
    </row>
    <row r="5146" spans="1:8" hidden="1">
      <c r="A5146" s="232">
        <v>45416</v>
      </c>
      <c r="C5146" t="s">
        <v>14158</v>
      </c>
      <c r="D5146" s="69">
        <v>4501.8</v>
      </c>
      <c r="H5146" t="s">
        <v>1336</v>
      </c>
    </row>
    <row r="5147" spans="1:8" hidden="1">
      <c r="A5147" s="232">
        <v>45416</v>
      </c>
      <c r="C5147" t="s">
        <v>14159</v>
      </c>
      <c r="D5147" s="69">
        <v>360</v>
      </c>
      <c r="H5147" t="s">
        <v>1336</v>
      </c>
    </row>
    <row r="5148" spans="1:8" hidden="1">
      <c r="A5148" s="232">
        <v>45418</v>
      </c>
      <c r="C5148" t="s">
        <v>6583</v>
      </c>
      <c r="D5148" s="69">
        <v>102154</v>
      </c>
      <c r="G5148" s="8" t="s">
        <v>1362</v>
      </c>
      <c r="H5148" t="s">
        <v>1336</v>
      </c>
    </row>
    <row r="5149" spans="1:8" hidden="1">
      <c r="A5149" s="232">
        <v>45418</v>
      </c>
      <c r="C5149" t="s">
        <v>14160</v>
      </c>
      <c r="D5149" s="69">
        <v>3000</v>
      </c>
      <c r="H5149" t="s">
        <v>1336</v>
      </c>
    </row>
    <row r="5150" spans="1:8" hidden="1">
      <c r="A5150" s="232">
        <v>45418</v>
      </c>
      <c r="C5150" t="s">
        <v>14161</v>
      </c>
      <c r="D5150" s="69">
        <v>1000</v>
      </c>
      <c r="G5150" s="8" t="s">
        <v>1372</v>
      </c>
      <c r="H5150" t="s">
        <v>1336</v>
      </c>
    </row>
    <row r="5151" spans="1:8" hidden="1">
      <c r="A5151" s="232">
        <v>45418</v>
      </c>
      <c r="C5151" t="s">
        <v>14162</v>
      </c>
      <c r="D5151" s="69">
        <v>1250</v>
      </c>
      <c r="G5151" s="8" t="s">
        <v>1372</v>
      </c>
      <c r="H5151" t="s">
        <v>1336</v>
      </c>
    </row>
    <row r="5152" spans="1:8" hidden="1">
      <c r="A5152" s="232">
        <v>45418</v>
      </c>
      <c r="C5152" t="s">
        <v>14163</v>
      </c>
      <c r="D5152" s="69">
        <v>1250</v>
      </c>
      <c r="G5152" s="8" t="s">
        <v>1372</v>
      </c>
      <c r="H5152" t="s">
        <v>1336</v>
      </c>
    </row>
    <row r="5153" spans="1:8" hidden="1">
      <c r="A5153" s="232">
        <v>45418</v>
      </c>
      <c r="C5153" t="s">
        <v>14164</v>
      </c>
      <c r="D5153" s="69">
        <v>800</v>
      </c>
      <c r="G5153" s="8" t="s">
        <v>1372</v>
      </c>
      <c r="H5153" t="s">
        <v>1336</v>
      </c>
    </row>
    <row r="5154" spans="1:8" hidden="1">
      <c r="A5154" s="232">
        <v>45418</v>
      </c>
      <c r="C5154" t="s">
        <v>14165</v>
      </c>
      <c r="D5154" s="69">
        <v>1000</v>
      </c>
      <c r="G5154" s="8" t="s">
        <v>1372</v>
      </c>
      <c r="H5154" t="s">
        <v>1336</v>
      </c>
    </row>
    <row r="5155" spans="1:8" hidden="1">
      <c r="A5155" s="232">
        <v>45418</v>
      </c>
      <c r="C5155" t="s">
        <v>14166</v>
      </c>
      <c r="D5155" s="69">
        <v>102</v>
      </c>
      <c r="H5155" t="s">
        <v>1336</v>
      </c>
    </row>
    <row r="5156" spans="1:8" hidden="1">
      <c r="A5156" s="232">
        <v>45418</v>
      </c>
      <c r="C5156" t="s">
        <v>14167</v>
      </c>
      <c r="D5156" s="69">
        <v>13</v>
      </c>
      <c r="H5156" t="s">
        <v>1336</v>
      </c>
    </row>
    <row r="5157" spans="1:8" hidden="1">
      <c r="A5157" s="232">
        <v>45419</v>
      </c>
      <c r="C5157" t="s">
        <v>14168</v>
      </c>
      <c r="D5157" s="69">
        <v>1000</v>
      </c>
      <c r="G5157" s="8" t="s">
        <v>1372</v>
      </c>
      <c r="H5157" t="s">
        <v>1336</v>
      </c>
    </row>
    <row r="5158" spans="1:8" hidden="1">
      <c r="A5158" s="232">
        <v>45419</v>
      </c>
      <c r="C5158" t="s">
        <v>14169</v>
      </c>
      <c r="D5158" s="69">
        <v>164430</v>
      </c>
      <c r="G5158" s="8" t="s">
        <v>1370</v>
      </c>
      <c r="H5158" t="s">
        <v>1336</v>
      </c>
    </row>
    <row r="5159" spans="1:8" hidden="1">
      <c r="A5159" s="232">
        <v>45420</v>
      </c>
      <c r="C5159" t="s">
        <v>14170</v>
      </c>
      <c r="D5159" s="69">
        <v>775</v>
      </c>
      <c r="G5159" s="8" t="s">
        <v>1372</v>
      </c>
      <c r="H5159" t="s">
        <v>1336</v>
      </c>
    </row>
    <row r="5160" spans="1:8" hidden="1">
      <c r="A5160" s="232">
        <v>45420</v>
      </c>
      <c r="C5160" t="s">
        <v>14171</v>
      </c>
      <c r="D5160" s="69">
        <v>1000</v>
      </c>
      <c r="G5160" s="8" t="s">
        <v>1372</v>
      </c>
      <c r="H5160" t="s">
        <v>1336</v>
      </c>
    </row>
    <row r="5161" spans="1:8" hidden="1">
      <c r="A5161" s="232">
        <v>45420</v>
      </c>
      <c r="C5161" t="s">
        <v>14172</v>
      </c>
      <c r="D5161" s="69">
        <v>1268.5</v>
      </c>
      <c r="H5161" t="s">
        <v>1336</v>
      </c>
    </row>
    <row r="5162" spans="1:8" hidden="1">
      <c r="A5162" s="232">
        <v>45421</v>
      </c>
      <c r="C5162" t="s">
        <v>14173</v>
      </c>
      <c r="D5162" s="69">
        <v>750</v>
      </c>
      <c r="G5162" s="8" t="s">
        <v>1372</v>
      </c>
      <c r="H5162" t="s">
        <v>1336</v>
      </c>
    </row>
    <row r="5163" spans="1:8" hidden="1">
      <c r="A5163" s="232">
        <v>45421</v>
      </c>
      <c r="C5163" t="s">
        <v>14174</v>
      </c>
      <c r="D5163" s="69">
        <v>750</v>
      </c>
      <c r="G5163" s="8" t="s">
        <v>1372</v>
      </c>
      <c r="H5163" t="s">
        <v>1336</v>
      </c>
    </row>
    <row r="5164" spans="1:8" hidden="1">
      <c r="A5164" s="232">
        <v>45421</v>
      </c>
      <c r="C5164" t="s">
        <v>14175</v>
      </c>
      <c r="D5164" s="69">
        <v>1000</v>
      </c>
      <c r="G5164" s="8" t="s">
        <v>1372</v>
      </c>
      <c r="H5164" t="s">
        <v>1336</v>
      </c>
    </row>
    <row r="5165" spans="1:8" hidden="1">
      <c r="A5165" s="232">
        <v>45421</v>
      </c>
      <c r="C5165" t="s">
        <v>14176</v>
      </c>
      <c r="D5165" s="69">
        <v>18</v>
      </c>
      <c r="H5165" t="s">
        <v>1336</v>
      </c>
    </row>
    <row r="5166" spans="1:8" hidden="1">
      <c r="A5166" s="232">
        <v>45421</v>
      </c>
      <c r="C5166" t="s">
        <v>14177</v>
      </c>
      <c r="D5166" s="69">
        <v>66</v>
      </c>
      <c r="H5166" t="s">
        <v>1336</v>
      </c>
    </row>
    <row r="5167" spans="1:8" hidden="1">
      <c r="A5167" s="232">
        <v>45422</v>
      </c>
      <c r="C5167" t="s">
        <v>14178</v>
      </c>
      <c r="D5167" s="69">
        <v>1250</v>
      </c>
      <c r="G5167" s="8" t="s">
        <v>1372</v>
      </c>
      <c r="H5167" t="s">
        <v>1336</v>
      </c>
    </row>
    <row r="5168" spans="1:8" hidden="1">
      <c r="A5168" s="232">
        <v>45422</v>
      </c>
      <c r="C5168" t="s">
        <v>14179</v>
      </c>
      <c r="D5168" s="69">
        <v>1000</v>
      </c>
      <c r="G5168" s="8" t="s">
        <v>1372</v>
      </c>
      <c r="H5168" t="s">
        <v>1336</v>
      </c>
    </row>
    <row r="5169" spans="1:8" hidden="1">
      <c r="A5169" s="232">
        <v>45422</v>
      </c>
      <c r="C5169" t="s">
        <v>14180</v>
      </c>
      <c r="D5169" s="69">
        <v>2400</v>
      </c>
      <c r="H5169" t="s">
        <v>1336</v>
      </c>
    </row>
    <row r="5170" spans="1:8" hidden="1">
      <c r="A5170" s="232">
        <v>45423</v>
      </c>
      <c r="C5170" t="s">
        <v>14181</v>
      </c>
      <c r="D5170" s="69">
        <v>1250</v>
      </c>
      <c r="G5170" s="8" t="s">
        <v>1372</v>
      </c>
      <c r="H5170" t="s">
        <v>1336</v>
      </c>
    </row>
    <row r="5171" spans="1:8" hidden="1">
      <c r="A5171" s="232">
        <v>45423</v>
      </c>
      <c r="C5171" t="s">
        <v>14182</v>
      </c>
      <c r="D5171" s="69">
        <v>5000</v>
      </c>
      <c r="H5171" t="s">
        <v>1336</v>
      </c>
    </row>
    <row r="5172" spans="1:8" hidden="1">
      <c r="A5172" s="232">
        <v>45425</v>
      </c>
      <c r="C5172" t="s">
        <v>14183</v>
      </c>
      <c r="D5172" s="69">
        <v>1000</v>
      </c>
      <c r="G5172" s="8" t="s">
        <v>1372</v>
      </c>
      <c r="H5172" t="s">
        <v>1336</v>
      </c>
    </row>
    <row r="5173" spans="1:8" hidden="1">
      <c r="A5173" s="232">
        <v>45425</v>
      </c>
      <c r="C5173" t="s">
        <v>14184</v>
      </c>
      <c r="D5173" s="69">
        <v>775</v>
      </c>
      <c r="G5173" s="8" t="s">
        <v>1372</v>
      </c>
      <c r="H5173" t="s">
        <v>1336</v>
      </c>
    </row>
    <row r="5174" spans="1:8" hidden="1">
      <c r="A5174" s="232">
        <v>45425</v>
      </c>
      <c r="C5174" t="s">
        <v>14185</v>
      </c>
      <c r="D5174" s="69">
        <v>1000</v>
      </c>
      <c r="G5174" s="8" t="s">
        <v>1372</v>
      </c>
      <c r="H5174" t="s">
        <v>1336</v>
      </c>
    </row>
    <row r="5175" spans="1:8" hidden="1">
      <c r="A5175" s="232">
        <v>45426</v>
      </c>
      <c r="C5175" t="s">
        <v>14186</v>
      </c>
      <c r="D5175" s="69">
        <v>800</v>
      </c>
      <c r="G5175" s="8" t="s">
        <v>1372</v>
      </c>
      <c r="H5175" t="s">
        <v>1336</v>
      </c>
    </row>
    <row r="5176" spans="1:8" hidden="1">
      <c r="A5176" s="232">
        <v>45426</v>
      </c>
      <c r="C5176" t="s">
        <v>14187</v>
      </c>
      <c r="D5176" s="69">
        <v>1000</v>
      </c>
      <c r="G5176" s="8" t="s">
        <v>1372</v>
      </c>
      <c r="H5176" t="s">
        <v>1336</v>
      </c>
    </row>
    <row r="5177" spans="1:8" hidden="1">
      <c r="A5177" s="232">
        <v>45427</v>
      </c>
      <c r="C5177" t="s">
        <v>14188</v>
      </c>
      <c r="D5177" s="69">
        <v>750</v>
      </c>
      <c r="G5177" s="8" t="s">
        <v>1372</v>
      </c>
      <c r="H5177" t="s">
        <v>1336</v>
      </c>
    </row>
    <row r="5178" spans="1:8" hidden="1">
      <c r="A5178" s="232">
        <v>45427</v>
      </c>
      <c r="C5178" t="s">
        <v>14189</v>
      </c>
      <c r="D5178" s="69">
        <v>1250</v>
      </c>
      <c r="G5178" s="8" t="s">
        <v>1372</v>
      </c>
      <c r="H5178" t="s">
        <v>1336</v>
      </c>
    </row>
    <row r="5179" spans="1:8" hidden="1">
      <c r="A5179" s="232">
        <v>45427</v>
      </c>
      <c r="C5179" t="s">
        <v>14190</v>
      </c>
      <c r="D5179" s="69">
        <v>1000</v>
      </c>
      <c r="G5179" s="8" t="s">
        <v>1372</v>
      </c>
      <c r="H5179" t="s">
        <v>1336</v>
      </c>
    </row>
    <row r="5180" spans="1:8" hidden="1">
      <c r="A5180" s="232">
        <v>45427</v>
      </c>
      <c r="C5180" t="s">
        <v>14191</v>
      </c>
      <c r="D5180" s="69">
        <v>1250</v>
      </c>
      <c r="G5180" s="8" t="s">
        <v>1372</v>
      </c>
      <c r="H5180" t="s">
        <v>1336</v>
      </c>
    </row>
    <row r="5181" spans="1:8" hidden="1">
      <c r="A5181" s="232">
        <v>45428</v>
      </c>
      <c r="C5181" t="s">
        <v>14192</v>
      </c>
      <c r="D5181" s="69">
        <v>1000</v>
      </c>
      <c r="G5181" s="8" t="s">
        <v>1372</v>
      </c>
      <c r="H5181" t="s">
        <v>1336</v>
      </c>
    </row>
    <row r="5182" spans="1:8" hidden="1">
      <c r="A5182" s="232">
        <v>45429</v>
      </c>
      <c r="C5182" t="s">
        <v>14193</v>
      </c>
      <c r="D5182" s="69">
        <v>750</v>
      </c>
      <c r="G5182" s="8" t="s">
        <v>1372</v>
      </c>
      <c r="H5182" t="s">
        <v>1336</v>
      </c>
    </row>
    <row r="5183" spans="1:8" hidden="1">
      <c r="A5183" s="232">
        <v>45429</v>
      </c>
      <c r="C5183" t="s">
        <v>14194</v>
      </c>
      <c r="D5183" s="69">
        <v>800</v>
      </c>
      <c r="H5183" t="s">
        <v>1336</v>
      </c>
    </row>
    <row r="5184" spans="1:8" hidden="1">
      <c r="A5184" s="232">
        <v>45429</v>
      </c>
      <c r="C5184" t="s">
        <v>14195</v>
      </c>
      <c r="D5184" s="69">
        <v>600</v>
      </c>
      <c r="H5184" t="s">
        <v>1336</v>
      </c>
    </row>
    <row r="5185" spans="1:8" hidden="1">
      <c r="A5185" s="232">
        <v>45430</v>
      </c>
      <c r="C5185" t="s">
        <v>14196</v>
      </c>
      <c r="D5185" s="69">
        <v>786</v>
      </c>
      <c r="H5185" t="s">
        <v>1336</v>
      </c>
    </row>
    <row r="5186" spans="1:8" hidden="1">
      <c r="A5186" s="232">
        <v>45430</v>
      </c>
      <c r="C5186" t="s">
        <v>14197</v>
      </c>
      <c r="D5186" s="69">
        <v>2540</v>
      </c>
      <c r="H5186" t="s">
        <v>1336</v>
      </c>
    </row>
    <row r="5187" spans="1:8" hidden="1">
      <c r="A5187" s="232">
        <v>45430</v>
      </c>
      <c r="C5187" t="s">
        <v>14198</v>
      </c>
      <c r="D5187" s="69">
        <v>1000</v>
      </c>
      <c r="G5187" s="8" t="s">
        <v>1372</v>
      </c>
      <c r="H5187" t="s">
        <v>1336</v>
      </c>
    </row>
    <row r="5188" spans="1:8" hidden="1">
      <c r="A5188" s="232">
        <v>45431</v>
      </c>
      <c r="C5188" t="s">
        <v>14199</v>
      </c>
      <c r="D5188" s="69">
        <v>750</v>
      </c>
      <c r="G5188" s="8" t="s">
        <v>1372</v>
      </c>
      <c r="H5188" t="s">
        <v>1336</v>
      </c>
    </row>
    <row r="5189" spans="1:8" hidden="1">
      <c r="A5189" s="232">
        <v>45432</v>
      </c>
      <c r="C5189" t="s">
        <v>14200</v>
      </c>
      <c r="D5189" s="69">
        <v>775</v>
      </c>
      <c r="G5189" s="8" t="s">
        <v>1372</v>
      </c>
      <c r="H5189" t="s">
        <v>1336</v>
      </c>
    </row>
    <row r="5190" spans="1:8" hidden="1">
      <c r="A5190" s="232">
        <v>45433</v>
      </c>
      <c r="C5190" t="s">
        <v>14201</v>
      </c>
      <c r="D5190" s="69">
        <v>750</v>
      </c>
      <c r="G5190" s="8" t="s">
        <v>1372</v>
      </c>
      <c r="H5190" t="s">
        <v>1336</v>
      </c>
    </row>
    <row r="5191" spans="1:8" hidden="1">
      <c r="A5191" s="232">
        <v>45433</v>
      </c>
      <c r="C5191" t="s">
        <v>14202</v>
      </c>
      <c r="D5191" s="69">
        <v>1000</v>
      </c>
      <c r="G5191" s="8" t="s">
        <v>1372</v>
      </c>
      <c r="H5191" t="s">
        <v>1336</v>
      </c>
    </row>
    <row r="5192" spans="1:8" hidden="1">
      <c r="A5192" s="232">
        <v>45433</v>
      </c>
      <c r="C5192" t="s">
        <v>14203</v>
      </c>
      <c r="D5192" s="69">
        <v>1000</v>
      </c>
      <c r="G5192" s="8" t="s">
        <v>1372</v>
      </c>
      <c r="H5192" t="s">
        <v>1336</v>
      </c>
    </row>
    <row r="5193" spans="1:8" hidden="1">
      <c r="A5193" s="232">
        <v>45433</v>
      </c>
      <c r="C5193" t="s">
        <v>14204</v>
      </c>
      <c r="D5193" s="69">
        <v>1000</v>
      </c>
      <c r="G5193" s="8" t="s">
        <v>1372</v>
      </c>
      <c r="H5193" t="s">
        <v>1336</v>
      </c>
    </row>
    <row r="5194" spans="1:8" hidden="1">
      <c r="A5194" s="232">
        <v>45433</v>
      </c>
      <c r="C5194" t="s">
        <v>14205</v>
      </c>
      <c r="D5194" s="69">
        <v>1000</v>
      </c>
      <c r="G5194" s="8" t="s">
        <v>1372</v>
      </c>
      <c r="H5194" t="s">
        <v>1336</v>
      </c>
    </row>
    <row r="5195" spans="1:8" hidden="1">
      <c r="A5195" s="232">
        <v>45434</v>
      </c>
      <c r="C5195" t="s">
        <v>14206</v>
      </c>
      <c r="D5195" s="69">
        <v>750</v>
      </c>
      <c r="G5195" s="8" t="s">
        <v>1372</v>
      </c>
      <c r="H5195" t="s">
        <v>1336</v>
      </c>
    </row>
    <row r="5196" spans="1:8" hidden="1">
      <c r="A5196" s="232">
        <v>45434</v>
      </c>
      <c r="C5196" t="s">
        <v>14207</v>
      </c>
      <c r="D5196" s="69">
        <v>3472</v>
      </c>
      <c r="G5196" s="8" t="s">
        <v>1370</v>
      </c>
      <c r="H5196" t="s">
        <v>1336</v>
      </c>
    </row>
    <row r="5197" spans="1:8" hidden="1">
      <c r="A5197" s="232">
        <v>45434</v>
      </c>
      <c r="C5197" t="s">
        <v>14208</v>
      </c>
      <c r="D5197" s="69">
        <v>9381</v>
      </c>
      <c r="G5197" s="8" t="s">
        <v>1370</v>
      </c>
      <c r="H5197" t="s">
        <v>1336</v>
      </c>
    </row>
    <row r="5198" spans="1:8" hidden="1">
      <c r="A5198" s="232">
        <v>45434</v>
      </c>
      <c r="C5198" t="s">
        <v>14209</v>
      </c>
      <c r="D5198" s="69">
        <v>3843</v>
      </c>
      <c r="G5198" s="8" t="s">
        <v>1370</v>
      </c>
      <c r="H5198" t="s">
        <v>1336</v>
      </c>
    </row>
    <row r="5199" spans="1:8" hidden="1">
      <c r="A5199" s="232">
        <v>45434</v>
      </c>
      <c r="C5199" t="s">
        <v>14210</v>
      </c>
      <c r="D5199" s="69">
        <v>10399</v>
      </c>
      <c r="G5199" s="8" t="s">
        <v>1370</v>
      </c>
      <c r="H5199" t="s">
        <v>1336</v>
      </c>
    </row>
    <row r="5200" spans="1:8" hidden="1">
      <c r="A5200" s="232">
        <v>45434</v>
      </c>
      <c r="C5200" t="s">
        <v>14211</v>
      </c>
      <c r="D5200" s="69">
        <v>4108</v>
      </c>
      <c r="G5200" s="8" t="s">
        <v>1370</v>
      </c>
      <c r="H5200" t="s">
        <v>1336</v>
      </c>
    </row>
    <row r="5201" spans="1:8" hidden="1">
      <c r="A5201" s="232">
        <v>45434</v>
      </c>
      <c r="C5201" t="s">
        <v>14212</v>
      </c>
      <c r="D5201" s="69">
        <v>11718</v>
      </c>
      <c r="G5201" s="8" t="s">
        <v>1370</v>
      </c>
      <c r="H5201" t="s">
        <v>1336</v>
      </c>
    </row>
    <row r="5202" spans="1:8" hidden="1">
      <c r="A5202" s="232">
        <v>45434</v>
      </c>
      <c r="C5202" t="s">
        <v>14213</v>
      </c>
      <c r="D5202" s="69">
        <v>4523</v>
      </c>
      <c r="G5202" s="8" t="s">
        <v>1370</v>
      </c>
      <c r="H5202" t="s">
        <v>1336</v>
      </c>
    </row>
    <row r="5203" spans="1:8" hidden="1">
      <c r="A5203" s="232">
        <v>45434</v>
      </c>
      <c r="C5203" t="s">
        <v>14214</v>
      </c>
      <c r="D5203" s="69">
        <v>12869</v>
      </c>
      <c r="G5203" s="8" t="s">
        <v>1370</v>
      </c>
      <c r="H5203" t="s">
        <v>1336</v>
      </c>
    </row>
    <row r="5204" spans="1:8" hidden="1">
      <c r="A5204" s="232">
        <v>45434</v>
      </c>
      <c r="C5204" t="s">
        <v>14215</v>
      </c>
      <c r="D5204" s="69">
        <v>14380</v>
      </c>
      <c r="G5204" s="8" t="s">
        <v>1370</v>
      </c>
      <c r="H5204" t="s">
        <v>1336</v>
      </c>
    </row>
    <row r="5205" spans="1:8" hidden="1">
      <c r="A5205" s="232">
        <v>45434</v>
      </c>
      <c r="C5205" t="s">
        <v>14216</v>
      </c>
      <c r="D5205" s="69">
        <v>16090</v>
      </c>
      <c r="G5205" s="8" t="s">
        <v>1370</v>
      </c>
      <c r="H5205" t="s">
        <v>1336</v>
      </c>
    </row>
    <row r="5206" spans="1:8" hidden="1">
      <c r="A5206" s="232">
        <v>45434</v>
      </c>
      <c r="C5206" t="s">
        <v>14217</v>
      </c>
      <c r="D5206" s="69">
        <v>4972</v>
      </c>
      <c r="G5206" s="8" t="s">
        <v>1370</v>
      </c>
      <c r="H5206" t="s">
        <v>1336</v>
      </c>
    </row>
    <row r="5207" spans="1:8" hidden="1">
      <c r="A5207" s="232">
        <v>45434</v>
      </c>
      <c r="C5207" t="s">
        <v>14218</v>
      </c>
      <c r="D5207" s="69">
        <v>18233</v>
      </c>
      <c r="G5207" s="8" t="s">
        <v>1370</v>
      </c>
      <c r="H5207" t="s">
        <v>1336</v>
      </c>
    </row>
    <row r="5208" spans="1:8" hidden="1">
      <c r="A5208" s="232">
        <v>45434</v>
      </c>
      <c r="C5208" t="s">
        <v>14219</v>
      </c>
      <c r="D5208" s="69">
        <v>20866</v>
      </c>
      <c r="G5208" s="8" t="s">
        <v>1370</v>
      </c>
      <c r="H5208" t="s">
        <v>1336</v>
      </c>
    </row>
    <row r="5209" spans="1:8" hidden="1">
      <c r="A5209" s="232">
        <v>45434</v>
      </c>
      <c r="C5209" t="s">
        <v>14220</v>
      </c>
      <c r="D5209" s="69">
        <v>24914</v>
      </c>
      <c r="G5209" s="8" t="s">
        <v>1370</v>
      </c>
      <c r="H5209" t="s">
        <v>1336</v>
      </c>
    </row>
    <row r="5210" spans="1:8" hidden="1">
      <c r="A5210" s="232">
        <v>45434</v>
      </c>
      <c r="C5210" t="s">
        <v>14221</v>
      </c>
      <c r="D5210" s="69">
        <v>2945</v>
      </c>
      <c r="G5210" s="8" t="s">
        <v>1370</v>
      </c>
      <c r="H5210" t="s">
        <v>1336</v>
      </c>
    </row>
    <row r="5211" spans="1:8" hidden="1">
      <c r="A5211" s="232">
        <v>45434</v>
      </c>
      <c r="C5211" t="s">
        <v>14222</v>
      </c>
      <c r="D5211" s="69">
        <v>5448</v>
      </c>
      <c r="G5211" s="8" t="s">
        <v>1370</v>
      </c>
      <c r="H5211" t="s">
        <v>1336</v>
      </c>
    </row>
    <row r="5212" spans="1:8" hidden="1">
      <c r="A5212" s="232">
        <v>45434</v>
      </c>
      <c r="C5212" t="s">
        <v>14223</v>
      </c>
      <c r="D5212" s="69">
        <v>29106</v>
      </c>
      <c r="G5212" s="8" t="s">
        <v>1370</v>
      </c>
      <c r="H5212" t="s">
        <v>1336</v>
      </c>
    </row>
    <row r="5213" spans="1:8" hidden="1">
      <c r="A5213" s="232">
        <v>45434</v>
      </c>
      <c r="C5213" t="s">
        <v>14224</v>
      </c>
      <c r="D5213" s="69">
        <v>5962</v>
      </c>
      <c r="G5213" s="8" t="s">
        <v>1370</v>
      </c>
      <c r="H5213" t="s">
        <v>1336</v>
      </c>
    </row>
    <row r="5214" spans="1:8" hidden="1">
      <c r="A5214" s="232">
        <v>45434</v>
      </c>
      <c r="C5214" t="s">
        <v>14225</v>
      </c>
      <c r="D5214" s="69">
        <v>3013</v>
      </c>
      <c r="G5214" s="8" t="s">
        <v>1370</v>
      </c>
      <c r="H5214" t="s">
        <v>1336</v>
      </c>
    </row>
    <row r="5215" spans="1:8" hidden="1">
      <c r="A5215" s="232">
        <v>45434</v>
      </c>
      <c r="C5215" t="s">
        <v>14226</v>
      </c>
      <c r="D5215" s="69">
        <v>6509</v>
      </c>
      <c r="G5215" s="8" t="s">
        <v>1370</v>
      </c>
      <c r="H5215" t="s">
        <v>1336</v>
      </c>
    </row>
    <row r="5216" spans="1:8" hidden="1">
      <c r="A5216" s="232">
        <v>45434</v>
      </c>
      <c r="C5216" t="s">
        <v>14227</v>
      </c>
      <c r="D5216" s="69">
        <v>3204</v>
      </c>
      <c r="G5216" s="8" t="s">
        <v>1370</v>
      </c>
      <c r="H5216" t="s">
        <v>1336</v>
      </c>
    </row>
    <row r="5217" spans="1:8" hidden="1">
      <c r="A5217" s="232">
        <v>45434</v>
      </c>
      <c r="C5217" t="s">
        <v>14228</v>
      </c>
      <c r="D5217" s="69">
        <v>3247</v>
      </c>
      <c r="G5217" s="8" t="s">
        <v>1370</v>
      </c>
      <c r="H5217" t="s">
        <v>1336</v>
      </c>
    </row>
    <row r="5218" spans="1:8" hidden="1">
      <c r="A5218" s="232">
        <v>45434</v>
      </c>
      <c r="C5218" t="s">
        <v>14229</v>
      </c>
      <c r="D5218" s="69">
        <v>3278</v>
      </c>
      <c r="G5218" s="8" t="s">
        <v>1370</v>
      </c>
      <c r="H5218" t="s">
        <v>1336</v>
      </c>
    </row>
    <row r="5219" spans="1:8" hidden="1">
      <c r="A5219" s="232">
        <v>45434</v>
      </c>
      <c r="C5219" t="s">
        <v>14230</v>
      </c>
      <c r="D5219" s="69">
        <v>6930</v>
      </c>
      <c r="G5219" s="8" t="s">
        <v>1370</v>
      </c>
      <c r="H5219" t="s">
        <v>1336</v>
      </c>
    </row>
    <row r="5220" spans="1:8" hidden="1">
      <c r="A5220" s="232">
        <v>45434</v>
      </c>
      <c r="C5220" t="s">
        <v>14231</v>
      </c>
      <c r="D5220" s="69">
        <v>7571</v>
      </c>
      <c r="G5220" s="8" t="s">
        <v>1370</v>
      </c>
      <c r="H5220" t="s">
        <v>1336</v>
      </c>
    </row>
    <row r="5221" spans="1:8" hidden="1">
      <c r="A5221" s="232">
        <v>45434</v>
      </c>
      <c r="C5221" t="s">
        <v>14232</v>
      </c>
      <c r="D5221" s="69">
        <v>8436</v>
      </c>
      <c r="G5221" s="8" t="s">
        <v>1370</v>
      </c>
      <c r="H5221" t="s">
        <v>1336</v>
      </c>
    </row>
    <row r="5222" spans="1:8" hidden="1">
      <c r="A5222" s="232">
        <v>45435</v>
      </c>
      <c r="C5222" t="s">
        <v>14233</v>
      </c>
      <c r="D5222" s="69">
        <v>750</v>
      </c>
      <c r="G5222" s="8" t="s">
        <v>1372</v>
      </c>
      <c r="H5222" t="s">
        <v>1336</v>
      </c>
    </row>
    <row r="5223" spans="1:8" hidden="1">
      <c r="A5223" s="232">
        <v>45436</v>
      </c>
      <c r="C5223" t="s">
        <v>14234</v>
      </c>
      <c r="D5223" s="69">
        <v>1000</v>
      </c>
      <c r="G5223" s="8" t="s">
        <v>1372</v>
      </c>
      <c r="H5223" t="s">
        <v>1336</v>
      </c>
    </row>
    <row r="5224" spans="1:8" hidden="1">
      <c r="A5224" s="232">
        <v>45437</v>
      </c>
      <c r="C5224" t="s">
        <v>14235</v>
      </c>
      <c r="D5224" s="69">
        <v>750</v>
      </c>
      <c r="G5224" s="8" t="s">
        <v>1372</v>
      </c>
      <c r="H5224" t="s">
        <v>1336</v>
      </c>
    </row>
    <row r="5225" spans="1:8" hidden="1">
      <c r="A5225" s="232">
        <v>45437</v>
      </c>
      <c r="C5225" t="s">
        <v>14236</v>
      </c>
      <c r="D5225" s="69">
        <v>1556</v>
      </c>
      <c r="H5225" t="s">
        <v>1336</v>
      </c>
    </row>
    <row r="5226" spans="1:8" hidden="1">
      <c r="A5226" s="232">
        <v>45437</v>
      </c>
      <c r="C5226" t="s">
        <v>14237</v>
      </c>
      <c r="D5226" s="69">
        <v>599</v>
      </c>
      <c r="H5226" t="s">
        <v>1336</v>
      </c>
    </row>
    <row r="5227" spans="1:8" hidden="1">
      <c r="A5227" s="232">
        <v>45439</v>
      </c>
      <c r="C5227" t="s">
        <v>14238</v>
      </c>
      <c r="D5227" s="69">
        <v>1000</v>
      </c>
      <c r="G5227" s="8" t="s">
        <v>1372</v>
      </c>
      <c r="H5227" t="s">
        <v>1336</v>
      </c>
    </row>
    <row r="5228" spans="1:8" hidden="1">
      <c r="A5228" s="232">
        <v>45439</v>
      </c>
      <c r="C5228" t="s">
        <v>14239</v>
      </c>
      <c r="D5228" s="69">
        <v>1000</v>
      </c>
      <c r="G5228" s="8" t="s">
        <v>1372</v>
      </c>
      <c r="H5228" t="s">
        <v>1336</v>
      </c>
    </row>
    <row r="5229" spans="1:8" hidden="1">
      <c r="A5229" s="232">
        <v>45439</v>
      </c>
      <c r="C5229" t="s">
        <v>14240</v>
      </c>
      <c r="D5229" s="69">
        <v>5000</v>
      </c>
      <c r="H5229" t="s">
        <v>1336</v>
      </c>
    </row>
    <row r="5230" spans="1:8" hidden="1">
      <c r="A5230" s="232">
        <v>45440</v>
      </c>
      <c r="C5230" t="s">
        <v>14241</v>
      </c>
      <c r="D5230" s="69">
        <v>800</v>
      </c>
      <c r="G5230" s="8" t="s">
        <v>1372</v>
      </c>
      <c r="H5230" t="s">
        <v>1336</v>
      </c>
    </row>
    <row r="5231" spans="1:8" hidden="1">
      <c r="A5231" s="232">
        <v>45441</v>
      </c>
      <c r="C5231" t="s">
        <v>14242</v>
      </c>
      <c r="D5231" s="69">
        <v>2000</v>
      </c>
      <c r="H5231" t="s">
        <v>1336</v>
      </c>
    </row>
    <row r="5232" spans="1:8" hidden="1">
      <c r="A5232" s="232">
        <v>45441</v>
      </c>
      <c r="C5232" t="s">
        <v>14243</v>
      </c>
      <c r="E5232">
        <v>532882</v>
      </c>
      <c r="G5232" s="8" t="s">
        <v>1380</v>
      </c>
      <c r="H5232" t="s">
        <v>1336</v>
      </c>
    </row>
    <row r="5233" spans="1:8" hidden="1">
      <c r="A5233" s="232">
        <v>45441</v>
      </c>
      <c r="C5233" t="s">
        <v>14244</v>
      </c>
      <c r="D5233" s="69">
        <v>30</v>
      </c>
      <c r="H5233" t="s">
        <v>1336</v>
      </c>
    </row>
    <row r="5234" spans="1:8" hidden="1">
      <c r="A5234" s="232">
        <v>45442</v>
      </c>
      <c r="C5234" t="s">
        <v>14245</v>
      </c>
      <c r="D5234" s="69">
        <v>4019.08</v>
      </c>
      <c r="H5234" t="s">
        <v>1336</v>
      </c>
    </row>
    <row r="5235" spans="1:8" hidden="1">
      <c r="A5235" s="232">
        <v>45443</v>
      </c>
      <c r="C5235" t="s">
        <v>14246</v>
      </c>
      <c r="D5235" s="69">
        <v>50</v>
      </c>
      <c r="H5235" t="s">
        <v>1336</v>
      </c>
    </row>
    <row r="5236" spans="1:8" hidden="1">
      <c r="A5236" s="232">
        <v>45443</v>
      </c>
      <c r="C5236" t="s">
        <v>14247</v>
      </c>
      <c r="E5236">
        <v>800</v>
      </c>
      <c r="H5236" t="s">
        <v>1336</v>
      </c>
    </row>
    <row r="5237" spans="1:8" hidden="1">
      <c r="A5237" s="232">
        <v>45443</v>
      </c>
      <c r="C5237" t="s">
        <v>14248</v>
      </c>
      <c r="E5237">
        <v>800</v>
      </c>
      <c r="H5237" t="s">
        <v>1336</v>
      </c>
    </row>
    <row r="5238" spans="1:8" hidden="1">
      <c r="A5238" s="232">
        <v>45443</v>
      </c>
      <c r="C5238" t="s">
        <v>14249</v>
      </c>
      <c r="E5238">
        <v>800</v>
      </c>
      <c r="H5238" t="s">
        <v>1336</v>
      </c>
    </row>
    <row r="5239" spans="1:8" hidden="1">
      <c r="A5239" s="232">
        <v>45448</v>
      </c>
      <c r="C5239" t="s">
        <v>14306</v>
      </c>
      <c r="D5239" s="69">
        <v>0</v>
      </c>
      <c r="E5239">
        <v>9772.36</v>
      </c>
      <c r="G5239" s="8" t="s">
        <v>1375</v>
      </c>
      <c r="H5239" t="s">
        <v>1050</v>
      </c>
    </row>
    <row r="5240" spans="1:8" hidden="1">
      <c r="A5240" s="232">
        <v>45464</v>
      </c>
      <c r="C5240" t="s">
        <v>14307</v>
      </c>
      <c r="D5240" s="69">
        <v>41667</v>
      </c>
      <c r="E5240">
        <v>0</v>
      </c>
      <c r="G5240" s="8" t="s">
        <v>1381</v>
      </c>
      <c r="H5240" t="s">
        <v>1050</v>
      </c>
    </row>
    <row r="5241" spans="1:8" hidden="1">
      <c r="A5241" s="232">
        <v>45471</v>
      </c>
      <c r="C5241" t="s">
        <v>14308</v>
      </c>
      <c r="D5241" s="69">
        <v>100000</v>
      </c>
      <c r="E5241">
        <v>0</v>
      </c>
      <c r="G5241" s="8" t="s">
        <v>1358</v>
      </c>
      <c r="H5241" t="s">
        <v>1050</v>
      </c>
    </row>
    <row r="5242" spans="1:8" hidden="1">
      <c r="A5242" s="232">
        <v>45471</v>
      </c>
      <c r="C5242" t="s">
        <v>14309</v>
      </c>
      <c r="D5242" s="69">
        <v>0</v>
      </c>
      <c r="E5242">
        <v>600000</v>
      </c>
      <c r="G5242" s="8" t="s">
        <v>1363</v>
      </c>
      <c r="H5242" t="s">
        <v>1050</v>
      </c>
    </row>
    <row r="5243" spans="1:8">
      <c r="A5243" s="232">
        <v>45471</v>
      </c>
      <c r="C5243" t="s">
        <v>14310</v>
      </c>
      <c r="D5243" s="69">
        <v>199</v>
      </c>
      <c r="E5243">
        <v>0</v>
      </c>
      <c r="H5243" t="s">
        <v>1050</v>
      </c>
    </row>
    <row r="5244" spans="1:8" hidden="1">
      <c r="A5244" s="232">
        <v>45472</v>
      </c>
      <c r="C5244" t="s">
        <v>14311</v>
      </c>
      <c r="D5244" s="69">
        <v>0</v>
      </c>
      <c r="E5244">
        <v>4010</v>
      </c>
      <c r="G5244" s="8" t="s">
        <v>1368</v>
      </c>
      <c r="H5244" t="s">
        <v>1050</v>
      </c>
    </row>
    <row r="5245" spans="1:8">
      <c r="A5245" s="232">
        <v>45473</v>
      </c>
      <c r="C5245" t="s">
        <v>14312</v>
      </c>
      <c r="D5245" s="69">
        <v>0</v>
      </c>
      <c r="E5245">
        <v>6</v>
      </c>
      <c r="H5245" t="s">
        <v>1050</v>
      </c>
    </row>
    <row r="5246" spans="1:8" hidden="1">
      <c r="A5246" s="232">
        <v>45444</v>
      </c>
      <c r="C5246" t="s">
        <v>14343</v>
      </c>
      <c r="D5246" s="69">
        <v>1000</v>
      </c>
      <c r="G5246" s="8" t="s">
        <v>1372</v>
      </c>
      <c r="H5246" t="s">
        <v>1336</v>
      </c>
    </row>
    <row r="5247" spans="1:8">
      <c r="A5247" s="232">
        <v>45444</v>
      </c>
      <c r="C5247" t="s">
        <v>14344</v>
      </c>
      <c r="D5247" s="69">
        <v>6399</v>
      </c>
      <c r="H5247" t="s">
        <v>1336</v>
      </c>
    </row>
    <row r="5248" spans="1:8">
      <c r="A5248" s="232">
        <v>45444</v>
      </c>
      <c r="C5248" t="s">
        <v>14345</v>
      </c>
      <c r="D5248" s="69">
        <v>5543</v>
      </c>
      <c r="H5248" t="s">
        <v>1336</v>
      </c>
    </row>
    <row r="5249" spans="1:8">
      <c r="A5249" s="232">
        <v>45444</v>
      </c>
      <c r="C5249" t="s">
        <v>14346</v>
      </c>
      <c r="D5249" s="69">
        <v>600</v>
      </c>
      <c r="H5249" t="s">
        <v>1336</v>
      </c>
    </row>
    <row r="5250" spans="1:8" hidden="1">
      <c r="A5250" s="232">
        <v>45445</v>
      </c>
      <c r="C5250" t="s">
        <v>14347</v>
      </c>
      <c r="D5250" s="69">
        <v>1250</v>
      </c>
      <c r="G5250" s="8" t="s">
        <v>1372</v>
      </c>
      <c r="H5250" t="s">
        <v>1336</v>
      </c>
    </row>
    <row r="5251" spans="1:8">
      <c r="A5251" s="232">
        <v>45445</v>
      </c>
      <c r="C5251" t="s">
        <v>14348</v>
      </c>
      <c r="D5251" s="69">
        <v>300</v>
      </c>
      <c r="H5251" t="s">
        <v>1336</v>
      </c>
    </row>
    <row r="5252" spans="1:8">
      <c r="A5252" s="232">
        <v>45445</v>
      </c>
      <c r="C5252" t="s">
        <v>14349</v>
      </c>
      <c r="D5252" s="69">
        <v>20</v>
      </c>
      <c r="H5252" t="s">
        <v>1336</v>
      </c>
    </row>
    <row r="5253" spans="1:8">
      <c r="A5253" s="232">
        <v>45445</v>
      </c>
      <c r="C5253" t="s">
        <v>14350</v>
      </c>
      <c r="D5253" s="69">
        <v>1299</v>
      </c>
      <c r="H5253" t="s">
        <v>1336</v>
      </c>
    </row>
    <row r="5254" spans="1:8">
      <c r="A5254" s="232">
        <v>45446</v>
      </c>
      <c r="C5254" t="s">
        <v>14351</v>
      </c>
      <c r="D5254" s="69">
        <v>29.5</v>
      </c>
      <c r="H5254" t="s">
        <v>1336</v>
      </c>
    </row>
    <row r="5255" spans="1:8">
      <c r="A5255" s="232">
        <v>45446</v>
      </c>
      <c r="C5255" t="s">
        <v>14352</v>
      </c>
      <c r="D5255" s="69">
        <v>3500</v>
      </c>
      <c r="H5255" t="s">
        <v>1336</v>
      </c>
    </row>
    <row r="5256" spans="1:8" hidden="1">
      <c r="A5256" s="232">
        <v>45446</v>
      </c>
      <c r="C5256" t="s">
        <v>14353</v>
      </c>
      <c r="D5256" s="69">
        <v>1000</v>
      </c>
      <c r="G5256" s="8" t="s">
        <v>1372</v>
      </c>
      <c r="H5256" t="s">
        <v>1336</v>
      </c>
    </row>
    <row r="5257" spans="1:8" hidden="1">
      <c r="A5257" s="232">
        <v>45446</v>
      </c>
      <c r="C5257" t="s">
        <v>14354</v>
      </c>
      <c r="D5257" s="69">
        <v>1000</v>
      </c>
      <c r="G5257" s="8" t="s">
        <v>1372</v>
      </c>
      <c r="H5257" t="s">
        <v>1336</v>
      </c>
    </row>
    <row r="5258" spans="1:8" hidden="1">
      <c r="A5258" s="232">
        <v>45446</v>
      </c>
      <c r="C5258" t="s">
        <v>14355</v>
      </c>
      <c r="D5258" s="69">
        <v>775</v>
      </c>
      <c r="G5258" s="8" t="s">
        <v>1372</v>
      </c>
      <c r="H5258" t="s">
        <v>1336</v>
      </c>
    </row>
    <row r="5259" spans="1:8" hidden="1">
      <c r="A5259" s="232">
        <v>45446</v>
      </c>
      <c r="C5259" t="s">
        <v>14356</v>
      </c>
      <c r="D5259" s="69">
        <v>1250</v>
      </c>
      <c r="G5259" s="8" t="s">
        <v>1372</v>
      </c>
      <c r="H5259" t="s">
        <v>1336</v>
      </c>
    </row>
    <row r="5260" spans="1:8" hidden="1">
      <c r="A5260" s="232">
        <v>45447</v>
      </c>
      <c r="C5260" t="s">
        <v>14357</v>
      </c>
      <c r="D5260" s="69">
        <v>750</v>
      </c>
      <c r="G5260" s="8" t="s">
        <v>1372</v>
      </c>
      <c r="H5260" t="s">
        <v>1336</v>
      </c>
    </row>
    <row r="5261" spans="1:8">
      <c r="A5261" s="232">
        <v>45447</v>
      </c>
      <c r="C5261" t="s">
        <v>14358</v>
      </c>
      <c r="D5261" s="69">
        <v>4599</v>
      </c>
      <c r="H5261" t="s">
        <v>1336</v>
      </c>
    </row>
    <row r="5262" spans="1:8">
      <c r="A5262" s="232">
        <v>45447</v>
      </c>
      <c r="C5262" t="s">
        <v>14359</v>
      </c>
      <c r="D5262" s="69">
        <v>999</v>
      </c>
      <c r="H5262" t="s">
        <v>1336</v>
      </c>
    </row>
    <row r="5263" spans="1:8">
      <c r="A5263" s="232">
        <v>45448</v>
      </c>
      <c r="C5263" t="s">
        <v>6583</v>
      </c>
      <c r="D5263" s="69">
        <v>25252</v>
      </c>
      <c r="G5263" s="8" t="s">
        <v>1362</v>
      </c>
      <c r="H5263" t="s">
        <v>1336</v>
      </c>
    </row>
    <row r="5264" spans="1:8" hidden="1">
      <c r="A5264" s="232">
        <v>45448</v>
      </c>
      <c r="C5264" t="s">
        <v>14360</v>
      </c>
      <c r="D5264" s="69">
        <v>1250</v>
      </c>
      <c r="G5264" s="8" t="s">
        <v>1372</v>
      </c>
      <c r="H5264" t="s">
        <v>1336</v>
      </c>
    </row>
    <row r="5265" spans="1:8" hidden="1">
      <c r="A5265" s="232">
        <v>45448</v>
      </c>
      <c r="C5265" t="s">
        <v>14361</v>
      </c>
      <c r="D5265" s="69">
        <v>1250</v>
      </c>
      <c r="G5265" s="8" t="s">
        <v>1372</v>
      </c>
      <c r="H5265" t="s">
        <v>1336</v>
      </c>
    </row>
    <row r="5266" spans="1:8" hidden="1">
      <c r="A5266" s="232">
        <v>45448</v>
      </c>
      <c r="C5266" t="s">
        <v>14362</v>
      </c>
      <c r="D5266" s="69">
        <v>1000</v>
      </c>
      <c r="G5266" s="8" t="s">
        <v>1372</v>
      </c>
      <c r="H5266" t="s">
        <v>1336</v>
      </c>
    </row>
    <row r="5267" spans="1:8">
      <c r="A5267" s="232">
        <v>45448</v>
      </c>
      <c r="C5267" t="s">
        <v>14363</v>
      </c>
      <c r="D5267" s="69">
        <v>3600</v>
      </c>
      <c r="H5267" t="s">
        <v>1336</v>
      </c>
    </row>
    <row r="5268" spans="1:8">
      <c r="A5268" s="232">
        <v>45448</v>
      </c>
      <c r="C5268" t="s">
        <v>14364</v>
      </c>
      <c r="D5268" s="69">
        <v>5660</v>
      </c>
      <c r="H5268" t="s">
        <v>1336</v>
      </c>
    </row>
    <row r="5269" spans="1:8">
      <c r="A5269" s="232">
        <v>45448</v>
      </c>
      <c r="C5269" t="s">
        <v>14365</v>
      </c>
      <c r="D5269" s="69">
        <v>1268.5</v>
      </c>
      <c r="H5269" t="s">
        <v>1336</v>
      </c>
    </row>
    <row r="5270" spans="1:8" hidden="1">
      <c r="A5270" s="232">
        <v>45449</v>
      </c>
      <c r="C5270" t="s">
        <v>14366</v>
      </c>
      <c r="D5270" s="69">
        <v>800</v>
      </c>
      <c r="G5270" s="8" t="s">
        <v>1372</v>
      </c>
      <c r="H5270" t="s">
        <v>1336</v>
      </c>
    </row>
    <row r="5271" spans="1:8" hidden="1">
      <c r="A5271" s="232">
        <v>45449</v>
      </c>
      <c r="C5271" t="s">
        <v>14367</v>
      </c>
      <c r="D5271" s="69">
        <v>1000</v>
      </c>
      <c r="G5271" s="8" t="s">
        <v>1372</v>
      </c>
      <c r="H5271" t="s">
        <v>1336</v>
      </c>
    </row>
    <row r="5272" spans="1:8">
      <c r="A5272" s="232">
        <v>45449</v>
      </c>
      <c r="C5272" t="s">
        <v>14368</v>
      </c>
      <c r="D5272" s="69">
        <v>2000</v>
      </c>
      <c r="H5272" t="s">
        <v>1336</v>
      </c>
    </row>
    <row r="5273" spans="1:8" hidden="1">
      <c r="A5273" s="232">
        <v>45450</v>
      </c>
      <c r="C5273" t="s">
        <v>14369</v>
      </c>
      <c r="D5273" s="69">
        <v>1000</v>
      </c>
      <c r="G5273" s="8" t="s">
        <v>1372</v>
      </c>
      <c r="H5273" t="s">
        <v>1336</v>
      </c>
    </row>
    <row r="5274" spans="1:8">
      <c r="A5274" s="232">
        <v>45450</v>
      </c>
      <c r="C5274" t="s">
        <v>14370</v>
      </c>
      <c r="D5274" s="69">
        <v>50</v>
      </c>
      <c r="H5274" t="s">
        <v>1336</v>
      </c>
    </row>
    <row r="5275" spans="1:8" hidden="1">
      <c r="A5275" s="232">
        <v>45451</v>
      </c>
      <c r="C5275" t="s">
        <v>14371</v>
      </c>
      <c r="D5275" s="69">
        <v>775</v>
      </c>
      <c r="G5275" s="8" t="s">
        <v>1372</v>
      </c>
      <c r="H5275" t="s">
        <v>1336</v>
      </c>
    </row>
    <row r="5276" spans="1:8" hidden="1">
      <c r="A5276" s="232">
        <v>45452</v>
      </c>
      <c r="C5276" t="s">
        <v>14372</v>
      </c>
      <c r="D5276" s="69">
        <v>750</v>
      </c>
      <c r="G5276" s="8" t="s">
        <v>1372</v>
      </c>
      <c r="H5276" t="s">
        <v>1336</v>
      </c>
    </row>
    <row r="5277" spans="1:8" hidden="1">
      <c r="A5277" s="232">
        <v>45453</v>
      </c>
      <c r="C5277" t="s">
        <v>14373</v>
      </c>
      <c r="D5277" s="69">
        <v>1000</v>
      </c>
      <c r="G5277" s="8" t="s">
        <v>1372</v>
      </c>
      <c r="H5277" t="s">
        <v>1336</v>
      </c>
    </row>
    <row r="5278" spans="1:8" hidden="1">
      <c r="A5278" s="232">
        <v>45453</v>
      </c>
      <c r="C5278" t="s">
        <v>14374</v>
      </c>
      <c r="D5278" s="69">
        <v>1250</v>
      </c>
      <c r="G5278" s="8" t="s">
        <v>1372</v>
      </c>
      <c r="H5278" t="s">
        <v>1336</v>
      </c>
    </row>
    <row r="5279" spans="1:8" hidden="1">
      <c r="A5279" s="232">
        <v>45453</v>
      </c>
      <c r="C5279" t="s">
        <v>14375</v>
      </c>
      <c r="D5279" s="69">
        <v>750</v>
      </c>
      <c r="G5279" s="8" t="s">
        <v>1372</v>
      </c>
      <c r="H5279" t="s">
        <v>1336</v>
      </c>
    </row>
    <row r="5280" spans="1:8" hidden="1">
      <c r="A5280" s="232">
        <v>45453</v>
      </c>
      <c r="C5280" t="s">
        <v>14376</v>
      </c>
      <c r="D5280" s="69">
        <v>1000</v>
      </c>
      <c r="G5280" s="8" t="s">
        <v>1372</v>
      </c>
      <c r="H5280" t="s">
        <v>1336</v>
      </c>
    </row>
    <row r="5281" spans="1:8" hidden="1">
      <c r="A5281" s="232">
        <v>45453</v>
      </c>
      <c r="C5281" t="s">
        <v>14377</v>
      </c>
      <c r="D5281" s="69">
        <v>1000</v>
      </c>
      <c r="G5281" s="8" t="s">
        <v>1372</v>
      </c>
      <c r="H5281" t="s">
        <v>1336</v>
      </c>
    </row>
    <row r="5282" spans="1:8" hidden="1">
      <c r="A5282" s="232">
        <v>45453</v>
      </c>
      <c r="C5282" t="s">
        <v>14378</v>
      </c>
      <c r="E5282">
        <v>600</v>
      </c>
      <c r="G5282" s="8" t="s">
        <v>1380</v>
      </c>
      <c r="H5282" t="s">
        <v>1336</v>
      </c>
    </row>
    <row r="5283" spans="1:8" hidden="1">
      <c r="A5283" s="232">
        <v>45454</v>
      </c>
      <c r="C5283" t="s">
        <v>14379</v>
      </c>
      <c r="D5283" s="69">
        <v>1250</v>
      </c>
      <c r="G5283" s="8" t="s">
        <v>1372</v>
      </c>
      <c r="H5283" t="s">
        <v>1336</v>
      </c>
    </row>
    <row r="5284" spans="1:8">
      <c r="A5284" s="232">
        <v>45454</v>
      </c>
      <c r="C5284" t="s">
        <v>14380</v>
      </c>
      <c r="D5284" s="69">
        <v>80</v>
      </c>
      <c r="H5284" t="s">
        <v>1336</v>
      </c>
    </row>
    <row r="5285" spans="1:8" hidden="1">
      <c r="A5285" s="232">
        <v>45455</v>
      </c>
      <c r="C5285" t="s">
        <v>14381</v>
      </c>
      <c r="D5285" s="69">
        <v>1000</v>
      </c>
      <c r="G5285" s="8" t="s">
        <v>1372</v>
      </c>
      <c r="H5285" t="s">
        <v>1336</v>
      </c>
    </row>
    <row r="5286" spans="1:8" hidden="1">
      <c r="A5286" s="232">
        <v>45456</v>
      </c>
      <c r="C5286" t="s">
        <v>14382</v>
      </c>
      <c r="D5286" s="69">
        <v>775</v>
      </c>
      <c r="G5286" s="8" t="s">
        <v>1372</v>
      </c>
      <c r="H5286" t="s">
        <v>1336</v>
      </c>
    </row>
    <row r="5287" spans="1:8" hidden="1">
      <c r="A5287" s="232">
        <v>45456</v>
      </c>
      <c r="C5287" t="s">
        <v>14383</v>
      </c>
      <c r="D5287" s="69">
        <v>1000</v>
      </c>
      <c r="G5287" s="8" t="s">
        <v>1372</v>
      </c>
      <c r="H5287" t="s">
        <v>1336</v>
      </c>
    </row>
    <row r="5288" spans="1:8" hidden="1">
      <c r="A5288" s="232">
        <v>45457</v>
      </c>
      <c r="C5288" t="s">
        <v>14384</v>
      </c>
      <c r="D5288" s="69">
        <v>800</v>
      </c>
      <c r="G5288" s="8" t="s">
        <v>1372</v>
      </c>
      <c r="H5288" t="s">
        <v>1336</v>
      </c>
    </row>
    <row r="5289" spans="1:8" hidden="1">
      <c r="A5289" s="232">
        <v>45457</v>
      </c>
      <c r="C5289" t="s">
        <v>14385</v>
      </c>
      <c r="D5289" s="69">
        <v>1000</v>
      </c>
      <c r="G5289" s="8" t="s">
        <v>1372</v>
      </c>
      <c r="H5289" t="s">
        <v>1336</v>
      </c>
    </row>
    <row r="5290" spans="1:8">
      <c r="A5290" s="232">
        <v>45457</v>
      </c>
      <c r="C5290" t="s">
        <v>14386</v>
      </c>
      <c r="D5290" s="69">
        <v>984.12</v>
      </c>
      <c r="H5290" t="s">
        <v>1336</v>
      </c>
    </row>
    <row r="5291" spans="1:8">
      <c r="A5291" s="232">
        <v>45458</v>
      </c>
      <c r="C5291" t="s">
        <v>14387</v>
      </c>
      <c r="D5291" s="69">
        <v>1000</v>
      </c>
      <c r="H5291" t="s">
        <v>1336</v>
      </c>
    </row>
    <row r="5292" spans="1:8">
      <c r="A5292" s="232">
        <v>45458</v>
      </c>
      <c r="C5292" t="s">
        <v>14388</v>
      </c>
      <c r="D5292" s="69">
        <v>1700</v>
      </c>
      <c r="H5292" t="s">
        <v>1336</v>
      </c>
    </row>
    <row r="5293" spans="1:8" hidden="1">
      <c r="A5293" s="232">
        <v>45459</v>
      </c>
      <c r="C5293" t="s">
        <v>14389</v>
      </c>
      <c r="D5293" s="69">
        <v>1000</v>
      </c>
      <c r="G5293" s="8" t="s">
        <v>1372</v>
      </c>
      <c r="H5293" t="s">
        <v>1336</v>
      </c>
    </row>
    <row r="5294" spans="1:8" hidden="1">
      <c r="A5294" s="232">
        <v>45460</v>
      </c>
      <c r="C5294" t="s">
        <v>14390</v>
      </c>
      <c r="D5294" s="69">
        <v>750</v>
      </c>
      <c r="G5294" s="8" t="s">
        <v>1372</v>
      </c>
      <c r="H5294" t="s">
        <v>1336</v>
      </c>
    </row>
    <row r="5295" spans="1:8">
      <c r="A5295" s="232">
        <v>45460</v>
      </c>
      <c r="C5295" t="s">
        <v>14391</v>
      </c>
      <c r="D5295" s="69">
        <v>320</v>
      </c>
      <c r="H5295" t="s">
        <v>1336</v>
      </c>
    </row>
    <row r="5296" spans="1:8" hidden="1">
      <c r="A5296" s="232">
        <v>45461</v>
      </c>
      <c r="C5296" t="s">
        <v>14392</v>
      </c>
      <c r="D5296" s="69">
        <v>1250</v>
      </c>
      <c r="G5296" s="8" t="s">
        <v>1372</v>
      </c>
      <c r="H5296" t="s">
        <v>1336</v>
      </c>
    </row>
    <row r="5297" spans="1:8" hidden="1">
      <c r="A5297" s="232">
        <v>45461</v>
      </c>
      <c r="C5297" t="s">
        <v>14393</v>
      </c>
      <c r="D5297" s="69">
        <v>750</v>
      </c>
      <c r="G5297" s="8" t="s">
        <v>1372</v>
      </c>
      <c r="H5297" t="s">
        <v>1336</v>
      </c>
    </row>
    <row r="5298" spans="1:8" hidden="1">
      <c r="A5298" s="232">
        <v>45461</v>
      </c>
      <c r="C5298" t="s">
        <v>14394</v>
      </c>
      <c r="D5298" s="69">
        <v>1000</v>
      </c>
      <c r="G5298" s="8" t="s">
        <v>1372</v>
      </c>
      <c r="H5298" t="s">
        <v>1336</v>
      </c>
    </row>
    <row r="5299" spans="1:8" hidden="1">
      <c r="A5299" s="232">
        <v>45461</v>
      </c>
      <c r="C5299" t="s">
        <v>14395</v>
      </c>
      <c r="D5299" s="69">
        <v>1000</v>
      </c>
      <c r="G5299" s="8" t="s">
        <v>1372</v>
      </c>
      <c r="H5299" t="s">
        <v>1336</v>
      </c>
    </row>
    <row r="5300" spans="1:8" hidden="1">
      <c r="A5300" s="232">
        <v>45461</v>
      </c>
      <c r="C5300" t="s">
        <v>14396</v>
      </c>
      <c r="D5300" s="69">
        <v>1250</v>
      </c>
      <c r="G5300" s="8" t="s">
        <v>1372</v>
      </c>
      <c r="H5300" t="s">
        <v>1336</v>
      </c>
    </row>
    <row r="5301" spans="1:8">
      <c r="A5301" s="232">
        <v>45462</v>
      </c>
      <c r="C5301" t="s">
        <v>14397</v>
      </c>
      <c r="D5301" s="69">
        <v>500</v>
      </c>
      <c r="H5301" t="s">
        <v>1336</v>
      </c>
    </row>
    <row r="5302" spans="1:8" hidden="1">
      <c r="A5302" s="232">
        <v>45462</v>
      </c>
      <c r="C5302" t="s">
        <v>14398</v>
      </c>
      <c r="D5302" s="69">
        <v>750</v>
      </c>
      <c r="G5302" s="8" t="s">
        <v>1372</v>
      </c>
      <c r="H5302" t="s">
        <v>1336</v>
      </c>
    </row>
    <row r="5303" spans="1:8" hidden="1">
      <c r="A5303" s="232">
        <v>45462</v>
      </c>
      <c r="C5303" t="s">
        <v>14399</v>
      </c>
      <c r="D5303" s="69">
        <v>1000</v>
      </c>
      <c r="G5303" s="8" t="s">
        <v>1372</v>
      </c>
      <c r="H5303" t="s">
        <v>1336</v>
      </c>
    </row>
    <row r="5304" spans="1:8" hidden="1">
      <c r="A5304" s="232">
        <v>45463</v>
      </c>
      <c r="C5304" t="s">
        <v>14400</v>
      </c>
      <c r="D5304" s="69">
        <v>1000</v>
      </c>
      <c r="G5304" s="8" t="s">
        <v>1372</v>
      </c>
      <c r="H5304" t="s">
        <v>1336</v>
      </c>
    </row>
    <row r="5305" spans="1:8" hidden="1">
      <c r="A5305" s="232">
        <v>45463</v>
      </c>
      <c r="C5305" t="s">
        <v>14401</v>
      </c>
      <c r="D5305" s="69">
        <v>775</v>
      </c>
      <c r="G5305" s="8" t="s">
        <v>1372</v>
      </c>
      <c r="H5305" t="s">
        <v>1336</v>
      </c>
    </row>
    <row r="5306" spans="1:8" hidden="1">
      <c r="A5306" s="232">
        <v>45463</v>
      </c>
      <c r="C5306" t="s">
        <v>14402</v>
      </c>
      <c r="E5306">
        <v>5264</v>
      </c>
      <c r="G5306" s="8" t="s">
        <v>1380</v>
      </c>
      <c r="H5306" t="s">
        <v>1336</v>
      </c>
    </row>
    <row r="5307" spans="1:8" hidden="1">
      <c r="A5307" s="232">
        <v>45463</v>
      </c>
      <c r="C5307" t="s">
        <v>14403</v>
      </c>
      <c r="E5307">
        <v>2336</v>
      </c>
      <c r="G5307" s="8" t="s">
        <v>1380</v>
      </c>
      <c r="H5307" t="s">
        <v>1336</v>
      </c>
    </row>
    <row r="5308" spans="1:8" hidden="1">
      <c r="A5308" s="232">
        <v>45463</v>
      </c>
      <c r="C5308" t="s">
        <v>14404</v>
      </c>
      <c r="E5308">
        <v>600</v>
      </c>
      <c r="G5308" s="8" t="s">
        <v>1380</v>
      </c>
      <c r="H5308" t="s">
        <v>1336</v>
      </c>
    </row>
    <row r="5309" spans="1:8" hidden="1">
      <c r="A5309" s="232">
        <v>45464</v>
      </c>
      <c r="C5309" t="s">
        <v>14405</v>
      </c>
      <c r="D5309" s="69">
        <v>750</v>
      </c>
      <c r="G5309" s="8" t="s">
        <v>1372</v>
      </c>
      <c r="H5309" t="s">
        <v>1336</v>
      </c>
    </row>
    <row r="5310" spans="1:8" hidden="1">
      <c r="A5310" s="232">
        <v>45464</v>
      </c>
      <c r="C5310" t="s">
        <v>14406</v>
      </c>
      <c r="D5310" s="69">
        <v>1000</v>
      </c>
      <c r="G5310" s="8" t="s">
        <v>1372</v>
      </c>
      <c r="H5310" t="s">
        <v>1336</v>
      </c>
    </row>
    <row r="5311" spans="1:8" hidden="1">
      <c r="A5311" s="232">
        <v>45464</v>
      </c>
      <c r="C5311" t="s">
        <v>14407</v>
      </c>
      <c r="D5311" s="69">
        <v>1000</v>
      </c>
      <c r="G5311" s="8" t="s">
        <v>1372</v>
      </c>
      <c r="H5311" t="s">
        <v>1336</v>
      </c>
    </row>
    <row r="5312" spans="1:8" hidden="1">
      <c r="A5312" s="232">
        <v>45465</v>
      </c>
      <c r="C5312" t="s">
        <v>14408</v>
      </c>
      <c r="D5312" s="69">
        <v>750</v>
      </c>
      <c r="G5312" s="8" t="s">
        <v>1372</v>
      </c>
      <c r="H5312" t="s">
        <v>1336</v>
      </c>
    </row>
    <row r="5313" spans="1:8">
      <c r="A5313" s="232">
        <v>45465</v>
      </c>
      <c r="C5313" t="s">
        <v>14409</v>
      </c>
      <c r="D5313" s="69">
        <v>353</v>
      </c>
      <c r="H5313" t="s">
        <v>1336</v>
      </c>
    </row>
    <row r="5314" spans="1:8">
      <c r="A5314" s="232">
        <v>45465</v>
      </c>
      <c r="C5314" t="s">
        <v>14410</v>
      </c>
      <c r="D5314" s="69">
        <v>400</v>
      </c>
      <c r="H5314" t="s">
        <v>1336</v>
      </c>
    </row>
    <row r="5315" spans="1:8" hidden="1">
      <c r="A5315" s="232">
        <v>45466</v>
      </c>
      <c r="C5315" t="s">
        <v>14411</v>
      </c>
      <c r="D5315" s="69">
        <v>750</v>
      </c>
      <c r="G5315" s="8" t="s">
        <v>1372</v>
      </c>
      <c r="H5315" t="s">
        <v>1336</v>
      </c>
    </row>
    <row r="5316" spans="1:8">
      <c r="A5316" s="232">
        <v>45466</v>
      </c>
      <c r="C5316" t="s">
        <v>14412</v>
      </c>
      <c r="D5316" s="69">
        <v>160</v>
      </c>
      <c r="H5316" t="s">
        <v>1336</v>
      </c>
    </row>
    <row r="5317" spans="1:8" hidden="1">
      <c r="A5317" s="232">
        <v>45467</v>
      </c>
      <c r="C5317" t="s">
        <v>14413</v>
      </c>
      <c r="D5317" s="69">
        <v>1000</v>
      </c>
      <c r="G5317" s="8" t="s">
        <v>1372</v>
      </c>
      <c r="H5317" t="s">
        <v>1336</v>
      </c>
    </row>
    <row r="5318" spans="1:8" hidden="1">
      <c r="A5318" s="232">
        <v>45468</v>
      </c>
      <c r="C5318" t="s">
        <v>14414</v>
      </c>
      <c r="D5318" s="69">
        <v>750</v>
      </c>
      <c r="G5318" s="8" t="s">
        <v>1372</v>
      </c>
      <c r="H5318" t="s">
        <v>1336</v>
      </c>
    </row>
    <row r="5319" spans="1:8">
      <c r="A5319" s="232">
        <v>45468</v>
      </c>
      <c r="C5319" t="s">
        <v>14415</v>
      </c>
      <c r="D5319" s="69">
        <v>1225</v>
      </c>
      <c r="H5319" t="s">
        <v>1336</v>
      </c>
    </row>
    <row r="5320" spans="1:8" hidden="1">
      <c r="A5320" s="232">
        <v>45469</v>
      </c>
      <c r="C5320" t="s">
        <v>14416</v>
      </c>
      <c r="D5320" s="69">
        <v>1000</v>
      </c>
      <c r="G5320" s="8" t="s">
        <v>1372</v>
      </c>
      <c r="H5320" t="s">
        <v>1336</v>
      </c>
    </row>
    <row r="5321" spans="1:8" hidden="1">
      <c r="A5321" s="232">
        <v>45470</v>
      </c>
      <c r="C5321" t="s">
        <v>14417</v>
      </c>
      <c r="D5321" s="69">
        <v>1000</v>
      </c>
      <c r="G5321" s="8" t="s">
        <v>1372</v>
      </c>
      <c r="H5321" t="s">
        <v>1336</v>
      </c>
    </row>
    <row r="5322" spans="1:8">
      <c r="A5322" s="232">
        <v>45470</v>
      </c>
      <c r="C5322" t="s">
        <v>14418</v>
      </c>
      <c r="D5322" s="69">
        <v>385</v>
      </c>
      <c r="H5322" t="s">
        <v>1336</v>
      </c>
    </row>
    <row r="5323" spans="1:8" hidden="1">
      <c r="A5323" s="232">
        <v>45471</v>
      </c>
      <c r="C5323" t="s">
        <v>14419</v>
      </c>
      <c r="E5323">
        <v>532882</v>
      </c>
      <c r="G5323" s="8" t="s">
        <v>1380</v>
      </c>
      <c r="H5323" t="s">
        <v>1336</v>
      </c>
    </row>
    <row r="5324" spans="1:8" hidden="1">
      <c r="A5324" s="232">
        <v>45471</v>
      </c>
      <c r="C5324" t="s">
        <v>14420</v>
      </c>
      <c r="D5324" s="69">
        <v>600000</v>
      </c>
      <c r="G5324" s="8" t="s">
        <v>1363</v>
      </c>
      <c r="H5324" t="s">
        <v>1336</v>
      </c>
    </row>
    <row r="5325" spans="1:8" hidden="1">
      <c r="A5325" s="232">
        <v>45471</v>
      </c>
      <c r="C5325" t="s">
        <v>14421</v>
      </c>
      <c r="D5325" s="69">
        <v>13900</v>
      </c>
      <c r="G5325" s="8" t="s">
        <v>1379</v>
      </c>
      <c r="H5325" t="s">
        <v>1336</v>
      </c>
    </row>
    <row r="5326" spans="1:8" hidden="1">
      <c r="A5326" s="232">
        <v>45471</v>
      </c>
      <c r="C5326" t="s">
        <v>14422</v>
      </c>
      <c r="D5326" s="69">
        <v>800</v>
      </c>
      <c r="G5326" s="8" t="s">
        <v>1372</v>
      </c>
      <c r="H5326" t="s">
        <v>1336</v>
      </c>
    </row>
    <row r="5327" spans="1:8">
      <c r="A5327" s="232">
        <v>45472</v>
      </c>
      <c r="C5327" t="s">
        <v>14423</v>
      </c>
      <c r="D5327" s="69">
        <v>120</v>
      </c>
      <c r="H5327" t="s">
        <v>1336</v>
      </c>
    </row>
    <row r="5328" spans="1:8" hidden="1">
      <c r="A5328" s="232">
        <v>45474</v>
      </c>
      <c r="C5328" t="s">
        <v>14424</v>
      </c>
      <c r="E5328">
        <v>53513</v>
      </c>
      <c r="G5328" s="8" t="s">
        <v>1368</v>
      </c>
      <c r="H5328" t="s">
        <v>1336</v>
      </c>
    </row>
    <row r="5329" spans="1:1">
      <c r="A5329" s="232"/>
    </row>
    <row r="5330" spans="1:1">
      <c r="A5330" s="232"/>
    </row>
    <row r="5331" spans="1:1">
      <c r="A5331" s="232"/>
    </row>
    <row r="5332" spans="1:1">
      <c r="A5332" s="232"/>
    </row>
    <row r="5333" spans="1:1">
      <c r="A5333" s="232"/>
    </row>
    <row r="5334" spans="1:1">
      <c r="A5334" s="232"/>
    </row>
    <row r="5335" spans="1:1">
      <c r="A5335" s="232"/>
    </row>
    <row r="5336" spans="1:1">
      <c r="A5336" s="232"/>
    </row>
    <row r="5337" spans="1:1">
      <c r="A5337" s="232"/>
    </row>
    <row r="5338" spans="1:1">
      <c r="A5338" s="232"/>
    </row>
    <row r="5339" spans="1:1">
      <c r="A5339" s="232"/>
    </row>
    <row r="5340" spans="1:1">
      <c r="A5340" s="232"/>
    </row>
    <row r="5341" spans="1:1">
      <c r="A5341" s="232"/>
    </row>
    <row r="5342" spans="1:1">
      <c r="A5342" s="232"/>
    </row>
    <row r="5343" spans="1:1">
      <c r="A5343" s="232"/>
    </row>
    <row r="5344" spans="1:1">
      <c r="A5344" s="232"/>
    </row>
    <row r="5345" spans="1:1">
      <c r="A5345" s="232"/>
    </row>
    <row r="5346" spans="1:1">
      <c r="A5346" s="232"/>
    </row>
    <row r="5347" spans="1:1">
      <c r="A5347" s="232"/>
    </row>
    <row r="5348" spans="1:1">
      <c r="A5348" s="232"/>
    </row>
    <row r="5349" spans="1:1">
      <c r="A5349" s="232"/>
    </row>
    <row r="5350" spans="1:1">
      <c r="A5350" s="232"/>
    </row>
    <row r="5351" spans="1:1">
      <c r="A5351" s="232"/>
    </row>
    <row r="5352" spans="1:1">
      <c r="A5352" s="232"/>
    </row>
    <row r="5353" spans="1:1">
      <c r="A5353" s="232"/>
    </row>
    <row r="5354" spans="1:1">
      <c r="A5354" s="232"/>
    </row>
    <row r="5355" spans="1:1">
      <c r="A5355" s="232"/>
    </row>
    <row r="5356" spans="1:1">
      <c r="A5356" s="232"/>
    </row>
    <row r="5357" spans="1:1">
      <c r="A5357" s="232"/>
    </row>
    <row r="5358" spans="1:1">
      <c r="A5358" s="232"/>
    </row>
    <row r="5359" spans="1:1">
      <c r="A5359" s="232"/>
    </row>
    <row r="5360" spans="1:1">
      <c r="A5360" s="232"/>
    </row>
    <row r="5361" spans="1:1">
      <c r="A5361" s="232"/>
    </row>
    <row r="5362" spans="1:1">
      <c r="A5362" s="232"/>
    </row>
    <row r="5363" spans="1:1">
      <c r="A5363" s="232"/>
    </row>
    <row r="5364" spans="1:1">
      <c r="A5364" s="232"/>
    </row>
    <row r="5365" spans="1:1">
      <c r="A5365" s="232"/>
    </row>
    <row r="5366" spans="1:1">
      <c r="A5366" s="232"/>
    </row>
    <row r="5367" spans="1:1">
      <c r="A5367" s="232"/>
    </row>
    <row r="5368" spans="1:1">
      <c r="A5368" s="232"/>
    </row>
    <row r="5369" spans="1:1">
      <c r="A5369" s="232"/>
    </row>
    <row r="5370" spans="1:1">
      <c r="A5370" s="232"/>
    </row>
    <row r="5371" spans="1:1">
      <c r="A5371" s="232"/>
    </row>
    <row r="5372" spans="1:1">
      <c r="A5372" s="232"/>
    </row>
    <row r="5373" spans="1:1">
      <c r="A5373" s="232"/>
    </row>
    <row r="5374" spans="1:1">
      <c r="A5374" s="232"/>
    </row>
  </sheetData>
  <autoFilter ref="A1:J5328" xr:uid="{D01AA2EC-B3AE-41C1-9F4D-247786694BC3}">
    <filterColumn colId="0">
      <filters>
        <dateGroupItem year="2024" month="6" dateTimeGrouping="month"/>
        <dateGroupItem year="2024" month="7" dateTimeGrouping="month"/>
      </filters>
    </filterColumn>
    <filterColumn colId="6">
      <filters blank="1">
        <filter val="Credit Card payment"/>
      </filters>
    </filterColumn>
  </autoFilter>
  <pageMargins left="0.7" right="0.7" top="0.75" bottom="0.75" header="0.3" footer="0.3"/>
  <pageSetup orientation="portrait" r:id="rId1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9440580-60C8-46DE-BCA0-66255EDED4DD}">
  <dimension ref="A1:AC3055"/>
  <sheetViews>
    <sheetView topLeftCell="C68" workbookViewId="0">
      <selection activeCell="Z2" sqref="Z2:Z84"/>
    </sheetView>
  </sheetViews>
  <sheetFormatPr defaultRowHeight="12.75"/>
  <cols>
    <col min="1" max="1" width="9.140625" style="250"/>
    <col min="2" max="2" width="114.7109375" style="250" bestFit="1" customWidth="1"/>
    <col min="3" max="12" width="9.140625" style="250"/>
    <col min="13" max="13" width="11.28515625" style="251" bestFit="1" customWidth="1"/>
    <col min="14" max="20" width="9.140625" style="250"/>
    <col min="21" max="21" width="12.140625" style="250" bestFit="1" customWidth="1"/>
    <col min="22" max="25" width="9.140625" style="250"/>
    <col min="26" max="26" width="12.140625" style="250" bestFit="1" customWidth="1"/>
    <col min="27" max="27" width="10.7109375" style="250" bestFit="1" customWidth="1"/>
    <col min="28" max="16384" width="9.140625" style="250"/>
  </cols>
  <sheetData>
    <row r="1" spans="1:29" ht="15">
      <c r="A1" s="250" t="s">
        <v>9539</v>
      </c>
      <c r="U1"/>
      <c r="V1" t="s">
        <v>9540</v>
      </c>
      <c r="W1" t="s">
        <v>9541</v>
      </c>
      <c r="X1" t="s">
        <v>9542</v>
      </c>
      <c r="Y1" t="s">
        <v>9543</v>
      </c>
      <c r="Z1"/>
      <c r="AA1" t="s">
        <v>9544</v>
      </c>
      <c r="AB1"/>
      <c r="AC1"/>
    </row>
    <row r="2" spans="1:29" ht="15">
      <c r="A2" s="250" t="s">
        <v>924</v>
      </c>
      <c r="B2" s="250" t="s">
        <v>9545</v>
      </c>
      <c r="C2" s="250" t="s">
        <v>9546</v>
      </c>
      <c r="D2" s="250" t="s">
        <v>9547</v>
      </c>
      <c r="E2" s="250" t="s">
        <v>9548</v>
      </c>
      <c r="F2" s="250" t="s">
        <v>9549</v>
      </c>
      <c r="G2" s="250" t="s">
        <v>9550</v>
      </c>
      <c r="U2" s="329" t="s">
        <v>14313</v>
      </c>
      <c r="V2" t="str">
        <f>LEFT(U2,2)</f>
        <v>01</v>
      </c>
      <c r="W2" t="str">
        <f>MID(U2,4,2)</f>
        <v>06</v>
      </c>
      <c r="X2" t="str">
        <f>RIGHT(U2,2)</f>
        <v>24</v>
      </c>
      <c r="Y2" t="str">
        <f>"20" &amp; X2</f>
        <v>2024</v>
      </c>
      <c r="Z2" s="232">
        <f>DATE(Y2,W2,V2)</f>
        <v>45444</v>
      </c>
      <c r="AA2" s="2">
        <f>DATE(Y2,W2,V2)</f>
        <v>45444</v>
      </c>
      <c r="AB2"/>
      <c r="AC2"/>
    </row>
    <row r="3" spans="1:29" ht="15">
      <c r="A3" s="250" t="s">
        <v>9551</v>
      </c>
      <c r="B3" s="250" t="s">
        <v>9552</v>
      </c>
      <c r="C3" s="250" t="s">
        <v>9553</v>
      </c>
      <c r="D3" s="250" t="s">
        <v>9551</v>
      </c>
      <c r="E3" s="250" t="s">
        <v>9554</v>
      </c>
      <c r="F3" s="250" t="s">
        <v>9554</v>
      </c>
      <c r="G3" s="250" t="s">
        <v>9554</v>
      </c>
      <c r="I3" s="250" t="s">
        <v>924</v>
      </c>
      <c r="J3" s="250" t="s">
        <v>1051</v>
      </c>
      <c r="K3" s="250" t="s">
        <v>1022</v>
      </c>
      <c r="L3" s="250" t="s">
        <v>9555</v>
      </c>
      <c r="M3" s="251" t="s">
        <v>9556</v>
      </c>
      <c r="U3" s="329" t="s">
        <v>14313</v>
      </c>
      <c r="V3" t="str">
        <f>LEFT(U3,2)</f>
        <v>01</v>
      </c>
      <c r="W3" t="str">
        <f>MID(U3,4,2)</f>
        <v>06</v>
      </c>
      <c r="X3" t="str">
        <f>RIGHT(U3,2)</f>
        <v>24</v>
      </c>
      <c r="Y3" t="str">
        <f t="shared" ref="Y3:Y66" si="0">"20" &amp; X3</f>
        <v>2024</v>
      </c>
      <c r="Z3" s="232">
        <f t="shared" ref="Z3:Z66" si="1">DATE(Y3,W3,V3)</f>
        <v>45444</v>
      </c>
      <c r="AA3" s="2">
        <f t="shared" ref="AA3:AA66" si="2">DATE(Y3,W3,V3)</f>
        <v>45444</v>
      </c>
      <c r="AB3"/>
      <c r="AC3"/>
    </row>
    <row r="4" spans="1:29" ht="15">
      <c r="A4" s="250" t="s">
        <v>9557</v>
      </c>
      <c r="B4" s="250" t="s">
        <v>9196</v>
      </c>
      <c r="C4" s="250" t="s">
        <v>9558</v>
      </c>
      <c r="D4" s="250" t="s">
        <v>9557</v>
      </c>
      <c r="E4" s="250">
        <v>1000</v>
      </c>
      <c r="G4" s="250">
        <v>1894661.99</v>
      </c>
      <c r="I4" s="250" t="str">
        <f>LEFT(A4, 2)</f>
        <v>01</v>
      </c>
      <c r="J4" s="250" t="str">
        <f>MID(A4,4,2)</f>
        <v>03</v>
      </c>
      <c r="K4" s="250" t="str">
        <f>RIGHT(A4, 2)</f>
        <v>23</v>
      </c>
      <c r="L4" s="252" t="str">
        <f>CONCATENATE("20", K4)</f>
        <v>2023</v>
      </c>
      <c r="M4" s="251">
        <f>DATE(L4,J4,I4)</f>
        <v>44986</v>
      </c>
      <c r="U4" s="329" t="s">
        <v>14313</v>
      </c>
      <c r="V4" t="str">
        <f>LEFT(U4,2)</f>
        <v>01</v>
      </c>
      <c r="W4" t="str">
        <f>MID(U4,4,2)</f>
        <v>06</v>
      </c>
      <c r="X4" t="str">
        <f>RIGHT(U4,2)</f>
        <v>24</v>
      </c>
      <c r="Y4" t="str">
        <f t="shared" si="0"/>
        <v>2024</v>
      </c>
      <c r="Z4" s="232">
        <f t="shared" si="1"/>
        <v>45444</v>
      </c>
      <c r="AA4" s="2">
        <f t="shared" si="2"/>
        <v>45444</v>
      </c>
      <c r="AB4"/>
      <c r="AC4"/>
    </row>
    <row r="5" spans="1:29" ht="15">
      <c r="A5" s="250" t="s">
        <v>9557</v>
      </c>
      <c r="B5" s="250" t="s">
        <v>9197</v>
      </c>
      <c r="C5" s="250" t="s">
        <v>9559</v>
      </c>
      <c r="D5" s="250" t="s">
        <v>9557</v>
      </c>
      <c r="E5" s="250">
        <v>1250</v>
      </c>
      <c r="G5" s="250">
        <v>1893411.99</v>
      </c>
      <c r="I5" s="250" t="str">
        <f t="shared" ref="I5:I68" si="3">LEFT(A5, 2)</f>
        <v>01</v>
      </c>
      <c r="J5" s="250" t="str">
        <f t="shared" ref="J5:J68" si="4">MID(A5,4,2)</f>
        <v>03</v>
      </c>
      <c r="K5" s="250" t="str">
        <f t="shared" ref="K5:K68" si="5">RIGHT(A5, 2)</f>
        <v>23</v>
      </c>
      <c r="L5" s="252" t="str">
        <f t="shared" ref="L5:L68" si="6">CONCATENATE("20", K5)</f>
        <v>2023</v>
      </c>
      <c r="M5" s="251">
        <f t="shared" ref="M5:M68" si="7">DATE(L5,J5,I5)</f>
        <v>44986</v>
      </c>
      <c r="U5" s="329" t="s">
        <v>14313</v>
      </c>
      <c r="V5" t="str">
        <f t="shared" ref="V5:V66" si="8">LEFT(U5,2)</f>
        <v>01</v>
      </c>
      <c r="W5" t="str">
        <f t="shared" ref="W5:W66" si="9">MID(U5,4,2)</f>
        <v>06</v>
      </c>
      <c r="X5" t="str">
        <f t="shared" ref="X5:X66" si="10">RIGHT(U5,2)</f>
        <v>24</v>
      </c>
      <c r="Y5" t="str">
        <f t="shared" si="0"/>
        <v>2024</v>
      </c>
      <c r="Z5" s="232">
        <f t="shared" si="1"/>
        <v>45444</v>
      </c>
      <c r="AA5" s="2">
        <f t="shared" si="2"/>
        <v>45444</v>
      </c>
      <c r="AB5"/>
      <c r="AC5"/>
    </row>
    <row r="6" spans="1:29" ht="15">
      <c r="A6" s="250" t="s">
        <v>9560</v>
      </c>
      <c r="B6" s="250" t="s">
        <v>9198</v>
      </c>
      <c r="C6" s="250" t="s">
        <v>9561</v>
      </c>
      <c r="D6" s="250" t="s">
        <v>9560</v>
      </c>
      <c r="E6" s="250">
        <v>1000</v>
      </c>
      <c r="G6" s="250">
        <v>1892411.99</v>
      </c>
      <c r="I6" s="250" t="str">
        <f t="shared" si="3"/>
        <v>02</v>
      </c>
      <c r="J6" s="250" t="str">
        <f t="shared" si="4"/>
        <v>03</v>
      </c>
      <c r="K6" s="250" t="str">
        <f t="shared" si="5"/>
        <v>23</v>
      </c>
      <c r="L6" s="252" t="str">
        <f t="shared" si="6"/>
        <v>2023</v>
      </c>
      <c r="M6" s="251">
        <f t="shared" si="7"/>
        <v>44987</v>
      </c>
      <c r="U6" s="329" t="s">
        <v>14314</v>
      </c>
      <c r="V6" t="str">
        <f t="shared" si="8"/>
        <v>02</v>
      </c>
      <c r="W6" t="str">
        <f t="shared" si="9"/>
        <v>06</v>
      </c>
      <c r="X6" t="str">
        <f t="shared" si="10"/>
        <v>24</v>
      </c>
      <c r="Y6" t="str">
        <f t="shared" si="0"/>
        <v>2024</v>
      </c>
      <c r="Z6" s="232">
        <f t="shared" si="1"/>
        <v>45445</v>
      </c>
      <c r="AA6" s="2">
        <f t="shared" si="2"/>
        <v>45445</v>
      </c>
      <c r="AB6"/>
      <c r="AC6"/>
    </row>
    <row r="7" spans="1:29" ht="15">
      <c r="A7" s="250" t="s">
        <v>9560</v>
      </c>
      <c r="B7" s="250" t="s">
        <v>9199</v>
      </c>
      <c r="C7" s="250" t="s">
        <v>9562</v>
      </c>
      <c r="D7" s="250" t="s">
        <v>9560</v>
      </c>
      <c r="E7" s="250">
        <v>1250</v>
      </c>
      <c r="G7" s="250">
        <v>1891161.99</v>
      </c>
      <c r="I7" s="250" t="str">
        <f t="shared" si="3"/>
        <v>02</v>
      </c>
      <c r="J7" s="250" t="str">
        <f t="shared" si="4"/>
        <v>03</v>
      </c>
      <c r="K7" s="250" t="str">
        <f t="shared" si="5"/>
        <v>23</v>
      </c>
      <c r="L7" s="252" t="str">
        <f t="shared" si="6"/>
        <v>2023</v>
      </c>
      <c r="M7" s="251">
        <f t="shared" si="7"/>
        <v>44987</v>
      </c>
      <c r="U7" s="329" t="s">
        <v>14314</v>
      </c>
      <c r="V7" t="str">
        <f t="shared" si="8"/>
        <v>02</v>
      </c>
      <c r="W7" t="str">
        <f t="shared" si="9"/>
        <v>06</v>
      </c>
      <c r="X7" t="str">
        <f t="shared" si="10"/>
        <v>24</v>
      </c>
      <c r="Y7" t="str">
        <f t="shared" si="0"/>
        <v>2024</v>
      </c>
      <c r="Z7" s="232">
        <f t="shared" si="1"/>
        <v>45445</v>
      </c>
      <c r="AA7" s="2">
        <f t="shared" si="2"/>
        <v>45445</v>
      </c>
      <c r="AB7"/>
      <c r="AC7"/>
    </row>
    <row r="8" spans="1:29" ht="15">
      <c r="A8" s="250" t="s">
        <v>9563</v>
      </c>
      <c r="B8" s="250" t="s">
        <v>9200</v>
      </c>
      <c r="C8" s="250" t="s">
        <v>9564</v>
      </c>
      <c r="D8" s="250" t="s">
        <v>9563</v>
      </c>
      <c r="E8" s="250">
        <v>1000</v>
      </c>
      <c r="G8" s="250">
        <v>1890161.99</v>
      </c>
      <c r="I8" s="250" t="str">
        <f t="shared" si="3"/>
        <v>03</v>
      </c>
      <c r="J8" s="250" t="str">
        <f t="shared" si="4"/>
        <v>03</v>
      </c>
      <c r="K8" s="250" t="str">
        <f t="shared" si="5"/>
        <v>23</v>
      </c>
      <c r="L8" s="252" t="str">
        <f t="shared" si="6"/>
        <v>2023</v>
      </c>
      <c r="M8" s="251">
        <f t="shared" si="7"/>
        <v>44988</v>
      </c>
      <c r="U8" s="329" t="s">
        <v>14314</v>
      </c>
      <c r="V8" t="str">
        <f t="shared" si="8"/>
        <v>02</v>
      </c>
      <c r="W8" t="str">
        <f t="shared" si="9"/>
        <v>06</v>
      </c>
      <c r="X8" t="str">
        <f t="shared" si="10"/>
        <v>24</v>
      </c>
      <c r="Y8" t="str">
        <f t="shared" si="0"/>
        <v>2024</v>
      </c>
      <c r="Z8" s="232">
        <f t="shared" si="1"/>
        <v>45445</v>
      </c>
      <c r="AA8" s="2">
        <f t="shared" si="2"/>
        <v>45445</v>
      </c>
      <c r="AB8"/>
      <c r="AC8"/>
    </row>
    <row r="9" spans="1:29" ht="15">
      <c r="A9" s="250" t="s">
        <v>9563</v>
      </c>
      <c r="B9" s="250" t="s">
        <v>9201</v>
      </c>
      <c r="C9" s="250" t="s">
        <v>9565</v>
      </c>
      <c r="D9" s="250" t="s">
        <v>9563</v>
      </c>
      <c r="E9" s="250">
        <v>775</v>
      </c>
      <c r="G9" s="250">
        <v>1889386.99</v>
      </c>
      <c r="I9" s="250" t="str">
        <f t="shared" si="3"/>
        <v>03</v>
      </c>
      <c r="J9" s="250" t="str">
        <f t="shared" si="4"/>
        <v>03</v>
      </c>
      <c r="K9" s="250" t="str">
        <f t="shared" si="5"/>
        <v>23</v>
      </c>
      <c r="L9" s="252" t="str">
        <f t="shared" si="6"/>
        <v>2023</v>
      </c>
      <c r="M9" s="251">
        <f t="shared" si="7"/>
        <v>44988</v>
      </c>
      <c r="U9" s="329" t="s">
        <v>14314</v>
      </c>
      <c r="V9" t="str">
        <f t="shared" si="8"/>
        <v>02</v>
      </c>
      <c r="W9" t="str">
        <f t="shared" si="9"/>
        <v>06</v>
      </c>
      <c r="X9" t="str">
        <f t="shared" si="10"/>
        <v>24</v>
      </c>
      <c r="Y9" t="str">
        <f t="shared" si="0"/>
        <v>2024</v>
      </c>
      <c r="Z9" s="232">
        <f t="shared" si="1"/>
        <v>45445</v>
      </c>
      <c r="AA9" s="2">
        <f t="shared" si="2"/>
        <v>45445</v>
      </c>
      <c r="AB9"/>
      <c r="AC9"/>
    </row>
    <row r="10" spans="1:29" ht="15">
      <c r="A10" s="250" t="s">
        <v>9563</v>
      </c>
      <c r="B10" s="250" t="s">
        <v>9202</v>
      </c>
      <c r="C10" s="250" t="s">
        <v>9566</v>
      </c>
      <c r="D10" s="250" t="s">
        <v>9563</v>
      </c>
      <c r="E10" s="250">
        <v>957</v>
      </c>
      <c r="G10" s="250">
        <v>1888429.99</v>
      </c>
      <c r="I10" s="250" t="str">
        <f t="shared" si="3"/>
        <v>03</v>
      </c>
      <c r="J10" s="250" t="str">
        <f t="shared" si="4"/>
        <v>03</v>
      </c>
      <c r="K10" s="250" t="str">
        <f t="shared" si="5"/>
        <v>23</v>
      </c>
      <c r="L10" s="252" t="str">
        <f t="shared" si="6"/>
        <v>2023</v>
      </c>
      <c r="M10" s="251">
        <f t="shared" si="7"/>
        <v>44988</v>
      </c>
      <c r="U10" s="329" t="s">
        <v>14315</v>
      </c>
      <c r="V10" t="str">
        <f t="shared" si="8"/>
        <v>03</v>
      </c>
      <c r="W10" t="str">
        <f t="shared" si="9"/>
        <v>06</v>
      </c>
      <c r="X10" t="str">
        <f t="shared" si="10"/>
        <v>24</v>
      </c>
      <c r="Y10" t="str">
        <f t="shared" si="0"/>
        <v>2024</v>
      </c>
      <c r="Z10" s="232">
        <f t="shared" si="1"/>
        <v>45446</v>
      </c>
      <c r="AA10" s="2">
        <f t="shared" si="2"/>
        <v>45446</v>
      </c>
      <c r="AB10"/>
      <c r="AC10"/>
    </row>
    <row r="11" spans="1:29" ht="15">
      <c r="A11" s="250" t="s">
        <v>9567</v>
      </c>
      <c r="B11" s="250" t="s">
        <v>9203</v>
      </c>
      <c r="C11" s="250" t="s">
        <v>9568</v>
      </c>
      <c r="D11" s="250" t="s">
        <v>9567</v>
      </c>
      <c r="E11" s="250">
        <v>750</v>
      </c>
      <c r="G11" s="250">
        <v>1887679.99</v>
      </c>
      <c r="I11" s="250" t="str">
        <f t="shared" si="3"/>
        <v>04</v>
      </c>
      <c r="J11" s="250" t="str">
        <f t="shared" si="4"/>
        <v>03</v>
      </c>
      <c r="K11" s="250" t="str">
        <f t="shared" si="5"/>
        <v>23</v>
      </c>
      <c r="L11" s="252" t="str">
        <f t="shared" si="6"/>
        <v>2023</v>
      </c>
      <c r="M11" s="251">
        <f t="shared" si="7"/>
        <v>44989</v>
      </c>
      <c r="U11" s="329" t="s">
        <v>14315</v>
      </c>
      <c r="V11" t="str">
        <f t="shared" si="8"/>
        <v>03</v>
      </c>
      <c r="W11" t="str">
        <f t="shared" si="9"/>
        <v>06</v>
      </c>
      <c r="X11" t="str">
        <f t="shared" si="10"/>
        <v>24</v>
      </c>
      <c r="Y11" t="str">
        <f t="shared" si="0"/>
        <v>2024</v>
      </c>
      <c r="Z11" s="232">
        <f t="shared" si="1"/>
        <v>45446</v>
      </c>
      <c r="AA11" s="2">
        <f t="shared" si="2"/>
        <v>45446</v>
      </c>
      <c r="AB11"/>
      <c r="AC11"/>
    </row>
    <row r="12" spans="1:29" ht="15">
      <c r="A12" s="250" t="s">
        <v>9567</v>
      </c>
      <c r="B12" s="250" t="s">
        <v>9204</v>
      </c>
      <c r="C12" s="250" t="s">
        <v>9569</v>
      </c>
      <c r="D12" s="250" t="s">
        <v>9567</v>
      </c>
      <c r="E12" s="250">
        <v>296.79000000000002</v>
      </c>
      <c r="G12" s="250">
        <v>1887383.2</v>
      </c>
      <c r="I12" s="250" t="str">
        <f t="shared" si="3"/>
        <v>04</v>
      </c>
      <c r="J12" s="250" t="str">
        <f t="shared" si="4"/>
        <v>03</v>
      </c>
      <c r="K12" s="250" t="str">
        <f t="shared" si="5"/>
        <v>23</v>
      </c>
      <c r="L12" s="252" t="str">
        <f t="shared" si="6"/>
        <v>2023</v>
      </c>
      <c r="M12" s="251">
        <f t="shared" si="7"/>
        <v>44989</v>
      </c>
      <c r="U12" s="329" t="s">
        <v>14315</v>
      </c>
      <c r="V12" t="str">
        <f t="shared" si="8"/>
        <v>03</v>
      </c>
      <c r="W12" t="str">
        <f t="shared" si="9"/>
        <v>06</v>
      </c>
      <c r="X12" t="str">
        <f t="shared" si="10"/>
        <v>24</v>
      </c>
      <c r="Y12" t="str">
        <f t="shared" si="0"/>
        <v>2024</v>
      </c>
      <c r="Z12" s="232">
        <f t="shared" si="1"/>
        <v>45446</v>
      </c>
      <c r="AA12" s="2">
        <f t="shared" si="2"/>
        <v>45446</v>
      </c>
      <c r="AB12"/>
      <c r="AC12"/>
    </row>
    <row r="13" spans="1:29" ht="15">
      <c r="A13" s="250" t="s">
        <v>9570</v>
      </c>
      <c r="B13" s="250" t="s">
        <v>9205</v>
      </c>
      <c r="C13" s="250" t="s">
        <v>9571</v>
      </c>
      <c r="D13" s="250" t="s">
        <v>9570</v>
      </c>
      <c r="E13" s="250">
        <v>967.31</v>
      </c>
      <c r="G13" s="250">
        <v>1886415.89</v>
      </c>
      <c r="I13" s="250" t="str">
        <f t="shared" si="3"/>
        <v>05</v>
      </c>
      <c r="J13" s="250" t="str">
        <f t="shared" si="4"/>
        <v>03</v>
      </c>
      <c r="K13" s="250" t="str">
        <f t="shared" si="5"/>
        <v>23</v>
      </c>
      <c r="L13" s="252" t="str">
        <f t="shared" si="6"/>
        <v>2023</v>
      </c>
      <c r="M13" s="251">
        <f t="shared" si="7"/>
        <v>44990</v>
      </c>
      <c r="U13" s="329" t="s">
        <v>14315</v>
      </c>
      <c r="V13" t="str">
        <f t="shared" si="8"/>
        <v>03</v>
      </c>
      <c r="W13" t="str">
        <f t="shared" si="9"/>
        <v>06</v>
      </c>
      <c r="X13" t="str">
        <f t="shared" si="10"/>
        <v>24</v>
      </c>
      <c r="Y13" t="str">
        <f t="shared" si="0"/>
        <v>2024</v>
      </c>
      <c r="Z13" s="232">
        <f t="shared" si="1"/>
        <v>45446</v>
      </c>
      <c r="AA13" s="2">
        <f t="shared" si="2"/>
        <v>45446</v>
      </c>
      <c r="AB13"/>
      <c r="AC13"/>
    </row>
    <row r="14" spans="1:29" ht="15">
      <c r="A14" s="250" t="s">
        <v>9572</v>
      </c>
      <c r="B14" s="250" t="s">
        <v>9206</v>
      </c>
      <c r="C14" s="250" t="s">
        <v>9573</v>
      </c>
      <c r="D14" s="250" t="s">
        <v>9572</v>
      </c>
      <c r="E14" s="250">
        <v>1250</v>
      </c>
      <c r="G14" s="250">
        <v>1885165.89</v>
      </c>
      <c r="I14" s="250" t="str">
        <f t="shared" si="3"/>
        <v>06</v>
      </c>
      <c r="J14" s="250" t="str">
        <f t="shared" si="4"/>
        <v>03</v>
      </c>
      <c r="K14" s="250" t="str">
        <f t="shared" si="5"/>
        <v>23</v>
      </c>
      <c r="L14" s="252" t="str">
        <f t="shared" si="6"/>
        <v>2023</v>
      </c>
      <c r="M14" s="251">
        <f t="shared" si="7"/>
        <v>44991</v>
      </c>
      <c r="U14" s="329" t="s">
        <v>14315</v>
      </c>
      <c r="V14" t="str">
        <f t="shared" si="8"/>
        <v>03</v>
      </c>
      <c r="W14" t="str">
        <f t="shared" si="9"/>
        <v>06</v>
      </c>
      <c r="X14" t="str">
        <f t="shared" si="10"/>
        <v>24</v>
      </c>
      <c r="Y14" t="str">
        <f t="shared" si="0"/>
        <v>2024</v>
      </c>
      <c r="Z14" s="232">
        <f t="shared" si="1"/>
        <v>45446</v>
      </c>
      <c r="AA14" s="2">
        <f t="shared" si="2"/>
        <v>45446</v>
      </c>
      <c r="AB14"/>
      <c r="AC14"/>
    </row>
    <row r="15" spans="1:29" ht="15">
      <c r="A15" s="250" t="s">
        <v>9572</v>
      </c>
      <c r="B15" s="250" t="s">
        <v>9207</v>
      </c>
      <c r="C15" s="250" t="s">
        <v>9574</v>
      </c>
      <c r="D15" s="250" t="s">
        <v>9572</v>
      </c>
      <c r="E15" s="250">
        <v>1250</v>
      </c>
      <c r="G15" s="250">
        <v>1883915.89</v>
      </c>
      <c r="I15" s="250" t="str">
        <f t="shared" si="3"/>
        <v>06</v>
      </c>
      <c r="J15" s="250" t="str">
        <f t="shared" si="4"/>
        <v>03</v>
      </c>
      <c r="K15" s="250" t="str">
        <f t="shared" si="5"/>
        <v>23</v>
      </c>
      <c r="L15" s="252" t="str">
        <f t="shared" si="6"/>
        <v>2023</v>
      </c>
      <c r="M15" s="251">
        <f t="shared" si="7"/>
        <v>44991</v>
      </c>
      <c r="U15" s="329" t="s">
        <v>14315</v>
      </c>
      <c r="V15" t="str">
        <f t="shared" si="8"/>
        <v>03</v>
      </c>
      <c r="W15" t="str">
        <f t="shared" si="9"/>
        <v>06</v>
      </c>
      <c r="X15" t="str">
        <f t="shared" si="10"/>
        <v>24</v>
      </c>
      <c r="Y15" t="str">
        <f t="shared" si="0"/>
        <v>2024</v>
      </c>
      <c r="Z15" s="232">
        <f t="shared" si="1"/>
        <v>45446</v>
      </c>
      <c r="AA15" s="2">
        <f t="shared" si="2"/>
        <v>45446</v>
      </c>
      <c r="AB15"/>
      <c r="AC15"/>
    </row>
    <row r="16" spans="1:29" ht="15">
      <c r="A16" s="250" t="s">
        <v>9572</v>
      </c>
      <c r="B16" s="250" t="s">
        <v>9208</v>
      </c>
      <c r="C16" s="250" t="s">
        <v>9575</v>
      </c>
      <c r="D16" s="250" t="s">
        <v>9572</v>
      </c>
      <c r="E16" s="250">
        <v>800</v>
      </c>
      <c r="G16" s="250">
        <v>1883115.89</v>
      </c>
      <c r="I16" s="250" t="str">
        <f t="shared" si="3"/>
        <v>06</v>
      </c>
      <c r="J16" s="250" t="str">
        <f t="shared" si="4"/>
        <v>03</v>
      </c>
      <c r="K16" s="250" t="str">
        <f t="shared" si="5"/>
        <v>23</v>
      </c>
      <c r="L16" s="252" t="str">
        <f t="shared" si="6"/>
        <v>2023</v>
      </c>
      <c r="M16" s="251">
        <f t="shared" si="7"/>
        <v>44991</v>
      </c>
      <c r="U16" s="329" t="s">
        <v>14316</v>
      </c>
      <c r="V16" t="str">
        <f t="shared" si="8"/>
        <v>04</v>
      </c>
      <c r="W16" t="str">
        <f t="shared" si="9"/>
        <v>06</v>
      </c>
      <c r="X16" t="str">
        <f t="shared" si="10"/>
        <v>24</v>
      </c>
      <c r="Y16" t="str">
        <f t="shared" si="0"/>
        <v>2024</v>
      </c>
      <c r="Z16" s="232">
        <f t="shared" si="1"/>
        <v>45447</v>
      </c>
      <c r="AA16" s="2">
        <f t="shared" si="2"/>
        <v>45447</v>
      </c>
      <c r="AB16"/>
      <c r="AC16"/>
    </row>
    <row r="17" spans="1:29" ht="15">
      <c r="A17" s="250" t="s">
        <v>9572</v>
      </c>
      <c r="B17" s="250" t="s">
        <v>9209</v>
      </c>
      <c r="C17" s="250" t="s">
        <v>9576</v>
      </c>
      <c r="D17" s="250" t="s">
        <v>9572</v>
      </c>
      <c r="E17" s="250">
        <v>1000</v>
      </c>
      <c r="G17" s="250">
        <v>1882115.89</v>
      </c>
      <c r="I17" s="250" t="str">
        <f t="shared" si="3"/>
        <v>06</v>
      </c>
      <c r="J17" s="250" t="str">
        <f t="shared" si="4"/>
        <v>03</v>
      </c>
      <c r="K17" s="250" t="str">
        <f t="shared" si="5"/>
        <v>23</v>
      </c>
      <c r="L17" s="252" t="str">
        <f t="shared" si="6"/>
        <v>2023</v>
      </c>
      <c r="M17" s="251">
        <f t="shared" si="7"/>
        <v>44991</v>
      </c>
      <c r="U17" s="329" t="s">
        <v>14316</v>
      </c>
      <c r="V17" t="str">
        <f t="shared" si="8"/>
        <v>04</v>
      </c>
      <c r="W17" t="str">
        <f t="shared" si="9"/>
        <v>06</v>
      </c>
      <c r="X17" t="str">
        <f t="shared" si="10"/>
        <v>24</v>
      </c>
      <c r="Y17" t="str">
        <f t="shared" si="0"/>
        <v>2024</v>
      </c>
      <c r="Z17" s="232">
        <f t="shared" si="1"/>
        <v>45447</v>
      </c>
      <c r="AA17" s="2">
        <f t="shared" si="2"/>
        <v>45447</v>
      </c>
      <c r="AB17"/>
      <c r="AC17"/>
    </row>
    <row r="18" spans="1:29" ht="15">
      <c r="A18" s="250" t="s">
        <v>9572</v>
      </c>
      <c r="B18" s="250" t="s">
        <v>9210</v>
      </c>
      <c r="C18" s="250" t="s">
        <v>9577</v>
      </c>
      <c r="D18" s="250" t="s">
        <v>9572</v>
      </c>
      <c r="E18" s="250">
        <v>5000</v>
      </c>
      <c r="G18" s="250">
        <v>1877115.89</v>
      </c>
      <c r="I18" s="250" t="str">
        <f t="shared" si="3"/>
        <v>06</v>
      </c>
      <c r="J18" s="250" t="str">
        <f t="shared" si="4"/>
        <v>03</v>
      </c>
      <c r="K18" s="250" t="str">
        <f t="shared" si="5"/>
        <v>23</v>
      </c>
      <c r="L18" s="252" t="str">
        <f t="shared" si="6"/>
        <v>2023</v>
      </c>
      <c r="M18" s="251">
        <f t="shared" si="7"/>
        <v>44991</v>
      </c>
      <c r="U18" s="329" t="s">
        <v>14316</v>
      </c>
      <c r="V18" t="str">
        <f t="shared" si="8"/>
        <v>04</v>
      </c>
      <c r="W18" t="str">
        <f t="shared" si="9"/>
        <v>06</v>
      </c>
      <c r="X18" t="str">
        <f t="shared" si="10"/>
        <v>24</v>
      </c>
      <c r="Y18" t="str">
        <f t="shared" si="0"/>
        <v>2024</v>
      </c>
      <c r="Z18" s="232">
        <f t="shared" si="1"/>
        <v>45447</v>
      </c>
      <c r="AA18" s="2">
        <f t="shared" si="2"/>
        <v>45447</v>
      </c>
      <c r="AB18"/>
      <c r="AC18"/>
    </row>
    <row r="19" spans="1:29" ht="15">
      <c r="A19" s="250" t="s">
        <v>9572</v>
      </c>
      <c r="B19" s="250" t="s">
        <v>9211</v>
      </c>
      <c r="C19" s="250" t="s">
        <v>9578</v>
      </c>
      <c r="D19" s="250" t="s">
        <v>9572</v>
      </c>
      <c r="E19" s="250">
        <v>1268.5</v>
      </c>
      <c r="G19" s="250">
        <v>1875847.39</v>
      </c>
      <c r="I19" s="250" t="str">
        <f t="shared" si="3"/>
        <v>06</v>
      </c>
      <c r="J19" s="250" t="str">
        <f t="shared" si="4"/>
        <v>03</v>
      </c>
      <c r="K19" s="250" t="str">
        <f t="shared" si="5"/>
        <v>23</v>
      </c>
      <c r="L19" s="252" t="str">
        <f t="shared" si="6"/>
        <v>2023</v>
      </c>
      <c r="M19" s="251">
        <f t="shared" si="7"/>
        <v>44991</v>
      </c>
      <c r="U19" s="329" t="s">
        <v>14317</v>
      </c>
      <c r="V19" t="str">
        <f t="shared" si="8"/>
        <v>05</v>
      </c>
      <c r="W19" t="str">
        <f t="shared" si="9"/>
        <v>06</v>
      </c>
      <c r="X19" t="str">
        <f t="shared" si="10"/>
        <v>24</v>
      </c>
      <c r="Y19" t="str">
        <f t="shared" si="0"/>
        <v>2024</v>
      </c>
      <c r="Z19" s="232">
        <f t="shared" si="1"/>
        <v>45448</v>
      </c>
      <c r="AA19" s="2">
        <f t="shared" si="2"/>
        <v>45448</v>
      </c>
      <c r="AB19"/>
      <c r="AC19"/>
    </row>
    <row r="20" spans="1:29" ht="15">
      <c r="A20" s="250" t="s">
        <v>9579</v>
      </c>
      <c r="B20" s="250" t="s">
        <v>9212</v>
      </c>
      <c r="C20" s="250" t="s">
        <v>9580</v>
      </c>
      <c r="D20" s="250" t="s">
        <v>9579</v>
      </c>
      <c r="E20" s="250">
        <v>1000</v>
      </c>
      <c r="G20" s="250">
        <v>1874847.39</v>
      </c>
      <c r="I20" s="250" t="str">
        <f t="shared" si="3"/>
        <v>07</v>
      </c>
      <c r="J20" s="250" t="str">
        <f t="shared" si="4"/>
        <v>03</v>
      </c>
      <c r="K20" s="250" t="str">
        <f t="shared" si="5"/>
        <v>23</v>
      </c>
      <c r="L20" s="252" t="str">
        <f t="shared" si="6"/>
        <v>2023</v>
      </c>
      <c r="M20" s="251">
        <f t="shared" si="7"/>
        <v>44992</v>
      </c>
      <c r="U20" s="329" t="s">
        <v>14317</v>
      </c>
      <c r="V20" t="str">
        <f t="shared" si="8"/>
        <v>05</v>
      </c>
      <c r="W20" t="str">
        <f t="shared" si="9"/>
        <v>06</v>
      </c>
      <c r="X20" t="str">
        <f t="shared" si="10"/>
        <v>24</v>
      </c>
      <c r="Y20" t="str">
        <f t="shared" si="0"/>
        <v>2024</v>
      </c>
      <c r="Z20" s="232">
        <f t="shared" si="1"/>
        <v>45448</v>
      </c>
      <c r="AA20" s="2">
        <f t="shared" si="2"/>
        <v>45448</v>
      </c>
      <c r="AB20"/>
      <c r="AC20"/>
    </row>
    <row r="21" spans="1:29" ht="15">
      <c r="A21" s="250" t="s">
        <v>9581</v>
      </c>
      <c r="B21" s="250" t="s">
        <v>6583</v>
      </c>
      <c r="C21" s="250" t="s">
        <v>9582</v>
      </c>
      <c r="D21" s="250" t="s">
        <v>9581</v>
      </c>
      <c r="E21" s="250">
        <v>11456</v>
      </c>
      <c r="G21" s="250">
        <v>1863391.39</v>
      </c>
      <c r="I21" s="250" t="str">
        <f t="shared" si="3"/>
        <v>08</v>
      </c>
      <c r="J21" s="250" t="str">
        <f t="shared" si="4"/>
        <v>03</v>
      </c>
      <c r="K21" s="250" t="str">
        <f t="shared" si="5"/>
        <v>23</v>
      </c>
      <c r="L21" s="252" t="str">
        <f t="shared" si="6"/>
        <v>2023</v>
      </c>
      <c r="M21" s="251">
        <f t="shared" si="7"/>
        <v>44993</v>
      </c>
      <c r="U21" s="329" t="s">
        <v>14317</v>
      </c>
      <c r="V21" t="str">
        <f t="shared" si="8"/>
        <v>05</v>
      </c>
      <c r="W21" t="str">
        <f t="shared" si="9"/>
        <v>06</v>
      </c>
      <c r="X21" t="str">
        <f t="shared" si="10"/>
        <v>24</v>
      </c>
      <c r="Y21" t="str">
        <f t="shared" si="0"/>
        <v>2024</v>
      </c>
      <c r="Z21" s="232">
        <f t="shared" si="1"/>
        <v>45448</v>
      </c>
      <c r="AA21" s="2">
        <f t="shared" si="2"/>
        <v>45448</v>
      </c>
      <c r="AB21"/>
      <c r="AC21"/>
    </row>
    <row r="22" spans="1:29" ht="15">
      <c r="A22" s="250" t="s">
        <v>9581</v>
      </c>
      <c r="B22" s="250" t="s">
        <v>9213</v>
      </c>
      <c r="C22" s="250" t="s">
        <v>9583</v>
      </c>
      <c r="D22" s="250" t="s">
        <v>9581</v>
      </c>
      <c r="E22" s="250">
        <v>775</v>
      </c>
      <c r="G22" s="250">
        <v>1862616.39</v>
      </c>
      <c r="I22" s="250" t="str">
        <f t="shared" si="3"/>
        <v>08</v>
      </c>
      <c r="J22" s="250" t="str">
        <f t="shared" si="4"/>
        <v>03</v>
      </c>
      <c r="K22" s="250" t="str">
        <f t="shared" si="5"/>
        <v>23</v>
      </c>
      <c r="L22" s="252" t="str">
        <f t="shared" si="6"/>
        <v>2023</v>
      </c>
      <c r="M22" s="251">
        <f t="shared" si="7"/>
        <v>44993</v>
      </c>
      <c r="U22" s="329" t="s">
        <v>14317</v>
      </c>
      <c r="V22" t="str">
        <f t="shared" si="8"/>
        <v>05</v>
      </c>
      <c r="W22" t="str">
        <f t="shared" si="9"/>
        <v>06</v>
      </c>
      <c r="X22" t="str">
        <f t="shared" si="10"/>
        <v>24</v>
      </c>
      <c r="Y22" t="str">
        <f t="shared" si="0"/>
        <v>2024</v>
      </c>
      <c r="Z22" s="232">
        <f t="shared" si="1"/>
        <v>45448</v>
      </c>
      <c r="AA22" s="2">
        <f t="shared" si="2"/>
        <v>45448</v>
      </c>
      <c r="AB22"/>
      <c r="AC22"/>
    </row>
    <row r="23" spans="1:29" ht="15">
      <c r="A23" s="250" t="s">
        <v>9581</v>
      </c>
      <c r="B23" s="250" t="s">
        <v>9214</v>
      </c>
      <c r="C23" s="250" t="s">
        <v>9584</v>
      </c>
      <c r="D23" s="250" t="s">
        <v>9581</v>
      </c>
      <c r="E23" s="250">
        <v>1000</v>
      </c>
      <c r="G23" s="250">
        <v>1861616.39</v>
      </c>
      <c r="I23" s="250" t="str">
        <f t="shared" si="3"/>
        <v>08</v>
      </c>
      <c r="J23" s="250" t="str">
        <f t="shared" si="4"/>
        <v>03</v>
      </c>
      <c r="K23" s="250" t="str">
        <f t="shared" si="5"/>
        <v>23</v>
      </c>
      <c r="L23" s="252" t="str">
        <f t="shared" si="6"/>
        <v>2023</v>
      </c>
      <c r="M23" s="251">
        <f t="shared" si="7"/>
        <v>44993</v>
      </c>
      <c r="U23" s="329" t="s">
        <v>14317</v>
      </c>
      <c r="V23" t="str">
        <f t="shared" si="8"/>
        <v>05</v>
      </c>
      <c r="W23" t="str">
        <f t="shared" si="9"/>
        <v>06</v>
      </c>
      <c r="X23" t="str">
        <f t="shared" si="10"/>
        <v>24</v>
      </c>
      <c r="Y23" t="str">
        <f t="shared" si="0"/>
        <v>2024</v>
      </c>
      <c r="Z23" s="232">
        <f t="shared" si="1"/>
        <v>45448</v>
      </c>
      <c r="AA23" s="2">
        <f t="shared" si="2"/>
        <v>45448</v>
      </c>
      <c r="AB23"/>
      <c r="AC23"/>
    </row>
    <row r="24" spans="1:29" ht="15">
      <c r="A24" s="250" t="s">
        <v>9581</v>
      </c>
      <c r="B24" s="250" t="s">
        <v>9215</v>
      </c>
      <c r="C24" s="250" t="s">
        <v>9585</v>
      </c>
      <c r="D24" s="250" t="s">
        <v>9581</v>
      </c>
      <c r="E24" s="250">
        <v>298</v>
      </c>
      <c r="G24" s="250">
        <v>1861318.39</v>
      </c>
      <c r="I24" s="250" t="str">
        <f t="shared" si="3"/>
        <v>08</v>
      </c>
      <c r="J24" s="250" t="str">
        <f t="shared" si="4"/>
        <v>03</v>
      </c>
      <c r="K24" s="250" t="str">
        <f t="shared" si="5"/>
        <v>23</v>
      </c>
      <c r="L24" s="252" t="str">
        <f t="shared" si="6"/>
        <v>2023</v>
      </c>
      <c r="M24" s="251">
        <f t="shared" si="7"/>
        <v>44993</v>
      </c>
      <c r="U24" s="329" t="s">
        <v>14317</v>
      </c>
      <c r="V24" t="str">
        <f t="shared" si="8"/>
        <v>05</v>
      </c>
      <c r="W24" t="str">
        <f t="shared" si="9"/>
        <v>06</v>
      </c>
      <c r="X24" t="str">
        <f t="shared" si="10"/>
        <v>24</v>
      </c>
      <c r="Y24" t="str">
        <f t="shared" si="0"/>
        <v>2024</v>
      </c>
      <c r="Z24" s="232">
        <f t="shared" si="1"/>
        <v>45448</v>
      </c>
      <c r="AA24" s="2">
        <f t="shared" si="2"/>
        <v>45448</v>
      </c>
      <c r="AB24"/>
      <c r="AC24"/>
    </row>
    <row r="25" spans="1:29" ht="15">
      <c r="A25" s="250" t="s">
        <v>9586</v>
      </c>
      <c r="B25" s="250" t="s">
        <v>9216</v>
      </c>
      <c r="C25" s="250" t="s">
        <v>9587</v>
      </c>
      <c r="D25" s="250" t="s">
        <v>9586</v>
      </c>
      <c r="E25" s="250">
        <v>1000</v>
      </c>
      <c r="G25" s="250">
        <v>1860318.39</v>
      </c>
      <c r="I25" s="250" t="str">
        <f t="shared" si="3"/>
        <v>09</v>
      </c>
      <c r="J25" s="250" t="str">
        <f t="shared" si="4"/>
        <v>03</v>
      </c>
      <c r="K25" s="250" t="str">
        <f t="shared" si="5"/>
        <v>23</v>
      </c>
      <c r="L25" s="252" t="str">
        <f t="shared" si="6"/>
        <v>2023</v>
      </c>
      <c r="M25" s="251">
        <f t="shared" si="7"/>
        <v>44994</v>
      </c>
      <c r="U25" s="329" t="s">
        <v>14317</v>
      </c>
      <c r="V25" t="str">
        <f t="shared" si="8"/>
        <v>05</v>
      </c>
      <c r="W25" t="str">
        <f t="shared" si="9"/>
        <v>06</v>
      </c>
      <c r="X25" t="str">
        <f t="shared" si="10"/>
        <v>24</v>
      </c>
      <c r="Y25" t="str">
        <f t="shared" si="0"/>
        <v>2024</v>
      </c>
      <c r="Z25" s="232">
        <f t="shared" si="1"/>
        <v>45448</v>
      </c>
      <c r="AA25" s="2">
        <f t="shared" si="2"/>
        <v>45448</v>
      </c>
      <c r="AB25"/>
      <c r="AC25"/>
    </row>
    <row r="26" spans="1:29" ht="15">
      <c r="A26" s="250" t="s">
        <v>9586</v>
      </c>
      <c r="B26" s="250" t="s">
        <v>9217</v>
      </c>
      <c r="C26" s="250" t="s">
        <v>9588</v>
      </c>
      <c r="D26" s="250" t="s">
        <v>9586</v>
      </c>
      <c r="E26" s="250">
        <v>750</v>
      </c>
      <c r="G26" s="250">
        <v>1859568.39</v>
      </c>
      <c r="I26" s="250" t="str">
        <f t="shared" si="3"/>
        <v>09</v>
      </c>
      <c r="J26" s="250" t="str">
        <f t="shared" si="4"/>
        <v>03</v>
      </c>
      <c r="K26" s="250" t="str">
        <f t="shared" si="5"/>
        <v>23</v>
      </c>
      <c r="L26" s="252" t="str">
        <f t="shared" si="6"/>
        <v>2023</v>
      </c>
      <c r="M26" s="251">
        <f t="shared" si="7"/>
        <v>44994</v>
      </c>
      <c r="U26" s="329" t="s">
        <v>14318</v>
      </c>
      <c r="V26" t="str">
        <f t="shared" si="8"/>
        <v>06</v>
      </c>
      <c r="W26" t="str">
        <f t="shared" si="9"/>
        <v>06</v>
      </c>
      <c r="X26" t="str">
        <f t="shared" si="10"/>
        <v>24</v>
      </c>
      <c r="Y26" t="str">
        <f t="shared" si="0"/>
        <v>2024</v>
      </c>
      <c r="Z26" s="232">
        <f t="shared" si="1"/>
        <v>45449</v>
      </c>
      <c r="AA26" s="2">
        <f t="shared" si="2"/>
        <v>45449</v>
      </c>
      <c r="AB26"/>
      <c r="AC26"/>
    </row>
    <row r="27" spans="1:29" ht="15">
      <c r="A27" s="250" t="s">
        <v>9586</v>
      </c>
      <c r="B27" s="250" t="s">
        <v>9218</v>
      </c>
      <c r="C27" s="250" t="s">
        <v>9589</v>
      </c>
      <c r="D27" s="250" t="s">
        <v>9586</v>
      </c>
      <c r="E27" s="250">
        <v>750</v>
      </c>
      <c r="G27" s="250">
        <v>1858818.39</v>
      </c>
      <c r="I27" s="250" t="str">
        <f t="shared" si="3"/>
        <v>09</v>
      </c>
      <c r="J27" s="250" t="str">
        <f t="shared" si="4"/>
        <v>03</v>
      </c>
      <c r="K27" s="250" t="str">
        <f t="shared" si="5"/>
        <v>23</v>
      </c>
      <c r="L27" s="252" t="str">
        <f t="shared" si="6"/>
        <v>2023</v>
      </c>
      <c r="M27" s="251">
        <f t="shared" si="7"/>
        <v>44994</v>
      </c>
      <c r="U27" s="329" t="s">
        <v>14318</v>
      </c>
      <c r="V27" t="str">
        <f t="shared" si="8"/>
        <v>06</v>
      </c>
      <c r="W27" t="str">
        <f t="shared" si="9"/>
        <v>06</v>
      </c>
      <c r="X27" t="str">
        <f t="shared" si="10"/>
        <v>24</v>
      </c>
      <c r="Y27" t="str">
        <f t="shared" si="0"/>
        <v>2024</v>
      </c>
      <c r="Z27" s="232">
        <f t="shared" si="1"/>
        <v>45449</v>
      </c>
      <c r="AA27" s="2">
        <f t="shared" si="2"/>
        <v>45449</v>
      </c>
      <c r="AB27"/>
      <c r="AC27"/>
    </row>
    <row r="28" spans="1:29" ht="15">
      <c r="A28" s="250" t="s">
        <v>9590</v>
      </c>
      <c r="B28" s="250" t="s">
        <v>9219</v>
      </c>
      <c r="C28" s="250" t="s">
        <v>9591</v>
      </c>
      <c r="D28" s="250" t="s">
        <v>9590</v>
      </c>
      <c r="E28" s="250">
        <v>1250</v>
      </c>
      <c r="G28" s="250">
        <v>1857568.39</v>
      </c>
      <c r="I28" s="250" t="str">
        <f t="shared" si="3"/>
        <v>10</v>
      </c>
      <c r="J28" s="250" t="str">
        <f t="shared" si="4"/>
        <v>03</v>
      </c>
      <c r="K28" s="250" t="str">
        <f t="shared" si="5"/>
        <v>23</v>
      </c>
      <c r="L28" s="252" t="str">
        <f t="shared" si="6"/>
        <v>2023</v>
      </c>
      <c r="M28" s="251">
        <f t="shared" si="7"/>
        <v>44995</v>
      </c>
      <c r="U28" s="329" t="s">
        <v>14318</v>
      </c>
      <c r="V28" t="str">
        <f t="shared" si="8"/>
        <v>06</v>
      </c>
      <c r="W28" t="str">
        <f t="shared" si="9"/>
        <v>06</v>
      </c>
      <c r="X28" t="str">
        <f t="shared" si="10"/>
        <v>24</v>
      </c>
      <c r="Y28" t="str">
        <f t="shared" si="0"/>
        <v>2024</v>
      </c>
      <c r="Z28" s="232">
        <f t="shared" si="1"/>
        <v>45449</v>
      </c>
      <c r="AA28" s="2">
        <f t="shared" si="2"/>
        <v>45449</v>
      </c>
      <c r="AB28"/>
      <c r="AC28"/>
    </row>
    <row r="29" spans="1:29" ht="15">
      <c r="A29" s="250" t="s">
        <v>9592</v>
      </c>
      <c r="B29" s="250" t="s">
        <v>9220</v>
      </c>
      <c r="C29" s="250" t="s">
        <v>9593</v>
      </c>
      <c r="D29" s="250" t="s">
        <v>9592</v>
      </c>
      <c r="E29" s="250">
        <v>1250</v>
      </c>
      <c r="G29" s="250">
        <v>1856318.39</v>
      </c>
      <c r="I29" s="250" t="str">
        <f t="shared" si="3"/>
        <v>11</v>
      </c>
      <c r="J29" s="250" t="str">
        <f t="shared" si="4"/>
        <v>03</v>
      </c>
      <c r="K29" s="250" t="str">
        <f t="shared" si="5"/>
        <v>23</v>
      </c>
      <c r="L29" s="252" t="str">
        <f t="shared" si="6"/>
        <v>2023</v>
      </c>
      <c r="M29" s="251">
        <f t="shared" si="7"/>
        <v>44996</v>
      </c>
      <c r="U29" s="329" t="s">
        <v>14319</v>
      </c>
      <c r="V29" t="str">
        <f t="shared" si="8"/>
        <v>07</v>
      </c>
      <c r="W29" t="str">
        <f t="shared" si="9"/>
        <v>06</v>
      </c>
      <c r="X29" t="str">
        <f t="shared" si="10"/>
        <v>24</v>
      </c>
      <c r="Y29" t="str">
        <f t="shared" si="0"/>
        <v>2024</v>
      </c>
      <c r="Z29" s="232">
        <f t="shared" si="1"/>
        <v>45450</v>
      </c>
      <c r="AA29" s="2">
        <f t="shared" si="2"/>
        <v>45450</v>
      </c>
      <c r="AB29"/>
      <c r="AC29"/>
    </row>
    <row r="30" spans="1:29" ht="15">
      <c r="A30" s="250" t="s">
        <v>9594</v>
      </c>
      <c r="B30" s="250" t="s">
        <v>9221</v>
      </c>
      <c r="C30" s="250" t="s">
        <v>9595</v>
      </c>
      <c r="D30" s="250" t="s">
        <v>9594</v>
      </c>
      <c r="F30" s="250">
        <v>20</v>
      </c>
      <c r="G30" s="250">
        <v>1856338.39</v>
      </c>
      <c r="I30" s="250" t="str">
        <f t="shared" si="3"/>
        <v>12</v>
      </c>
      <c r="J30" s="250" t="str">
        <f t="shared" si="4"/>
        <v>03</v>
      </c>
      <c r="K30" s="250" t="str">
        <f t="shared" si="5"/>
        <v>23</v>
      </c>
      <c r="L30" s="252" t="str">
        <f t="shared" si="6"/>
        <v>2023</v>
      </c>
      <c r="M30" s="251">
        <f t="shared" si="7"/>
        <v>44997</v>
      </c>
      <c r="U30" s="329" t="s">
        <v>14319</v>
      </c>
      <c r="V30" t="str">
        <f t="shared" si="8"/>
        <v>07</v>
      </c>
      <c r="W30" t="str">
        <f t="shared" si="9"/>
        <v>06</v>
      </c>
      <c r="X30" t="str">
        <f t="shared" si="10"/>
        <v>24</v>
      </c>
      <c r="Y30" t="str">
        <f t="shared" si="0"/>
        <v>2024</v>
      </c>
      <c r="Z30" s="232">
        <f t="shared" si="1"/>
        <v>45450</v>
      </c>
      <c r="AA30" s="2">
        <f t="shared" si="2"/>
        <v>45450</v>
      </c>
      <c r="AB30"/>
      <c r="AC30"/>
    </row>
    <row r="31" spans="1:29" ht="15">
      <c r="A31" s="250" t="s">
        <v>9594</v>
      </c>
      <c r="B31" s="250" t="s">
        <v>9222</v>
      </c>
      <c r="C31" s="250" t="s">
        <v>9596</v>
      </c>
      <c r="D31" s="250" t="s">
        <v>9594</v>
      </c>
      <c r="E31" s="250">
        <v>20</v>
      </c>
      <c r="G31" s="250">
        <v>1856318.39</v>
      </c>
      <c r="I31" s="250" t="str">
        <f t="shared" si="3"/>
        <v>12</v>
      </c>
      <c r="J31" s="250" t="str">
        <f t="shared" si="4"/>
        <v>03</v>
      </c>
      <c r="K31" s="250" t="str">
        <f t="shared" si="5"/>
        <v>23</v>
      </c>
      <c r="L31" s="252" t="str">
        <f t="shared" si="6"/>
        <v>2023</v>
      </c>
      <c r="M31" s="251">
        <f t="shared" si="7"/>
        <v>44997</v>
      </c>
      <c r="U31" s="329" t="s">
        <v>14320</v>
      </c>
      <c r="V31" t="str">
        <f t="shared" si="8"/>
        <v>08</v>
      </c>
      <c r="W31" t="str">
        <f t="shared" si="9"/>
        <v>06</v>
      </c>
      <c r="X31" t="str">
        <f t="shared" si="10"/>
        <v>24</v>
      </c>
      <c r="Y31" t="str">
        <f t="shared" si="0"/>
        <v>2024</v>
      </c>
      <c r="Z31" s="232">
        <f t="shared" si="1"/>
        <v>45451</v>
      </c>
      <c r="AA31" s="2">
        <f t="shared" si="2"/>
        <v>45451</v>
      </c>
      <c r="AB31"/>
      <c r="AC31"/>
    </row>
    <row r="32" spans="1:29" ht="15">
      <c r="A32" s="250" t="s">
        <v>9597</v>
      </c>
      <c r="B32" s="250" t="s">
        <v>9223</v>
      </c>
      <c r="C32" s="250" t="s">
        <v>9598</v>
      </c>
      <c r="D32" s="250" t="s">
        <v>9597</v>
      </c>
      <c r="E32" s="250">
        <v>775</v>
      </c>
      <c r="G32" s="250">
        <v>1855543.39</v>
      </c>
      <c r="I32" s="250" t="str">
        <f t="shared" si="3"/>
        <v>13</v>
      </c>
      <c r="J32" s="250" t="str">
        <f t="shared" si="4"/>
        <v>03</v>
      </c>
      <c r="K32" s="250" t="str">
        <f t="shared" si="5"/>
        <v>23</v>
      </c>
      <c r="L32" s="252" t="str">
        <f t="shared" si="6"/>
        <v>2023</v>
      </c>
      <c r="M32" s="251">
        <f t="shared" si="7"/>
        <v>44998</v>
      </c>
      <c r="U32" s="329" t="s">
        <v>14321</v>
      </c>
      <c r="V32" t="str">
        <f t="shared" si="8"/>
        <v>09</v>
      </c>
      <c r="W32" t="str">
        <f t="shared" si="9"/>
        <v>06</v>
      </c>
      <c r="X32" t="str">
        <f t="shared" si="10"/>
        <v>24</v>
      </c>
      <c r="Y32" t="str">
        <f t="shared" si="0"/>
        <v>2024</v>
      </c>
      <c r="Z32" s="232">
        <f t="shared" si="1"/>
        <v>45452</v>
      </c>
      <c r="AA32" s="2">
        <f t="shared" si="2"/>
        <v>45452</v>
      </c>
      <c r="AB32"/>
      <c r="AC32"/>
    </row>
    <row r="33" spans="1:29" ht="15">
      <c r="A33" s="250" t="s">
        <v>9597</v>
      </c>
      <c r="B33" s="250" t="s">
        <v>9224</v>
      </c>
      <c r="C33" s="250" t="s">
        <v>9599</v>
      </c>
      <c r="D33" s="250" t="s">
        <v>9597</v>
      </c>
      <c r="E33" s="250">
        <v>1000</v>
      </c>
      <c r="G33" s="250">
        <v>1854543.39</v>
      </c>
      <c r="I33" s="250" t="str">
        <f t="shared" si="3"/>
        <v>13</v>
      </c>
      <c r="J33" s="250" t="str">
        <f t="shared" si="4"/>
        <v>03</v>
      </c>
      <c r="K33" s="250" t="str">
        <f t="shared" si="5"/>
        <v>23</v>
      </c>
      <c r="L33" s="252" t="str">
        <f t="shared" si="6"/>
        <v>2023</v>
      </c>
      <c r="M33" s="251">
        <f t="shared" si="7"/>
        <v>44998</v>
      </c>
      <c r="U33" s="329" t="s">
        <v>14322</v>
      </c>
      <c r="V33" t="str">
        <f t="shared" si="8"/>
        <v>10</v>
      </c>
      <c r="W33" t="str">
        <f t="shared" si="9"/>
        <v>06</v>
      </c>
      <c r="X33" t="str">
        <f t="shared" si="10"/>
        <v>24</v>
      </c>
      <c r="Y33" t="str">
        <f t="shared" si="0"/>
        <v>2024</v>
      </c>
      <c r="Z33" s="232">
        <f t="shared" si="1"/>
        <v>45453</v>
      </c>
      <c r="AA33" s="2">
        <f t="shared" si="2"/>
        <v>45453</v>
      </c>
      <c r="AB33"/>
      <c r="AC33"/>
    </row>
    <row r="34" spans="1:29" ht="15">
      <c r="A34" s="250" t="s">
        <v>9597</v>
      </c>
      <c r="B34" s="250" t="s">
        <v>9225</v>
      </c>
      <c r="C34" s="250" t="s">
        <v>9600</v>
      </c>
      <c r="D34" s="250" t="s">
        <v>9597</v>
      </c>
      <c r="E34" s="250">
        <v>1000</v>
      </c>
      <c r="G34" s="250">
        <v>1853543.39</v>
      </c>
      <c r="I34" s="250" t="str">
        <f t="shared" si="3"/>
        <v>13</v>
      </c>
      <c r="J34" s="250" t="str">
        <f t="shared" si="4"/>
        <v>03</v>
      </c>
      <c r="K34" s="250" t="str">
        <f t="shared" si="5"/>
        <v>23</v>
      </c>
      <c r="L34" s="252" t="str">
        <f t="shared" si="6"/>
        <v>2023</v>
      </c>
      <c r="M34" s="251">
        <f t="shared" si="7"/>
        <v>44998</v>
      </c>
      <c r="U34" s="329" t="s">
        <v>14322</v>
      </c>
      <c r="V34" t="str">
        <f t="shared" si="8"/>
        <v>10</v>
      </c>
      <c r="W34" t="str">
        <f t="shared" si="9"/>
        <v>06</v>
      </c>
      <c r="X34" t="str">
        <f t="shared" si="10"/>
        <v>24</v>
      </c>
      <c r="Y34" t="str">
        <f t="shared" si="0"/>
        <v>2024</v>
      </c>
      <c r="Z34" s="232">
        <f t="shared" si="1"/>
        <v>45453</v>
      </c>
      <c r="AA34" s="2">
        <f t="shared" si="2"/>
        <v>45453</v>
      </c>
      <c r="AB34"/>
      <c r="AC34"/>
    </row>
    <row r="35" spans="1:29" ht="15">
      <c r="A35" s="250" t="s">
        <v>9601</v>
      </c>
      <c r="B35" s="250" t="s">
        <v>9226</v>
      </c>
      <c r="C35" s="250" t="s">
        <v>9602</v>
      </c>
      <c r="D35" s="250" t="s">
        <v>9601</v>
      </c>
      <c r="E35" s="250">
        <v>800</v>
      </c>
      <c r="G35" s="250">
        <v>1852743.39</v>
      </c>
      <c r="I35" s="250" t="str">
        <f t="shared" si="3"/>
        <v>14</v>
      </c>
      <c r="J35" s="250" t="str">
        <f t="shared" si="4"/>
        <v>03</v>
      </c>
      <c r="K35" s="250" t="str">
        <f t="shared" si="5"/>
        <v>23</v>
      </c>
      <c r="L35" s="252" t="str">
        <f t="shared" si="6"/>
        <v>2023</v>
      </c>
      <c r="M35" s="251">
        <f t="shared" si="7"/>
        <v>44999</v>
      </c>
      <c r="U35" s="329" t="s">
        <v>14322</v>
      </c>
      <c r="V35" t="str">
        <f t="shared" si="8"/>
        <v>10</v>
      </c>
      <c r="W35" t="str">
        <f t="shared" si="9"/>
        <v>06</v>
      </c>
      <c r="X35" t="str">
        <f t="shared" si="10"/>
        <v>24</v>
      </c>
      <c r="Y35" t="str">
        <f t="shared" si="0"/>
        <v>2024</v>
      </c>
      <c r="Z35" s="232">
        <f t="shared" si="1"/>
        <v>45453</v>
      </c>
      <c r="AA35" s="2">
        <f t="shared" si="2"/>
        <v>45453</v>
      </c>
      <c r="AB35"/>
      <c r="AC35"/>
    </row>
    <row r="36" spans="1:29" ht="15">
      <c r="A36" s="250" t="s">
        <v>9601</v>
      </c>
      <c r="B36" s="250" t="s">
        <v>9227</v>
      </c>
      <c r="C36" s="250" t="s">
        <v>9603</v>
      </c>
      <c r="D36" s="250" t="s">
        <v>9601</v>
      </c>
      <c r="E36" s="250">
        <v>1000</v>
      </c>
      <c r="G36" s="250">
        <v>1851743.39</v>
      </c>
      <c r="I36" s="250" t="str">
        <f t="shared" si="3"/>
        <v>14</v>
      </c>
      <c r="J36" s="250" t="str">
        <f t="shared" si="4"/>
        <v>03</v>
      </c>
      <c r="K36" s="250" t="str">
        <f t="shared" si="5"/>
        <v>23</v>
      </c>
      <c r="L36" s="252" t="str">
        <f t="shared" si="6"/>
        <v>2023</v>
      </c>
      <c r="M36" s="251">
        <f t="shared" si="7"/>
        <v>44999</v>
      </c>
      <c r="U36" s="329" t="s">
        <v>14322</v>
      </c>
      <c r="V36" t="str">
        <f t="shared" si="8"/>
        <v>10</v>
      </c>
      <c r="W36" t="str">
        <f t="shared" si="9"/>
        <v>06</v>
      </c>
      <c r="X36" t="str">
        <f t="shared" si="10"/>
        <v>24</v>
      </c>
      <c r="Y36" t="str">
        <f t="shared" si="0"/>
        <v>2024</v>
      </c>
      <c r="Z36" s="232">
        <f t="shared" si="1"/>
        <v>45453</v>
      </c>
      <c r="AA36" s="2">
        <f t="shared" si="2"/>
        <v>45453</v>
      </c>
      <c r="AB36"/>
      <c r="AC36"/>
    </row>
    <row r="37" spans="1:29" ht="15">
      <c r="A37" s="250" t="s">
        <v>9601</v>
      </c>
      <c r="B37" s="250" t="s">
        <v>9228</v>
      </c>
      <c r="C37" s="250" t="s">
        <v>9604</v>
      </c>
      <c r="D37" s="250" t="s">
        <v>9601</v>
      </c>
      <c r="E37" s="250">
        <v>2211</v>
      </c>
      <c r="G37" s="250">
        <v>1849532.39</v>
      </c>
      <c r="I37" s="250" t="str">
        <f t="shared" si="3"/>
        <v>14</v>
      </c>
      <c r="J37" s="250" t="str">
        <f t="shared" si="4"/>
        <v>03</v>
      </c>
      <c r="K37" s="250" t="str">
        <f t="shared" si="5"/>
        <v>23</v>
      </c>
      <c r="L37" s="252" t="str">
        <f t="shared" si="6"/>
        <v>2023</v>
      </c>
      <c r="M37" s="251">
        <f t="shared" si="7"/>
        <v>44999</v>
      </c>
      <c r="U37" s="329" t="s">
        <v>14322</v>
      </c>
      <c r="V37" t="str">
        <f t="shared" si="8"/>
        <v>10</v>
      </c>
      <c r="W37" t="str">
        <f t="shared" si="9"/>
        <v>06</v>
      </c>
      <c r="X37" t="str">
        <f t="shared" si="10"/>
        <v>24</v>
      </c>
      <c r="Y37" t="str">
        <f t="shared" si="0"/>
        <v>2024</v>
      </c>
      <c r="Z37" s="232">
        <f t="shared" si="1"/>
        <v>45453</v>
      </c>
      <c r="AA37" s="2">
        <f t="shared" si="2"/>
        <v>45453</v>
      </c>
      <c r="AB37"/>
      <c r="AC37"/>
    </row>
    <row r="38" spans="1:29" ht="15">
      <c r="A38" s="250" t="s">
        <v>9605</v>
      </c>
      <c r="B38" s="250" t="s">
        <v>9229</v>
      </c>
      <c r="C38" s="250" t="s">
        <v>9606</v>
      </c>
      <c r="D38" s="250" t="s">
        <v>9605</v>
      </c>
      <c r="E38" s="250">
        <v>750</v>
      </c>
      <c r="G38" s="250">
        <v>1848782.39</v>
      </c>
      <c r="I38" s="250" t="str">
        <f t="shared" si="3"/>
        <v>15</v>
      </c>
      <c r="J38" s="250" t="str">
        <f t="shared" si="4"/>
        <v>03</v>
      </c>
      <c r="K38" s="250" t="str">
        <f t="shared" si="5"/>
        <v>23</v>
      </c>
      <c r="L38" s="252" t="str">
        <f t="shared" si="6"/>
        <v>2023</v>
      </c>
      <c r="M38" s="251">
        <f t="shared" si="7"/>
        <v>45000</v>
      </c>
      <c r="U38" s="329" t="s">
        <v>14322</v>
      </c>
      <c r="V38" t="str">
        <f t="shared" si="8"/>
        <v>10</v>
      </c>
      <c r="W38" t="str">
        <f t="shared" si="9"/>
        <v>06</v>
      </c>
      <c r="X38" t="str">
        <f t="shared" si="10"/>
        <v>24</v>
      </c>
      <c r="Y38" t="str">
        <f t="shared" si="0"/>
        <v>2024</v>
      </c>
      <c r="Z38" s="232">
        <f t="shared" si="1"/>
        <v>45453</v>
      </c>
      <c r="AA38" s="2">
        <f t="shared" si="2"/>
        <v>45453</v>
      </c>
      <c r="AB38"/>
      <c r="AC38"/>
    </row>
    <row r="39" spans="1:29" ht="15">
      <c r="A39" s="250" t="s">
        <v>9605</v>
      </c>
      <c r="B39" s="250" t="s">
        <v>9230</v>
      </c>
      <c r="C39" s="250" t="s">
        <v>9607</v>
      </c>
      <c r="D39" s="250" t="s">
        <v>9605</v>
      </c>
      <c r="E39" s="250">
        <v>1250</v>
      </c>
      <c r="G39" s="250">
        <v>1847532.39</v>
      </c>
      <c r="I39" s="250" t="str">
        <f t="shared" si="3"/>
        <v>15</v>
      </c>
      <c r="J39" s="250" t="str">
        <f t="shared" si="4"/>
        <v>03</v>
      </c>
      <c r="K39" s="250" t="str">
        <f t="shared" si="5"/>
        <v>23</v>
      </c>
      <c r="L39" s="252" t="str">
        <f t="shared" si="6"/>
        <v>2023</v>
      </c>
      <c r="M39" s="251">
        <f t="shared" si="7"/>
        <v>45000</v>
      </c>
      <c r="U39" s="329" t="s">
        <v>14323</v>
      </c>
      <c r="V39" t="str">
        <f t="shared" si="8"/>
        <v>11</v>
      </c>
      <c r="W39" t="str">
        <f t="shared" si="9"/>
        <v>06</v>
      </c>
      <c r="X39" t="str">
        <f t="shared" si="10"/>
        <v>24</v>
      </c>
      <c r="Y39" t="str">
        <f t="shared" si="0"/>
        <v>2024</v>
      </c>
      <c r="Z39" s="232">
        <f t="shared" si="1"/>
        <v>45454</v>
      </c>
      <c r="AA39" s="2">
        <f t="shared" si="2"/>
        <v>45454</v>
      </c>
      <c r="AB39"/>
      <c r="AC39"/>
    </row>
    <row r="40" spans="1:29" ht="15">
      <c r="A40" s="250" t="s">
        <v>9605</v>
      </c>
      <c r="B40" s="250" t="s">
        <v>9231</v>
      </c>
      <c r="C40" s="250" t="s">
        <v>9608</v>
      </c>
      <c r="D40" s="250" t="s">
        <v>9605</v>
      </c>
      <c r="E40" s="250">
        <v>1250</v>
      </c>
      <c r="G40" s="250">
        <v>1846282.39</v>
      </c>
      <c r="I40" s="250" t="str">
        <f t="shared" si="3"/>
        <v>15</v>
      </c>
      <c r="J40" s="250" t="str">
        <f t="shared" si="4"/>
        <v>03</v>
      </c>
      <c r="K40" s="250" t="str">
        <f t="shared" si="5"/>
        <v>23</v>
      </c>
      <c r="L40" s="252" t="str">
        <f t="shared" si="6"/>
        <v>2023</v>
      </c>
      <c r="M40" s="251">
        <f t="shared" si="7"/>
        <v>45000</v>
      </c>
      <c r="U40" s="329" t="s">
        <v>14323</v>
      </c>
      <c r="V40" t="str">
        <f t="shared" si="8"/>
        <v>11</v>
      </c>
      <c r="W40" t="str">
        <f t="shared" si="9"/>
        <v>06</v>
      </c>
      <c r="X40" t="str">
        <f t="shared" si="10"/>
        <v>24</v>
      </c>
      <c r="Y40" t="str">
        <f t="shared" si="0"/>
        <v>2024</v>
      </c>
      <c r="Z40" s="232">
        <f t="shared" si="1"/>
        <v>45454</v>
      </c>
      <c r="AA40" s="2">
        <f t="shared" si="2"/>
        <v>45454</v>
      </c>
      <c r="AB40"/>
      <c r="AC40"/>
    </row>
    <row r="41" spans="1:29" ht="15">
      <c r="A41" s="250" t="s">
        <v>9609</v>
      </c>
      <c r="B41" s="250" t="s">
        <v>9232</v>
      </c>
      <c r="C41" s="250" t="s">
        <v>9610</v>
      </c>
      <c r="D41" s="250" t="s">
        <v>9609</v>
      </c>
      <c r="E41" s="250">
        <v>1000</v>
      </c>
      <c r="G41" s="250">
        <v>1845282.39</v>
      </c>
      <c r="I41" s="250" t="str">
        <f t="shared" si="3"/>
        <v>16</v>
      </c>
      <c r="J41" s="250" t="str">
        <f t="shared" si="4"/>
        <v>03</v>
      </c>
      <c r="K41" s="250" t="str">
        <f t="shared" si="5"/>
        <v>23</v>
      </c>
      <c r="L41" s="252" t="str">
        <f t="shared" si="6"/>
        <v>2023</v>
      </c>
      <c r="M41" s="251">
        <f t="shared" si="7"/>
        <v>45001</v>
      </c>
      <c r="U41" s="329" t="s">
        <v>14324</v>
      </c>
      <c r="V41" t="str">
        <f t="shared" si="8"/>
        <v>12</v>
      </c>
      <c r="W41" t="str">
        <f t="shared" si="9"/>
        <v>06</v>
      </c>
      <c r="X41" t="str">
        <f t="shared" si="10"/>
        <v>24</v>
      </c>
      <c r="Y41" t="str">
        <f t="shared" si="0"/>
        <v>2024</v>
      </c>
      <c r="Z41" s="232">
        <f t="shared" si="1"/>
        <v>45455</v>
      </c>
      <c r="AA41" s="2">
        <f t="shared" si="2"/>
        <v>45455</v>
      </c>
      <c r="AB41"/>
      <c r="AC41"/>
    </row>
    <row r="42" spans="1:29" ht="15">
      <c r="A42" s="250" t="s">
        <v>9611</v>
      </c>
      <c r="B42" s="250" t="s">
        <v>9233</v>
      </c>
      <c r="C42" s="250" t="s">
        <v>9612</v>
      </c>
      <c r="D42" s="250" t="s">
        <v>9611</v>
      </c>
      <c r="E42" s="250">
        <v>750</v>
      </c>
      <c r="G42" s="250">
        <v>1844532.39</v>
      </c>
      <c r="I42" s="250" t="str">
        <f t="shared" si="3"/>
        <v>17</v>
      </c>
      <c r="J42" s="250" t="str">
        <f t="shared" si="4"/>
        <v>03</v>
      </c>
      <c r="K42" s="250" t="str">
        <f t="shared" si="5"/>
        <v>23</v>
      </c>
      <c r="L42" s="252" t="str">
        <f t="shared" si="6"/>
        <v>2023</v>
      </c>
      <c r="M42" s="251">
        <f t="shared" si="7"/>
        <v>45002</v>
      </c>
      <c r="U42" s="329" t="s">
        <v>14325</v>
      </c>
      <c r="V42" t="str">
        <f t="shared" si="8"/>
        <v>13</v>
      </c>
      <c r="W42" t="str">
        <f t="shared" si="9"/>
        <v>06</v>
      </c>
      <c r="X42" t="str">
        <f t="shared" si="10"/>
        <v>24</v>
      </c>
      <c r="Y42" t="str">
        <f t="shared" si="0"/>
        <v>2024</v>
      </c>
      <c r="Z42" s="232">
        <f t="shared" si="1"/>
        <v>45456</v>
      </c>
      <c r="AA42" s="2">
        <f t="shared" si="2"/>
        <v>45456</v>
      </c>
      <c r="AB42"/>
      <c r="AC42"/>
    </row>
    <row r="43" spans="1:29" ht="15">
      <c r="A43" s="250" t="s">
        <v>9613</v>
      </c>
      <c r="B43" s="250" t="s">
        <v>9234</v>
      </c>
      <c r="C43" s="250" t="s">
        <v>9614</v>
      </c>
      <c r="D43" s="250" t="s">
        <v>9613</v>
      </c>
      <c r="E43" s="250">
        <v>1000</v>
      </c>
      <c r="G43" s="250">
        <v>1843532.39</v>
      </c>
      <c r="I43" s="250" t="str">
        <f t="shared" si="3"/>
        <v>18</v>
      </c>
      <c r="J43" s="250" t="str">
        <f t="shared" si="4"/>
        <v>03</v>
      </c>
      <c r="K43" s="250" t="str">
        <f t="shared" si="5"/>
        <v>23</v>
      </c>
      <c r="L43" s="252" t="str">
        <f t="shared" si="6"/>
        <v>2023</v>
      </c>
      <c r="M43" s="251">
        <f t="shared" si="7"/>
        <v>45003</v>
      </c>
      <c r="U43" s="329" t="s">
        <v>14325</v>
      </c>
      <c r="V43" t="str">
        <f t="shared" si="8"/>
        <v>13</v>
      </c>
      <c r="W43" t="str">
        <f t="shared" si="9"/>
        <v>06</v>
      </c>
      <c r="X43" t="str">
        <f t="shared" si="10"/>
        <v>24</v>
      </c>
      <c r="Y43" t="str">
        <f t="shared" si="0"/>
        <v>2024</v>
      </c>
      <c r="Z43" s="232">
        <f t="shared" si="1"/>
        <v>45456</v>
      </c>
      <c r="AA43" s="2">
        <f t="shared" si="2"/>
        <v>45456</v>
      </c>
      <c r="AB43"/>
      <c r="AC43"/>
    </row>
    <row r="44" spans="1:29" ht="15">
      <c r="A44" s="250" t="s">
        <v>9615</v>
      </c>
      <c r="B44" s="250" t="s">
        <v>9235</v>
      </c>
      <c r="C44" s="250" t="s">
        <v>9616</v>
      </c>
      <c r="D44" s="250" t="s">
        <v>9615</v>
      </c>
      <c r="E44" s="250">
        <v>750</v>
      </c>
      <c r="G44" s="250">
        <v>1842782.39</v>
      </c>
      <c r="I44" s="250" t="str">
        <f t="shared" si="3"/>
        <v>19</v>
      </c>
      <c r="J44" s="250" t="str">
        <f t="shared" si="4"/>
        <v>03</v>
      </c>
      <c r="K44" s="250" t="str">
        <f t="shared" si="5"/>
        <v>23</v>
      </c>
      <c r="L44" s="252" t="str">
        <f t="shared" si="6"/>
        <v>2023</v>
      </c>
      <c r="M44" s="251">
        <f t="shared" si="7"/>
        <v>45004</v>
      </c>
      <c r="U44" s="329" t="s">
        <v>14326</v>
      </c>
      <c r="V44" t="str">
        <f t="shared" si="8"/>
        <v>14</v>
      </c>
      <c r="W44" t="str">
        <f t="shared" si="9"/>
        <v>06</v>
      </c>
      <c r="X44" t="str">
        <f t="shared" si="10"/>
        <v>24</v>
      </c>
      <c r="Y44" t="str">
        <f t="shared" si="0"/>
        <v>2024</v>
      </c>
      <c r="Z44" s="232">
        <f t="shared" si="1"/>
        <v>45457</v>
      </c>
      <c r="AA44" s="2">
        <f t="shared" si="2"/>
        <v>45457</v>
      </c>
      <c r="AB44"/>
      <c r="AC44"/>
    </row>
    <row r="45" spans="1:29" ht="15">
      <c r="A45" s="250" t="s">
        <v>9615</v>
      </c>
      <c r="B45" s="250" t="s">
        <v>9236</v>
      </c>
      <c r="C45" s="250" t="s">
        <v>9617</v>
      </c>
      <c r="D45" s="250" t="s">
        <v>9615</v>
      </c>
      <c r="E45" s="250">
        <v>1239</v>
      </c>
      <c r="G45" s="250">
        <v>1841543.39</v>
      </c>
      <c r="I45" s="250" t="str">
        <f t="shared" si="3"/>
        <v>19</v>
      </c>
      <c r="J45" s="250" t="str">
        <f t="shared" si="4"/>
        <v>03</v>
      </c>
      <c r="K45" s="250" t="str">
        <f t="shared" si="5"/>
        <v>23</v>
      </c>
      <c r="L45" s="252" t="str">
        <f t="shared" si="6"/>
        <v>2023</v>
      </c>
      <c r="M45" s="251">
        <f t="shared" si="7"/>
        <v>45004</v>
      </c>
      <c r="U45" s="329" t="s">
        <v>14326</v>
      </c>
      <c r="V45" t="str">
        <f t="shared" si="8"/>
        <v>14</v>
      </c>
      <c r="W45" t="str">
        <f t="shared" si="9"/>
        <v>06</v>
      </c>
      <c r="X45" t="str">
        <f t="shared" si="10"/>
        <v>24</v>
      </c>
      <c r="Y45" t="str">
        <f t="shared" si="0"/>
        <v>2024</v>
      </c>
      <c r="Z45" s="232">
        <f t="shared" si="1"/>
        <v>45457</v>
      </c>
      <c r="AA45" s="2">
        <f t="shared" si="2"/>
        <v>45457</v>
      </c>
      <c r="AB45"/>
      <c r="AC45"/>
    </row>
    <row r="46" spans="1:29" ht="15">
      <c r="A46" s="250" t="s">
        <v>9618</v>
      </c>
      <c r="B46" s="250" t="s">
        <v>9237</v>
      </c>
      <c r="C46" s="250" t="s">
        <v>9619</v>
      </c>
      <c r="D46" s="250" t="s">
        <v>9618</v>
      </c>
      <c r="E46" s="250">
        <v>1179</v>
      </c>
      <c r="G46" s="250">
        <v>1840364.39</v>
      </c>
      <c r="I46" s="250" t="str">
        <f t="shared" si="3"/>
        <v>20</v>
      </c>
      <c r="J46" s="250" t="str">
        <f t="shared" si="4"/>
        <v>03</v>
      </c>
      <c r="K46" s="250" t="str">
        <f t="shared" si="5"/>
        <v>23</v>
      </c>
      <c r="L46" s="252" t="str">
        <f t="shared" si="6"/>
        <v>2023</v>
      </c>
      <c r="M46" s="251">
        <f t="shared" si="7"/>
        <v>45005</v>
      </c>
      <c r="U46" s="329" t="s">
        <v>14326</v>
      </c>
      <c r="V46" t="str">
        <f t="shared" si="8"/>
        <v>14</v>
      </c>
      <c r="W46" t="str">
        <f t="shared" si="9"/>
        <v>06</v>
      </c>
      <c r="X46" t="str">
        <f t="shared" si="10"/>
        <v>24</v>
      </c>
      <c r="Y46" t="str">
        <f t="shared" si="0"/>
        <v>2024</v>
      </c>
      <c r="Z46" s="232">
        <f t="shared" si="1"/>
        <v>45457</v>
      </c>
      <c r="AA46" s="2">
        <f t="shared" si="2"/>
        <v>45457</v>
      </c>
      <c r="AB46"/>
      <c r="AC46"/>
    </row>
    <row r="47" spans="1:29" ht="15">
      <c r="A47" s="250" t="s">
        <v>9618</v>
      </c>
      <c r="B47" s="250" t="s">
        <v>9238</v>
      </c>
      <c r="C47" s="250" t="s">
        <v>9620</v>
      </c>
      <c r="D47" s="250" t="s">
        <v>9618</v>
      </c>
      <c r="E47" s="250">
        <v>775</v>
      </c>
      <c r="G47" s="250">
        <v>1839589.39</v>
      </c>
      <c r="I47" s="250" t="str">
        <f t="shared" si="3"/>
        <v>20</v>
      </c>
      <c r="J47" s="250" t="str">
        <f t="shared" si="4"/>
        <v>03</v>
      </c>
      <c r="K47" s="250" t="str">
        <f t="shared" si="5"/>
        <v>23</v>
      </c>
      <c r="L47" s="252" t="str">
        <f t="shared" si="6"/>
        <v>2023</v>
      </c>
      <c r="M47" s="251">
        <f t="shared" si="7"/>
        <v>45005</v>
      </c>
      <c r="U47" s="329" t="s">
        <v>14327</v>
      </c>
      <c r="V47" t="str">
        <f t="shared" si="8"/>
        <v>15</v>
      </c>
      <c r="W47" t="str">
        <f t="shared" si="9"/>
        <v>06</v>
      </c>
      <c r="X47" t="str">
        <f t="shared" si="10"/>
        <v>24</v>
      </c>
      <c r="Y47" t="str">
        <f t="shared" si="0"/>
        <v>2024</v>
      </c>
      <c r="Z47" s="232">
        <f t="shared" si="1"/>
        <v>45458</v>
      </c>
      <c r="AA47" s="2">
        <f t="shared" si="2"/>
        <v>45458</v>
      </c>
      <c r="AB47"/>
      <c r="AC47"/>
    </row>
    <row r="48" spans="1:29" ht="15">
      <c r="A48" s="250" t="s">
        <v>9618</v>
      </c>
      <c r="B48" s="250" t="s">
        <v>9239</v>
      </c>
      <c r="C48" s="250" t="s">
        <v>9621</v>
      </c>
      <c r="D48" s="250" t="s">
        <v>9618</v>
      </c>
      <c r="E48" s="250">
        <v>1000</v>
      </c>
      <c r="G48" s="250">
        <v>1838589.39</v>
      </c>
      <c r="I48" s="250" t="str">
        <f t="shared" si="3"/>
        <v>20</v>
      </c>
      <c r="J48" s="250" t="str">
        <f t="shared" si="4"/>
        <v>03</v>
      </c>
      <c r="K48" s="250" t="str">
        <f t="shared" si="5"/>
        <v>23</v>
      </c>
      <c r="L48" s="252" t="str">
        <f t="shared" si="6"/>
        <v>2023</v>
      </c>
      <c r="M48" s="251">
        <f t="shared" si="7"/>
        <v>45005</v>
      </c>
      <c r="U48" s="329" t="s">
        <v>14327</v>
      </c>
      <c r="V48" t="str">
        <f t="shared" si="8"/>
        <v>15</v>
      </c>
      <c r="W48" t="str">
        <f t="shared" si="9"/>
        <v>06</v>
      </c>
      <c r="X48" t="str">
        <f t="shared" si="10"/>
        <v>24</v>
      </c>
      <c r="Y48" t="str">
        <f t="shared" si="0"/>
        <v>2024</v>
      </c>
      <c r="Z48" s="232">
        <f t="shared" si="1"/>
        <v>45458</v>
      </c>
      <c r="AA48" s="2">
        <f t="shared" si="2"/>
        <v>45458</v>
      </c>
      <c r="AB48"/>
      <c r="AC48"/>
    </row>
    <row r="49" spans="1:29" ht="15">
      <c r="A49" s="250" t="s">
        <v>9622</v>
      </c>
      <c r="B49" s="250" t="s">
        <v>9240</v>
      </c>
      <c r="C49" s="250" t="s">
        <v>9623</v>
      </c>
      <c r="D49" s="250" t="s">
        <v>9622</v>
      </c>
      <c r="E49" s="250">
        <v>750</v>
      </c>
      <c r="G49" s="250">
        <v>1837839.39</v>
      </c>
      <c r="I49" s="250" t="str">
        <f t="shared" si="3"/>
        <v>21</v>
      </c>
      <c r="J49" s="250" t="str">
        <f t="shared" si="4"/>
        <v>03</v>
      </c>
      <c r="K49" s="250" t="str">
        <f t="shared" si="5"/>
        <v>23</v>
      </c>
      <c r="L49" s="252" t="str">
        <f t="shared" si="6"/>
        <v>2023</v>
      </c>
      <c r="M49" s="251">
        <f t="shared" si="7"/>
        <v>45006</v>
      </c>
      <c r="U49" s="329" t="s">
        <v>14328</v>
      </c>
      <c r="V49" t="str">
        <f t="shared" si="8"/>
        <v>16</v>
      </c>
      <c r="W49" t="str">
        <f t="shared" si="9"/>
        <v>06</v>
      </c>
      <c r="X49" t="str">
        <f t="shared" si="10"/>
        <v>24</v>
      </c>
      <c r="Y49" t="str">
        <f t="shared" si="0"/>
        <v>2024</v>
      </c>
      <c r="Z49" s="232">
        <f t="shared" si="1"/>
        <v>45459</v>
      </c>
      <c r="AA49" s="2">
        <f t="shared" si="2"/>
        <v>45459</v>
      </c>
      <c r="AB49"/>
      <c r="AC49"/>
    </row>
    <row r="50" spans="1:29" ht="15">
      <c r="A50" s="250" t="s">
        <v>9622</v>
      </c>
      <c r="B50" s="250" t="s">
        <v>9241</v>
      </c>
      <c r="C50" s="250" t="s">
        <v>9624</v>
      </c>
      <c r="D50" s="250" t="s">
        <v>9622</v>
      </c>
      <c r="E50" s="250">
        <v>1000</v>
      </c>
      <c r="G50" s="250">
        <v>1836839.39</v>
      </c>
      <c r="I50" s="250" t="str">
        <f t="shared" si="3"/>
        <v>21</v>
      </c>
      <c r="J50" s="250" t="str">
        <f t="shared" si="4"/>
        <v>03</v>
      </c>
      <c r="K50" s="250" t="str">
        <f t="shared" si="5"/>
        <v>23</v>
      </c>
      <c r="L50" s="252" t="str">
        <f t="shared" si="6"/>
        <v>2023</v>
      </c>
      <c r="M50" s="251">
        <f t="shared" si="7"/>
        <v>45006</v>
      </c>
      <c r="U50" s="329" t="s">
        <v>14329</v>
      </c>
      <c r="V50" t="str">
        <f t="shared" si="8"/>
        <v>17</v>
      </c>
      <c r="W50" t="str">
        <f t="shared" si="9"/>
        <v>06</v>
      </c>
      <c r="X50" t="str">
        <f t="shared" si="10"/>
        <v>24</v>
      </c>
      <c r="Y50" t="str">
        <f t="shared" si="0"/>
        <v>2024</v>
      </c>
      <c r="Z50" s="232">
        <f t="shared" si="1"/>
        <v>45460</v>
      </c>
      <c r="AA50" s="2">
        <f t="shared" si="2"/>
        <v>45460</v>
      </c>
      <c r="AB50"/>
      <c r="AC50"/>
    </row>
    <row r="51" spans="1:29" ht="15">
      <c r="A51" s="250" t="s">
        <v>9622</v>
      </c>
      <c r="B51" s="250" t="s">
        <v>9242</v>
      </c>
      <c r="C51" s="250" t="s">
        <v>9625</v>
      </c>
      <c r="D51" s="250" t="s">
        <v>9622</v>
      </c>
      <c r="E51" s="250">
        <v>1000</v>
      </c>
      <c r="G51" s="250">
        <v>1835839.39</v>
      </c>
      <c r="I51" s="250" t="str">
        <f t="shared" si="3"/>
        <v>21</v>
      </c>
      <c r="J51" s="250" t="str">
        <f t="shared" si="4"/>
        <v>03</v>
      </c>
      <c r="K51" s="250" t="str">
        <f t="shared" si="5"/>
        <v>23</v>
      </c>
      <c r="L51" s="252" t="str">
        <f t="shared" si="6"/>
        <v>2023</v>
      </c>
      <c r="M51" s="251">
        <f t="shared" si="7"/>
        <v>45006</v>
      </c>
      <c r="U51" s="329" t="s">
        <v>14329</v>
      </c>
      <c r="V51" t="str">
        <f t="shared" si="8"/>
        <v>17</v>
      </c>
      <c r="W51" t="str">
        <f t="shared" si="9"/>
        <v>06</v>
      </c>
      <c r="X51" t="str">
        <f t="shared" si="10"/>
        <v>24</v>
      </c>
      <c r="Y51" t="str">
        <f t="shared" si="0"/>
        <v>2024</v>
      </c>
      <c r="Z51" s="232">
        <f t="shared" si="1"/>
        <v>45460</v>
      </c>
      <c r="AA51" s="2">
        <f t="shared" si="2"/>
        <v>45460</v>
      </c>
      <c r="AB51"/>
      <c r="AC51"/>
    </row>
    <row r="52" spans="1:29" ht="15">
      <c r="A52" s="250" t="s">
        <v>9626</v>
      </c>
      <c r="B52" s="250" t="s">
        <v>9243</v>
      </c>
      <c r="C52" s="250" t="s">
        <v>9627</v>
      </c>
      <c r="D52" s="250" t="s">
        <v>9626</v>
      </c>
      <c r="E52" s="250">
        <v>1500</v>
      </c>
      <c r="G52" s="250">
        <v>1834339.39</v>
      </c>
      <c r="I52" s="250" t="str">
        <f t="shared" si="3"/>
        <v>22</v>
      </c>
      <c r="J52" s="250" t="str">
        <f t="shared" si="4"/>
        <v>03</v>
      </c>
      <c r="K52" s="250" t="str">
        <f t="shared" si="5"/>
        <v>23</v>
      </c>
      <c r="L52" s="252" t="str">
        <f t="shared" si="6"/>
        <v>2023</v>
      </c>
      <c r="M52" s="251">
        <f t="shared" si="7"/>
        <v>45007</v>
      </c>
      <c r="U52" s="329" t="s">
        <v>14330</v>
      </c>
      <c r="V52" t="str">
        <f t="shared" si="8"/>
        <v>18</v>
      </c>
      <c r="W52" t="str">
        <f t="shared" si="9"/>
        <v>06</v>
      </c>
      <c r="X52" t="str">
        <f t="shared" si="10"/>
        <v>24</v>
      </c>
      <c r="Y52" t="str">
        <f t="shared" si="0"/>
        <v>2024</v>
      </c>
      <c r="Z52" s="232">
        <f t="shared" si="1"/>
        <v>45461</v>
      </c>
      <c r="AA52" s="2">
        <f t="shared" si="2"/>
        <v>45461</v>
      </c>
      <c r="AB52"/>
      <c r="AC52"/>
    </row>
    <row r="53" spans="1:29" ht="15">
      <c r="A53" s="250" t="s">
        <v>9626</v>
      </c>
      <c r="B53" s="250" t="s">
        <v>9244</v>
      </c>
      <c r="C53" s="250" t="s">
        <v>9628</v>
      </c>
      <c r="D53" s="250" t="s">
        <v>9626</v>
      </c>
      <c r="E53" s="250">
        <v>750</v>
      </c>
      <c r="G53" s="250">
        <v>1833589.39</v>
      </c>
      <c r="I53" s="250" t="str">
        <f t="shared" si="3"/>
        <v>22</v>
      </c>
      <c r="J53" s="250" t="str">
        <f t="shared" si="4"/>
        <v>03</v>
      </c>
      <c r="K53" s="250" t="str">
        <f t="shared" si="5"/>
        <v>23</v>
      </c>
      <c r="L53" s="252" t="str">
        <f t="shared" si="6"/>
        <v>2023</v>
      </c>
      <c r="M53" s="251">
        <f t="shared" si="7"/>
        <v>45007</v>
      </c>
      <c r="U53" s="329" t="s">
        <v>14330</v>
      </c>
      <c r="V53" t="str">
        <f t="shared" si="8"/>
        <v>18</v>
      </c>
      <c r="W53" t="str">
        <f t="shared" si="9"/>
        <v>06</v>
      </c>
      <c r="X53" t="str">
        <f t="shared" si="10"/>
        <v>24</v>
      </c>
      <c r="Y53" t="str">
        <f t="shared" si="0"/>
        <v>2024</v>
      </c>
      <c r="Z53" s="232">
        <f t="shared" si="1"/>
        <v>45461</v>
      </c>
      <c r="AA53" s="2">
        <f t="shared" si="2"/>
        <v>45461</v>
      </c>
      <c r="AB53"/>
      <c r="AC53"/>
    </row>
    <row r="54" spans="1:29" ht="15">
      <c r="A54" s="250" t="s">
        <v>9629</v>
      </c>
      <c r="B54" s="250" t="s">
        <v>9245</v>
      </c>
      <c r="C54" s="250" t="s">
        <v>9630</v>
      </c>
      <c r="D54" s="250" t="s">
        <v>9629</v>
      </c>
      <c r="E54" s="250">
        <v>750</v>
      </c>
      <c r="G54" s="250">
        <v>1832839.39</v>
      </c>
      <c r="I54" s="250" t="str">
        <f t="shared" si="3"/>
        <v>23</v>
      </c>
      <c r="J54" s="250" t="str">
        <f t="shared" si="4"/>
        <v>03</v>
      </c>
      <c r="K54" s="250" t="str">
        <f t="shared" si="5"/>
        <v>23</v>
      </c>
      <c r="L54" s="252" t="str">
        <f t="shared" si="6"/>
        <v>2023</v>
      </c>
      <c r="M54" s="251">
        <f t="shared" si="7"/>
        <v>45008</v>
      </c>
      <c r="U54" s="329" t="s">
        <v>14330</v>
      </c>
      <c r="V54" t="str">
        <f t="shared" si="8"/>
        <v>18</v>
      </c>
      <c r="W54" t="str">
        <f t="shared" si="9"/>
        <v>06</v>
      </c>
      <c r="X54" t="str">
        <f t="shared" si="10"/>
        <v>24</v>
      </c>
      <c r="Y54" t="str">
        <f t="shared" si="0"/>
        <v>2024</v>
      </c>
      <c r="Z54" s="232">
        <f t="shared" si="1"/>
        <v>45461</v>
      </c>
      <c r="AA54" s="2">
        <f t="shared" si="2"/>
        <v>45461</v>
      </c>
      <c r="AB54"/>
      <c r="AC54"/>
    </row>
    <row r="55" spans="1:29" ht="15">
      <c r="A55" s="250" t="s">
        <v>9631</v>
      </c>
      <c r="B55" s="250" t="s">
        <v>9246</v>
      </c>
      <c r="C55" s="250" t="s">
        <v>9632</v>
      </c>
      <c r="D55" s="250" t="s">
        <v>9631</v>
      </c>
      <c r="E55" s="250">
        <v>1000</v>
      </c>
      <c r="G55" s="250">
        <v>1831839.39</v>
      </c>
      <c r="I55" s="250" t="str">
        <f t="shared" si="3"/>
        <v>24</v>
      </c>
      <c r="J55" s="250" t="str">
        <f t="shared" si="4"/>
        <v>03</v>
      </c>
      <c r="K55" s="250" t="str">
        <f t="shared" si="5"/>
        <v>23</v>
      </c>
      <c r="L55" s="252" t="str">
        <f t="shared" si="6"/>
        <v>2023</v>
      </c>
      <c r="M55" s="251">
        <f t="shared" si="7"/>
        <v>45009</v>
      </c>
      <c r="U55" s="329" t="s">
        <v>14330</v>
      </c>
      <c r="V55" t="str">
        <f t="shared" si="8"/>
        <v>18</v>
      </c>
      <c r="W55" t="str">
        <f t="shared" si="9"/>
        <v>06</v>
      </c>
      <c r="X55" t="str">
        <f t="shared" si="10"/>
        <v>24</v>
      </c>
      <c r="Y55" t="str">
        <f t="shared" si="0"/>
        <v>2024</v>
      </c>
      <c r="Z55" s="232">
        <f t="shared" si="1"/>
        <v>45461</v>
      </c>
      <c r="AA55" s="2">
        <f t="shared" si="2"/>
        <v>45461</v>
      </c>
      <c r="AB55"/>
      <c r="AC55"/>
    </row>
    <row r="56" spans="1:29" ht="15">
      <c r="A56" s="250" t="s">
        <v>9631</v>
      </c>
      <c r="B56" s="250" t="s">
        <v>9247</v>
      </c>
      <c r="C56" s="250" t="s">
        <v>9633</v>
      </c>
      <c r="D56" s="250" t="s">
        <v>9631</v>
      </c>
      <c r="E56" s="250">
        <v>526</v>
      </c>
      <c r="G56" s="250">
        <v>1831313.39</v>
      </c>
      <c r="I56" s="250" t="str">
        <f t="shared" si="3"/>
        <v>24</v>
      </c>
      <c r="J56" s="250" t="str">
        <f t="shared" si="4"/>
        <v>03</v>
      </c>
      <c r="K56" s="250" t="str">
        <f t="shared" si="5"/>
        <v>23</v>
      </c>
      <c r="L56" s="252" t="str">
        <f t="shared" si="6"/>
        <v>2023</v>
      </c>
      <c r="M56" s="251">
        <f t="shared" si="7"/>
        <v>45009</v>
      </c>
      <c r="U56" s="329" t="s">
        <v>14330</v>
      </c>
      <c r="V56" t="str">
        <f t="shared" si="8"/>
        <v>18</v>
      </c>
      <c r="W56" t="str">
        <f t="shared" si="9"/>
        <v>06</v>
      </c>
      <c r="X56" t="str">
        <f t="shared" si="10"/>
        <v>24</v>
      </c>
      <c r="Y56" t="str">
        <f t="shared" si="0"/>
        <v>2024</v>
      </c>
      <c r="Z56" s="232">
        <f t="shared" si="1"/>
        <v>45461</v>
      </c>
      <c r="AA56" s="2">
        <f t="shared" si="2"/>
        <v>45461</v>
      </c>
      <c r="AB56"/>
      <c r="AC56"/>
    </row>
    <row r="57" spans="1:29" ht="15">
      <c r="A57" s="250" t="s">
        <v>9634</v>
      </c>
      <c r="B57" s="250" t="s">
        <v>9248</v>
      </c>
      <c r="C57" s="250" t="s">
        <v>9635</v>
      </c>
      <c r="D57" s="250" t="s">
        <v>9634</v>
      </c>
      <c r="F57" s="250">
        <v>3</v>
      </c>
      <c r="G57" s="250">
        <v>1831316.39</v>
      </c>
      <c r="I57" s="250" t="str">
        <f t="shared" si="3"/>
        <v>25</v>
      </c>
      <c r="J57" s="250" t="str">
        <f t="shared" si="4"/>
        <v>03</v>
      </c>
      <c r="K57" s="250" t="str">
        <f t="shared" si="5"/>
        <v>23</v>
      </c>
      <c r="L57" s="252" t="str">
        <f t="shared" si="6"/>
        <v>2023</v>
      </c>
      <c r="M57" s="251">
        <f t="shared" si="7"/>
        <v>45010</v>
      </c>
      <c r="U57" s="329" t="s">
        <v>14331</v>
      </c>
      <c r="V57" t="str">
        <f t="shared" si="8"/>
        <v>19</v>
      </c>
      <c r="W57" t="str">
        <f t="shared" si="9"/>
        <v>06</v>
      </c>
      <c r="X57" t="str">
        <f t="shared" si="10"/>
        <v>24</v>
      </c>
      <c r="Y57" t="str">
        <f t="shared" si="0"/>
        <v>2024</v>
      </c>
      <c r="Z57" s="232">
        <f t="shared" si="1"/>
        <v>45462</v>
      </c>
      <c r="AA57" s="2">
        <f t="shared" si="2"/>
        <v>45462</v>
      </c>
      <c r="AB57"/>
      <c r="AC57"/>
    </row>
    <row r="58" spans="1:29" ht="15">
      <c r="A58" s="250" t="s">
        <v>9634</v>
      </c>
      <c r="B58" s="250" t="s">
        <v>9249</v>
      </c>
      <c r="C58" s="250" t="s">
        <v>9636</v>
      </c>
      <c r="D58" s="250" t="s">
        <v>9634</v>
      </c>
      <c r="E58" s="250">
        <v>730</v>
      </c>
      <c r="G58" s="250">
        <v>1830586.39</v>
      </c>
      <c r="I58" s="250" t="str">
        <f t="shared" si="3"/>
        <v>25</v>
      </c>
      <c r="J58" s="250" t="str">
        <f t="shared" si="4"/>
        <v>03</v>
      </c>
      <c r="K58" s="250" t="str">
        <f t="shared" si="5"/>
        <v>23</v>
      </c>
      <c r="L58" s="252" t="str">
        <f t="shared" si="6"/>
        <v>2023</v>
      </c>
      <c r="M58" s="251">
        <f t="shared" si="7"/>
        <v>45010</v>
      </c>
      <c r="U58" s="329" t="s">
        <v>14331</v>
      </c>
      <c r="V58" t="str">
        <f t="shared" si="8"/>
        <v>19</v>
      </c>
      <c r="W58" t="str">
        <f t="shared" si="9"/>
        <v>06</v>
      </c>
      <c r="X58" t="str">
        <f t="shared" si="10"/>
        <v>24</v>
      </c>
      <c r="Y58" t="str">
        <f t="shared" si="0"/>
        <v>2024</v>
      </c>
      <c r="Z58" s="232">
        <f t="shared" si="1"/>
        <v>45462</v>
      </c>
      <c r="AA58" s="2">
        <f t="shared" si="2"/>
        <v>45462</v>
      </c>
      <c r="AB58"/>
      <c r="AC58"/>
    </row>
    <row r="59" spans="1:29" ht="15">
      <c r="A59" s="250" t="s">
        <v>9634</v>
      </c>
      <c r="B59" s="250" t="s">
        <v>9250</v>
      </c>
      <c r="C59" s="250" t="s">
        <v>9637</v>
      </c>
      <c r="D59" s="250" t="s">
        <v>9634</v>
      </c>
      <c r="E59" s="250">
        <v>750</v>
      </c>
      <c r="G59" s="250">
        <v>1829836.39</v>
      </c>
      <c r="I59" s="250" t="str">
        <f t="shared" si="3"/>
        <v>25</v>
      </c>
      <c r="J59" s="250" t="str">
        <f t="shared" si="4"/>
        <v>03</v>
      </c>
      <c r="K59" s="250" t="str">
        <f t="shared" si="5"/>
        <v>23</v>
      </c>
      <c r="L59" s="252" t="str">
        <f t="shared" si="6"/>
        <v>2023</v>
      </c>
      <c r="M59" s="251">
        <f t="shared" si="7"/>
        <v>45010</v>
      </c>
      <c r="U59" s="329" t="s">
        <v>14331</v>
      </c>
      <c r="V59" t="str">
        <f t="shared" si="8"/>
        <v>19</v>
      </c>
      <c r="W59" t="str">
        <f t="shared" si="9"/>
        <v>06</v>
      </c>
      <c r="X59" t="str">
        <f t="shared" si="10"/>
        <v>24</v>
      </c>
      <c r="Y59" t="str">
        <f t="shared" si="0"/>
        <v>2024</v>
      </c>
      <c r="Z59" s="232">
        <f t="shared" si="1"/>
        <v>45462</v>
      </c>
      <c r="AA59" s="2">
        <f t="shared" si="2"/>
        <v>45462</v>
      </c>
      <c r="AB59"/>
      <c r="AC59"/>
    </row>
    <row r="60" spans="1:29" ht="15">
      <c r="A60" s="250" t="s">
        <v>9634</v>
      </c>
      <c r="B60" s="250" t="s">
        <v>9251</v>
      </c>
      <c r="C60" s="250" t="s">
        <v>6682</v>
      </c>
      <c r="D60" s="250" t="s">
        <v>9634</v>
      </c>
      <c r="E60" s="250">
        <v>13900</v>
      </c>
      <c r="G60" s="250">
        <v>1815936.39</v>
      </c>
      <c r="I60" s="250" t="str">
        <f t="shared" si="3"/>
        <v>25</v>
      </c>
      <c r="J60" s="250" t="str">
        <f t="shared" si="4"/>
        <v>03</v>
      </c>
      <c r="K60" s="250" t="str">
        <f t="shared" si="5"/>
        <v>23</v>
      </c>
      <c r="L60" s="252" t="str">
        <f t="shared" si="6"/>
        <v>2023</v>
      </c>
      <c r="M60" s="251">
        <f t="shared" si="7"/>
        <v>45010</v>
      </c>
      <c r="U60" s="329" t="s">
        <v>14332</v>
      </c>
      <c r="V60" t="str">
        <f t="shared" si="8"/>
        <v>20</v>
      </c>
      <c r="W60" t="str">
        <f t="shared" si="9"/>
        <v>06</v>
      </c>
      <c r="X60" t="str">
        <f t="shared" si="10"/>
        <v>24</v>
      </c>
      <c r="Y60" t="str">
        <f t="shared" si="0"/>
        <v>2024</v>
      </c>
      <c r="Z60" s="232">
        <f t="shared" si="1"/>
        <v>45463</v>
      </c>
      <c r="AA60" s="2">
        <f t="shared" si="2"/>
        <v>45463</v>
      </c>
      <c r="AB60"/>
      <c r="AC60"/>
    </row>
    <row r="61" spans="1:29" ht="15">
      <c r="A61" s="250" t="s">
        <v>9638</v>
      </c>
      <c r="B61" s="250" t="s">
        <v>9252</v>
      </c>
      <c r="C61" s="250" t="s">
        <v>9639</v>
      </c>
      <c r="D61" s="250" t="s">
        <v>9638</v>
      </c>
      <c r="E61" s="250">
        <v>1000</v>
      </c>
      <c r="G61" s="250">
        <v>1814936.39</v>
      </c>
      <c r="I61" s="250" t="str">
        <f t="shared" si="3"/>
        <v>27</v>
      </c>
      <c r="J61" s="250" t="str">
        <f t="shared" si="4"/>
        <v>03</v>
      </c>
      <c r="K61" s="250" t="str">
        <f t="shared" si="5"/>
        <v>23</v>
      </c>
      <c r="L61" s="252" t="str">
        <f t="shared" si="6"/>
        <v>2023</v>
      </c>
      <c r="M61" s="251">
        <f t="shared" si="7"/>
        <v>45012</v>
      </c>
      <c r="U61" s="329" t="s">
        <v>14332</v>
      </c>
      <c r="V61" t="str">
        <f t="shared" si="8"/>
        <v>20</v>
      </c>
      <c r="W61" t="str">
        <f t="shared" si="9"/>
        <v>06</v>
      </c>
      <c r="X61" t="str">
        <f t="shared" si="10"/>
        <v>24</v>
      </c>
      <c r="Y61" t="str">
        <f t="shared" si="0"/>
        <v>2024</v>
      </c>
      <c r="Z61" s="232">
        <f t="shared" si="1"/>
        <v>45463</v>
      </c>
      <c r="AA61" s="2">
        <f t="shared" si="2"/>
        <v>45463</v>
      </c>
      <c r="AB61"/>
      <c r="AC61"/>
    </row>
    <row r="62" spans="1:29" ht="15">
      <c r="A62" s="250" t="s">
        <v>9638</v>
      </c>
      <c r="B62" s="250" t="s">
        <v>9253</v>
      </c>
      <c r="C62" s="250" t="s">
        <v>9640</v>
      </c>
      <c r="D62" s="250" t="s">
        <v>9638</v>
      </c>
      <c r="E62" s="250">
        <v>1000</v>
      </c>
      <c r="G62" s="250">
        <v>1813936.39</v>
      </c>
      <c r="I62" s="250" t="str">
        <f t="shared" si="3"/>
        <v>27</v>
      </c>
      <c r="J62" s="250" t="str">
        <f t="shared" si="4"/>
        <v>03</v>
      </c>
      <c r="K62" s="250" t="str">
        <f t="shared" si="5"/>
        <v>23</v>
      </c>
      <c r="L62" s="252" t="str">
        <f t="shared" si="6"/>
        <v>2023</v>
      </c>
      <c r="M62" s="251">
        <f t="shared" si="7"/>
        <v>45012</v>
      </c>
      <c r="U62" s="329" t="s">
        <v>14332</v>
      </c>
      <c r="V62" t="str">
        <f t="shared" si="8"/>
        <v>20</v>
      </c>
      <c r="W62" t="str">
        <f t="shared" si="9"/>
        <v>06</v>
      </c>
      <c r="X62" t="str">
        <f t="shared" si="10"/>
        <v>24</v>
      </c>
      <c r="Y62" t="str">
        <f t="shared" si="0"/>
        <v>2024</v>
      </c>
      <c r="Z62" s="232">
        <f t="shared" si="1"/>
        <v>45463</v>
      </c>
      <c r="AA62" s="2">
        <f t="shared" si="2"/>
        <v>45463</v>
      </c>
      <c r="AB62"/>
      <c r="AC62"/>
    </row>
    <row r="63" spans="1:29" ht="15">
      <c r="A63" s="250" t="s">
        <v>9641</v>
      </c>
      <c r="B63" s="250" t="s">
        <v>9254</v>
      </c>
      <c r="C63" s="250" t="s">
        <v>9642</v>
      </c>
      <c r="D63" s="250" t="s">
        <v>9641</v>
      </c>
      <c r="E63" s="250">
        <v>1042</v>
      </c>
      <c r="G63" s="250">
        <v>1812894.39</v>
      </c>
      <c r="I63" s="250" t="str">
        <f t="shared" si="3"/>
        <v>28</v>
      </c>
      <c r="J63" s="250" t="str">
        <f t="shared" si="4"/>
        <v>03</v>
      </c>
      <c r="K63" s="250" t="str">
        <f t="shared" si="5"/>
        <v>23</v>
      </c>
      <c r="L63" s="252" t="str">
        <f t="shared" si="6"/>
        <v>2023</v>
      </c>
      <c r="M63" s="251">
        <f t="shared" si="7"/>
        <v>45013</v>
      </c>
      <c r="U63" s="329" t="s">
        <v>14332</v>
      </c>
      <c r="V63" t="str">
        <f t="shared" si="8"/>
        <v>20</v>
      </c>
      <c r="W63" t="str">
        <f t="shared" si="9"/>
        <v>06</v>
      </c>
      <c r="X63" t="str">
        <f t="shared" si="10"/>
        <v>24</v>
      </c>
      <c r="Y63" t="str">
        <f t="shared" si="0"/>
        <v>2024</v>
      </c>
      <c r="Z63" s="232">
        <f t="shared" si="1"/>
        <v>45463</v>
      </c>
      <c r="AA63" s="2">
        <f t="shared" si="2"/>
        <v>45463</v>
      </c>
      <c r="AB63"/>
      <c r="AC63"/>
    </row>
    <row r="64" spans="1:29" ht="15">
      <c r="A64" s="250" t="s">
        <v>9641</v>
      </c>
      <c r="B64" s="250" t="s">
        <v>9255</v>
      </c>
      <c r="C64" s="250" t="s">
        <v>9643</v>
      </c>
      <c r="D64" s="250" t="s">
        <v>9641</v>
      </c>
      <c r="E64" s="250">
        <v>800</v>
      </c>
      <c r="G64" s="250">
        <v>1812094.39</v>
      </c>
      <c r="I64" s="250" t="str">
        <f t="shared" si="3"/>
        <v>28</v>
      </c>
      <c r="J64" s="250" t="str">
        <f t="shared" si="4"/>
        <v>03</v>
      </c>
      <c r="K64" s="250" t="str">
        <f t="shared" si="5"/>
        <v>23</v>
      </c>
      <c r="L64" s="252" t="str">
        <f t="shared" si="6"/>
        <v>2023</v>
      </c>
      <c r="M64" s="251">
        <f t="shared" si="7"/>
        <v>45013</v>
      </c>
      <c r="U64" s="329" t="s">
        <v>14332</v>
      </c>
      <c r="V64" t="str">
        <f t="shared" si="8"/>
        <v>20</v>
      </c>
      <c r="W64" t="str">
        <f t="shared" si="9"/>
        <v>06</v>
      </c>
      <c r="X64" t="str">
        <f t="shared" si="10"/>
        <v>24</v>
      </c>
      <c r="Y64" t="str">
        <f t="shared" si="0"/>
        <v>2024</v>
      </c>
      <c r="Z64" s="232">
        <f t="shared" si="1"/>
        <v>45463</v>
      </c>
      <c r="AA64" s="2">
        <f t="shared" si="2"/>
        <v>45463</v>
      </c>
      <c r="AB64"/>
      <c r="AC64"/>
    </row>
    <row r="65" spans="1:29" ht="15">
      <c r="A65" s="250" t="s">
        <v>9644</v>
      </c>
      <c r="B65" s="250" t="s">
        <v>9256</v>
      </c>
      <c r="C65" s="250" t="s">
        <v>9645</v>
      </c>
      <c r="D65" s="250" t="s">
        <v>9644</v>
      </c>
      <c r="E65" s="250">
        <v>199</v>
      </c>
      <c r="G65" s="250">
        <v>1811895.39</v>
      </c>
      <c r="I65" s="250" t="str">
        <f t="shared" si="3"/>
        <v>29</v>
      </c>
      <c r="J65" s="250" t="str">
        <f t="shared" si="4"/>
        <v>03</v>
      </c>
      <c r="K65" s="250" t="str">
        <f t="shared" si="5"/>
        <v>23</v>
      </c>
      <c r="L65" s="252" t="str">
        <f t="shared" si="6"/>
        <v>2023</v>
      </c>
      <c r="M65" s="251">
        <f t="shared" si="7"/>
        <v>45014</v>
      </c>
      <c r="U65" s="329" t="s">
        <v>14333</v>
      </c>
      <c r="V65" t="str">
        <f t="shared" si="8"/>
        <v>21</v>
      </c>
      <c r="W65" t="str">
        <f t="shared" si="9"/>
        <v>06</v>
      </c>
      <c r="X65" t="str">
        <f t="shared" si="10"/>
        <v>24</v>
      </c>
      <c r="Y65" t="str">
        <f t="shared" si="0"/>
        <v>2024</v>
      </c>
      <c r="Z65" s="232">
        <f t="shared" si="1"/>
        <v>45464</v>
      </c>
      <c r="AA65" s="2">
        <f t="shared" si="2"/>
        <v>45464</v>
      </c>
      <c r="AB65"/>
      <c r="AC65"/>
    </row>
    <row r="66" spans="1:29" ht="15">
      <c r="A66" s="250" t="s">
        <v>9644</v>
      </c>
      <c r="B66" s="250" t="s">
        <v>9257</v>
      </c>
      <c r="C66" s="250" t="s">
        <v>9646</v>
      </c>
      <c r="D66" s="250" t="s">
        <v>9644</v>
      </c>
      <c r="E66" s="250">
        <v>50</v>
      </c>
      <c r="G66" s="250">
        <v>1811845.39</v>
      </c>
      <c r="I66" s="250" t="str">
        <f t="shared" si="3"/>
        <v>29</v>
      </c>
      <c r="J66" s="250" t="str">
        <f t="shared" si="4"/>
        <v>03</v>
      </c>
      <c r="K66" s="250" t="str">
        <f t="shared" si="5"/>
        <v>23</v>
      </c>
      <c r="L66" s="252" t="str">
        <f t="shared" si="6"/>
        <v>2023</v>
      </c>
      <c r="M66" s="251">
        <f t="shared" si="7"/>
        <v>45014</v>
      </c>
      <c r="U66" s="329" t="s">
        <v>14333</v>
      </c>
      <c r="V66" t="str">
        <f t="shared" si="8"/>
        <v>21</v>
      </c>
      <c r="W66" t="str">
        <f t="shared" si="9"/>
        <v>06</v>
      </c>
      <c r="X66" t="str">
        <f t="shared" si="10"/>
        <v>24</v>
      </c>
      <c r="Y66" t="str">
        <f t="shared" si="0"/>
        <v>2024</v>
      </c>
      <c r="Z66" s="232">
        <f t="shared" si="1"/>
        <v>45464</v>
      </c>
      <c r="AA66" s="2">
        <f t="shared" si="2"/>
        <v>45464</v>
      </c>
      <c r="AB66"/>
      <c r="AC66"/>
    </row>
    <row r="67" spans="1:29" ht="15">
      <c r="A67" s="250" t="s">
        <v>9644</v>
      </c>
      <c r="B67" s="250" t="s">
        <v>9258</v>
      </c>
      <c r="C67" s="250" t="s">
        <v>9647</v>
      </c>
      <c r="D67" s="250" t="s">
        <v>9644</v>
      </c>
      <c r="E67" s="250">
        <v>52</v>
      </c>
      <c r="G67" s="250">
        <v>1811793.39</v>
      </c>
      <c r="I67" s="250" t="str">
        <f t="shared" si="3"/>
        <v>29</v>
      </c>
      <c r="J67" s="250" t="str">
        <f t="shared" si="4"/>
        <v>03</v>
      </c>
      <c r="K67" s="250" t="str">
        <f t="shared" si="5"/>
        <v>23</v>
      </c>
      <c r="L67" s="252" t="str">
        <f t="shared" si="6"/>
        <v>2023</v>
      </c>
      <c r="M67" s="251">
        <f t="shared" si="7"/>
        <v>45014</v>
      </c>
      <c r="U67" s="329" t="s">
        <v>14333</v>
      </c>
      <c r="V67" t="str">
        <f t="shared" ref="V67:V130" si="11">LEFT(U67,2)</f>
        <v>21</v>
      </c>
      <c r="W67" t="str">
        <f t="shared" ref="W67:W130" si="12">MID(U67,4,2)</f>
        <v>06</v>
      </c>
      <c r="X67" t="str">
        <f t="shared" ref="X67:X130" si="13">RIGHT(U67,2)</f>
        <v>24</v>
      </c>
      <c r="Y67" t="str">
        <f t="shared" ref="Y67:Y130" si="14">"20" &amp; X67</f>
        <v>2024</v>
      </c>
      <c r="Z67" s="232">
        <f t="shared" ref="Z67:Z107" si="15">DATE(Y67,W67,V67)</f>
        <v>45464</v>
      </c>
      <c r="AA67" s="2">
        <f t="shared" ref="AA67:AA130" si="16">DATE(Y67,W67,V67)</f>
        <v>45464</v>
      </c>
      <c r="AB67"/>
      <c r="AC67"/>
    </row>
    <row r="68" spans="1:29" ht="15">
      <c r="A68" s="250" t="s">
        <v>9644</v>
      </c>
      <c r="B68" s="250" t="s">
        <v>9259</v>
      </c>
      <c r="C68" s="250" t="s">
        <v>9648</v>
      </c>
      <c r="D68" s="250" t="s">
        <v>9644</v>
      </c>
      <c r="E68" s="250">
        <v>800</v>
      </c>
      <c r="G68" s="250">
        <v>1810993.39</v>
      </c>
      <c r="I68" s="250" t="str">
        <f t="shared" si="3"/>
        <v>29</v>
      </c>
      <c r="J68" s="250" t="str">
        <f t="shared" si="4"/>
        <v>03</v>
      </c>
      <c r="K68" s="250" t="str">
        <f t="shared" si="5"/>
        <v>23</v>
      </c>
      <c r="L68" s="252" t="str">
        <f t="shared" si="6"/>
        <v>2023</v>
      </c>
      <c r="M68" s="251">
        <f t="shared" si="7"/>
        <v>45014</v>
      </c>
      <c r="U68" s="329" t="s">
        <v>14334</v>
      </c>
      <c r="V68" t="str">
        <f t="shared" si="11"/>
        <v>22</v>
      </c>
      <c r="W68" t="str">
        <f t="shared" si="12"/>
        <v>06</v>
      </c>
      <c r="X68" t="str">
        <f t="shared" si="13"/>
        <v>24</v>
      </c>
      <c r="Y68" t="str">
        <f t="shared" si="14"/>
        <v>2024</v>
      </c>
      <c r="Z68" s="232">
        <f t="shared" si="15"/>
        <v>45465</v>
      </c>
      <c r="AA68" s="2">
        <f t="shared" si="16"/>
        <v>45465</v>
      </c>
      <c r="AB68"/>
      <c r="AC68"/>
    </row>
    <row r="69" spans="1:29" ht="15">
      <c r="A69" s="250" t="s">
        <v>9649</v>
      </c>
      <c r="B69" s="250" t="s">
        <v>9260</v>
      </c>
      <c r="C69" s="250" t="s">
        <v>9650</v>
      </c>
      <c r="D69" s="250" t="s">
        <v>9649</v>
      </c>
      <c r="F69" s="250">
        <v>556195</v>
      </c>
      <c r="G69" s="250">
        <v>2367188.39</v>
      </c>
      <c r="I69" s="250" t="str">
        <f t="shared" ref="I69:I78" si="17">LEFT(A69, 2)</f>
        <v>30</v>
      </c>
      <c r="J69" s="250" t="str">
        <f t="shared" ref="J69:J78" si="18">MID(A69,4,2)</f>
        <v>03</v>
      </c>
      <c r="K69" s="250" t="str">
        <f t="shared" ref="K69:K78" si="19">RIGHT(A69, 2)</f>
        <v>23</v>
      </c>
      <c r="L69" s="252" t="str">
        <f t="shared" ref="L69:L78" si="20">CONCATENATE("20", K69)</f>
        <v>2023</v>
      </c>
      <c r="M69" s="251">
        <f t="shared" ref="M69:M78" si="21">DATE(L69,J69,I69)</f>
        <v>45015</v>
      </c>
      <c r="U69" s="329" t="s">
        <v>14334</v>
      </c>
      <c r="V69" t="str">
        <f t="shared" si="11"/>
        <v>22</v>
      </c>
      <c r="W69" t="str">
        <f t="shared" si="12"/>
        <v>06</v>
      </c>
      <c r="X69" t="str">
        <f t="shared" si="13"/>
        <v>24</v>
      </c>
      <c r="Y69" t="str">
        <f t="shared" si="14"/>
        <v>2024</v>
      </c>
      <c r="Z69" s="232">
        <f t="shared" si="15"/>
        <v>45465</v>
      </c>
      <c r="AA69" s="2">
        <f t="shared" si="16"/>
        <v>45465</v>
      </c>
      <c r="AB69"/>
      <c r="AC69"/>
    </row>
    <row r="70" spans="1:29" ht="15">
      <c r="A70" s="250" t="s">
        <v>9649</v>
      </c>
      <c r="B70" s="250" t="s">
        <v>9261</v>
      </c>
      <c r="C70" s="250" t="s">
        <v>9651</v>
      </c>
      <c r="D70" s="250" t="s">
        <v>9649</v>
      </c>
      <c r="E70" s="250">
        <v>20000</v>
      </c>
      <c r="G70" s="250">
        <v>2347188.39</v>
      </c>
      <c r="I70" s="250" t="str">
        <f t="shared" si="17"/>
        <v>30</v>
      </c>
      <c r="J70" s="250" t="str">
        <f t="shared" si="18"/>
        <v>03</v>
      </c>
      <c r="K70" s="250" t="str">
        <f t="shared" si="19"/>
        <v>23</v>
      </c>
      <c r="L70" s="252" t="str">
        <f t="shared" si="20"/>
        <v>2023</v>
      </c>
      <c r="M70" s="251">
        <f t="shared" si="21"/>
        <v>45015</v>
      </c>
      <c r="U70" s="329" t="s">
        <v>14334</v>
      </c>
      <c r="V70" t="str">
        <f t="shared" si="11"/>
        <v>22</v>
      </c>
      <c r="W70" t="str">
        <f t="shared" si="12"/>
        <v>06</v>
      </c>
      <c r="X70" t="str">
        <f t="shared" si="13"/>
        <v>24</v>
      </c>
      <c r="Y70" t="str">
        <f t="shared" si="14"/>
        <v>2024</v>
      </c>
      <c r="Z70" s="232">
        <f t="shared" si="15"/>
        <v>45465</v>
      </c>
      <c r="AA70" s="2">
        <f t="shared" si="16"/>
        <v>45465</v>
      </c>
      <c r="AB70"/>
      <c r="AC70"/>
    </row>
    <row r="71" spans="1:29" ht="15">
      <c r="A71" s="250" t="s">
        <v>9652</v>
      </c>
      <c r="B71" s="250" t="s">
        <v>9262</v>
      </c>
      <c r="C71" s="250" t="s">
        <v>9653</v>
      </c>
      <c r="D71" s="250" t="s">
        <v>9652</v>
      </c>
      <c r="F71" s="250">
        <v>5000</v>
      </c>
      <c r="G71" s="250">
        <v>2352188.39</v>
      </c>
      <c r="I71" s="250" t="str">
        <f t="shared" si="17"/>
        <v>31</v>
      </c>
      <c r="J71" s="250" t="str">
        <f t="shared" si="18"/>
        <v>03</v>
      </c>
      <c r="K71" s="250" t="str">
        <f t="shared" si="19"/>
        <v>23</v>
      </c>
      <c r="L71" s="252" t="str">
        <f t="shared" si="20"/>
        <v>2023</v>
      </c>
      <c r="M71" s="251">
        <f t="shared" si="21"/>
        <v>45016</v>
      </c>
      <c r="U71" s="329" t="s">
        <v>14335</v>
      </c>
      <c r="V71" t="str">
        <f t="shared" si="11"/>
        <v>23</v>
      </c>
      <c r="W71" t="str">
        <f t="shared" si="12"/>
        <v>06</v>
      </c>
      <c r="X71" t="str">
        <f t="shared" si="13"/>
        <v>24</v>
      </c>
      <c r="Y71" t="str">
        <f t="shared" si="14"/>
        <v>2024</v>
      </c>
      <c r="Z71" s="232">
        <f t="shared" si="15"/>
        <v>45466</v>
      </c>
      <c r="AA71" s="2">
        <f t="shared" si="16"/>
        <v>45466</v>
      </c>
      <c r="AB71"/>
      <c r="AC71"/>
    </row>
    <row r="72" spans="1:29" ht="15">
      <c r="A72" s="250" t="s">
        <v>9652</v>
      </c>
      <c r="B72" s="250" t="s">
        <v>9263</v>
      </c>
      <c r="C72" s="250" t="s">
        <v>9654</v>
      </c>
      <c r="D72" s="250" t="s">
        <v>9652</v>
      </c>
      <c r="E72" s="250">
        <v>5000</v>
      </c>
      <c r="G72" s="250">
        <v>2347188.39</v>
      </c>
      <c r="I72" s="250" t="str">
        <f t="shared" si="17"/>
        <v>31</v>
      </c>
      <c r="J72" s="250" t="str">
        <f t="shared" si="18"/>
        <v>03</v>
      </c>
      <c r="K72" s="250" t="str">
        <f t="shared" si="19"/>
        <v>23</v>
      </c>
      <c r="L72" s="252" t="str">
        <f t="shared" si="20"/>
        <v>2023</v>
      </c>
      <c r="M72" s="251">
        <f t="shared" si="21"/>
        <v>45016</v>
      </c>
      <c r="U72" s="329" t="s">
        <v>14335</v>
      </c>
      <c r="V72" t="str">
        <f t="shared" si="11"/>
        <v>23</v>
      </c>
      <c r="W72" t="str">
        <f t="shared" si="12"/>
        <v>06</v>
      </c>
      <c r="X72" t="str">
        <f t="shared" si="13"/>
        <v>24</v>
      </c>
      <c r="Y72" t="str">
        <f t="shared" si="14"/>
        <v>2024</v>
      </c>
      <c r="Z72" s="232">
        <f t="shared" si="15"/>
        <v>45466</v>
      </c>
      <c r="AA72" s="2">
        <f t="shared" si="16"/>
        <v>45466</v>
      </c>
      <c r="AB72"/>
      <c r="AC72"/>
    </row>
    <row r="73" spans="1:29" ht="15">
      <c r="A73" s="250" t="s">
        <v>9652</v>
      </c>
      <c r="B73" s="250" t="s">
        <v>9264</v>
      </c>
      <c r="C73" s="250" t="s">
        <v>9655</v>
      </c>
      <c r="D73" s="250" t="s">
        <v>9652</v>
      </c>
      <c r="F73" s="250">
        <v>4792</v>
      </c>
      <c r="G73" s="250">
        <v>2351980.39</v>
      </c>
      <c r="I73" s="250" t="str">
        <f t="shared" si="17"/>
        <v>31</v>
      </c>
      <c r="J73" s="250" t="str">
        <f t="shared" si="18"/>
        <v>03</v>
      </c>
      <c r="K73" s="250" t="str">
        <f t="shared" si="19"/>
        <v>23</v>
      </c>
      <c r="L73" s="252" t="str">
        <f t="shared" si="20"/>
        <v>2023</v>
      </c>
      <c r="M73" s="251">
        <f t="shared" si="21"/>
        <v>45016</v>
      </c>
      <c r="U73" s="329" t="s">
        <v>14336</v>
      </c>
      <c r="V73" t="str">
        <f t="shared" si="11"/>
        <v>24</v>
      </c>
      <c r="W73" t="str">
        <f t="shared" si="12"/>
        <v>06</v>
      </c>
      <c r="X73" t="str">
        <f t="shared" si="13"/>
        <v>24</v>
      </c>
      <c r="Y73" t="str">
        <f t="shared" si="14"/>
        <v>2024</v>
      </c>
      <c r="Z73" s="232">
        <f t="shared" si="15"/>
        <v>45467</v>
      </c>
      <c r="AA73" s="2">
        <f t="shared" si="16"/>
        <v>45467</v>
      </c>
      <c r="AB73"/>
      <c r="AC73"/>
    </row>
    <row r="74" spans="1:29" ht="15">
      <c r="A74" s="250" t="s">
        <v>9656</v>
      </c>
      <c r="B74" s="250" t="s">
        <v>4256</v>
      </c>
      <c r="C74" s="250" t="s">
        <v>6682</v>
      </c>
      <c r="D74" s="250" t="s">
        <v>9652</v>
      </c>
      <c r="F74" s="250">
        <v>12633</v>
      </c>
      <c r="G74" s="250">
        <v>2364613.39</v>
      </c>
      <c r="I74" s="250" t="str">
        <f t="shared" si="17"/>
        <v>01</v>
      </c>
      <c r="J74" s="250" t="str">
        <f t="shared" si="18"/>
        <v>04</v>
      </c>
      <c r="K74" s="250" t="str">
        <f t="shared" si="19"/>
        <v>23</v>
      </c>
      <c r="L74" s="252" t="str">
        <f t="shared" si="20"/>
        <v>2023</v>
      </c>
      <c r="M74" s="251">
        <f t="shared" si="21"/>
        <v>45017</v>
      </c>
      <c r="U74" s="329" t="s">
        <v>14337</v>
      </c>
      <c r="V74" t="str">
        <f t="shared" si="11"/>
        <v>25</v>
      </c>
      <c r="W74" t="str">
        <f t="shared" si="12"/>
        <v>06</v>
      </c>
      <c r="X74" t="str">
        <f t="shared" si="13"/>
        <v>24</v>
      </c>
      <c r="Y74" t="str">
        <f t="shared" si="14"/>
        <v>2024</v>
      </c>
      <c r="Z74" s="232">
        <f t="shared" si="15"/>
        <v>45468</v>
      </c>
      <c r="AA74" s="2">
        <f t="shared" si="16"/>
        <v>45468</v>
      </c>
      <c r="AB74"/>
      <c r="AC74"/>
    </row>
    <row r="75" spans="1:29" ht="15">
      <c r="I75" s="250" t="str">
        <f t="shared" si="17"/>
        <v/>
      </c>
      <c r="J75" s="250" t="str">
        <f t="shared" si="18"/>
        <v/>
      </c>
      <c r="K75" s="250" t="str">
        <f t="shared" si="19"/>
        <v/>
      </c>
      <c r="L75" s="252" t="str">
        <f t="shared" si="20"/>
        <v>20</v>
      </c>
      <c r="M75" s="251" t="e">
        <f t="shared" si="21"/>
        <v>#VALUE!</v>
      </c>
      <c r="U75" s="329" t="s">
        <v>14337</v>
      </c>
      <c r="V75" t="str">
        <f t="shared" si="11"/>
        <v>25</v>
      </c>
      <c r="W75" t="str">
        <f t="shared" si="12"/>
        <v>06</v>
      </c>
      <c r="X75" t="str">
        <f t="shared" si="13"/>
        <v>24</v>
      </c>
      <c r="Y75" t="str">
        <f t="shared" si="14"/>
        <v>2024</v>
      </c>
      <c r="Z75" s="232">
        <f t="shared" si="15"/>
        <v>45468</v>
      </c>
      <c r="AA75" s="2">
        <f t="shared" si="16"/>
        <v>45468</v>
      </c>
      <c r="AB75"/>
      <c r="AC75"/>
    </row>
    <row r="76" spans="1:29" ht="15">
      <c r="I76" s="250" t="str">
        <f t="shared" si="17"/>
        <v/>
      </c>
      <c r="J76" s="250" t="str">
        <f t="shared" si="18"/>
        <v/>
      </c>
      <c r="K76" s="250" t="str">
        <f t="shared" si="19"/>
        <v/>
      </c>
      <c r="L76" s="252" t="str">
        <f t="shared" si="20"/>
        <v>20</v>
      </c>
      <c r="M76" s="251" t="e">
        <f t="shared" si="21"/>
        <v>#VALUE!</v>
      </c>
      <c r="U76" s="329" t="s">
        <v>14338</v>
      </c>
      <c r="V76" t="str">
        <f t="shared" si="11"/>
        <v>26</v>
      </c>
      <c r="W76" t="str">
        <f t="shared" si="12"/>
        <v>06</v>
      </c>
      <c r="X76" t="str">
        <f t="shared" si="13"/>
        <v>24</v>
      </c>
      <c r="Y76" t="str">
        <f t="shared" si="14"/>
        <v>2024</v>
      </c>
      <c r="Z76" s="232">
        <f t="shared" si="15"/>
        <v>45469</v>
      </c>
      <c r="AA76" s="2">
        <f t="shared" si="16"/>
        <v>45469</v>
      </c>
      <c r="AB76"/>
      <c r="AC76"/>
    </row>
    <row r="77" spans="1:29" ht="15">
      <c r="I77" s="250" t="str">
        <f t="shared" si="17"/>
        <v/>
      </c>
      <c r="J77" s="250" t="str">
        <f t="shared" si="18"/>
        <v/>
      </c>
      <c r="K77" s="250" t="str">
        <f t="shared" si="19"/>
        <v/>
      </c>
      <c r="L77" s="252" t="str">
        <f t="shared" si="20"/>
        <v>20</v>
      </c>
      <c r="M77" s="251" t="e">
        <f t="shared" si="21"/>
        <v>#VALUE!</v>
      </c>
      <c r="U77" s="329" t="s">
        <v>14339</v>
      </c>
      <c r="V77" t="str">
        <f t="shared" si="11"/>
        <v>27</v>
      </c>
      <c r="W77" t="str">
        <f t="shared" si="12"/>
        <v>06</v>
      </c>
      <c r="X77" t="str">
        <f t="shared" si="13"/>
        <v>24</v>
      </c>
      <c r="Y77" t="str">
        <f t="shared" si="14"/>
        <v>2024</v>
      </c>
      <c r="Z77" s="232">
        <f t="shared" si="15"/>
        <v>45470</v>
      </c>
      <c r="AA77" s="2">
        <f t="shared" si="16"/>
        <v>45470</v>
      </c>
      <c r="AB77"/>
      <c r="AC77"/>
    </row>
    <row r="78" spans="1:29" ht="15">
      <c r="I78" s="250" t="str">
        <f t="shared" si="17"/>
        <v/>
      </c>
      <c r="J78" s="250" t="str">
        <f t="shared" si="18"/>
        <v/>
      </c>
      <c r="K78" s="250" t="str">
        <f t="shared" si="19"/>
        <v/>
      </c>
      <c r="L78" s="252" t="str">
        <f t="shared" si="20"/>
        <v>20</v>
      </c>
      <c r="M78" s="251" t="e">
        <f t="shared" si="21"/>
        <v>#VALUE!</v>
      </c>
      <c r="U78" s="329" t="s">
        <v>14339</v>
      </c>
      <c r="V78" t="str">
        <f t="shared" si="11"/>
        <v>27</v>
      </c>
      <c r="W78" t="str">
        <f t="shared" si="12"/>
        <v>06</v>
      </c>
      <c r="X78" t="str">
        <f t="shared" si="13"/>
        <v>24</v>
      </c>
      <c r="Y78" t="str">
        <f t="shared" si="14"/>
        <v>2024</v>
      </c>
      <c r="Z78" s="232">
        <f t="shared" si="15"/>
        <v>45470</v>
      </c>
      <c r="AA78" s="2">
        <f t="shared" si="16"/>
        <v>45470</v>
      </c>
      <c r="AB78"/>
      <c r="AC78"/>
    </row>
    <row r="79" spans="1:29" ht="15">
      <c r="U79" s="329" t="s">
        <v>14340</v>
      </c>
      <c r="V79" t="str">
        <f t="shared" si="11"/>
        <v>28</v>
      </c>
      <c r="W79" t="str">
        <f t="shared" si="12"/>
        <v>06</v>
      </c>
      <c r="X79" t="str">
        <f t="shared" si="13"/>
        <v>24</v>
      </c>
      <c r="Y79" t="str">
        <f t="shared" si="14"/>
        <v>2024</v>
      </c>
      <c r="Z79" s="232">
        <f t="shared" si="15"/>
        <v>45471</v>
      </c>
      <c r="AA79" s="2">
        <f t="shared" si="16"/>
        <v>45471</v>
      </c>
      <c r="AB79"/>
      <c r="AC79"/>
    </row>
    <row r="80" spans="1:29" ht="15">
      <c r="U80" s="329" t="s">
        <v>14340</v>
      </c>
      <c r="V80" t="str">
        <f t="shared" si="11"/>
        <v>28</v>
      </c>
      <c r="W80" t="str">
        <f t="shared" si="12"/>
        <v>06</v>
      </c>
      <c r="X80" t="str">
        <f t="shared" si="13"/>
        <v>24</v>
      </c>
      <c r="Y80" t="str">
        <f t="shared" si="14"/>
        <v>2024</v>
      </c>
      <c r="Z80" s="232">
        <f t="shared" si="15"/>
        <v>45471</v>
      </c>
      <c r="AA80" s="2">
        <f t="shared" si="16"/>
        <v>45471</v>
      </c>
      <c r="AB80"/>
      <c r="AC80"/>
    </row>
    <row r="81" spans="21:29" ht="15">
      <c r="U81" s="329" t="s">
        <v>14340</v>
      </c>
      <c r="V81" t="str">
        <f t="shared" si="11"/>
        <v>28</v>
      </c>
      <c r="W81" t="str">
        <f t="shared" si="12"/>
        <v>06</v>
      </c>
      <c r="X81" t="str">
        <f t="shared" si="13"/>
        <v>24</v>
      </c>
      <c r="Y81" t="str">
        <f t="shared" si="14"/>
        <v>2024</v>
      </c>
      <c r="Z81" s="232">
        <f t="shared" si="15"/>
        <v>45471</v>
      </c>
      <c r="AA81" s="2">
        <f t="shared" si="16"/>
        <v>45471</v>
      </c>
      <c r="AB81"/>
      <c r="AC81"/>
    </row>
    <row r="82" spans="21:29" ht="15">
      <c r="U82" s="329" t="s">
        <v>14340</v>
      </c>
      <c r="V82" t="str">
        <f t="shared" si="11"/>
        <v>28</v>
      </c>
      <c r="W82" t="str">
        <f t="shared" si="12"/>
        <v>06</v>
      </c>
      <c r="X82" t="str">
        <f t="shared" si="13"/>
        <v>24</v>
      </c>
      <c r="Y82" t="str">
        <f t="shared" si="14"/>
        <v>2024</v>
      </c>
      <c r="Z82" s="232">
        <f t="shared" si="15"/>
        <v>45471</v>
      </c>
      <c r="AA82" s="2">
        <f t="shared" si="16"/>
        <v>45471</v>
      </c>
      <c r="AB82"/>
      <c r="AC82"/>
    </row>
    <row r="83" spans="21:29" ht="15">
      <c r="U83" s="329" t="s">
        <v>14341</v>
      </c>
      <c r="V83" t="str">
        <f t="shared" si="11"/>
        <v>29</v>
      </c>
      <c r="W83" t="str">
        <f t="shared" si="12"/>
        <v>06</v>
      </c>
      <c r="X83" t="str">
        <f t="shared" si="13"/>
        <v>24</v>
      </c>
      <c r="Y83" t="str">
        <f t="shared" si="14"/>
        <v>2024</v>
      </c>
      <c r="Z83" s="232">
        <f t="shared" si="15"/>
        <v>45472</v>
      </c>
      <c r="AA83" s="2">
        <f t="shared" si="16"/>
        <v>45472</v>
      </c>
      <c r="AB83"/>
      <c r="AC83"/>
    </row>
    <row r="84" spans="21:29" ht="15">
      <c r="U84" s="329" t="s">
        <v>14342</v>
      </c>
      <c r="V84" t="str">
        <f t="shared" si="11"/>
        <v>01</v>
      </c>
      <c r="W84" t="str">
        <f t="shared" si="12"/>
        <v>07</v>
      </c>
      <c r="X84" t="str">
        <f t="shared" si="13"/>
        <v>24</v>
      </c>
      <c r="Y84" t="str">
        <f t="shared" si="14"/>
        <v>2024</v>
      </c>
      <c r="Z84" s="232">
        <f t="shared" si="15"/>
        <v>45474</v>
      </c>
      <c r="AA84" s="2">
        <f t="shared" si="16"/>
        <v>45474</v>
      </c>
      <c r="AB84"/>
      <c r="AC84"/>
    </row>
    <row r="85" spans="21:29" ht="15">
      <c r="U85" s="329" t="s">
        <v>14137</v>
      </c>
      <c r="V85" t="str">
        <f t="shared" si="11"/>
        <v>22</v>
      </c>
      <c r="W85" t="str">
        <f t="shared" si="12"/>
        <v>05</v>
      </c>
      <c r="X85" t="str">
        <f t="shared" si="13"/>
        <v>24</v>
      </c>
      <c r="Y85" t="str">
        <f t="shared" si="14"/>
        <v>2024</v>
      </c>
      <c r="Z85" s="232">
        <f t="shared" si="15"/>
        <v>45434</v>
      </c>
      <c r="AA85" s="2">
        <f t="shared" si="16"/>
        <v>45434</v>
      </c>
      <c r="AB85"/>
      <c r="AC85"/>
    </row>
    <row r="86" spans="21:29" ht="15">
      <c r="U86" s="329" t="s">
        <v>14137</v>
      </c>
      <c r="V86" t="str">
        <f t="shared" si="11"/>
        <v>22</v>
      </c>
      <c r="W86" t="str">
        <f t="shared" si="12"/>
        <v>05</v>
      </c>
      <c r="X86" t="str">
        <f t="shared" si="13"/>
        <v>24</v>
      </c>
      <c r="Y86" t="str">
        <f t="shared" si="14"/>
        <v>2024</v>
      </c>
      <c r="Z86" s="232">
        <f t="shared" si="15"/>
        <v>45434</v>
      </c>
      <c r="AA86" s="2">
        <f t="shared" si="16"/>
        <v>45434</v>
      </c>
      <c r="AB86"/>
      <c r="AC86"/>
    </row>
    <row r="87" spans="21:29" ht="15">
      <c r="U87" s="329" t="s">
        <v>14137</v>
      </c>
      <c r="V87" t="str">
        <f t="shared" si="11"/>
        <v>22</v>
      </c>
      <c r="W87" t="str">
        <f t="shared" si="12"/>
        <v>05</v>
      </c>
      <c r="X87" t="str">
        <f t="shared" si="13"/>
        <v>24</v>
      </c>
      <c r="Y87" t="str">
        <f t="shared" si="14"/>
        <v>2024</v>
      </c>
      <c r="Z87" s="232">
        <f t="shared" si="15"/>
        <v>45434</v>
      </c>
      <c r="AA87" s="2">
        <f t="shared" si="16"/>
        <v>45434</v>
      </c>
      <c r="AB87"/>
      <c r="AC87"/>
    </row>
    <row r="88" spans="21:29" ht="15">
      <c r="U88" s="329" t="s">
        <v>14137</v>
      </c>
      <c r="V88" t="str">
        <f t="shared" si="11"/>
        <v>22</v>
      </c>
      <c r="W88" t="str">
        <f t="shared" si="12"/>
        <v>05</v>
      </c>
      <c r="X88" t="str">
        <f t="shared" si="13"/>
        <v>24</v>
      </c>
      <c r="Y88" t="str">
        <f t="shared" si="14"/>
        <v>2024</v>
      </c>
      <c r="Z88" s="232">
        <f t="shared" si="15"/>
        <v>45434</v>
      </c>
      <c r="AA88" s="2">
        <f t="shared" si="16"/>
        <v>45434</v>
      </c>
      <c r="AB88"/>
      <c r="AC88"/>
    </row>
    <row r="89" spans="21:29" ht="15">
      <c r="U89" s="329" t="s">
        <v>14137</v>
      </c>
      <c r="V89" t="str">
        <f t="shared" si="11"/>
        <v>22</v>
      </c>
      <c r="W89" t="str">
        <f t="shared" si="12"/>
        <v>05</v>
      </c>
      <c r="X89" t="str">
        <f t="shared" si="13"/>
        <v>24</v>
      </c>
      <c r="Y89" t="str">
        <f t="shared" si="14"/>
        <v>2024</v>
      </c>
      <c r="Z89" s="232">
        <f t="shared" si="15"/>
        <v>45434</v>
      </c>
      <c r="AA89" s="2">
        <f t="shared" si="16"/>
        <v>45434</v>
      </c>
      <c r="AB89"/>
      <c r="AC89"/>
    </row>
    <row r="90" spans="21:29" ht="15">
      <c r="U90" s="329" t="s">
        <v>14138</v>
      </c>
      <c r="V90" t="str">
        <f t="shared" si="11"/>
        <v>23</v>
      </c>
      <c r="W90" t="str">
        <f t="shared" si="12"/>
        <v>05</v>
      </c>
      <c r="X90" t="str">
        <f t="shared" si="13"/>
        <v>24</v>
      </c>
      <c r="Y90" t="str">
        <f t="shared" si="14"/>
        <v>2024</v>
      </c>
      <c r="Z90" s="232">
        <f t="shared" si="15"/>
        <v>45435</v>
      </c>
      <c r="AA90" s="2">
        <f t="shared" si="16"/>
        <v>45435</v>
      </c>
      <c r="AB90"/>
      <c r="AC90"/>
    </row>
    <row r="91" spans="21:29" ht="15">
      <c r="U91" s="329" t="s">
        <v>14139</v>
      </c>
      <c r="V91" t="str">
        <f t="shared" si="11"/>
        <v>24</v>
      </c>
      <c r="W91" t="str">
        <f t="shared" si="12"/>
        <v>05</v>
      </c>
      <c r="X91" t="str">
        <f t="shared" si="13"/>
        <v>24</v>
      </c>
      <c r="Y91" t="str">
        <f t="shared" si="14"/>
        <v>2024</v>
      </c>
      <c r="Z91" s="232">
        <f t="shared" si="15"/>
        <v>45436</v>
      </c>
      <c r="AA91" s="2">
        <f t="shared" si="16"/>
        <v>45436</v>
      </c>
      <c r="AB91"/>
      <c r="AC91"/>
    </row>
    <row r="92" spans="21:29" ht="15">
      <c r="U92" s="329" t="s">
        <v>14140</v>
      </c>
      <c r="V92" t="str">
        <f t="shared" si="11"/>
        <v>25</v>
      </c>
      <c r="W92" t="str">
        <f t="shared" si="12"/>
        <v>05</v>
      </c>
      <c r="X92" t="str">
        <f t="shared" si="13"/>
        <v>24</v>
      </c>
      <c r="Y92" t="str">
        <f t="shared" si="14"/>
        <v>2024</v>
      </c>
      <c r="Z92" s="232">
        <f t="shared" si="15"/>
        <v>45437</v>
      </c>
      <c r="AA92" s="2">
        <f t="shared" si="16"/>
        <v>45437</v>
      </c>
      <c r="AB92"/>
      <c r="AC92"/>
    </row>
    <row r="93" spans="21:29" ht="15">
      <c r="U93" s="329" t="s">
        <v>14140</v>
      </c>
      <c r="V93" t="str">
        <f t="shared" si="11"/>
        <v>25</v>
      </c>
      <c r="W93" t="str">
        <f t="shared" si="12"/>
        <v>05</v>
      </c>
      <c r="X93" t="str">
        <f t="shared" si="13"/>
        <v>24</v>
      </c>
      <c r="Y93" t="str">
        <f t="shared" si="14"/>
        <v>2024</v>
      </c>
      <c r="Z93" s="232">
        <f t="shared" si="15"/>
        <v>45437</v>
      </c>
      <c r="AA93" s="2">
        <f t="shared" si="16"/>
        <v>45437</v>
      </c>
      <c r="AB93"/>
      <c r="AC93"/>
    </row>
    <row r="94" spans="21:29" ht="15">
      <c r="U94" s="329" t="s">
        <v>14140</v>
      </c>
      <c r="V94" t="str">
        <f t="shared" si="11"/>
        <v>25</v>
      </c>
      <c r="W94" t="str">
        <f t="shared" si="12"/>
        <v>05</v>
      </c>
      <c r="X94" t="str">
        <f t="shared" si="13"/>
        <v>24</v>
      </c>
      <c r="Y94" t="str">
        <f t="shared" si="14"/>
        <v>2024</v>
      </c>
      <c r="Z94" s="232">
        <f t="shared" si="15"/>
        <v>45437</v>
      </c>
      <c r="AA94" s="2">
        <f t="shared" si="16"/>
        <v>45437</v>
      </c>
      <c r="AB94"/>
      <c r="AC94"/>
    </row>
    <row r="95" spans="21:29" ht="15">
      <c r="U95" s="329" t="s">
        <v>14141</v>
      </c>
      <c r="V95" t="str">
        <f t="shared" si="11"/>
        <v>27</v>
      </c>
      <c r="W95" t="str">
        <f t="shared" si="12"/>
        <v>05</v>
      </c>
      <c r="X95" t="str">
        <f t="shared" si="13"/>
        <v>24</v>
      </c>
      <c r="Y95" t="str">
        <f t="shared" si="14"/>
        <v>2024</v>
      </c>
      <c r="Z95" s="232">
        <f t="shared" si="15"/>
        <v>45439</v>
      </c>
      <c r="AA95" s="2">
        <f t="shared" si="16"/>
        <v>45439</v>
      </c>
      <c r="AB95"/>
      <c r="AC95"/>
    </row>
    <row r="96" spans="21:29" ht="15">
      <c r="U96" s="329" t="s">
        <v>14141</v>
      </c>
      <c r="V96" t="str">
        <f t="shared" si="11"/>
        <v>27</v>
      </c>
      <c r="W96" t="str">
        <f t="shared" si="12"/>
        <v>05</v>
      </c>
      <c r="X96" t="str">
        <f t="shared" si="13"/>
        <v>24</v>
      </c>
      <c r="Y96" t="str">
        <f t="shared" si="14"/>
        <v>2024</v>
      </c>
      <c r="Z96" s="232">
        <f t="shared" si="15"/>
        <v>45439</v>
      </c>
      <c r="AA96" s="2">
        <f t="shared" si="16"/>
        <v>45439</v>
      </c>
      <c r="AB96"/>
      <c r="AC96"/>
    </row>
    <row r="97" spans="21:29" ht="15">
      <c r="U97" s="329" t="s">
        <v>14141</v>
      </c>
      <c r="V97" t="str">
        <f t="shared" si="11"/>
        <v>27</v>
      </c>
      <c r="W97" t="str">
        <f t="shared" si="12"/>
        <v>05</v>
      </c>
      <c r="X97" t="str">
        <f t="shared" si="13"/>
        <v>24</v>
      </c>
      <c r="Y97" t="str">
        <f t="shared" si="14"/>
        <v>2024</v>
      </c>
      <c r="Z97" s="232">
        <f t="shared" si="15"/>
        <v>45439</v>
      </c>
      <c r="AA97" s="2">
        <f t="shared" si="16"/>
        <v>45439</v>
      </c>
      <c r="AB97"/>
      <c r="AC97"/>
    </row>
    <row r="98" spans="21:29" ht="15">
      <c r="U98" s="329" t="s">
        <v>14142</v>
      </c>
      <c r="V98" t="str">
        <f t="shared" si="11"/>
        <v>28</v>
      </c>
      <c r="W98" t="str">
        <f t="shared" si="12"/>
        <v>05</v>
      </c>
      <c r="X98" t="str">
        <f t="shared" si="13"/>
        <v>24</v>
      </c>
      <c r="Y98" t="str">
        <f t="shared" si="14"/>
        <v>2024</v>
      </c>
      <c r="Z98" s="232">
        <f t="shared" si="15"/>
        <v>45440</v>
      </c>
      <c r="AA98" s="2">
        <f t="shared" si="16"/>
        <v>45440</v>
      </c>
      <c r="AB98"/>
      <c r="AC98"/>
    </row>
    <row r="99" spans="21:29" ht="15">
      <c r="U99" s="329" t="s">
        <v>14143</v>
      </c>
      <c r="V99" t="str">
        <f t="shared" si="11"/>
        <v>29</v>
      </c>
      <c r="W99" t="str">
        <f t="shared" si="12"/>
        <v>05</v>
      </c>
      <c r="X99" t="str">
        <f t="shared" si="13"/>
        <v>24</v>
      </c>
      <c r="Y99" t="str">
        <f t="shared" si="14"/>
        <v>2024</v>
      </c>
      <c r="Z99" s="232">
        <f t="shared" si="15"/>
        <v>45441</v>
      </c>
      <c r="AA99" s="2">
        <f t="shared" si="16"/>
        <v>45441</v>
      </c>
      <c r="AB99"/>
      <c r="AC99"/>
    </row>
    <row r="100" spans="21:29" ht="15">
      <c r="U100" s="329" t="s">
        <v>14143</v>
      </c>
      <c r="V100" t="str">
        <f t="shared" si="11"/>
        <v>29</v>
      </c>
      <c r="W100" t="str">
        <f t="shared" si="12"/>
        <v>05</v>
      </c>
      <c r="X100" t="str">
        <f t="shared" si="13"/>
        <v>24</v>
      </c>
      <c r="Y100" t="str">
        <f t="shared" si="14"/>
        <v>2024</v>
      </c>
      <c r="Z100" s="232">
        <f t="shared" si="15"/>
        <v>45441</v>
      </c>
      <c r="AA100" s="2">
        <f t="shared" si="16"/>
        <v>45441</v>
      </c>
      <c r="AB100"/>
      <c r="AC100"/>
    </row>
    <row r="101" spans="21:29" ht="15">
      <c r="U101" s="329" t="s">
        <v>14143</v>
      </c>
      <c r="V101" t="str">
        <f t="shared" si="11"/>
        <v>29</v>
      </c>
      <c r="W101" t="str">
        <f t="shared" si="12"/>
        <v>05</v>
      </c>
      <c r="X101" t="str">
        <f t="shared" si="13"/>
        <v>24</v>
      </c>
      <c r="Y101" t="str">
        <f t="shared" si="14"/>
        <v>2024</v>
      </c>
      <c r="Z101" s="232">
        <f t="shared" si="15"/>
        <v>45441</v>
      </c>
      <c r="AA101" s="2">
        <f t="shared" si="16"/>
        <v>45441</v>
      </c>
      <c r="AB101"/>
      <c r="AC101"/>
    </row>
    <row r="102" spans="21:29" ht="15">
      <c r="U102" s="329" t="s">
        <v>14144</v>
      </c>
      <c r="V102" t="str">
        <f t="shared" si="11"/>
        <v>30</v>
      </c>
      <c r="W102" t="str">
        <f t="shared" si="12"/>
        <v>05</v>
      </c>
      <c r="X102" t="str">
        <f t="shared" si="13"/>
        <v>24</v>
      </c>
      <c r="Y102" t="str">
        <f t="shared" si="14"/>
        <v>2024</v>
      </c>
      <c r="Z102" s="232">
        <f t="shared" si="15"/>
        <v>45442</v>
      </c>
      <c r="AA102" s="2">
        <f t="shared" si="16"/>
        <v>45442</v>
      </c>
      <c r="AB102"/>
      <c r="AC102"/>
    </row>
    <row r="103" spans="21:29" ht="15">
      <c r="U103" s="329" t="s">
        <v>14145</v>
      </c>
      <c r="V103" t="str">
        <f t="shared" si="11"/>
        <v>31</v>
      </c>
      <c r="W103" t="str">
        <f t="shared" si="12"/>
        <v>05</v>
      </c>
      <c r="X103" t="str">
        <f t="shared" si="13"/>
        <v>24</v>
      </c>
      <c r="Y103" t="str">
        <f t="shared" si="14"/>
        <v>2024</v>
      </c>
      <c r="Z103" s="232">
        <f t="shared" si="15"/>
        <v>45443</v>
      </c>
      <c r="AA103" s="2">
        <f t="shared" si="16"/>
        <v>45443</v>
      </c>
      <c r="AB103"/>
      <c r="AC103"/>
    </row>
    <row r="104" spans="21:29" ht="15">
      <c r="U104" s="329" t="s">
        <v>14145</v>
      </c>
      <c r="V104" t="str">
        <f t="shared" si="11"/>
        <v>31</v>
      </c>
      <c r="W104" t="str">
        <f t="shared" si="12"/>
        <v>05</v>
      </c>
      <c r="X104" t="str">
        <f t="shared" si="13"/>
        <v>24</v>
      </c>
      <c r="Y104" t="str">
        <f t="shared" si="14"/>
        <v>2024</v>
      </c>
      <c r="Z104" s="232">
        <f t="shared" si="15"/>
        <v>45443</v>
      </c>
      <c r="AA104" s="2">
        <f t="shared" si="16"/>
        <v>45443</v>
      </c>
      <c r="AB104"/>
      <c r="AC104"/>
    </row>
    <row r="105" spans="21:29" ht="15">
      <c r="U105" s="329" t="s">
        <v>14145</v>
      </c>
      <c r="V105" t="str">
        <f t="shared" si="11"/>
        <v>31</v>
      </c>
      <c r="W105" t="str">
        <f t="shared" si="12"/>
        <v>05</v>
      </c>
      <c r="X105" t="str">
        <f t="shared" si="13"/>
        <v>24</v>
      </c>
      <c r="Y105" t="str">
        <f t="shared" si="14"/>
        <v>2024</v>
      </c>
      <c r="Z105" s="232">
        <f t="shared" si="15"/>
        <v>45443</v>
      </c>
      <c r="AA105" s="2">
        <f t="shared" si="16"/>
        <v>45443</v>
      </c>
      <c r="AB105"/>
      <c r="AC105"/>
    </row>
    <row r="106" spans="21:29" ht="15">
      <c r="U106" s="329" t="s">
        <v>14145</v>
      </c>
      <c r="V106" t="str">
        <f t="shared" si="11"/>
        <v>31</v>
      </c>
      <c r="W106" t="str">
        <f t="shared" si="12"/>
        <v>05</v>
      </c>
      <c r="X106" t="str">
        <f t="shared" si="13"/>
        <v>24</v>
      </c>
      <c r="Y106" t="str">
        <f t="shared" si="14"/>
        <v>2024</v>
      </c>
      <c r="Z106" s="232">
        <f t="shared" si="15"/>
        <v>45443</v>
      </c>
      <c r="AA106" s="2">
        <f t="shared" si="16"/>
        <v>45443</v>
      </c>
      <c r="AB106"/>
      <c r="AC106"/>
    </row>
    <row r="107" spans="21:29" ht="15">
      <c r="U107" s="316" t="s">
        <v>13170</v>
      </c>
      <c r="V107" t="str">
        <f t="shared" si="11"/>
        <v>01</v>
      </c>
      <c r="W107" t="str">
        <f t="shared" si="12"/>
        <v>01</v>
      </c>
      <c r="X107" t="str">
        <f t="shared" si="13"/>
        <v>24</v>
      </c>
      <c r="Y107" t="str">
        <f t="shared" si="14"/>
        <v>2024</v>
      </c>
      <c r="Z107" s="232">
        <f t="shared" si="15"/>
        <v>45292</v>
      </c>
      <c r="AA107" s="2">
        <f t="shared" si="16"/>
        <v>45292</v>
      </c>
      <c r="AB107"/>
      <c r="AC107"/>
    </row>
    <row r="108" spans="21:29" ht="15">
      <c r="U108" s="316" t="s">
        <v>13023</v>
      </c>
      <c r="V108" t="str">
        <f t="shared" si="11"/>
        <v>30</v>
      </c>
      <c r="W108" t="str">
        <f t="shared" si="12"/>
        <v>11</v>
      </c>
      <c r="X108" t="str">
        <f t="shared" si="13"/>
        <v>23</v>
      </c>
      <c r="Y108" t="str">
        <f t="shared" si="14"/>
        <v>2023</v>
      </c>
      <c r="Z108"/>
      <c r="AA108" s="2">
        <f t="shared" si="16"/>
        <v>45260</v>
      </c>
      <c r="AB108"/>
      <c r="AC108"/>
    </row>
    <row r="109" spans="21:29" ht="15">
      <c r="U109" s="232" t="s">
        <v>6807</v>
      </c>
      <c r="V109" t="str">
        <f t="shared" si="11"/>
        <v>25</v>
      </c>
      <c r="W109" t="str">
        <f t="shared" si="12"/>
        <v>07</v>
      </c>
      <c r="X109" t="str">
        <f t="shared" si="13"/>
        <v>20</v>
      </c>
      <c r="Y109" t="str">
        <f t="shared" si="14"/>
        <v>2020</v>
      </c>
      <c r="Z109"/>
      <c r="AA109" s="2">
        <f t="shared" si="16"/>
        <v>44037</v>
      </c>
      <c r="AB109"/>
      <c r="AC109"/>
    </row>
    <row r="110" spans="21:29" ht="15">
      <c r="U110" s="232" t="s">
        <v>6810</v>
      </c>
      <c r="V110" t="str">
        <f t="shared" si="11"/>
        <v>27</v>
      </c>
      <c r="W110" t="str">
        <f t="shared" si="12"/>
        <v>07</v>
      </c>
      <c r="X110" t="str">
        <f t="shared" si="13"/>
        <v>20</v>
      </c>
      <c r="Y110" t="str">
        <f t="shared" si="14"/>
        <v>2020</v>
      </c>
      <c r="Z110"/>
      <c r="AA110" s="2">
        <f t="shared" si="16"/>
        <v>44039</v>
      </c>
      <c r="AB110"/>
      <c r="AC110"/>
    </row>
    <row r="111" spans="21:29" ht="15">
      <c r="U111" s="232" t="s">
        <v>6810</v>
      </c>
      <c r="V111" t="str">
        <f t="shared" si="11"/>
        <v>27</v>
      </c>
      <c r="W111" t="str">
        <f t="shared" si="12"/>
        <v>07</v>
      </c>
      <c r="X111" t="str">
        <f t="shared" si="13"/>
        <v>20</v>
      </c>
      <c r="Y111" t="str">
        <f t="shared" si="14"/>
        <v>2020</v>
      </c>
      <c r="Z111"/>
      <c r="AA111" s="2">
        <f t="shared" si="16"/>
        <v>44039</v>
      </c>
      <c r="AB111"/>
      <c r="AC111"/>
    </row>
    <row r="112" spans="21:29" ht="15">
      <c r="U112" s="232" t="s">
        <v>6810</v>
      </c>
      <c r="V112" t="str">
        <f t="shared" si="11"/>
        <v>27</v>
      </c>
      <c r="W112" t="str">
        <f t="shared" si="12"/>
        <v>07</v>
      </c>
      <c r="X112" t="str">
        <f t="shared" si="13"/>
        <v>20</v>
      </c>
      <c r="Y112" t="str">
        <f t="shared" si="14"/>
        <v>2020</v>
      </c>
      <c r="Z112"/>
      <c r="AA112" s="2">
        <f t="shared" si="16"/>
        <v>44039</v>
      </c>
      <c r="AB112"/>
      <c r="AC112"/>
    </row>
    <row r="113" spans="21:29" ht="15">
      <c r="U113" s="232" t="s">
        <v>6810</v>
      </c>
      <c r="V113" t="str">
        <f t="shared" si="11"/>
        <v>27</v>
      </c>
      <c r="W113" t="str">
        <f t="shared" si="12"/>
        <v>07</v>
      </c>
      <c r="X113" t="str">
        <f t="shared" si="13"/>
        <v>20</v>
      </c>
      <c r="Y113" t="str">
        <f t="shared" si="14"/>
        <v>2020</v>
      </c>
      <c r="Z113"/>
      <c r="AA113" s="2">
        <f t="shared" si="16"/>
        <v>44039</v>
      </c>
      <c r="AB113"/>
      <c r="AC113"/>
    </row>
    <row r="114" spans="21:29" ht="15">
      <c r="U114" s="232" t="s">
        <v>6819</v>
      </c>
      <c r="V114" t="str">
        <f t="shared" si="11"/>
        <v>29</v>
      </c>
      <c r="W114" t="str">
        <f t="shared" si="12"/>
        <v>07</v>
      </c>
      <c r="X114" t="str">
        <f t="shared" si="13"/>
        <v>20</v>
      </c>
      <c r="Y114" t="str">
        <f t="shared" si="14"/>
        <v>2020</v>
      </c>
      <c r="Z114"/>
      <c r="AA114" s="2">
        <f t="shared" si="16"/>
        <v>44041</v>
      </c>
      <c r="AB114"/>
      <c r="AC114"/>
    </row>
    <row r="115" spans="21:29" ht="15">
      <c r="U115" s="232" t="s">
        <v>6822</v>
      </c>
      <c r="V115" t="str">
        <f t="shared" si="11"/>
        <v>30</v>
      </c>
      <c r="W115" t="str">
        <f t="shared" si="12"/>
        <v>07</v>
      </c>
      <c r="X115" t="str">
        <f t="shared" si="13"/>
        <v>20</v>
      </c>
      <c r="Y115" t="str">
        <f t="shared" si="14"/>
        <v>2020</v>
      </c>
      <c r="Z115"/>
      <c r="AA115" s="2">
        <f t="shared" si="16"/>
        <v>44042</v>
      </c>
      <c r="AB115"/>
      <c r="AC115"/>
    </row>
    <row r="116" spans="21:29" ht="15">
      <c r="U116" s="232" t="s">
        <v>6822</v>
      </c>
      <c r="V116" t="str">
        <f t="shared" si="11"/>
        <v>30</v>
      </c>
      <c r="W116" t="str">
        <f t="shared" si="12"/>
        <v>07</v>
      </c>
      <c r="X116" t="str">
        <f t="shared" si="13"/>
        <v>20</v>
      </c>
      <c r="Y116" t="str">
        <f t="shared" si="14"/>
        <v>2020</v>
      </c>
      <c r="Z116"/>
      <c r="AA116" s="2">
        <f t="shared" si="16"/>
        <v>44042</v>
      </c>
      <c r="AB116"/>
      <c r="AC116"/>
    </row>
    <row r="117" spans="21:29" ht="15">
      <c r="U117" s="232" t="s">
        <v>6822</v>
      </c>
      <c r="V117" t="str">
        <f t="shared" si="11"/>
        <v>30</v>
      </c>
      <c r="W117" t="str">
        <f t="shared" si="12"/>
        <v>07</v>
      </c>
      <c r="X117" t="str">
        <f t="shared" si="13"/>
        <v>20</v>
      </c>
      <c r="Y117" t="str">
        <f t="shared" si="14"/>
        <v>2020</v>
      </c>
      <c r="Z117"/>
      <c r="AA117" s="2">
        <f t="shared" si="16"/>
        <v>44042</v>
      </c>
      <c r="AB117"/>
      <c r="AC117"/>
    </row>
    <row r="118" spans="21:29" ht="15">
      <c r="U118" s="232" t="s">
        <v>6829</v>
      </c>
      <c r="V118" t="str">
        <f t="shared" si="11"/>
        <v>31</v>
      </c>
      <c r="W118" t="str">
        <f t="shared" si="12"/>
        <v>07</v>
      </c>
      <c r="X118" t="str">
        <f t="shared" si="13"/>
        <v>20</v>
      </c>
      <c r="Y118" t="str">
        <f t="shared" si="14"/>
        <v>2020</v>
      </c>
      <c r="Z118"/>
      <c r="AA118" s="2">
        <f t="shared" si="16"/>
        <v>44043</v>
      </c>
      <c r="AB118"/>
      <c r="AC118"/>
    </row>
    <row r="119" spans="21:29" ht="15">
      <c r="U119" s="232" t="s">
        <v>6829</v>
      </c>
      <c r="V119" t="str">
        <f t="shared" si="11"/>
        <v>31</v>
      </c>
      <c r="W119" t="str">
        <f t="shared" si="12"/>
        <v>07</v>
      </c>
      <c r="X119" t="str">
        <f t="shared" si="13"/>
        <v>20</v>
      </c>
      <c r="Y119" t="str">
        <f t="shared" si="14"/>
        <v>2020</v>
      </c>
      <c r="Z119"/>
      <c r="AA119" s="2">
        <f t="shared" si="16"/>
        <v>44043</v>
      </c>
      <c r="AB119"/>
      <c r="AC119"/>
    </row>
    <row r="120" spans="21:29" ht="15">
      <c r="U120" s="232" t="s">
        <v>6834</v>
      </c>
      <c r="V120" t="str">
        <f t="shared" si="11"/>
        <v>03</v>
      </c>
      <c r="W120" t="str">
        <f t="shared" si="12"/>
        <v>08</v>
      </c>
      <c r="X120" t="str">
        <f t="shared" si="13"/>
        <v>20</v>
      </c>
      <c r="Y120" t="str">
        <f t="shared" si="14"/>
        <v>2020</v>
      </c>
      <c r="Z120"/>
      <c r="AA120" s="2">
        <f t="shared" si="16"/>
        <v>44046</v>
      </c>
      <c r="AB120"/>
      <c r="AC120"/>
    </row>
    <row r="121" spans="21:29" ht="15">
      <c r="U121" s="232" t="s">
        <v>6834</v>
      </c>
      <c r="V121" t="str">
        <f t="shared" si="11"/>
        <v>03</v>
      </c>
      <c r="W121" t="str">
        <f t="shared" si="12"/>
        <v>08</v>
      </c>
      <c r="X121" t="str">
        <f t="shared" si="13"/>
        <v>20</v>
      </c>
      <c r="Y121" t="str">
        <f t="shared" si="14"/>
        <v>2020</v>
      </c>
      <c r="Z121"/>
      <c r="AA121" s="2">
        <f t="shared" si="16"/>
        <v>44046</v>
      </c>
      <c r="AB121"/>
      <c r="AC121"/>
    </row>
    <row r="122" spans="21:29" ht="15">
      <c r="U122" s="232" t="s">
        <v>6834</v>
      </c>
      <c r="V122" t="str">
        <f t="shared" si="11"/>
        <v>03</v>
      </c>
      <c r="W122" t="str">
        <f t="shared" si="12"/>
        <v>08</v>
      </c>
      <c r="X122" t="str">
        <f t="shared" si="13"/>
        <v>20</v>
      </c>
      <c r="Y122" t="str">
        <f t="shared" si="14"/>
        <v>2020</v>
      </c>
      <c r="Z122"/>
      <c r="AA122" s="2">
        <f t="shared" si="16"/>
        <v>44046</v>
      </c>
      <c r="AB122"/>
      <c r="AC122"/>
    </row>
    <row r="123" spans="21:29" ht="15">
      <c r="U123" s="232" t="s">
        <v>6834</v>
      </c>
      <c r="V123" t="str">
        <f t="shared" si="11"/>
        <v>03</v>
      </c>
      <c r="W123" t="str">
        <f t="shared" si="12"/>
        <v>08</v>
      </c>
      <c r="X123" t="str">
        <f t="shared" si="13"/>
        <v>20</v>
      </c>
      <c r="Y123" t="str">
        <f t="shared" si="14"/>
        <v>2020</v>
      </c>
      <c r="Z123"/>
      <c r="AA123" s="2">
        <f t="shared" si="16"/>
        <v>44046</v>
      </c>
      <c r="AB123"/>
      <c r="AC123"/>
    </row>
    <row r="124" spans="21:29" ht="15">
      <c r="U124" s="232" t="s">
        <v>6843</v>
      </c>
      <c r="V124" t="str">
        <f t="shared" si="11"/>
        <v>04</v>
      </c>
      <c r="W124" t="str">
        <f t="shared" si="12"/>
        <v>08</v>
      </c>
      <c r="X124" t="str">
        <f t="shared" si="13"/>
        <v>20</v>
      </c>
      <c r="Y124" t="str">
        <f t="shared" si="14"/>
        <v>2020</v>
      </c>
      <c r="Z124"/>
      <c r="AA124" s="2">
        <f t="shared" si="16"/>
        <v>44047</v>
      </c>
      <c r="AB124"/>
      <c r="AC124"/>
    </row>
    <row r="125" spans="21:29" ht="15">
      <c r="U125" s="232" t="s">
        <v>6843</v>
      </c>
      <c r="V125" t="str">
        <f t="shared" si="11"/>
        <v>04</v>
      </c>
      <c r="W125" t="str">
        <f t="shared" si="12"/>
        <v>08</v>
      </c>
      <c r="X125" t="str">
        <f t="shared" si="13"/>
        <v>20</v>
      </c>
      <c r="Y125" t="str">
        <f t="shared" si="14"/>
        <v>2020</v>
      </c>
      <c r="Z125"/>
      <c r="AA125" s="2">
        <f t="shared" si="16"/>
        <v>44047</v>
      </c>
      <c r="AB125"/>
      <c r="AC125"/>
    </row>
    <row r="126" spans="21:29" ht="15">
      <c r="U126" s="232" t="s">
        <v>6843</v>
      </c>
      <c r="V126" t="str">
        <f t="shared" si="11"/>
        <v>04</v>
      </c>
      <c r="W126" t="str">
        <f t="shared" si="12"/>
        <v>08</v>
      </c>
      <c r="X126" t="str">
        <f t="shared" si="13"/>
        <v>20</v>
      </c>
      <c r="Y126" t="str">
        <f t="shared" si="14"/>
        <v>2020</v>
      </c>
      <c r="Z126"/>
      <c r="AA126" s="2">
        <f t="shared" si="16"/>
        <v>44047</v>
      </c>
      <c r="AB126"/>
      <c r="AC126"/>
    </row>
    <row r="127" spans="21:29" ht="15">
      <c r="U127" s="232" t="s">
        <v>6849</v>
      </c>
      <c r="V127" t="str">
        <f t="shared" si="11"/>
        <v>05</v>
      </c>
      <c r="W127" t="str">
        <f t="shared" si="12"/>
        <v>08</v>
      </c>
      <c r="X127" t="str">
        <f t="shared" si="13"/>
        <v>20</v>
      </c>
      <c r="Y127" t="str">
        <f t="shared" si="14"/>
        <v>2020</v>
      </c>
      <c r="Z127"/>
      <c r="AA127" s="2">
        <f t="shared" si="16"/>
        <v>44048</v>
      </c>
      <c r="AB127"/>
      <c r="AC127"/>
    </row>
    <row r="128" spans="21:29" ht="15">
      <c r="U128" s="232" t="s">
        <v>6849</v>
      </c>
      <c r="V128" t="str">
        <f t="shared" si="11"/>
        <v>05</v>
      </c>
      <c r="W128" t="str">
        <f t="shared" si="12"/>
        <v>08</v>
      </c>
      <c r="X128" t="str">
        <f t="shared" si="13"/>
        <v>20</v>
      </c>
      <c r="Y128" t="str">
        <f t="shared" si="14"/>
        <v>2020</v>
      </c>
      <c r="Z128"/>
      <c r="AA128" s="2">
        <f t="shared" si="16"/>
        <v>44048</v>
      </c>
      <c r="AB128"/>
      <c r="AC128"/>
    </row>
    <row r="129" spans="21:29" ht="15">
      <c r="U129" s="232" t="s">
        <v>6854</v>
      </c>
      <c r="V129" t="str">
        <f t="shared" si="11"/>
        <v>06</v>
      </c>
      <c r="W129" t="str">
        <f t="shared" si="12"/>
        <v>08</v>
      </c>
      <c r="X129" t="str">
        <f t="shared" si="13"/>
        <v>20</v>
      </c>
      <c r="Y129" t="str">
        <f t="shared" si="14"/>
        <v>2020</v>
      </c>
      <c r="Z129"/>
      <c r="AA129" s="2">
        <f t="shared" si="16"/>
        <v>44049</v>
      </c>
      <c r="AB129"/>
      <c r="AC129"/>
    </row>
    <row r="130" spans="21:29" ht="15">
      <c r="U130" s="232" t="s">
        <v>6857</v>
      </c>
      <c r="V130" t="str">
        <f t="shared" si="11"/>
        <v>07</v>
      </c>
      <c r="W130" t="str">
        <f t="shared" si="12"/>
        <v>08</v>
      </c>
      <c r="X130" t="str">
        <f t="shared" si="13"/>
        <v>20</v>
      </c>
      <c r="Y130" t="str">
        <f t="shared" si="14"/>
        <v>2020</v>
      </c>
      <c r="Z130"/>
      <c r="AA130" s="2">
        <f t="shared" si="16"/>
        <v>44050</v>
      </c>
      <c r="AB130"/>
      <c r="AC130"/>
    </row>
    <row r="131" spans="21:29" ht="15">
      <c r="U131" s="232" t="s">
        <v>6859</v>
      </c>
      <c r="V131" t="str">
        <f t="shared" ref="V131:V194" si="22">LEFT(U131,2)</f>
        <v>09</v>
      </c>
      <c r="W131" t="str">
        <f t="shared" ref="W131:W194" si="23">MID(U131,4,2)</f>
        <v>08</v>
      </c>
      <c r="X131" t="str">
        <f t="shared" ref="X131:X194" si="24">RIGHT(U131,2)</f>
        <v>20</v>
      </c>
      <c r="Y131" t="str">
        <f t="shared" ref="Y131:Y194" si="25">"20" &amp; X131</f>
        <v>2020</v>
      </c>
      <c r="Z131"/>
      <c r="AA131" s="2">
        <f t="shared" ref="AA131:AA194" si="26">DATE(Y131,W131,V131)</f>
        <v>44052</v>
      </c>
      <c r="AB131"/>
      <c r="AC131"/>
    </row>
    <row r="132" spans="21:29" ht="15">
      <c r="U132" s="232" t="s">
        <v>6859</v>
      </c>
      <c r="V132" t="str">
        <f t="shared" si="22"/>
        <v>09</v>
      </c>
      <c r="W132" t="str">
        <f t="shared" si="23"/>
        <v>08</v>
      </c>
      <c r="X132" t="str">
        <f t="shared" si="24"/>
        <v>20</v>
      </c>
      <c r="Y132" t="str">
        <f t="shared" si="25"/>
        <v>2020</v>
      </c>
      <c r="Z132"/>
      <c r="AA132" s="2">
        <f t="shared" si="26"/>
        <v>44052</v>
      </c>
      <c r="AB132"/>
      <c r="AC132"/>
    </row>
    <row r="133" spans="21:29" ht="15">
      <c r="U133" s="232" t="s">
        <v>6859</v>
      </c>
      <c r="V133" t="str">
        <f t="shared" si="22"/>
        <v>09</v>
      </c>
      <c r="W133" t="str">
        <f t="shared" si="23"/>
        <v>08</v>
      </c>
      <c r="X133" t="str">
        <f t="shared" si="24"/>
        <v>20</v>
      </c>
      <c r="Y133" t="str">
        <f t="shared" si="25"/>
        <v>2020</v>
      </c>
      <c r="Z133"/>
      <c r="AA133" s="2">
        <f t="shared" si="26"/>
        <v>44052</v>
      </c>
      <c r="AB133"/>
      <c r="AC133"/>
    </row>
    <row r="134" spans="21:29" ht="15">
      <c r="U134" s="232" t="s">
        <v>6859</v>
      </c>
      <c r="V134" t="str">
        <f t="shared" si="22"/>
        <v>09</v>
      </c>
      <c r="W134" t="str">
        <f t="shared" si="23"/>
        <v>08</v>
      </c>
      <c r="X134" t="str">
        <f t="shared" si="24"/>
        <v>20</v>
      </c>
      <c r="Y134" t="str">
        <f t="shared" si="25"/>
        <v>2020</v>
      </c>
      <c r="Z134"/>
      <c r="AA134" s="2">
        <f t="shared" si="26"/>
        <v>44052</v>
      </c>
      <c r="AB134"/>
      <c r="AC134"/>
    </row>
    <row r="135" spans="21:29" ht="15">
      <c r="U135" s="232" t="s">
        <v>6859</v>
      </c>
      <c r="V135" t="str">
        <f t="shared" si="22"/>
        <v>09</v>
      </c>
      <c r="W135" t="str">
        <f t="shared" si="23"/>
        <v>08</v>
      </c>
      <c r="X135" t="str">
        <f t="shared" si="24"/>
        <v>20</v>
      </c>
      <c r="Y135" t="str">
        <f t="shared" si="25"/>
        <v>2020</v>
      </c>
      <c r="Z135"/>
      <c r="AA135" s="2">
        <f t="shared" si="26"/>
        <v>44052</v>
      </c>
      <c r="AB135"/>
      <c r="AC135"/>
    </row>
    <row r="136" spans="21:29" ht="15">
      <c r="U136" s="232" t="s">
        <v>6868</v>
      </c>
      <c r="V136" t="str">
        <f t="shared" si="22"/>
        <v>13</v>
      </c>
      <c r="W136" t="str">
        <f t="shared" si="23"/>
        <v>08</v>
      </c>
      <c r="X136" t="str">
        <f t="shared" si="24"/>
        <v>20</v>
      </c>
      <c r="Y136" t="str">
        <f t="shared" si="25"/>
        <v>2020</v>
      </c>
      <c r="Z136"/>
      <c r="AA136" s="2">
        <f t="shared" si="26"/>
        <v>44056</v>
      </c>
      <c r="AB136"/>
      <c r="AC136"/>
    </row>
    <row r="137" spans="21:29" ht="15">
      <c r="U137" s="232" t="s">
        <v>6868</v>
      </c>
      <c r="V137" t="str">
        <f t="shared" si="22"/>
        <v>13</v>
      </c>
      <c r="W137" t="str">
        <f t="shared" si="23"/>
        <v>08</v>
      </c>
      <c r="X137" t="str">
        <f t="shared" si="24"/>
        <v>20</v>
      </c>
      <c r="Y137" t="str">
        <f t="shared" si="25"/>
        <v>2020</v>
      </c>
      <c r="Z137"/>
      <c r="AA137" s="2">
        <f t="shared" si="26"/>
        <v>44056</v>
      </c>
      <c r="AB137"/>
      <c r="AC137"/>
    </row>
    <row r="138" spans="21:29" ht="15">
      <c r="U138" s="232" t="s">
        <v>6873</v>
      </c>
      <c r="V138" t="str">
        <f t="shared" si="22"/>
        <v>14</v>
      </c>
      <c r="W138" t="str">
        <f t="shared" si="23"/>
        <v>08</v>
      </c>
      <c r="X138" t="str">
        <f t="shared" si="24"/>
        <v>20</v>
      </c>
      <c r="Y138" t="str">
        <f t="shared" si="25"/>
        <v>2020</v>
      </c>
      <c r="Z138"/>
      <c r="AA138" s="2">
        <f t="shared" si="26"/>
        <v>44057</v>
      </c>
      <c r="AB138"/>
      <c r="AC138"/>
    </row>
    <row r="139" spans="21:29" ht="15">
      <c r="U139" s="232" t="s">
        <v>6873</v>
      </c>
      <c r="V139" t="str">
        <f t="shared" si="22"/>
        <v>14</v>
      </c>
      <c r="W139" t="str">
        <f t="shared" si="23"/>
        <v>08</v>
      </c>
      <c r="X139" t="str">
        <f t="shared" si="24"/>
        <v>20</v>
      </c>
      <c r="Y139" t="str">
        <f t="shared" si="25"/>
        <v>2020</v>
      </c>
      <c r="Z139"/>
      <c r="AA139" s="2">
        <f t="shared" si="26"/>
        <v>44057</v>
      </c>
      <c r="AB139"/>
      <c r="AC139"/>
    </row>
    <row r="140" spans="21:29" ht="15">
      <c r="U140" s="232" t="s">
        <v>6878</v>
      </c>
      <c r="V140" t="str">
        <f t="shared" si="22"/>
        <v>17</v>
      </c>
      <c r="W140" t="str">
        <f t="shared" si="23"/>
        <v>08</v>
      </c>
      <c r="X140" t="str">
        <f t="shared" si="24"/>
        <v>20</v>
      </c>
      <c r="Y140" t="str">
        <f t="shared" si="25"/>
        <v>2020</v>
      </c>
      <c r="Z140"/>
      <c r="AA140" s="2">
        <f t="shared" si="26"/>
        <v>44060</v>
      </c>
      <c r="AB140"/>
      <c r="AC140"/>
    </row>
    <row r="141" spans="21:29" ht="15">
      <c r="U141" s="232" t="s">
        <v>6878</v>
      </c>
      <c r="V141" t="str">
        <f t="shared" si="22"/>
        <v>17</v>
      </c>
      <c r="W141" t="str">
        <f t="shared" si="23"/>
        <v>08</v>
      </c>
      <c r="X141" t="str">
        <f t="shared" si="24"/>
        <v>20</v>
      </c>
      <c r="Y141" t="str">
        <f t="shared" si="25"/>
        <v>2020</v>
      </c>
      <c r="Z141"/>
      <c r="AA141" s="2">
        <f t="shared" si="26"/>
        <v>44060</v>
      </c>
      <c r="AB141"/>
      <c r="AC141"/>
    </row>
    <row r="142" spans="21:29" ht="15">
      <c r="U142" s="232" t="s">
        <v>6878</v>
      </c>
      <c r="V142" t="str">
        <f t="shared" si="22"/>
        <v>17</v>
      </c>
      <c r="W142" t="str">
        <f t="shared" si="23"/>
        <v>08</v>
      </c>
      <c r="X142" t="str">
        <f t="shared" si="24"/>
        <v>20</v>
      </c>
      <c r="Y142" t="str">
        <f t="shared" si="25"/>
        <v>2020</v>
      </c>
      <c r="Z142"/>
      <c r="AA142" s="2">
        <f t="shared" si="26"/>
        <v>44060</v>
      </c>
      <c r="AB142"/>
      <c r="AC142"/>
    </row>
    <row r="143" spans="21:29" ht="15">
      <c r="U143" s="232" t="s">
        <v>6878</v>
      </c>
      <c r="V143" t="str">
        <f t="shared" si="22"/>
        <v>17</v>
      </c>
      <c r="W143" t="str">
        <f t="shared" si="23"/>
        <v>08</v>
      </c>
      <c r="X143" t="str">
        <f t="shared" si="24"/>
        <v>20</v>
      </c>
      <c r="Y143" t="str">
        <f t="shared" si="25"/>
        <v>2020</v>
      </c>
      <c r="Z143"/>
      <c r="AA143" s="2">
        <f t="shared" si="26"/>
        <v>44060</v>
      </c>
      <c r="AB143"/>
      <c r="AC143"/>
    </row>
    <row r="144" spans="21:29" ht="15">
      <c r="U144" s="232" t="s">
        <v>6887</v>
      </c>
      <c r="V144" t="str">
        <f t="shared" si="22"/>
        <v>18</v>
      </c>
      <c r="W144" t="str">
        <f t="shared" si="23"/>
        <v>08</v>
      </c>
      <c r="X144" t="str">
        <f t="shared" si="24"/>
        <v>20</v>
      </c>
      <c r="Y144" t="str">
        <f t="shared" si="25"/>
        <v>2020</v>
      </c>
      <c r="Z144"/>
      <c r="AA144" s="2">
        <f t="shared" si="26"/>
        <v>44061</v>
      </c>
      <c r="AB144"/>
      <c r="AC144"/>
    </row>
    <row r="145" spans="21:29" ht="15">
      <c r="U145" s="232" t="s">
        <v>6890</v>
      </c>
      <c r="V145" t="str">
        <f t="shared" si="22"/>
        <v>20</v>
      </c>
      <c r="W145" t="str">
        <f t="shared" si="23"/>
        <v>08</v>
      </c>
      <c r="X145" t="str">
        <f t="shared" si="24"/>
        <v>20</v>
      </c>
      <c r="Y145" t="str">
        <f t="shared" si="25"/>
        <v>2020</v>
      </c>
      <c r="Z145"/>
      <c r="AA145" s="2">
        <f t="shared" si="26"/>
        <v>44063</v>
      </c>
      <c r="AB145"/>
      <c r="AC145"/>
    </row>
    <row r="146" spans="21:29" ht="15">
      <c r="U146" s="232" t="s">
        <v>6890</v>
      </c>
      <c r="V146" t="str">
        <f t="shared" si="22"/>
        <v>20</v>
      </c>
      <c r="W146" t="str">
        <f t="shared" si="23"/>
        <v>08</v>
      </c>
      <c r="X146" t="str">
        <f t="shared" si="24"/>
        <v>20</v>
      </c>
      <c r="Y146" t="str">
        <f t="shared" si="25"/>
        <v>2020</v>
      </c>
      <c r="Z146"/>
      <c r="AA146" s="2">
        <f t="shared" si="26"/>
        <v>44063</v>
      </c>
      <c r="AB146"/>
      <c r="AC146"/>
    </row>
    <row r="147" spans="21:29" ht="15">
      <c r="U147" s="232" t="s">
        <v>6890</v>
      </c>
      <c r="V147" t="str">
        <f t="shared" si="22"/>
        <v>20</v>
      </c>
      <c r="W147" t="str">
        <f t="shared" si="23"/>
        <v>08</v>
      </c>
      <c r="X147" t="str">
        <f t="shared" si="24"/>
        <v>20</v>
      </c>
      <c r="Y147" t="str">
        <f t="shared" si="25"/>
        <v>2020</v>
      </c>
      <c r="Z147"/>
      <c r="AA147" s="2">
        <f t="shared" si="26"/>
        <v>44063</v>
      </c>
      <c r="AB147"/>
      <c r="AC147"/>
    </row>
    <row r="148" spans="21:29" ht="15">
      <c r="U148" s="232" t="s">
        <v>6897</v>
      </c>
      <c r="V148" t="str">
        <f t="shared" si="22"/>
        <v>22</v>
      </c>
      <c r="W148" t="str">
        <f t="shared" si="23"/>
        <v>08</v>
      </c>
      <c r="X148" t="str">
        <f t="shared" si="24"/>
        <v>20</v>
      </c>
      <c r="Y148" t="str">
        <f t="shared" si="25"/>
        <v>2020</v>
      </c>
      <c r="Z148"/>
      <c r="AA148" s="2">
        <f t="shared" si="26"/>
        <v>44065</v>
      </c>
      <c r="AB148"/>
      <c r="AC148"/>
    </row>
    <row r="149" spans="21:29" ht="15">
      <c r="U149" s="232" t="s">
        <v>6897</v>
      </c>
      <c r="V149" t="str">
        <f t="shared" si="22"/>
        <v>22</v>
      </c>
      <c r="W149" t="str">
        <f t="shared" si="23"/>
        <v>08</v>
      </c>
      <c r="X149" t="str">
        <f t="shared" si="24"/>
        <v>20</v>
      </c>
      <c r="Y149" t="str">
        <f t="shared" si="25"/>
        <v>2020</v>
      </c>
      <c r="Z149"/>
      <c r="AA149" s="2">
        <f t="shared" si="26"/>
        <v>44065</v>
      </c>
      <c r="AB149"/>
      <c r="AC149"/>
    </row>
    <row r="150" spans="21:29" ht="15">
      <c r="U150" s="232" t="s">
        <v>6902</v>
      </c>
      <c r="V150" t="str">
        <f t="shared" si="22"/>
        <v>25</v>
      </c>
      <c r="W150" t="str">
        <f t="shared" si="23"/>
        <v>08</v>
      </c>
      <c r="X150" t="str">
        <f t="shared" si="24"/>
        <v>20</v>
      </c>
      <c r="Y150" t="str">
        <f t="shared" si="25"/>
        <v>2020</v>
      </c>
      <c r="Z150"/>
      <c r="AA150" s="2">
        <f t="shared" si="26"/>
        <v>44068</v>
      </c>
      <c r="AB150"/>
      <c r="AC150"/>
    </row>
    <row r="151" spans="21:29" ht="15">
      <c r="U151" s="232" t="s">
        <v>6902</v>
      </c>
      <c r="V151" t="str">
        <f t="shared" si="22"/>
        <v>25</v>
      </c>
      <c r="W151" t="str">
        <f t="shared" si="23"/>
        <v>08</v>
      </c>
      <c r="X151" t="str">
        <f t="shared" si="24"/>
        <v>20</v>
      </c>
      <c r="Y151" t="str">
        <f t="shared" si="25"/>
        <v>2020</v>
      </c>
      <c r="Z151"/>
      <c r="AA151" s="2">
        <f t="shared" si="26"/>
        <v>44068</v>
      </c>
      <c r="AB151"/>
      <c r="AC151"/>
    </row>
    <row r="152" spans="21:29" ht="15">
      <c r="U152" s="232" t="s">
        <v>6907</v>
      </c>
      <c r="V152" t="str">
        <f t="shared" si="22"/>
        <v>26</v>
      </c>
      <c r="W152" t="str">
        <f t="shared" si="23"/>
        <v>08</v>
      </c>
      <c r="X152" t="str">
        <f t="shared" si="24"/>
        <v>20</v>
      </c>
      <c r="Y152" t="str">
        <f t="shared" si="25"/>
        <v>2020</v>
      </c>
      <c r="Z152"/>
      <c r="AA152" s="2">
        <f t="shared" si="26"/>
        <v>44069</v>
      </c>
      <c r="AB152"/>
      <c r="AC152"/>
    </row>
    <row r="153" spans="21:29" ht="15">
      <c r="U153" s="232" t="s">
        <v>6907</v>
      </c>
      <c r="V153" t="str">
        <f t="shared" si="22"/>
        <v>26</v>
      </c>
      <c r="W153" t="str">
        <f t="shared" si="23"/>
        <v>08</v>
      </c>
      <c r="X153" t="str">
        <f t="shared" si="24"/>
        <v>20</v>
      </c>
      <c r="Y153" t="str">
        <f t="shared" si="25"/>
        <v>2020</v>
      </c>
      <c r="Z153"/>
      <c r="AA153" s="2">
        <f t="shared" si="26"/>
        <v>44069</v>
      </c>
      <c r="AB153"/>
      <c r="AC153"/>
    </row>
    <row r="154" spans="21:29" ht="15">
      <c r="U154" s="232" t="s">
        <v>6907</v>
      </c>
      <c r="V154" t="str">
        <f t="shared" si="22"/>
        <v>26</v>
      </c>
      <c r="W154" t="str">
        <f t="shared" si="23"/>
        <v>08</v>
      </c>
      <c r="X154" t="str">
        <f t="shared" si="24"/>
        <v>20</v>
      </c>
      <c r="Y154" t="str">
        <f t="shared" si="25"/>
        <v>2020</v>
      </c>
      <c r="Z154"/>
      <c r="AA154" s="2">
        <f t="shared" si="26"/>
        <v>44069</v>
      </c>
      <c r="AB154"/>
      <c r="AC154"/>
    </row>
    <row r="155" spans="21:29" ht="15">
      <c r="U155" s="232" t="s">
        <v>6907</v>
      </c>
      <c r="V155" t="str">
        <f t="shared" si="22"/>
        <v>26</v>
      </c>
      <c r="W155" t="str">
        <f t="shared" si="23"/>
        <v>08</v>
      </c>
      <c r="X155" t="str">
        <f t="shared" si="24"/>
        <v>20</v>
      </c>
      <c r="Y155" t="str">
        <f t="shared" si="25"/>
        <v>2020</v>
      </c>
      <c r="Z155"/>
      <c r="AA155" s="2">
        <f t="shared" si="26"/>
        <v>44069</v>
      </c>
      <c r="AB155"/>
      <c r="AC155"/>
    </row>
    <row r="156" spans="21:29" ht="15">
      <c r="U156" s="232" t="s">
        <v>6907</v>
      </c>
      <c r="V156" t="str">
        <f t="shared" si="22"/>
        <v>26</v>
      </c>
      <c r="W156" t="str">
        <f t="shared" si="23"/>
        <v>08</v>
      </c>
      <c r="X156" t="str">
        <f t="shared" si="24"/>
        <v>20</v>
      </c>
      <c r="Y156" t="str">
        <f t="shared" si="25"/>
        <v>2020</v>
      </c>
      <c r="Z156"/>
      <c r="AA156" s="2">
        <f t="shared" si="26"/>
        <v>44069</v>
      </c>
      <c r="AB156"/>
      <c r="AC156"/>
    </row>
    <row r="157" spans="21:29" ht="15">
      <c r="U157" s="232" t="s">
        <v>6918</v>
      </c>
      <c r="V157" t="str">
        <f t="shared" si="22"/>
        <v>28</v>
      </c>
      <c r="W157" t="str">
        <f t="shared" si="23"/>
        <v>08</v>
      </c>
      <c r="X157" t="str">
        <f t="shared" si="24"/>
        <v>20</v>
      </c>
      <c r="Y157" t="str">
        <f t="shared" si="25"/>
        <v>2020</v>
      </c>
      <c r="Z157"/>
      <c r="AA157" s="2">
        <f t="shared" si="26"/>
        <v>44071</v>
      </c>
      <c r="AB157"/>
      <c r="AC157"/>
    </row>
    <row r="158" spans="21:29" ht="15">
      <c r="U158" s="232" t="s">
        <v>6921</v>
      </c>
      <c r="V158" t="str">
        <f t="shared" si="22"/>
        <v>29</v>
      </c>
      <c r="W158" t="str">
        <f t="shared" si="23"/>
        <v>08</v>
      </c>
      <c r="X158" t="str">
        <f t="shared" si="24"/>
        <v>20</v>
      </c>
      <c r="Y158" t="str">
        <f t="shared" si="25"/>
        <v>2020</v>
      </c>
      <c r="Z158"/>
      <c r="AA158" s="2">
        <f t="shared" si="26"/>
        <v>44072</v>
      </c>
      <c r="AB158"/>
      <c r="AC158"/>
    </row>
    <row r="159" spans="21:29" ht="15">
      <c r="U159" s="232" t="s">
        <v>6921</v>
      </c>
      <c r="V159" t="str">
        <f t="shared" si="22"/>
        <v>29</v>
      </c>
      <c r="W159" t="str">
        <f t="shared" si="23"/>
        <v>08</v>
      </c>
      <c r="X159" t="str">
        <f t="shared" si="24"/>
        <v>20</v>
      </c>
      <c r="Y159" t="str">
        <f t="shared" si="25"/>
        <v>2020</v>
      </c>
      <c r="Z159"/>
      <c r="AA159" s="2">
        <f t="shared" si="26"/>
        <v>44072</v>
      </c>
      <c r="AB159"/>
      <c r="AC159"/>
    </row>
    <row r="160" spans="21:29" ht="15">
      <c r="U160" s="232" t="s">
        <v>6926</v>
      </c>
      <c r="V160" t="str">
        <f t="shared" si="22"/>
        <v>30</v>
      </c>
      <c r="W160" t="str">
        <f t="shared" si="23"/>
        <v>08</v>
      </c>
      <c r="X160" t="str">
        <f t="shared" si="24"/>
        <v>20</v>
      </c>
      <c r="Y160" t="str">
        <f t="shared" si="25"/>
        <v>2020</v>
      </c>
      <c r="Z160"/>
      <c r="AA160" s="2">
        <f t="shared" si="26"/>
        <v>44073</v>
      </c>
      <c r="AB160"/>
      <c r="AC160"/>
    </row>
    <row r="161" spans="21:29" ht="15">
      <c r="U161" s="232" t="s">
        <v>6929</v>
      </c>
      <c r="V161" t="str">
        <f t="shared" si="22"/>
        <v>31</v>
      </c>
      <c r="W161" t="str">
        <f t="shared" si="23"/>
        <v>08</v>
      </c>
      <c r="X161" t="str">
        <f t="shared" si="24"/>
        <v>20</v>
      </c>
      <c r="Y161" t="str">
        <f t="shared" si="25"/>
        <v>2020</v>
      </c>
      <c r="Z161"/>
      <c r="AA161" s="2">
        <f t="shared" si="26"/>
        <v>44074</v>
      </c>
      <c r="AB161"/>
      <c r="AC161"/>
    </row>
    <row r="162" spans="21:29" ht="15">
      <c r="U162" s="232" t="s">
        <v>6932</v>
      </c>
      <c r="V162" t="str">
        <f t="shared" si="22"/>
        <v>02</v>
      </c>
      <c r="W162" t="str">
        <f t="shared" si="23"/>
        <v>09</v>
      </c>
      <c r="X162" t="str">
        <f t="shared" si="24"/>
        <v>20</v>
      </c>
      <c r="Y162" t="str">
        <f t="shared" si="25"/>
        <v>2020</v>
      </c>
      <c r="Z162"/>
      <c r="AA162" s="2">
        <f t="shared" si="26"/>
        <v>44076</v>
      </c>
      <c r="AB162"/>
      <c r="AC162"/>
    </row>
    <row r="163" spans="21:29" ht="15">
      <c r="U163" s="232" t="s">
        <v>6932</v>
      </c>
      <c r="V163" t="str">
        <f t="shared" si="22"/>
        <v>02</v>
      </c>
      <c r="W163" t="str">
        <f t="shared" si="23"/>
        <v>09</v>
      </c>
      <c r="X163" t="str">
        <f t="shared" si="24"/>
        <v>20</v>
      </c>
      <c r="Y163" t="str">
        <f t="shared" si="25"/>
        <v>2020</v>
      </c>
      <c r="Z163"/>
      <c r="AA163" s="2">
        <f t="shared" si="26"/>
        <v>44076</v>
      </c>
      <c r="AB163"/>
      <c r="AC163"/>
    </row>
    <row r="164" spans="21:29" ht="15">
      <c r="U164" s="232" t="s">
        <v>6932</v>
      </c>
      <c r="V164" t="str">
        <f t="shared" si="22"/>
        <v>02</v>
      </c>
      <c r="W164" t="str">
        <f t="shared" si="23"/>
        <v>09</v>
      </c>
      <c r="X164" t="str">
        <f t="shared" si="24"/>
        <v>20</v>
      </c>
      <c r="Y164" t="str">
        <f t="shared" si="25"/>
        <v>2020</v>
      </c>
      <c r="Z164"/>
      <c r="AA164" s="2">
        <f t="shared" si="26"/>
        <v>44076</v>
      </c>
      <c r="AB164"/>
      <c r="AC164"/>
    </row>
    <row r="165" spans="21:29" ht="15">
      <c r="U165" s="232" t="s">
        <v>6932</v>
      </c>
      <c r="V165" t="str">
        <f t="shared" si="22"/>
        <v>02</v>
      </c>
      <c r="W165" t="str">
        <f t="shared" si="23"/>
        <v>09</v>
      </c>
      <c r="X165" t="str">
        <f t="shared" si="24"/>
        <v>20</v>
      </c>
      <c r="Y165" t="str">
        <f t="shared" si="25"/>
        <v>2020</v>
      </c>
      <c r="Z165"/>
      <c r="AA165" s="2">
        <f t="shared" si="26"/>
        <v>44076</v>
      </c>
      <c r="AB165"/>
      <c r="AC165"/>
    </row>
    <row r="166" spans="21:29" ht="15">
      <c r="U166" s="232" t="s">
        <v>6932</v>
      </c>
      <c r="V166" t="str">
        <f t="shared" si="22"/>
        <v>02</v>
      </c>
      <c r="W166" t="str">
        <f t="shared" si="23"/>
        <v>09</v>
      </c>
      <c r="X166" t="str">
        <f t="shared" si="24"/>
        <v>20</v>
      </c>
      <c r="Y166" t="str">
        <f t="shared" si="25"/>
        <v>2020</v>
      </c>
      <c r="Z166"/>
      <c r="AA166" s="2">
        <f t="shared" si="26"/>
        <v>44076</v>
      </c>
      <c r="AB166"/>
      <c r="AC166"/>
    </row>
    <row r="167" spans="21:29" ht="15">
      <c r="U167" s="232" t="s">
        <v>6943</v>
      </c>
      <c r="V167" t="str">
        <f t="shared" si="22"/>
        <v>03</v>
      </c>
      <c r="W167" t="str">
        <f t="shared" si="23"/>
        <v>09</v>
      </c>
      <c r="X167" t="str">
        <f t="shared" si="24"/>
        <v>20</v>
      </c>
      <c r="Y167" t="str">
        <f t="shared" si="25"/>
        <v>2020</v>
      </c>
      <c r="Z167"/>
      <c r="AA167" s="2">
        <f t="shared" si="26"/>
        <v>44077</v>
      </c>
      <c r="AB167"/>
      <c r="AC167"/>
    </row>
    <row r="168" spans="21:29" ht="15">
      <c r="U168" s="232" t="s">
        <v>6943</v>
      </c>
      <c r="V168" t="str">
        <f t="shared" si="22"/>
        <v>03</v>
      </c>
      <c r="W168" t="str">
        <f t="shared" si="23"/>
        <v>09</v>
      </c>
      <c r="X168" t="str">
        <f t="shared" si="24"/>
        <v>20</v>
      </c>
      <c r="Y168" t="str">
        <f t="shared" si="25"/>
        <v>2020</v>
      </c>
      <c r="Z168"/>
      <c r="AA168" s="2">
        <f t="shared" si="26"/>
        <v>44077</v>
      </c>
      <c r="AB168"/>
      <c r="AC168"/>
    </row>
    <row r="169" spans="21:29" ht="15">
      <c r="U169" s="232" t="s">
        <v>6947</v>
      </c>
      <c r="V169" t="str">
        <f t="shared" si="22"/>
        <v>05</v>
      </c>
      <c r="W169" t="str">
        <f t="shared" si="23"/>
        <v>09</v>
      </c>
      <c r="X169" t="str">
        <f t="shared" si="24"/>
        <v>20</v>
      </c>
      <c r="Y169" t="str">
        <f t="shared" si="25"/>
        <v>2020</v>
      </c>
      <c r="Z169"/>
      <c r="AA169" s="2">
        <f t="shared" si="26"/>
        <v>44079</v>
      </c>
      <c r="AB169"/>
      <c r="AC169"/>
    </row>
    <row r="170" spans="21:29" ht="15">
      <c r="U170" s="232" t="s">
        <v>6950</v>
      </c>
      <c r="V170" t="str">
        <f t="shared" si="22"/>
        <v>07</v>
      </c>
      <c r="W170" t="str">
        <f t="shared" si="23"/>
        <v>09</v>
      </c>
      <c r="X170" t="str">
        <f t="shared" si="24"/>
        <v>20</v>
      </c>
      <c r="Y170" t="str">
        <f t="shared" si="25"/>
        <v>2020</v>
      </c>
      <c r="Z170"/>
      <c r="AA170" s="2">
        <f t="shared" si="26"/>
        <v>44081</v>
      </c>
      <c r="AB170"/>
      <c r="AC170"/>
    </row>
    <row r="171" spans="21:29" ht="15">
      <c r="U171" s="232" t="s">
        <v>6950</v>
      </c>
      <c r="V171" t="str">
        <f t="shared" si="22"/>
        <v>07</v>
      </c>
      <c r="W171" t="str">
        <f t="shared" si="23"/>
        <v>09</v>
      </c>
      <c r="X171" t="str">
        <f t="shared" si="24"/>
        <v>20</v>
      </c>
      <c r="Y171" t="str">
        <f t="shared" si="25"/>
        <v>2020</v>
      </c>
      <c r="Z171"/>
      <c r="AA171" s="2">
        <f t="shared" si="26"/>
        <v>44081</v>
      </c>
      <c r="AB171"/>
      <c r="AC171"/>
    </row>
    <row r="172" spans="21:29" ht="15">
      <c r="U172" s="232" t="s">
        <v>6954</v>
      </c>
      <c r="V172" t="str">
        <f t="shared" si="22"/>
        <v>09</v>
      </c>
      <c r="W172" t="str">
        <f t="shared" si="23"/>
        <v>09</v>
      </c>
      <c r="X172" t="str">
        <f t="shared" si="24"/>
        <v>20</v>
      </c>
      <c r="Y172" t="str">
        <f t="shared" si="25"/>
        <v>2020</v>
      </c>
      <c r="Z172"/>
      <c r="AA172" s="2">
        <f t="shared" si="26"/>
        <v>44083</v>
      </c>
      <c r="AB172"/>
      <c r="AC172"/>
    </row>
    <row r="173" spans="21:29" ht="15">
      <c r="U173" s="232" t="s">
        <v>6954</v>
      </c>
      <c r="V173" t="str">
        <f t="shared" si="22"/>
        <v>09</v>
      </c>
      <c r="W173" t="str">
        <f t="shared" si="23"/>
        <v>09</v>
      </c>
      <c r="X173" t="str">
        <f t="shared" si="24"/>
        <v>20</v>
      </c>
      <c r="Y173" t="str">
        <f t="shared" si="25"/>
        <v>2020</v>
      </c>
      <c r="Z173"/>
      <c r="AA173" s="2">
        <f t="shared" si="26"/>
        <v>44083</v>
      </c>
      <c r="AB173"/>
      <c r="AC173"/>
    </row>
    <row r="174" spans="21:29" ht="15">
      <c r="U174" s="232" t="s">
        <v>6958</v>
      </c>
      <c r="V174" t="str">
        <f t="shared" si="22"/>
        <v>10</v>
      </c>
      <c r="W174" t="str">
        <f t="shared" si="23"/>
        <v>09</v>
      </c>
      <c r="X174" t="str">
        <f t="shared" si="24"/>
        <v>20</v>
      </c>
      <c r="Y174" t="str">
        <f t="shared" si="25"/>
        <v>2020</v>
      </c>
      <c r="Z174"/>
      <c r="AA174" s="2">
        <f t="shared" si="26"/>
        <v>44084</v>
      </c>
      <c r="AB174"/>
      <c r="AC174"/>
    </row>
    <row r="175" spans="21:29" ht="15">
      <c r="U175" s="232" t="s">
        <v>6958</v>
      </c>
      <c r="V175" t="str">
        <f t="shared" si="22"/>
        <v>10</v>
      </c>
      <c r="W175" t="str">
        <f t="shared" si="23"/>
        <v>09</v>
      </c>
      <c r="X175" t="str">
        <f t="shared" si="24"/>
        <v>20</v>
      </c>
      <c r="Y175" t="str">
        <f t="shared" si="25"/>
        <v>2020</v>
      </c>
      <c r="Z175"/>
      <c r="AA175" s="2">
        <f t="shared" si="26"/>
        <v>44084</v>
      </c>
      <c r="AB175"/>
      <c r="AC175"/>
    </row>
    <row r="176" spans="21:29" ht="15">
      <c r="U176" s="232" t="s">
        <v>6963</v>
      </c>
      <c r="V176" t="str">
        <f t="shared" si="22"/>
        <v>12</v>
      </c>
      <c r="W176" t="str">
        <f t="shared" si="23"/>
        <v>09</v>
      </c>
      <c r="X176" t="str">
        <f t="shared" si="24"/>
        <v>20</v>
      </c>
      <c r="Y176" t="str">
        <f t="shared" si="25"/>
        <v>2020</v>
      </c>
      <c r="Z176"/>
      <c r="AA176" s="2">
        <f t="shared" si="26"/>
        <v>44086</v>
      </c>
      <c r="AB176"/>
      <c r="AC176"/>
    </row>
    <row r="177" spans="21:29" ht="15">
      <c r="U177" s="232" t="s">
        <v>6963</v>
      </c>
      <c r="V177" t="str">
        <f t="shared" si="22"/>
        <v>12</v>
      </c>
      <c r="W177" t="str">
        <f t="shared" si="23"/>
        <v>09</v>
      </c>
      <c r="X177" t="str">
        <f t="shared" si="24"/>
        <v>20</v>
      </c>
      <c r="Y177" t="str">
        <f t="shared" si="25"/>
        <v>2020</v>
      </c>
      <c r="Z177"/>
      <c r="AA177" s="2">
        <f t="shared" si="26"/>
        <v>44086</v>
      </c>
      <c r="AB177"/>
      <c r="AC177"/>
    </row>
    <row r="178" spans="21:29" ht="15">
      <c r="U178" s="232" t="s">
        <v>6968</v>
      </c>
      <c r="V178" t="str">
        <f t="shared" si="22"/>
        <v>14</v>
      </c>
      <c r="W178" t="str">
        <f t="shared" si="23"/>
        <v>09</v>
      </c>
      <c r="X178" t="str">
        <f t="shared" si="24"/>
        <v>20</v>
      </c>
      <c r="Y178" t="str">
        <f t="shared" si="25"/>
        <v>2020</v>
      </c>
      <c r="Z178"/>
      <c r="AA178" s="2">
        <f t="shared" si="26"/>
        <v>44088</v>
      </c>
      <c r="AB178"/>
      <c r="AC178"/>
    </row>
    <row r="179" spans="21:29" ht="15">
      <c r="U179" s="232" t="s">
        <v>6968</v>
      </c>
      <c r="V179" t="str">
        <f t="shared" si="22"/>
        <v>14</v>
      </c>
      <c r="W179" t="str">
        <f t="shared" si="23"/>
        <v>09</v>
      </c>
      <c r="X179" t="str">
        <f t="shared" si="24"/>
        <v>20</v>
      </c>
      <c r="Y179" t="str">
        <f t="shared" si="25"/>
        <v>2020</v>
      </c>
      <c r="Z179"/>
      <c r="AA179" s="2">
        <f t="shared" si="26"/>
        <v>44088</v>
      </c>
      <c r="AB179"/>
      <c r="AC179"/>
    </row>
    <row r="180" spans="21:29" ht="15">
      <c r="U180" s="232" t="s">
        <v>6973</v>
      </c>
      <c r="V180" t="str">
        <f t="shared" si="22"/>
        <v>17</v>
      </c>
      <c r="W180" t="str">
        <f t="shared" si="23"/>
        <v>09</v>
      </c>
      <c r="X180" t="str">
        <f t="shared" si="24"/>
        <v>20</v>
      </c>
      <c r="Y180" t="str">
        <f t="shared" si="25"/>
        <v>2020</v>
      </c>
      <c r="Z180"/>
      <c r="AA180" s="2">
        <f t="shared" si="26"/>
        <v>44091</v>
      </c>
      <c r="AB180"/>
      <c r="AC180"/>
    </row>
    <row r="181" spans="21:29" ht="15">
      <c r="U181" s="232" t="s">
        <v>6976</v>
      </c>
      <c r="V181" t="str">
        <f t="shared" si="22"/>
        <v>18</v>
      </c>
      <c r="W181" t="str">
        <f t="shared" si="23"/>
        <v>09</v>
      </c>
      <c r="X181" t="str">
        <f t="shared" si="24"/>
        <v>20</v>
      </c>
      <c r="Y181" t="str">
        <f t="shared" si="25"/>
        <v>2020</v>
      </c>
      <c r="Z181"/>
      <c r="AA181" s="2">
        <f t="shared" si="26"/>
        <v>44092</v>
      </c>
      <c r="AB181"/>
      <c r="AC181"/>
    </row>
    <row r="182" spans="21:29" ht="15">
      <c r="U182" s="232" t="s">
        <v>6979</v>
      </c>
      <c r="V182" t="str">
        <f t="shared" si="22"/>
        <v>19</v>
      </c>
      <c r="W182" t="str">
        <f t="shared" si="23"/>
        <v>09</v>
      </c>
      <c r="X182" t="str">
        <f t="shared" si="24"/>
        <v>20</v>
      </c>
      <c r="Y182" t="str">
        <f t="shared" si="25"/>
        <v>2020</v>
      </c>
      <c r="Z182"/>
      <c r="AA182" s="2">
        <f t="shared" si="26"/>
        <v>44093</v>
      </c>
      <c r="AB182"/>
      <c r="AC182"/>
    </row>
    <row r="183" spans="21:29" ht="15">
      <c r="U183" s="232" t="s">
        <v>6982</v>
      </c>
      <c r="V183" t="str">
        <f t="shared" si="22"/>
        <v>22</v>
      </c>
      <c r="W183" t="str">
        <f t="shared" si="23"/>
        <v>09</v>
      </c>
      <c r="X183" t="str">
        <f t="shared" si="24"/>
        <v>20</v>
      </c>
      <c r="Y183" t="str">
        <f t="shared" si="25"/>
        <v>2020</v>
      </c>
      <c r="Z183"/>
      <c r="AA183" s="2">
        <f t="shared" si="26"/>
        <v>44096</v>
      </c>
      <c r="AB183"/>
      <c r="AC183"/>
    </row>
    <row r="184" spans="21:29" ht="15">
      <c r="U184" s="232" t="s">
        <v>6982</v>
      </c>
      <c r="V184" t="str">
        <f t="shared" si="22"/>
        <v>22</v>
      </c>
      <c r="W184" t="str">
        <f t="shared" si="23"/>
        <v>09</v>
      </c>
      <c r="X184" t="str">
        <f t="shared" si="24"/>
        <v>20</v>
      </c>
      <c r="Y184" t="str">
        <f t="shared" si="25"/>
        <v>2020</v>
      </c>
      <c r="Z184"/>
      <c r="AA184" s="2">
        <f t="shared" si="26"/>
        <v>44096</v>
      </c>
      <c r="AB184"/>
      <c r="AC184"/>
    </row>
    <row r="185" spans="21:29" ht="15">
      <c r="U185" s="232" t="s">
        <v>6982</v>
      </c>
      <c r="V185" t="str">
        <f t="shared" si="22"/>
        <v>22</v>
      </c>
      <c r="W185" t="str">
        <f t="shared" si="23"/>
        <v>09</v>
      </c>
      <c r="X185" t="str">
        <f t="shared" si="24"/>
        <v>20</v>
      </c>
      <c r="Y185" t="str">
        <f t="shared" si="25"/>
        <v>2020</v>
      </c>
      <c r="Z185"/>
      <c r="AA185" s="2">
        <f t="shared" si="26"/>
        <v>44096</v>
      </c>
      <c r="AB185"/>
      <c r="AC185"/>
    </row>
    <row r="186" spans="21:29" ht="15">
      <c r="U186" s="232" t="s">
        <v>6982</v>
      </c>
      <c r="V186" t="str">
        <f t="shared" si="22"/>
        <v>22</v>
      </c>
      <c r="W186" t="str">
        <f t="shared" si="23"/>
        <v>09</v>
      </c>
      <c r="X186" t="str">
        <f t="shared" si="24"/>
        <v>20</v>
      </c>
      <c r="Y186" t="str">
        <f t="shared" si="25"/>
        <v>2020</v>
      </c>
      <c r="Z186"/>
      <c r="AA186" s="2">
        <f t="shared" si="26"/>
        <v>44096</v>
      </c>
      <c r="AB186"/>
      <c r="AC186"/>
    </row>
    <row r="187" spans="21:29" ht="15">
      <c r="U187" s="232" t="s">
        <v>6991</v>
      </c>
      <c r="V187" t="str">
        <f t="shared" si="22"/>
        <v>24</v>
      </c>
      <c r="W187" t="str">
        <f t="shared" si="23"/>
        <v>09</v>
      </c>
      <c r="X187" t="str">
        <f t="shared" si="24"/>
        <v>20</v>
      </c>
      <c r="Y187" t="str">
        <f t="shared" si="25"/>
        <v>2020</v>
      </c>
      <c r="Z187"/>
      <c r="AA187" s="2">
        <f t="shared" si="26"/>
        <v>44098</v>
      </c>
      <c r="AB187"/>
      <c r="AC187"/>
    </row>
    <row r="188" spans="21:29" ht="15">
      <c r="U188" s="232" t="s">
        <v>6994</v>
      </c>
      <c r="V188" t="str">
        <f t="shared" si="22"/>
        <v>25</v>
      </c>
      <c r="W188" t="str">
        <f t="shared" si="23"/>
        <v>09</v>
      </c>
      <c r="X188" t="str">
        <f t="shared" si="24"/>
        <v>20</v>
      </c>
      <c r="Y188" t="str">
        <f t="shared" si="25"/>
        <v>2020</v>
      </c>
      <c r="Z188"/>
      <c r="AA188" s="2">
        <f t="shared" si="26"/>
        <v>44099</v>
      </c>
      <c r="AB188"/>
      <c r="AC188"/>
    </row>
    <row r="189" spans="21:29" ht="15">
      <c r="U189" s="232" t="s">
        <v>6994</v>
      </c>
      <c r="V189" t="str">
        <f t="shared" si="22"/>
        <v>25</v>
      </c>
      <c r="W189" t="str">
        <f t="shared" si="23"/>
        <v>09</v>
      </c>
      <c r="X189" t="str">
        <f t="shared" si="24"/>
        <v>20</v>
      </c>
      <c r="Y189" t="str">
        <f t="shared" si="25"/>
        <v>2020</v>
      </c>
      <c r="Z189"/>
      <c r="AA189" s="2">
        <f t="shared" si="26"/>
        <v>44099</v>
      </c>
      <c r="AB189"/>
      <c r="AC189"/>
    </row>
    <row r="190" spans="21:29" ht="15">
      <c r="U190" s="232" t="s">
        <v>6994</v>
      </c>
      <c r="V190" t="str">
        <f t="shared" si="22"/>
        <v>25</v>
      </c>
      <c r="W190" t="str">
        <f t="shared" si="23"/>
        <v>09</v>
      </c>
      <c r="X190" t="str">
        <f t="shared" si="24"/>
        <v>20</v>
      </c>
      <c r="Y190" t="str">
        <f t="shared" si="25"/>
        <v>2020</v>
      </c>
      <c r="Z190"/>
      <c r="AA190" s="2">
        <f t="shared" si="26"/>
        <v>44099</v>
      </c>
      <c r="AB190"/>
      <c r="AC190"/>
    </row>
    <row r="191" spans="21:29" ht="15">
      <c r="U191" s="232" t="s">
        <v>6994</v>
      </c>
      <c r="V191" t="str">
        <f t="shared" si="22"/>
        <v>25</v>
      </c>
      <c r="W191" t="str">
        <f t="shared" si="23"/>
        <v>09</v>
      </c>
      <c r="X191" t="str">
        <f t="shared" si="24"/>
        <v>20</v>
      </c>
      <c r="Y191" t="str">
        <f t="shared" si="25"/>
        <v>2020</v>
      </c>
      <c r="Z191"/>
      <c r="AA191" s="2">
        <f t="shared" si="26"/>
        <v>44099</v>
      </c>
      <c r="AB191"/>
      <c r="AC191"/>
    </row>
    <row r="192" spans="21:29" ht="15">
      <c r="U192" s="232" t="s">
        <v>7003</v>
      </c>
      <c r="V192" t="str">
        <f t="shared" si="22"/>
        <v>26</v>
      </c>
      <c r="W192" t="str">
        <f t="shared" si="23"/>
        <v>09</v>
      </c>
      <c r="X192" t="str">
        <f t="shared" si="24"/>
        <v>20</v>
      </c>
      <c r="Y192" t="str">
        <f t="shared" si="25"/>
        <v>2020</v>
      </c>
      <c r="Z192"/>
      <c r="AA192" s="2">
        <f t="shared" si="26"/>
        <v>44100</v>
      </c>
      <c r="AB192"/>
      <c r="AC192"/>
    </row>
    <row r="193" spans="21:29" ht="15">
      <c r="U193" s="232" t="s">
        <v>7003</v>
      </c>
      <c r="V193" t="str">
        <f t="shared" si="22"/>
        <v>26</v>
      </c>
      <c r="W193" t="str">
        <f t="shared" si="23"/>
        <v>09</v>
      </c>
      <c r="X193" t="str">
        <f t="shared" si="24"/>
        <v>20</v>
      </c>
      <c r="Y193" t="str">
        <f t="shared" si="25"/>
        <v>2020</v>
      </c>
      <c r="Z193"/>
      <c r="AA193" s="2">
        <f t="shared" si="26"/>
        <v>44100</v>
      </c>
      <c r="AB193"/>
      <c r="AC193"/>
    </row>
    <row r="194" spans="21:29" ht="15">
      <c r="U194" s="232" t="s">
        <v>7008</v>
      </c>
      <c r="V194" t="str">
        <f t="shared" si="22"/>
        <v>29</v>
      </c>
      <c r="W194" t="str">
        <f t="shared" si="23"/>
        <v>09</v>
      </c>
      <c r="X194" t="str">
        <f t="shared" si="24"/>
        <v>20</v>
      </c>
      <c r="Y194" t="str">
        <f t="shared" si="25"/>
        <v>2020</v>
      </c>
      <c r="Z194"/>
      <c r="AA194" s="2">
        <f t="shared" si="26"/>
        <v>44103</v>
      </c>
      <c r="AB194"/>
      <c r="AC194"/>
    </row>
    <row r="195" spans="21:29" ht="15">
      <c r="U195" s="232" t="s">
        <v>7008</v>
      </c>
      <c r="V195" t="str">
        <f t="shared" ref="V195:V258" si="27">LEFT(U195,2)</f>
        <v>29</v>
      </c>
      <c r="W195" t="str">
        <f t="shared" ref="W195:W258" si="28">MID(U195,4,2)</f>
        <v>09</v>
      </c>
      <c r="X195" t="str">
        <f t="shared" ref="X195:X258" si="29">RIGHT(U195,2)</f>
        <v>20</v>
      </c>
      <c r="Y195" t="str">
        <f t="shared" ref="Y195:Y258" si="30">"20" &amp; X195</f>
        <v>2020</v>
      </c>
      <c r="Z195"/>
      <c r="AA195" s="2">
        <f t="shared" ref="AA195:AA258" si="31">DATE(Y195,W195,V195)</f>
        <v>44103</v>
      </c>
      <c r="AB195"/>
      <c r="AC195"/>
    </row>
    <row r="196" spans="21:29" ht="15">
      <c r="U196" s="232" t="s">
        <v>7008</v>
      </c>
      <c r="V196" t="str">
        <f t="shared" si="27"/>
        <v>29</v>
      </c>
      <c r="W196" t="str">
        <f t="shared" si="28"/>
        <v>09</v>
      </c>
      <c r="X196" t="str">
        <f t="shared" si="29"/>
        <v>20</v>
      </c>
      <c r="Y196" t="str">
        <f t="shared" si="30"/>
        <v>2020</v>
      </c>
      <c r="Z196"/>
      <c r="AA196" s="2">
        <f t="shared" si="31"/>
        <v>44103</v>
      </c>
      <c r="AB196"/>
      <c r="AC196"/>
    </row>
    <row r="197" spans="21:29" ht="15">
      <c r="U197" s="232" t="s">
        <v>7015</v>
      </c>
      <c r="V197" t="str">
        <f t="shared" si="27"/>
        <v>30</v>
      </c>
      <c r="W197" t="str">
        <f t="shared" si="28"/>
        <v>09</v>
      </c>
      <c r="X197" t="str">
        <f t="shared" si="29"/>
        <v>20</v>
      </c>
      <c r="Y197" t="str">
        <f t="shared" si="30"/>
        <v>2020</v>
      </c>
      <c r="Z197"/>
      <c r="AA197" s="2">
        <f t="shared" si="31"/>
        <v>44104</v>
      </c>
      <c r="AB197"/>
      <c r="AC197"/>
    </row>
    <row r="198" spans="21:29" ht="15">
      <c r="U198" s="232" t="s">
        <v>7016</v>
      </c>
      <c r="V198" t="str">
        <f t="shared" si="27"/>
        <v>01</v>
      </c>
      <c r="W198" t="str">
        <f t="shared" si="28"/>
        <v>10</v>
      </c>
      <c r="X198" t="str">
        <f t="shared" si="29"/>
        <v>20</v>
      </c>
      <c r="Y198" t="str">
        <f t="shared" si="30"/>
        <v>2020</v>
      </c>
      <c r="Z198"/>
      <c r="AA198" s="2">
        <f t="shared" si="31"/>
        <v>44105</v>
      </c>
      <c r="AB198"/>
      <c r="AC198"/>
    </row>
    <row r="199" spans="21:29" ht="15">
      <c r="U199" s="232" t="s">
        <v>7016</v>
      </c>
      <c r="V199" t="str">
        <f t="shared" si="27"/>
        <v>01</v>
      </c>
      <c r="W199" t="str">
        <f t="shared" si="28"/>
        <v>10</v>
      </c>
      <c r="X199" t="str">
        <f t="shared" si="29"/>
        <v>20</v>
      </c>
      <c r="Y199" t="str">
        <f t="shared" si="30"/>
        <v>2020</v>
      </c>
      <c r="Z199"/>
      <c r="AA199" s="2">
        <f t="shared" si="31"/>
        <v>44105</v>
      </c>
      <c r="AB199"/>
      <c r="AC199"/>
    </row>
    <row r="200" spans="21:29" ht="15">
      <c r="U200" s="232" t="s">
        <v>7016</v>
      </c>
      <c r="V200" t="str">
        <f t="shared" si="27"/>
        <v>01</v>
      </c>
      <c r="W200" t="str">
        <f t="shared" si="28"/>
        <v>10</v>
      </c>
      <c r="X200" t="str">
        <f t="shared" si="29"/>
        <v>20</v>
      </c>
      <c r="Y200" t="str">
        <f t="shared" si="30"/>
        <v>2020</v>
      </c>
      <c r="Z200"/>
      <c r="AA200" s="2">
        <f t="shared" si="31"/>
        <v>44105</v>
      </c>
      <c r="AB200"/>
      <c r="AC200"/>
    </row>
    <row r="201" spans="21:29" ht="15">
      <c r="U201" s="232" t="s">
        <v>7016</v>
      </c>
      <c r="V201" t="str">
        <f t="shared" si="27"/>
        <v>01</v>
      </c>
      <c r="W201" t="str">
        <f t="shared" si="28"/>
        <v>10</v>
      </c>
      <c r="X201" t="str">
        <f t="shared" si="29"/>
        <v>20</v>
      </c>
      <c r="Y201" t="str">
        <f t="shared" si="30"/>
        <v>2020</v>
      </c>
      <c r="Z201"/>
      <c r="AA201" s="2">
        <f t="shared" si="31"/>
        <v>44105</v>
      </c>
      <c r="AB201"/>
      <c r="AC201"/>
    </row>
    <row r="202" spans="21:29" ht="15">
      <c r="U202" s="232" t="s">
        <v>7025</v>
      </c>
      <c r="V202" t="str">
        <f t="shared" si="27"/>
        <v>02</v>
      </c>
      <c r="W202" t="str">
        <f t="shared" si="28"/>
        <v>10</v>
      </c>
      <c r="X202" t="str">
        <f t="shared" si="29"/>
        <v>20</v>
      </c>
      <c r="Y202" t="str">
        <f t="shared" si="30"/>
        <v>2020</v>
      </c>
      <c r="Z202"/>
      <c r="AA202" s="2">
        <f t="shared" si="31"/>
        <v>44106</v>
      </c>
      <c r="AB202"/>
      <c r="AC202"/>
    </row>
    <row r="203" spans="21:29" ht="15">
      <c r="U203" s="232" t="s">
        <v>7025</v>
      </c>
      <c r="V203" t="str">
        <f t="shared" si="27"/>
        <v>02</v>
      </c>
      <c r="W203" t="str">
        <f t="shared" si="28"/>
        <v>10</v>
      </c>
      <c r="X203" t="str">
        <f t="shared" si="29"/>
        <v>20</v>
      </c>
      <c r="Y203" t="str">
        <f t="shared" si="30"/>
        <v>2020</v>
      </c>
      <c r="Z203"/>
      <c r="AA203" s="2">
        <f t="shared" si="31"/>
        <v>44106</v>
      </c>
      <c r="AB203"/>
      <c r="AC203"/>
    </row>
    <row r="204" spans="21:29" ht="15">
      <c r="U204" s="232" t="s">
        <v>7030</v>
      </c>
      <c r="V204" t="str">
        <f t="shared" si="27"/>
        <v>03</v>
      </c>
      <c r="W204" t="str">
        <f t="shared" si="28"/>
        <v>10</v>
      </c>
      <c r="X204" t="str">
        <f t="shared" si="29"/>
        <v>20</v>
      </c>
      <c r="Y204" t="str">
        <f t="shared" si="30"/>
        <v>2020</v>
      </c>
      <c r="Z204"/>
      <c r="AA204" s="2">
        <f t="shared" si="31"/>
        <v>44107</v>
      </c>
      <c r="AB204"/>
      <c r="AC204"/>
    </row>
    <row r="205" spans="21:29" ht="15">
      <c r="U205" s="232" t="s">
        <v>7033</v>
      </c>
      <c r="V205" t="str">
        <f t="shared" si="27"/>
        <v>05</v>
      </c>
      <c r="W205" t="str">
        <f t="shared" si="28"/>
        <v>10</v>
      </c>
      <c r="X205" t="str">
        <f t="shared" si="29"/>
        <v>20</v>
      </c>
      <c r="Y205" t="str">
        <f t="shared" si="30"/>
        <v>2020</v>
      </c>
      <c r="Z205"/>
      <c r="AA205" s="2">
        <f t="shared" si="31"/>
        <v>44109</v>
      </c>
      <c r="AB205"/>
      <c r="AC205"/>
    </row>
    <row r="206" spans="21:29" ht="15">
      <c r="U206" s="232" t="s">
        <v>7035</v>
      </c>
      <c r="V206" t="str">
        <f t="shared" si="27"/>
        <v>06</v>
      </c>
      <c r="W206" t="str">
        <f t="shared" si="28"/>
        <v>10</v>
      </c>
      <c r="X206" t="str">
        <f t="shared" si="29"/>
        <v>20</v>
      </c>
      <c r="Y206" t="str">
        <f t="shared" si="30"/>
        <v>2020</v>
      </c>
      <c r="Z206"/>
      <c r="AA206" s="2">
        <f t="shared" si="31"/>
        <v>44110</v>
      </c>
      <c r="AB206"/>
      <c r="AC206"/>
    </row>
    <row r="207" spans="21:29" ht="15">
      <c r="U207" s="232" t="s">
        <v>7035</v>
      </c>
      <c r="V207" t="str">
        <f t="shared" si="27"/>
        <v>06</v>
      </c>
      <c r="W207" t="str">
        <f t="shared" si="28"/>
        <v>10</v>
      </c>
      <c r="X207" t="str">
        <f t="shared" si="29"/>
        <v>20</v>
      </c>
      <c r="Y207" t="str">
        <f t="shared" si="30"/>
        <v>2020</v>
      </c>
      <c r="Z207"/>
      <c r="AA207" s="2">
        <f t="shared" si="31"/>
        <v>44110</v>
      </c>
      <c r="AB207"/>
      <c r="AC207"/>
    </row>
    <row r="208" spans="21:29" ht="15">
      <c r="U208" s="232" t="s">
        <v>7035</v>
      </c>
      <c r="V208" t="str">
        <f t="shared" si="27"/>
        <v>06</v>
      </c>
      <c r="W208" t="str">
        <f t="shared" si="28"/>
        <v>10</v>
      </c>
      <c r="X208" t="str">
        <f t="shared" si="29"/>
        <v>20</v>
      </c>
      <c r="Y208" t="str">
        <f t="shared" si="30"/>
        <v>2020</v>
      </c>
      <c r="Z208"/>
      <c r="AA208" s="2">
        <f t="shared" si="31"/>
        <v>44110</v>
      </c>
      <c r="AB208"/>
      <c r="AC208"/>
    </row>
    <row r="209" spans="21:29" ht="15">
      <c r="U209" s="232" t="s">
        <v>7035</v>
      </c>
      <c r="V209" t="str">
        <f t="shared" si="27"/>
        <v>06</v>
      </c>
      <c r="W209" t="str">
        <f t="shared" si="28"/>
        <v>10</v>
      </c>
      <c r="X209" t="str">
        <f t="shared" si="29"/>
        <v>20</v>
      </c>
      <c r="Y209" t="str">
        <f t="shared" si="30"/>
        <v>2020</v>
      </c>
      <c r="Z209"/>
      <c r="AA209" s="2">
        <f t="shared" si="31"/>
        <v>44110</v>
      </c>
      <c r="AB209"/>
      <c r="AC209"/>
    </row>
    <row r="210" spans="21:29" ht="15">
      <c r="U210" s="232" t="s">
        <v>7044</v>
      </c>
      <c r="V210" t="str">
        <f t="shared" si="27"/>
        <v>07</v>
      </c>
      <c r="W210" t="str">
        <f t="shared" si="28"/>
        <v>10</v>
      </c>
      <c r="X210" t="str">
        <f t="shared" si="29"/>
        <v>20</v>
      </c>
      <c r="Y210" t="str">
        <f t="shared" si="30"/>
        <v>2020</v>
      </c>
      <c r="Z210"/>
      <c r="AA210" s="2">
        <f t="shared" si="31"/>
        <v>44111</v>
      </c>
      <c r="AB210"/>
      <c r="AC210"/>
    </row>
    <row r="211" spans="21:29" ht="15">
      <c r="U211" s="232" t="s">
        <v>7046</v>
      </c>
      <c r="V211" t="str">
        <f t="shared" si="27"/>
        <v>09</v>
      </c>
      <c r="W211" t="str">
        <f t="shared" si="28"/>
        <v>10</v>
      </c>
      <c r="X211" t="str">
        <f t="shared" si="29"/>
        <v>20</v>
      </c>
      <c r="Y211" t="str">
        <f t="shared" si="30"/>
        <v>2020</v>
      </c>
      <c r="Z211"/>
      <c r="AA211" s="2">
        <f t="shared" si="31"/>
        <v>44113</v>
      </c>
      <c r="AB211"/>
      <c r="AC211"/>
    </row>
    <row r="212" spans="21:29" ht="15">
      <c r="U212" s="232" t="s">
        <v>7046</v>
      </c>
      <c r="V212" t="str">
        <f t="shared" si="27"/>
        <v>09</v>
      </c>
      <c r="W212" t="str">
        <f t="shared" si="28"/>
        <v>10</v>
      </c>
      <c r="X212" t="str">
        <f t="shared" si="29"/>
        <v>20</v>
      </c>
      <c r="Y212" t="str">
        <f t="shared" si="30"/>
        <v>2020</v>
      </c>
      <c r="Z212"/>
      <c r="AA212" s="2">
        <f t="shared" si="31"/>
        <v>44113</v>
      </c>
      <c r="AB212"/>
      <c r="AC212"/>
    </row>
    <row r="213" spans="21:29" ht="15">
      <c r="U213" s="232" t="s">
        <v>7046</v>
      </c>
      <c r="V213" t="str">
        <f t="shared" si="27"/>
        <v>09</v>
      </c>
      <c r="W213" t="str">
        <f t="shared" si="28"/>
        <v>10</v>
      </c>
      <c r="X213" t="str">
        <f t="shared" si="29"/>
        <v>20</v>
      </c>
      <c r="Y213" t="str">
        <f t="shared" si="30"/>
        <v>2020</v>
      </c>
      <c r="Z213"/>
      <c r="AA213" s="2">
        <f t="shared" si="31"/>
        <v>44113</v>
      </c>
      <c r="AB213"/>
      <c r="AC213"/>
    </row>
    <row r="214" spans="21:29" ht="15">
      <c r="U214" s="232" t="s">
        <v>7052</v>
      </c>
      <c r="V214" t="str">
        <f t="shared" si="27"/>
        <v>10</v>
      </c>
      <c r="W214" t="str">
        <f t="shared" si="28"/>
        <v>10</v>
      </c>
      <c r="X214" t="str">
        <f t="shared" si="29"/>
        <v>20</v>
      </c>
      <c r="Y214" t="str">
        <f t="shared" si="30"/>
        <v>2020</v>
      </c>
      <c r="Z214"/>
      <c r="AA214" s="2">
        <f t="shared" si="31"/>
        <v>44114</v>
      </c>
      <c r="AB214"/>
      <c r="AC214"/>
    </row>
    <row r="215" spans="21:29" ht="15">
      <c r="U215" s="232" t="s">
        <v>7052</v>
      </c>
      <c r="V215" t="str">
        <f t="shared" si="27"/>
        <v>10</v>
      </c>
      <c r="W215" t="str">
        <f t="shared" si="28"/>
        <v>10</v>
      </c>
      <c r="X215" t="str">
        <f t="shared" si="29"/>
        <v>20</v>
      </c>
      <c r="Y215" t="str">
        <f t="shared" si="30"/>
        <v>2020</v>
      </c>
      <c r="Z215"/>
      <c r="AA215" s="2">
        <f t="shared" si="31"/>
        <v>44114</v>
      </c>
      <c r="AB215"/>
      <c r="AC215"/>
    </row>
    <row r="216" spans="21:29" ht="15">
      <c r="U216" s="232" t="s">
        <v>7057</v>
      </c>
      <c r="V216" t="str">
        <f t="shared" si="27"/>
        <v>15</v>
      </c>
      <c r="W216" t="str">
        <f t="shared" si="28"/>
        <v>10</v>
      </c>
      <c r="X216" t="str">
        <f t="shared" si="29"/>
        <v>20</v>
      </c>
      <c r="Y216" t="str">
        <f t="shared" si="30"/>
        <v>2020</v>
      </c>
      <c r="Z216"/>
      <c r="AA216" s="2">
        <f t="shared" si="31"/>
        <v>44119</v>
      </c>
      <c r="AB216"/>
      <c r="AC216"/>
    </row>
    <row r="217" spans="21:29" ht="15">
      <c r="U217" s="232" t="s">
        <v>7057</v>
      </c>
      <c r="V217" t="str">
        <f t="shared" si="27"/>
        <v>15</v>
      </c>
      <c r="W217" t="str">
        <f t="shared" si="28"/>
        <v>10</v>
      </c>
      <c r="X217" t="str">
        <f t="shared" si="29"/>
        <v>20</v>
      </c>
      <c r="Y217" t="str">
        <f t="shared" si="30"/>
        <v>2020</v>
      </c>
      <c r="Z217"/>
      <c r="AA217" s="2">
        <f t="shared" si="31"/>
        <v>44119</v>
      </c>
      <c r="AB217"/>
      <c r="AC217"/>
    </row>
    <row r="218" spans="21:29" ht="15">
      <c r="U218" s="232" t="s">
        <v>7062</v>
      </c>
      <c r="V218" t="str">
        <f t="shared" si="27"/>
        <v>17</v>
      </c>
      <c r="W218" t="str">
        <f t="shared" si="28"/>
        <v>10</v>
      </c>
      <c r="X218" t="str">
        <f t="shared" si="29"/>
        <v>20</v>
      </c>
      <c r="Y218" t="str">
        <f t="shared" si="30"/>
        <v>2020</v>
      </c>
      <c r="Z218"/>
      <c r="AA218" s="2">
        <f t="shared" si="31"/>
        <v>44121</v>
      </c>
      <c r="AB218"/>
      <c r="AC218"/>
    </row>
    <row r="219" spans="21:29" ht="15">
      <c r="U219" s="232" t="s">
        <v>7062</v>
      </c>
      <c r="V219" t="str">
        <f t="shared" si="27"/>
        <v>17</v>
      </c>
      <c r="W219" t="str">
        <f t="shared" si="28"/>
        <v>10</v>
      </c>
      <c r="X219" t="str">
        <f t="shared" si="29"/>
        <v>20</v>
      </c>
      <c r="Y219" t="str">
        <f t="shared" si="30"/>
        <v>2020</v>
      </c>
      <c r="Z219"/>
      <c r="AA219" s="2">
        <f t="shared" si="31"/>
        <v>44121</v>
      </c>
      <c r="AB219"/>
      <c r="AC219"/>
    </row>
    <row r="220" spans="21:29" ht="15">
      <c r="U220" s="232" t="s">
        <v>7067</v>
      </c>
      <c r="V220" t="str">
        <f t="shared" si="27"/>
        <v>20</v>
      </c>
      <c r="W220" t="str">
        <f t="shared" si="28"/>
        <v>10</v>
      </c>
      <c r="X220" t="str">
        <f t="shared" si="29"/>
        <v>20</v>
      </c>
      <c r="Y220" t="str">
        <f t="shared" si="30"/>
        <v>2020</v>
      </c>
      <c r="Z220"/>
      <c r="AA220" s="2">
        <f t="shared" si="31"/>
        <v>44124</v>
      </c>
      <c r="AB220"/>
      <c r="AC220"/>
    </row>
    <row r="221" spans="21:29" ht="15">
      <c r="U221" s="232" t="s">
        <v>7067</v>
      </c>
      <c r="V221" t="str">
        <f t="shared" si="27"/>
        <v>20</v>
      </c>
      <c r="W221" t="str">
        <f t="shared" si="28"/>
        <v>10</v>
      </c>
      <c r="X221" t="str">
        <f t="shared" si="29"/>
        <v>20</v>
      </c>
      <c r="Y221" t="str">
        <f t="shared" si="30"/>
        <v>2020</v>
      </c>
      <c r="Z221"/>
      <c r="AA221" s="2">
        <f t="shared" si="31"/>
        <v>44124</v>
      </c>
      <c r="AB221"/>
      <c r="AC221"/>
    </row>
    <row r="222" spans="21:29" ht="15">
      <c r="U222" s="232" t="s">
        <v>7072</v>
      </c>
      <c r="V222" t="str">
        <f t="shared" si="27"/>
        <v>21</v>
      </c>
      <c r="W222" t="str">
        <f t="shared" si="28"/>
        <v>10</v>
      </c>
      <c r="X222" t="str">
        <f t="shared" si="29"/>
        <v>20</v>
      </c>
      <c r="Y222" t="str">
        <f t="shared" si="30"/>
        <v>2020</v>
      </c>
      <c r="Z222"/>
      <c r="AA222" s="2">
        <f t="shared" si="31"/>
        <v>44125</v>
      </c>
      <c r="AB222"/>
      <c r="AC222"/>
    </row>
    <row r="223" spans="21:29" ht="15">
      <c r="U223" s="232" t="s">
        <v>7075</v>
      </c>
      <c r="V223" t="str">
        <f t="shared" si="27"/>
        <v>22</v>
      </c>
      <c r="W223" t="str">
        <f t="shared" si="28"/>
        <v>10</v>
      </c>
      <c r="X223" t="str">
        <f t="shared" si="29"/>
        <v>20</v>
      </c>
      <c r="Y223" t="str">
        <f t="shared" si="30"/>
        <v>2020</v>
      </c>
      <c r="Z223"/>
      <c r="AA223" s="2">
        <f t="shared" si="31"/>
        <v>44126</v>
      </c>
      <c r="AB223"/>
      <c r="AC223"/>
    </row>
    <row r="224" spans="21:29" ht="15">
      <c r="U224" s="232" t="s">
        <v>7078</v>
      </c>
      <c r="V224" t="str">
        <f t="shared" si="27"/>
        <v>23</v>
      </c>
      <c r="W224" t="str">
        <f t="shared" si="28"/>
        <v>10</v>
      </c>
      <c r="X224" t="str">
        <f t="shared" si="29"/>
        <v>20</v>
      </c>
      <c r="Y224" t="str">
        <f t="shared" si="30"/>
        <v>2020</v>
      </c>
      <c r="Z224"/>
      <c r="AA224" s="2">
        <f t="shared" si="31"/>
        <v>44127</v>
      </c>
      <c r="AB224"/>
      <c r="AC224"/>
    </row>
    <row r="225" spans="21:29" ht="15">
      <c r="U225" s="232" t="s">
        <v>7078</v>
      </c>
      <c r="V225" t="str">
        <f t="shared" si="27"/>
        <v>23</v>
      </c>
      <c r="W225" t="str">
        <f t="shared" si="28"/>
        <v>10</v>
      </c>
      <c r="X225" t="str">
        <f t="shared" si="29"/>
        <v>20</v>
      </c>
      <c r="Y225" t="str">
        <f t="shared" si="30"/>
        <v>2020</v>
      </c>
      <c r="Z225"/>
      <c r="AA225" s="2">
        <f t="shared" si="31"/>
        <v>44127</v>
      </c>
      <c r="AB225"/>
      <c r="AC225"/>
    </row>
    <row r="226" spans="21:29" ht="15">
      <c r="U226" s="232" t="s">
        <v>7083</v>
      </c>
      <c r="V226" t="str">
        <f t="shared" si="27"/>
        <v>27</v>
      </c>
      <c r="W226" t="str">
        <f t="shared" si="28"/>
        <v>10</v>
      </c>
      <c r="X226" t="str">
        <f t="shared" si="29"/>
        <v>20</v>
      </c>
      <c r="Y226" t="str">
        <f t="shared" si="30"/>
        <v>2020</v>
      </c>
      <c r="Z226"/>
      <c r="AA226" s="2">
        <f t="shared" si="31"/>
        <v>44131</v>
      </c>
      <c r="AB226"/>
      <c r="AC226"/>
    </row>
    <row r="227" spans="21:29" ht="15">
      <c r="U227" s="232" t="s">
        <v>7083</v>
      </c>
      <c r="V227" t="str">
        <f t="shared" si="27"/>
        <v>27</v>
      </c>
      <c r="W227" t="str">
        <f t="shared" si="28"/>
        <v>10</v>
      </c>
      <c r="X227" t="str">
        <f t="shared" si="29"/>
        <v>20</v>
      </c>
      <c r="Y227" t="str">
        <f t="shared" si="30"/>
        <v>2020</v>
      </c>
      <c r="Z227"/>
      <c r="AA227" s="2">
        <f t="shared" si="31"/>
        <v>44131</v>
      </c>
      <c r="AB227"/>
      <c r="AC227"/>
    </row>
    <row r="228" spans="21:29" ht="15">
      <c r="U228" s="232" t="s">
        <v>7083</v>
      </c>
      <c r="V228" t="str">
        <f t="shared" si="27"/>
        <v>27</v>
      </c>
      <c r="W228" t="str">
        <f t="shared" si="28"/>
        <v>10</v>
      </c>
      <c r="X228" t="str">
        <f t="shared" si="29"/>
        <v>20</v>
      </c>
      <c r="Y228" t="str">
        <f t="shared" si="30"/>
        <v>2020</v>
      </c>
      <c r="Z228"/>
      <c r="AA228" s="2">
        <f t="shared" si="31"/>
        <v>44131</v>
      </c>
      <c r="AB228"/>
      <c r="AC228"/>
    </row>
    <row r="229" spans="21:29" ht="15">
      <c r="U229" s="232" t="s">
        <v>7088</v>
      </c>
      <c r="V229" t="str">
        <f t="shared" si="27"/>
        <v>28</v>
      </c>
      <c r="W229" t="str">
        <f t="shared" si="28"/>
        <v>10</v>
      </c>
      <c r="X229" t="str">
        <f t="shared" si="29"/>
        <v>20</v>
      </c>
      <c r="Y229" t="str">
        <f t="shared" si="30"/>
        <v>2020</v>
      </c>
      <c r="Z229"/>
      <c r="AA229" s="2">
        <f t="shared" si="31"/>
        <v>44132</v>
      </c>
      <c r="AB229"/>
      <c r="AC229"/>
    </row>
    <row r="230" spans="21:29" ht="15">
      <c r="U230" s="232" t="s">
        <v>7088</v>
      </c>
      <c r="V230" t="str">
        <f t="shared" si="27"/>
        <v>28</v>
      </c>
      <c r="W230" t="str">
        <f t="shared" si="28"/>
        <v>10</v>
      </c>
      <c r="X230" t="str">
        <f t="shared" si="29"/>
        <v>20</v>
      </c>
      <c r="Y230" t="str">
        <f t="shared" si="30"/>
        <v>2020</v>
      </c>
      <c r="Z230"/>
      <c r="AA230" s="2">
        <f t="shared" si="31"/>
        <v>44132</v>
      </c>
      <c r="AB230"/>
      <c r="AC230"/>
    </row>
    <row r="231" spans="21:29" ht="15">
      <c r="U231" s="232" t="s">
        <v>7088</v>
      </c>
      <c r="V231" t="str">
        <f t="shared" si="27"/>
        <v>28</v>
      </c>
      <c r="W231" t="str">
        <f t="shared" si="28"/>
        <v>10</v>
      </c>
      <c r="X231" t="str">
        <f t="shared" si="29"/>
        <v>20</v>
      </c>
      <c r="Y231" t="str">
        <f t="shared" si="30"/>
        <v>2020</v>
      </c>
      <c r="Z231"/>
      <c r="AA231" s="2">
        <f t="shared" si="31"/>
        <v>44132</v>
      </c>
      <c r="AB231"/>
      <c r="AC231"/>
    </row>
    <row r="232" spans="21:29" ht="15">
      <c r="U232" s="232" t="s">
        <v>7095</v>
      </c>
      <c r="V232" t="str">
        <f t="shared" si="27"/>
        <v>30</v>
      </c>
      <c r="W232" t="str">
        <f t="shared" si="28"/>
        <v>10</v>
      </c>
      <c r="X232" t="str">
        <f t="shared" si="29"/>
        <v>20</v>
      </c>
      <c r="Y232" t="str">
        <f t="shared" si="30"/>
        <v>2020</v>
      </c>
      <c r="Z232"/>
      <c r="AA232" s="2">
        <f t="shared" si="31"/>
        <v>44134</v>
      </c>
      <c r="AB232"/>
      <c r="AC232"/>
    </row>
    <row r="233" spans="21:29" ht="15">
      <c r="U233" s="232" t="s">
        <v>7095</v>
      </c>
      <c r="V233" t="str">
        <f t="shared" si="27"/>
        <v>30</v>
      </c>
      <c r="W233" t="str">
        <f t="shared" si="28"/>
        <v>10</v>
      </c>
      <c r="X233" t="str">
        <f t="shared" si="29"/>
        <v>20</v>
      </c>
      <c r="Y233" t="str">
        <f t="shared" si="30"/>
        <v>2020</v>
      </c>
      <c r="Z233"/>
      <c r="AA233" s="2">
        <f t="shared" si="31"/>
        <v>44134</v>
      </c>
      <c r="AB233"/>
      <c r="AC233"/>
    </row>
    <row r="234" spans="21:29" ht="15">
      <c r="U234" s="232" t="s">
        <v>7095</v>
      </c>
      <c r="V234" t="str">
        <f t="shared" si="27"/>
        <v>30</v>
      </c>
      <c r="W234" t="str">
        <f t="shared" si="28"/>
        <v>10</v>
      </c>
      <c r="X234" t="str">
        <f t="shared" si="29"/>
        <v>20</v>
      </c>
      <c r="Y234" t="str">
        <f t="shared" si="30"/>
        <v>2020</v>
      </c>
      <c r="Z234"/>
      <c r="AA234" s="2">
        <f t="shared" si="31"/>
        <v>44134</v>
      </c>
      <c r="AB234"/>
      <c r="AC234"/>
    </row>
    <row r="235" spans="21:29" ht="15">
      <c r="U235" s="232" t="s">
        <v>7102</v>
      </c>
      <c r="V235" t="str">
        <f t="shared" si="27"/>
        <v>02</v>
      </c>
      <c r="W235" t="str">
        <f t="shared" si="28"/>
        <v>11</v>
      </c>
      <c r="X235" t="str">
        <f t="shared" si="29"/>
        <v>20</v>
      </c>
      <c r="Y235" t="str">
        <f t="shared" si="30"/>
        <v>2020</v>
      </c>
      <c r="Z235"/>
      <c r="AA235" s="2">
        <f t="shared" si="31"/>
        <v>44137</v>
      </c>
      <c r="AB235"/>
      <c r="AC235"/>
    </row>
    <row r="236" spans="21:29" ht="15">
      <c r="U236" s="232" t="s">
        <v>7102</v>
      </c>
      <c r="V236" t="str">
        <f t="shared" si="27"/>
        <v>02</v>
      </c>
      <c r="W236" t="str">
        <f t="shared" si="28"/>
        <v>11</v>
      </c>
      <c r="X236" t="str">
        <f t="shared" si="29"/>
        <v>20</v>
      </c>
      <c r="Y236" t="str">
        <f t="shared" si="30"/>
        <v>2020</v>
      </c>
      <c r="Z236"/>
      <c r="AA236" s="2">
        <f t="shared" si="31"/>
        <v>44137</v>
      </c>
      <c r="AB236"/>
      <c r="AC236"/>
    </row>
    <row r="237" spans="21:29" ht="15">
      <c r="U237" s="232" t="s">
        <v>7102</v>
      </c>
      <c r="V237" t="str">
        <f t="shared" si="27"/>
        <v>02</v>
      </c>
      <c r="W237" t="str">
        <f t="shared" si="28"/>
        <v>11</v>
      </c>
      <c r="X237" t="str">
        <f t="shared" si="29"/>
        <v>20</v>
      </c>
      <c r="Y237" t="str">
        <f t="shared" si="30"/>
        <v>2020</v>
      </c>
      <c r="Z237"/>
      <c r="AA237" s="2">
        <f t="shared" si="31"/>
        <v>44137</v>
      </c>
      <c r="AB237"/>
      <c r="AC237"/>
    </row>
    <row r="238" spans="21:29" ht="15">
      <c r="U238" s="232" t="s">
        <v>7102</v>
      </c>
      <c r="V238" t="str">
        <f t="shared" si="27"/>
        <v>02</v>
      </c>
      <c r="W238" t="str">
        <f t="shared" si="28"/>
        <v>11</v>
      </c>
      <c r="X238" t="str">
        <f t="shared" si="29"/>
        <v>20</v>
      </c>
      <c r="Y238" t="str">
        <f t="shared" si="30"/>
        <v>2020</v>
      </c>
      <c r="Z238"/>
      <c r="AA238" s="2">
        <f t="shared" si="31"/>
        <v>44137</v>
      </c>
      <c r="AB238"/>
      <c r="AC238"/>
    </row>
    <row r="239" spans="21:29" ht="15">
      <c r="U239" s="232" t="s">
        <v>7111</v>
      </c>
      <c r="V239" t="str">
        <f t="shared" si="27"/>
        <v>03</v>
      </c>
      <c r="W239" t="str">
        <f t="shared" si="28"/>
        <v>11</v>
      </c>
      <c r="X239" t="str">
        <f t="shared" si="29"/>
        <v>20</v>
      </c>
      <c r="Y239" t="str">
        <f t="shared" si="30"/>
        <v>2020</v>
      </c>
      <c r="Z239"/>
      <c r="AA239" s="2">
        <f t="shared" si="31"/>
        <v>44138</v>
      </c>
      <c r="AB239"/>
      <c r="AC239"/>
    </row>
    <row r="240" spans="21:29" ht="15">
      <c r="U240" s="232" t="s">
        <v>7114</v>
      </c>
      <c r="V240" t="str">
        <f t="shared" si="27"/>
        <v>04</v>
      </c>
      <c r="W240" t="str">
        <f t="shared" si="28"/>
        <v>11</v>
      </c>
      <c r="X240" t="str">
        <f t="shared" si="29"/>
        <v>20</v>
      </c>
      <c r="Y240" t="str">
        <f t="shared" si="30"/>
        <v>2020</v>
      </c>
      <c r="Z240"/>
      <c r="AA240" s="2">
        <f t="shared" si="31"/>
        <v>44139</v>
      </c>
      <c r="AB240"/>
      <c r="AC240"/>
    </row>
    <row r="241" spans="21:29" ht="15">
      <c r="U241" s="232" t="s">
        <v>7116</v>
      </c>
      <c r="V241" t="str">
        <f t="shared" si="27"/>
        <v>05</v>
      </c>
      <c r="W241" t="str">
        <f t="shared" si="28"/>
        <v>11</v>
      </c>
      <c r="X241" t="str">
        <f t="shared" si="29"/>
        <v>20</v>
      </c>
      <c r="Y241" t="str">
        <f t="shared" si="30"/>
        <v>2020</v>
      </c>
      <c r="Z241"/>
      <c r="AA241" s="2">
        <f t="shared" si="31"/>
        <v>44140</v>
      </c>
      <c r="AB241"/>
      <c r="AC241"/>
    </row>
    <row r="242" spans="21:29" ht="15">
      <c r="U242" s="232" t="s">
        <v>7116</v>
      </c>
      <c r="V242" t="str">
        <f t="shared" si="27"/>
        <v>05</v>
      </c>
      <c r="W242" t="str">
        <f t="shared" si="28"/>
        <v>11</v>
      </c>
      <c r="X242" t="str">
        <f t="shared" si="29"/>
        <v>20</v>
      </c>
      <c r="Y242" t="str">
        <f t="shared" si="30"/>
        <v>2020</v>
      </c>
      <c r="Z242"/>
      <c r="AA242" s="2">
        <f t="shared" si="31"/>
        <v>44140</v>
      </c>
      <c r="AB242"/>
      <c r="AC242"/>
    </row>
    <row r="243" spans="21:29" ht="15">
      <c r="U243" s="232" t="s">
        <v>7116</v>
      </c>
      <c r="V243" t="str">
        <f t="shared" si="27"/>
        <v>05</v>
      </c>
      <c r="W243" t="str">
        <f t="shared" si="28"/>
        <v>11</v>
      </c>
      <c r="X243" t="str">
        <f t="shared" si="29"/>
        <v>20</v>
      </c>
      <c r="Y243" t="str">
        <f t="shared" si="30"/>
        <v>2020</v>
      </c>
      <c r="Z243"/>
      <c r="AA243" s="2">
        <f t="shared" si="31"/>
        <v>44140</v>
      </c>
      <c r="AB243"/>
      <c r="AC243"/>
    </row>
    <row r="244" spans="21:29" ht="15">
      <c r="U244" s="232" t="s">
        <v>7123</v>
      </c>
      <c r="V244" t="str">
        <f t="shared" si="27"/>
        <v>06</v>
      </c>
      <c r="W244" t="str">
        <f t="shared" si="28"/>
        <v>11</v>
      </c>
      <c r="X244" t="str">
        <f t="shared" si="29"/>
        <v>20</v>
      </c>
      <c r="Y244" t="str">
        <f t="shared" si="30"/>
        <v>2020</v>
      </c>
      <c r="Z244"/>
      <c r="AA244" s="2">
        <f t="shared" si="31"/>
        <v>44141</v>
      </c>
      <c r="AB244"/>
      <c r="AC244"/>
    </row>
    <row r="245" spans="21:29" ht="15">
      <c r="U245" s="232" t="s">
        <v>7123</v>
      </c>
      <c r="V245" t="str">
        <f t="shared" si="27"/>
        <v>06</v>
      </c>
      <c r="W245" t="str">
        <f t="shared" si="28"/>
        <v>11</v>
      </c>
      <c r="X245" t="str">
        <f t="shared" si="29"/>
        <v>20</v>
      </c>
      <c r="Y245" t="str">
        <f t="shared" si="30"/>
        <v>2020</v>
      </c>
      <c r="Z245"/>
      <c r="AA245" s="2">
        <f t="shared" si="31"/>
        <v>44141</v>
      </c>
      <c r="AB245"/>
      <c r="AC245"/>
    </row>
    <row r="246" spans="21:29" ht="15">
      <c r="U246" s="232" t="s">
        <v>7128</v>
      </c>
      <c r="V246" t="str">
        <f t="shared" si="27"/>
        <v>08</v>
      </c>
      <c r="W246" t="str">
        <f t="shared" si="28"/>
        <v>11</v>
      </c>
      <c r="X246" t="str">
        <f t="shared" si="29"/>
        <v>20</v>
      </c>
      <c r="Y246" t="str">
        <f t="shared" si="30"/>
        <v>2020</v>
      </c>
      <c r="Z246"/>
      <c r="AA246" s="2">
        <f t="shared" si="31"/>
        <v>44143</v>
      </c>
      <c r="AB246"/>
      <c r="AC246"/>
    </row>
    <row r="247" spans="21:29" ht="15">
      <c r="U247" s="232" t="s">
        <v>7128</v>
      </c>
      <c r="V247" t="str">
        <f t="shared" si="27"/>
        <v>08</v>
      </c>
      <c r="W247" t="str">
        <f t="shared" si="28"/>
        <v>11</v>
      </c>
      <c r="X247" t="str">
        <f t="shared" si="29"/>
        <v>20</v>
      </c>
      <c r="Y247" t="str">
        <f t="shared" si="30"/>
        <v>2020</v>
      </c>
      <c r="Z247"/>
      <c r="AA247" s="2">
        <f t="shared" si="31"/>
        <v>44143</v>
      </c>
      <c r="AB247"/>
      <c r="AC247"/>
    </row>
    <row r="248" spans="21:29" ht="15">
      <c r="U248" s="232" t="s">
        <v>7128</v>
      </c>
      <c r="V248" t="str">
        <f t="shared" si="27"/>
        <v>08</v>
      </c>
      <c r="W248" t="str">
        <f t="shared" si="28"/>
        <v>11</v>
      </c>
      <c r="X248" t="str">
        <f t="shared" si="29"/>
        <v>20</v>
      </c>
      <c r="Y248" t="str">
        <f t="shared" si="30"/>
        <v>2020</v>
      </c>
      <c r="Z248"/>
      <c r="AA248" s="2">
        <f t="shared" si="31"/>
        <v>44143</v>
      </c>
      <c r="AB248"/>
      <c r="AC248"/>
    </row>
    <row r="249" spans="21:29" ht="15">
      <c r="U249" s="232" t="s">
        <v>7128</v>
      </c>
      <c r="V249" t="str">
        <f t="shared" si="27"/>
        <v>08</v>
      </c>
      <c r="W249" t="str">
        <f t="shared" si="28"/>
        <v>11</v>
      </c>
      <c r="X249" t="str">
        <f t="shared" si="29"/>
        <v>20</v>
      </c>
      <c r="Y249" t="str">
        <f t="shared" si="30"/>
        <v>2020</v>
      </c>
      <c r="Z249"/>
      <c r="AA249" s="2">
        <f t="shared" si="31"/>
        <v>44143</v>
      </c>
      <c r="AB249"/>
      <c r="AC249"/>
    </row>
    <row r="250" spans="21:29" ht="15">
      <c r="U250" s="232" t="s">
        <v>7135</v>
      </c>
      <c r="V250" t="str">
        <f t="shared" si="27"/>
        <v>12</v>
      </c>
      <c r="W250" t="str">
        <f t="shared" si="28"/>
        <v>11</v>
      </c>
      <c r="X250" t="str">
        <f t="shared" si="29"/>
        <v>20</v>
      </c>
      <c r="Y250" t="str">
        <f t="shared" si="30"/>
        <v>2020</v>
      </c>
      <c r="Z250"/>
      <c r="AA250" s="2">
        <f t="shared" si="31"/>
        <v>44147</v>
      </c>
      <c r="AB250"/>
      <c r="AC250"/>
    </row>
    <row r="251" spans="21:29" ht="15">
      <c r="U251" s="232" t="s">
        <v>7138</v>
      </c>
      <c r="V251" t="str">
        <f t="shared" si="27"/>
        <v>15</v>
      </c>
      <c r="W251" t="str">
        <f t="shared" si="28"/>
        <v>11</v>
      </c>
      <c r="X251" t="str">
        <f t="shared" si="29"/>
        <v>20</v>
      </c>
      <c r="Y251" t="str">
        <f t="shared" si="30"/>
        <v>2020</v>
      </c>
      <c r="Z251"/>
      <c r="AA251" s="2">
        <f t="shared" si="31"/>
        <v>44150</v>
      </c>
      <c r="AB251"/>
      <c r="AC251"/>
    </row>
    <row r="252" spans="21:29" ht="15">
      <c r="U252" s="232" t="s">
        <v>7141</v>
      </c>
      <c r="V252" t="str">
        <f t="shared" si="27"/>
        <v>16</v>
      </c>
      <c r="W252" t="str">
        <f t="shared" si="28"/>
        <v>11</v>
      </c>
      <c r="X252" t="str">
        <f t="shared" si="29"/>
        <v>20</v>
      </c>
      <c r="Y252" t="str">
        <f t="shared" si="30"/>
        <v>2020</v>
      </c>
      <c r="Z252"/>
      <c r="AA252" s="2">
        <f t="shared" si="31"/>
        <v>44151</v>
      </c>
      <c r="AB252"/>
      <c r="AC252"/>
    </row>
    <row r="253" spans="21:29" ht="15">
      <c r="U253" s="232" t="s">
        <v>7141</v>
      </c>
      <c r="V253" t="str">
        <f t="shared" si="27"/>
        <v>16</v>
      </c>
      <c r="W253" t="str">
        <f t="shared" si="28"/>
        <v>11</v>
      </c>
      <c r="X253" t="str">
        <f t="shared" si="29"/>
        <v>20</v>
      </c>
      <c r="Y253" t="str">
        <f t="shared" si="30"/>
        <v>2020</v>
      </c>
      <c r="Z253"/>
      <c r="AA253" s="2">
        <f t="shared" si="31"/>
        <v>44151</v>
      </c>
      <c r="AB253"/>
      <c r="AC253"/>
    </row>
    <row r="254" spans="21:29" ht="15">
      <c r="U254" s="232" t="s">
        <v>7146</v>
      </c>
      <c r="V254" t="str">
        <f t="shared" si="27"/>
        <v>19</v>
      </c>
      <c r="W254" t="str">
        <f t="shared" si="28"/>
        <v>11</v>
      </c>
      <c r="X254" t="str">
        <f t="shared" si="29"/>
        <v>20</v>
      </c>
      <c r="Y254" t="str">
        <f t="shared" si="30"/>
        <v>2020</v>
      </c>
      <c r="Z254"/>
      <c r="AA254" s="2">
        <f t="shared" si="31"/>
        <v>44154</v>
      </c>
      <c r="AB254"/>
      <c r="AC254"/>
    </row>
    <row r="255" spans="21:29" ht="15">
      <c r="U255" s="232" t="s">
        <v>7146</v>
      </c>
      <c r="V255" t="str">
        <f t="shared" si="27"/>
        <v>19</v>
      </c>
      <c r="W255" t="str">
        <f t="shared" si="28"/>
        <v>11</v>
      </c>
      <c r="X255" t="str">
        <f t="shared" si="29"/>
        <v>20</v>
      </c>
      <c r="Y255" t="str">
        <f t="shared" si="30"/>
        <v>2020</v>
      </c>
      <c r="Z255"/>
      <c r="AA255" s="2">
        <f t="shared" si="31"/>
        <v>44154</v>
      </c>
      <c r="AB255"/>
      <c r="AC255"/>
    </row>
    <row r="256" spans="21:29" ht="15">
      <c r="U256" s="232" t="s">
        <v>7146</v>
      </c>
      <c r="V256" t="str">
        <f t="shared" si="27"/>
        <v>19</v>
      </c>
      <c r="W256" t="str">
        <f t="shared" si="28"/>
        <v>11</v>
      </c>
      <c r="X256" t="str">
        <f t="shared" si="29"/>
        <v>20</v>
      </c>
      <c r="Y256" t="str">
        <f t="shared" si="30"/>
        <v>2020</v>
      </c>
      <c r="Z256"/>
      <c r="AA256" s="2">
        <f t="shared" si="31"/>
        <v>44154</v>
      </c>
      <c r="AB256"/>
      <c r="AC256"/>
    </row>
    <row r="257" spans="21:29" ht="15">
      <c r="U257" s="232" t="s">
        <v>7153</v>
      </c>
      <c r="V257" t="str">
        <f t="shared" si="27"/>
        <v>20</v>
      </c>
      <c r="W257" t="str">
        <f t="shared" si="28"/>
        <v>11</v>
      </c>
      <c r="X257" t="str">
        <f t="shared" si="29"/>
        <v>20</v>
      </c>
      <c r="Y257" t="str">
        <f t="shared" si="30"/>
        <v>2020</v>
      </c>
      <c r="Z257"/>
      <c r="AA257" s="2">
        <f t="shared" si="31"/>
        <v>44155</v>
      </c>
      <c r="AB257"/>
      <c r="AC257"/>
    </row>
    <row r="258" spans="21:29" ht="15">
      <c r="U258" s="232" t="s">
        <v>7153</v>
      </c>
      <c r="V258" t="str">
        <f t="shared" si="27"/>
        <v>20</v>
      </c>
      <c r="W258" t="str">
        <f t="shared" si="28"/>
        <v>11</v>
      </c>
      <c r="X258" t="str">
        <f t="shared" si="29"/>
        <v>20</v>
      </c>
      <c r="Y258" t="str">
        <f t="shared" si="30"/>
        <v>2020</v>
      </c>
      <c r="Z258"/>
      <c r="AA258" s="2">
        <f t="shared" si="31"/>
        <v>44155</v>
      </c>
      <c r="AB258"/>
      <c r="AC258"/>
    </row>
    <row r="259" spans="21:29" ht="15">
      <c r="U259" s="232" t="s">
        <v>7153</v>
      </c>
      <c r="V259" t="str">
        <f t="shared" ref="V259:V322" si="32">LEFT(U259,2)</f>
        <v>20</v>
      </c>
      <c r="W259" t="str">
        <f t="shared" ref="W259:W322" si="33">MID(U259,4,2)</f>
        <v>11</v>
      </c>
      <c r="X259" t="str">
        <f t="shared" ref="X259:X322" si="34">RIGHT(U259,2)</f>
        <v>20</v>
      </c>
      <c r="Y259" t="str">
        <f t="shared" ref="Y259:Y322" si="35">"20" &amp; X259</f>
        <v>2020</v>
      </c>
      <c r="Z259"/>
      <c r="AA259" s="2">
        <f t="shared" ref="AA259:AA322" si="36">DATE(Y259,W259,V259)</f>
        <v>44155</v>
      </c>
      <c r="AB259"/>
      <c r="AC259"/>
    </row>
    <row r="260" spans="21:29" ht="15">
      <c r="U260" s="232" t="s">
        <v>7153</v>
      </c>
      <c r="V260" t="str">
        <f t="shared" si="32"/>
        <v>20</v>
      </c>
      <c r="W260" t="str">
        <f t="shared" si="33"/>
        <v>11</v>
      </c>
      <c r="X260" t="str">
        <f t="shared" si="34"/>
        <v>20</v>
      </c>
      <c r="Y260" t="str">
        <f t="shared" si="35"/>
        <v>2020</v>
      </c>
      <c r="Z260"/>
      <c r="AA260" s="2">
        <f t="shared" si="36"/>
        <v>44155</v>
      </c>
      <c r="AB260"/>
      <c r="AC260"/>
    </row>
    <row r="261" spans="21:29" ht="15">
      <c r="U261" s="232" t="s">
        <v>7161</v>
      </c>
      <c r="V261" t="str">
        <f t="shared" si="32"/>
        <v>21</v>
      </c>
      <c r="W261" t="str">
        <f t="shared" si="33"/>
        <v>11</v>
      </c>
      <c r="X261" t="str">
        <f t="shared" si="34"/>
        <v>20</v>
      </c>
      <c r="Y261" t="str">
        <f t="shared" si="35"/>
        <v>2020</v>
      </c>
      <c r="Z261"/>
      <c r="AA261" s="2">
        <f t="shared" si="36"/>
        <v>44156</v>
      </c>
      <c r="AB261"/>
      <c r="AC261"/>
    </row>
    <row r="262" spans="21:29" ht="15">
      <c r="U262" s="232" t="s">
        <v>7164</v>
      </c>
      <c r="V262" t="str">
        <f t="shared" si="32"/>
        <v>22</v>
      </c>
      <c r="W262" t="str">
        <f t="shared" si="33"/>
        <v>11</v>
      </c>
      <c r="X262" t="str">
        <f t="shared" si="34"/>
        <v>20</v>
      </c>
      <c r="Y262" t="str">
        <f t="shared" si="35"/>
        <v>2020</v>
      </c>
      <c r="Z262"/>
      <c r="AA262" s="2">
        <f t="shared" si="36"/>
        <v>44157</v>
      </c>
      <c r="AB262"/>
      <c r="AC262"/>
    </row>
    <row r="263" spans="21:29" ht="15">
      <c r="U263" s="232" t="s">
        <v>7164</v>
      </c>
      <c r="V263" t="str">
        <f t="shared" si="32"/>
        <v>22</v>
      </c>
      <c r="W263" t="str">
        <f t="shared" si="33"/>
        <v>11</v>
      </c>
      <c r="X263" t="str">
        <f t="shared" si="34"/>
        <v>20</v>
      </c>
      <c r="Y263" t="str">
        <f t="shared" si="35"/>
        <v>2020</v>
      </c>
      <c r="Z263"/>
      <c r="AA263" s="2">
        <f t="shared" si="36"/>
        <v>44157</v>
      </c>
      <c r="AB263"/>
      <c r="AC263"/>
    </row>
    <row r="264" spans="21:29" ht="15">
      <c r="U264" s="232" t="s">
        <v>7164</v>
      </c>
      <c r="V264" t="str">
        <f t="shared" si="32"/>
        <v>22</v>
      </c>
      <c r="W264" t="str">
        <f t="shared" si="33"/>
        <v>11</v>
      </c>
      <c r="X264" t="str">
        <f t="shared" si="34"/>
        <v>20</v>
      </c>
      <c r="Y264" t="str">
        <f t="shared" si="35"/>
        <v>2020</v>
      </c>
      <c r="Z264"/>
      <c r="AA264" s="2">
        <f t="shared" si="36"/>
        <v>44157</v>
      </c>
      <c r="AB264"/>
      <c r="AC264"/>
    </row>
    <row r="265" spans="21:29" ht="15">
      <c r="U265" s="232" t="s">
        <v>7171</v>
      </c>
      <c r="V265" t="str">
        <f t="shared" si="32"/>
        <v>25</v>
      </c>
      <c r="W265" t="str">
        <f t="shared" si="33"/>
        <v>11</v>
      </c>
      <c r="X265" t="str">
        <f t="shared" si="34"/>
        <v>20</v>
      </c>
      <c r="Y265" t="str">
        <f t="shared" si="35"/>
        <v>2020</v>
      </c>
      <c r="Z265"/>
      <c r="AA265" s="2">
        <f t="shared" si="36"/>
        <v>44160</v>
      </c>
      <c r="AB265"/>
      <c r="AC265"/>
    </row>
    <row r="266" spans="21:29" ht="15">
      <c r="U266" s="232" t="s">
        <v>7174</v>
      </c>
      <c r="V266" t="str">
        <f t="shared" si="32"/>
        <v>26</v>
      </c>
      <c r="W266" t="str">
        <f t="shared" si="33"/>
        <v>11</v>
      </c>
      <c r="X266" t="str">
        <f t="shared" si="34"/>
        <v>20</v>
      </c>
      <c r="Y266" t="str">
        <f t="shared" si="35"/>
        <v>2020</v>
      </c>
      <c r="Z266"/>
      <c r="AA266" s="2">
        <f t="shared" si="36"/>
        <v>44161</v>
      </c>
      <c r="AB266"/>
      <c r="AC266"/>
    </row>
    <row r="267" spans="21:29" ht="15">
      <c r="U267" s="232" t="s">
        <v>7174</v>
      </c>
      <c r="V267" t="str">
        <f t="shared" si="32"/>
        <v>26</v>
      </c>
      <c r="W267" t="str">
        <f t="shared" si="33"/>
        <v>11</v>
      </c>
      <c r="X267" t="str">
        <f t="shared" si="34"/>
        <v>20</v>
      </c>
      <c r="Y267" t="str">
        <f t="shared" si="35"/>
        <v>2020</v>
      </c>
      <c r="Z267"/>
      <c r="AA267" s="2">
        <f t="shared" si="36"/>
        <v>44161</v>
      </c>
      <c r="AB267"/>
      <c r="AC267"/>
    </row>
    <row r="268" spans="21:29" ht="15">
      <c r="U268" s="232" t="s">
        <v>7174</v>
      </c>
      <c r="V268" t="str">
        <f t="shared" si="32"/>
        <v>26</v>
      </c>
      <c r="W268" t="str">
        <f t="shared" si="33"/>
        <v>11</v>
      </c>
      <c r="X268" t="str">
        <f t="shared" si="34"/>
        <v>20</v>
      </c>
      <c r="Y268" t="str">
        <f t="shared" si="35"/>
        <v>2020</v>
      </c>
      <c r="Z268"/>
      <c r="AA268" s="2">
        <f t="shared" si="36"/>
        <v>44161</v>
      </c>
      <c r="AB268"/>
      <c r="AC268"/>
    </row>
    <row r="269" spans="21:29" ht="15">
      <c r="U269" s="232" t="s">
        <v>7174</v>
      </c>
      <c r="V269" t="str">
        <f t="shared" si="32"/>
        <v>26</v>
      </c>
      <c r="W269" t="str">
        <f t="shared" si="33"/>
        <v>11</v>
      </c>
      <c r="X269" t="str">
        <f t="shared" si="34"/>
        <v>20</v>
      </c>
      <c r="Y269" t="str">
        <f t="shared" si="35"/>
        <v>2020</v>
      </c>
      <c r="Z269"/>
      <c r="AA269" s="2">
        <f t="shared" si="36"/>
        <v>44161</v>
      </c>
      <c r="AB269"/>
      <c r="AC269"/>
    </row>
    <row r="270" spans="21:29" ht="15">
      <c r="U270" s="232" t="s">
        <v>7183</v>
      </c>
      <c r="V270" t="str">
        <f t="shared" si="32"/>
        <v>27</v>
      </c>
      <c r="W270" t="str">
        <f t="shared" si="33"/>
        <v>11</v>
      </c>
      <c r="X270" t="str">
        <f t="shared" si="34"/>
        <v>20</v>
      </c>
      <c r="Y270" t="str">
        <f t="shared" si="35"/>
        <v>2020</v>
      </c>
      <c r="Z270"/>
      <c r="AA270" s="2">
        <f t="shared" si="36"/>
        <v>44162</v>
      </c>
      <c r="AB270"/>
      <c r="AC270"/>
    </row>
    <row r="271" spans="21:29" ht="15">
      <c r="U271" s="232" t="s">
        <v>7186</v>
      </c>
      <c r="V271" t="str">
        <f t="shared" si="32"/>
        <v>28</v>
      </c>
      <c r="W271" t="str">
        <f t="shared" si="33"/>
        <v>11</v>
      </c>
      <c r="X271" t="str">
        <f t="shared" si="34"/>
        <v>20</v>
      </c>
      <c r="Y271" t="str">
        <f t="shared" si="35"/>
        <v>2020</v>
      </c>
      <c r="Z271"/>
      <c r="AA271" s="2">
        <f t="shared" si="36"/>
        <v>44163</v>
      </c>
      <c r="AB271"/>
      <c r="AC271"/>
    </row>
    <row r="272" spans="21:29" ht="15">
      <c r="U272" s="232" t="s">
        <v>7189</v>
      </c>
      <c r="V272" t="str">
        <f t="shared" si="32"/>
        <v>02</v>
      </c>
      <c r="W272" t="str">
        <f t="shared" si="33"/>
        <v>12</v>
      </c>
      <c r="X272" t="str">
        <f t="shared" si="34"/>
        <v>20</v>
      </c>
      <c r="Y272" t="str">
        <f t="shared" si="35"/>
        <v>2020</v>
      </c>
      <c r="Z272"/>
      <c r="AA272" s="2">
        <f t="shared" si="36"/>
        <v>44167</v>
      </c>
      <c r="AB272"/>
      <c r="AC272"/>
    </row>
    <row r="273" spans="21:29" ht="15">
      <c r="U273" s="232" t="s">
        <v>7189</v>
      </c>
      <c r="V273" t="str">
        <f t="shared" si="32"/>
        <v>02</v>
      </c>
      <c r="W273" t="str">
        <f t="shared" si="33"/>
        <v>12</v>
      </c>
      <c r="X273" t="str">
        <f t="shared" si="34"/>
        <v>20</v>
      </c>
      <c r="Y273" t="str">
        <f t="shared" si="35"/>
        <v>2020</v>
      </c>
      <c r="Z273"/>
      <c r="AA273" s="2">
        <f t="shared" si="36"/>
        <v>44167</v>
      </c>
      <c r="AB273"/>
      <c r="AC273"/>
    </row>
    <row r="274" spans="21:29" ht="15">
      <c r="U274" s="232" t="s">
        <v>7189</v>
      </c>
      <c r="V274" t="str">
        <f t="shared" si="32"/>
        <v>02</v>
      </c>
      <c r="W274" t="str">
        <f t="shared" si="33"/>
        <v>12</v>
      </c>
      <c r="X274" t="str">
        <f t="shared" si="34"/>
        <v>20</v>
      </c>
      <c r="Y274" t="str">
        <f t="shared" si="35"/>
        <v>2020</v>
      </c>
      <c r="Z274"/>
      <c r="AA274" s="2">
        <f t="shared" si="36"/>
        <v>44167</v>
      </c>
      <c r="AB274"/>
      <c r="AC274"/>
    </row>
    <row r="275" spans="21:29" ht="15">
      <c r="U275" s="232" t="s">
        <v>7189</v>
      </c>
      <c r="V275" t="str">
        <f t="shared" si="32"/>
        <v>02</v>
      </c>
      <c r="W275" t="str">
        <f t="shared" si="33"/>
        <v>12</v>
      </c>
      <c r="X275" t="str">
        <f t="shared" si="34"/>
        <v>20</v>
      </c>
      <c r="Y275" t="str">
        <f t="shared" si="35"/>
        <v>2020</v>
      </c>
      <c r="Z275"/>
      <c r="AA275" s="2">
        <f t="shared" si="36"/>
        <v>44167</v>
      </c>
      <c r="AB275"/>
      <c r="AC275"/>
    </row>
    <row r="276" spans="21:29" ht="15">
      <c r="U276" s="232" t="s">
        <v>7189</v>
      </c>
      <c r="V276" t="str">
        <f t="shared" si="32"/>
        <v>02</v>
      </c>
      <c r="W276" t="str">
        <f t="shared" si="33"/>
        <v>12</v>
      </c>
      <c r="X276" t="str">
        <f t="shared" si="34"/>
        <v>20</v>
      </c>
      <c r="Y276" t="str">
        <f t="shared" si="35"/>
        <v>2020</v>
      </c>
      <c r="Z276"/>
      <c r="AA276" s="2">
        <f t="shared" si="36"/>
        <v>44167</v>
      </c>
      <c r="AB276"/>
      <c r="AC276"/>
    </row>
    <row r="277" spans="21:29" ht="15">
      <c r="U277" s="232" t="s">
        <v>7189</v>
      </c>
      <c r="V277" t="str">
        <f t="shared" si="32"/>
        <v>02</v>
      </c>
      <c r="W277" t="str">
        <f t="shared" si="33"/>
        <v>12</v>
      </c>
      <c r="X277" t="str">
        <f t="shared" si="34"/>
        <v>20</v>
      </c>
      <c r="Y277" t="str">
        <f t="shared" si="35"/>
        <v>2020</v>
      </c>
      <c r="Z277"/>
      <c r="AA277" s="2">
        <f t="shared" si="36"/>
        <v>44167</v>
      </c>
      <c r="AB277"/>
      <c r="AC277"/>
    </row>
    <row r="278" spans="21:29" ht="15">
      <c r="U278" s="232" t="s">
        <v>7202</v>
      </c>
      <c r="V278" t="str">
        <f t="shared" si="32"/>
        <v>04</v>
      </c>
      <c r="W278" t="str">
        <f t="shared" si="33"/>
        <v>12</v>
      </c>
      <c r="X278" t="str">
        <f t="shared" si="34"/>
        <v>20</v>
      </c>
      <c r="Y278" t="str">
        <f t="shared" si="35"/>
        <v>2020</v>
      </c>
      <c r="Z278"/>
      <c r="AA278" s="2">
        <f t="shared" si="36"/>
        <v>44169</v>
      </c>
      <c r="AB278"/>
      <c r="AC278"/>
    </row>
    <row r="279" spans="21:29" ht="15">
      <c r="U279" s="232" t="s">
        <v>7204</v>
      </c>
      <c r="V279" t="str">
        <f t="shared" si="32"/>
        <v>06</v>
      </c>
      <c r="W279" t="str">
        <f t="shared" si="33"/>
        <v>12</v>
      </c>
      <c r="X279" t="str">
        <f t="shared" si="34"/>
        <v>20</v>
      </c>
      <c r="Y279" t="str">
        <f t="shared" si="35"/>
        <v>2020</v>
      </c>
      <c r="Z279"/>
      <c r="AA279" s="2">
        <f t="shared" si="36"/>
        <v>44171</v>
      </c>
      <c r="AB279"/>
      <c r="AC279"/>
    </row>
    <row r="280" spans="21:29" ht="15">
      <c r="U280" s="232" t="s">
        <v>7204</v>
      </c>
      <c r="V280" t="str">
        <f t="shared" si="32"/>
        <v>06</v>
      </c>
      <c r="W280" t="str">
        <f t="shared" si="33"/>
        <v>12</v>
      </c>
      <c r="X280" t="str">
        <f t="shared" si="34"/>
        <v>20</v>
      </c>
      <c r="Y280" t="str">
        <f t="shared" si="35"/>
        <v>2020</v>
      </c>
      <c r="Z280"/>
      <c r="AA280" s="2">
        <f t="shared" si="36"/>
        <v>44171</v>
      </c>
      <c r="AB280"/>
      <c r="AC280"/>
    </row>
    <row r="281" spans="21:29" ht="15">
      <c r="U281" s="232" t="s">
        <v>7204</v>
      </c>
      <c r="V281" t="str">
        <f t="shared" si="32"/>
        <v>06</v>
      </c>
      <c r="W281" t="str">
        <f t="shared" si="33"/>
        <v>12</v>
      </c>
      <c r="X281" t="str">
        <f t="shared" si="34"/>
        <v>20</v>
      </c>
      <c r="Y281" t="str">
        <f t="shared" si="35"/>
        <v>2020</v>
      </c>
      <c r="Z281"/>
      <c r="AA281" s="2">
        <f t="shared" si="36"/>
        <v>44171</v>
      </c>
      <c r="AB281"/>
      <c r="AC281"/>
    </row>
    <row r="282" spans="21:29" ht="15">
      <c r="U282" s="232" t="s">
        <v>7211</v>
      </c>
      <c r="V282" t="str">
        <f t="shared" si="32"/>
        <v>07</v>
      </c>
      <c r="W282" t="str">
        <f t="shared" si="33"/>
        <v>12</v>
      </c>
      <c r="X282" t="str">
        <f t="shared" si="34"/>
        <v>20</v>
      </c>
      <c r="Y282" t="str">
        <f t="shared" si="35"/>
        <v>2020</v>
      </c>
      <c r="Z282"/>
      <c r="AA282" s="2">
        <f t="shared" si="36"/>
        <v>44172</v>
      </c>
      <c r="AB282"/>
      <c r="AC282"/>
    </row>
    <row r="283" spans="21:29" ht="15">
      <c r="U283" s="232" t="s">
        <v>7213</v>
      </c>
      <c r="V283" t="str">
        <f t="shared" si="32"/>
        <v>09</v>
      </c>
      <c r="W283" t="str">
        <f t="shared" si="33"/>
        <v>12</v>
      </c>
      <c r="X283" t="str">
        <f t="shared" si="34"/>
        <v>20</v>
      </c>
      <c r="Y283" t="str">
        <f t="shared" si="35"/>
        <v>2020</v>
      </c>
      <c r="Z283"/>
      <c r="AA283" s="2">
        <f t="shared" si="36"/>
        <v>44174</v>
      </c>
      <c r="AB283"/>
      <c r="AC283"/>
    </row>
    <row r="284" spans="21:29" ht="15">
      <c r="U284" s="232" t="s">
        <v>7213</v>
      </c>
      <c r="V284" t="str">
        <f t="shared" si="32"/>
        <v>09</v>
      </c>
      <c r="W284" t="str">
        <f t="shared" si="33"/>
        <v>12</v>
      </c>
      <c r="X284" t="str">
        <f t="shared" si="34"/>
        <v>20</v>
      </c>
      <c r="Y284" t="str">
        <f t="shared" si="35"/>
        <v>2020</v>
      </c>
      <c r="Z284"/>
      <c r="AA284" s="2">
        <f t="shared" si="36"/>
        <v>44174</v>
      </c>
      <c r="AB284"/>
      <c r="AC284"/>
    </row>
    <row r="285" spans="21:29" ht="15">
      <c r="U285" s="232" t="s">
        <v>7213</v>
      </c>
      <c r="V285" t="str">
        <f t="shared" si="32"/>
        <v>09</v>
      </c>
      <c r="W285" t="str">
        <f t="shared" si="33"/>
        <v>12</v>
      </c>
      <c r="X285" t="str">
        <f t="shared" si="34"/>
        <v>20</v>
      </c>
      <c r="Y285" t="str">
        <f t="shared" si="35"/>
        <v>2020</v>
      </c>
      <c r="Z285"/>
      <c r="AA285" s="2">
        <f t="shared" si="36"/>
        <v>44174</v>
      </c>
      <c r="AB285"/>
      <c r="AC285"/>
    </row>
    <row r="286" spans="21:29" ht="15">
      <c r="U286" s="232" t="s">
        <v>7219</v>
      </c>
      <c r="V286" t="str">
        <f t="shared" si="32"/>
        <v>11</v>
      </c>
      <c r="W286" t="str">
        <f t="shared" si="33"/>
        <v>12</v>
      </c>
      <c r="X286" t="str">
        <f t="shared" si="34"/>
        <v>20</v>
      </c>
      <c r="Y286" t="str">
        <f t="shared" si="35"/>
        <v>2020</v>
      </c>
      <c r="Z286"/>
      <c r="AA286" s="2">
        <f t="shared" si="36"/>
        <v>44176</v>
      </c>
      <c r="AB286"/>
      <c r="AC286"/>
    </row>
    <row r="287" spans="21:29" ht="15">
      <c r="U287" s="232" t="s">
        <v>7222</v>
      </c>
      <c r="V287" t="str">
        <f t="shared" si="32"/>
        <v>15</v>
      </c>
      <c r="W287" t="str">
        <f t="shared" si="33"/>
        <v>12</v>
      </c>
      <c r="X287" t="str">
        <f t="shared" si="34"/>
        <v>20</v>
      </c>
      <c r="Y287" t="str">
        <f t="shared" si="35"/>
        <v>2020</v>
      </c>
      <c r="Z287"/>
      <c r="AA287" s="2">
        <f t="shared" si="36"/>
        <v>44180</v>
      </c>
      <c r="AB287"/>
      <c r="AC287"/>
    </row>
    <row r="288" spans="21:29" ht="15">
      <c r="U288" s="232" t="s">
        <v>7222</v>
      </c>
      <c r="V288" t="str">
        <f t="shared" si="32"/>
        <v>15</v>
      </c>
      <c r="W288" t="str">
        <f t="shared" si="33"/>
        <v>12</v>
      </c>
      <c r="X288" t="str">
        <f t="shared" si="34"/>
        <v>20</v>
      </c>
      <c r="Y288" t="str">
        <f t="shared" si="35"/>
        <v>2020</v>
      </c>
      <c r="Z288"/>
      <c r="AA288" s="2">
        <f t="shared" si="36"/>
        <v>44180</v>
      </c>
      <c r="AB288"/>
      <c r="AC288"/>
    </row>
    <row r="289" spans="21:29" ht="15">
      <c r="U289" s="232" t="s">
        <v>7227</v>
      </c>
      <c r="V289" t="str">
        <f t="shared" si="32"/>
        <v>16</v>
      </c>
      <c r="W289" t="str">
        <f t="shared" si="33"/>
        <v>12</v>
      </c>
      <c r="X289" t="str">
        <f t="shared" si="34"/>
        <v>20</v>
      </c>
      <c r="Y289" t="str">
        <f t="shared" si="35"/>
        <v>2020</v>
      </c>
      <c r="Z289"/>
      <c r="AA289" s="2">
        <f t="shared" si="36"/>
        <v>44181</v>
      </c>
      <c r="AB289"/>
      <c r="AC289"/>
    </row>
    <row r="290" spans="21:29" ht="15">
      <c r="U290" s="232" t="s">
        <v>7227</v>
      </c>
      <c r="V290" t="str">
        <f t="shared" si="32"/>
        <v>16</v>
      </c>
      <c r="W290" t="str">
        <f t="shared" si="33"/>
        <v>12</v>
      </c>
      <c r="X290" t="str">
        <f t="shared" si="34"/>
        <v>20</v>
      </c>
      <c r="Y290" t="str">
        <f t="shared" si="35"/>
        <v>2020</v>
      </c>
      <c r="Z290"/>
      <c r="AA290" s="2">
        <f t="shared" si="36"/>
        <v>44181</v>
      </c>
      <c r="AB290"/>
      <c r="AC290"/>
    </row>
    <row r="291" spans="21:29" ht="15">
      <c r="U291" s="232" t="s">
        <v>7232</v>
      </c>
      <c r="V291" t="str">
        <f t="shared" si="32"/>
        <v>17</v>
      </c>
      <c r="W291" t="str">
        <f t="shared" si="33"/>
        <v>12</v>
      </c>
      <c r="X291" t="str">
        <f t="shared" si="34"/>
        <v>20</v>
      </c>
      <c r="Y291" t="str">
        <f t="shared" si="35"/>
        <v>2020</v>
      </c>
      <c r="Z291"/>
      <c r="AA291" s="2">
        <f t="shared" si="36"/>
        <v>44182</v>
      </c>
      <c r="AB291"/>
      <c r="AC291"/>
    </row>
    <row r="292" spans="21:29" ht="15">
      <c r="U292" s="232" t="s">
        <v>7232</v>
      </c>
      <c r="V292" t="str">
        <f t="shared" si="32"/>
        <v>17</v>
      </c>
      <c r="W292" t="str">
        <f t="shared" si="33"/>
        <v>12</v>
      </c>
      <c r="X292" t="str">
        <f t="shared" si="34"/>
        <v>20</v>
      </c>
      <c r="Y292" t="str">
        <f t="shared" si="35"/>
        <v>2020</v>
      </c>
      <c r="Z292"/>
      <c r="AA292" s="2">
        <f t="shared" si="36"/>
        <v>44182</v>
      </c>
      <c r="AB292"/>
      <c r="AC292"/>
    </row>
    <row r="293" spans="21:29" ht="15">
      <c r="U293" s="232" t="s">
        <v>7232</v>
      </c>
      <c r="V293" t="str">
        <f t="shared" si="32"/>
        <v>17</v>
      </c>
      <c r="W293" t="str">
        <f t="shared" si="33"/>
        <v>12</v>
      </c>
      <c r="X293" t="str">
        <f t="shared" si="34"/>
        <v>20</v>
      </c>
      <c r="Y293" t="str">
        <f t="shared" si="35"/>
        <v>2020</v>
      </c>
      <c r="Z293"/>
      <c r="AA293" s="2">
        <f t="shared" si="36"/>
        <v>44182</v>
      </c>
      <c r="AB293"/>
      <c r="AC293"/>
    </row>
    <row r="294" spans="21:29" ht="15">
      <c r="U294" s="232" t="s">
        <v>7232</v>
      </c>
      <c r="V294" t="str">
        <f t="shared" si="32"/>
        <v>17</v>
      </c>
      <c r="W294" t="str">
        <f t="shared" si="33"/>
        <v>12</v>
      </c>
      <c r="X294" t="str">
        <f t="shared" si="34"/>
        <v>20</v>
      </c>
      <c r="Y294" t="str">
        <f t="shared" si="35"/>
        <v>2020</v>
      </c>
      <c r="Z294"/>
      <c r="AA294" s="2">
        <f t="shared" si="36"/>
        <v>44182</v>
      </c>
      <c r="AB294"/>
      <c r="AC294"/>
    </row>
    <row r="295" spans="21:29" ht="15">
      <c r="U295" s="232" t="s">
        <v>7241</v>
      </c>
      <c r="V295" t="str">
        <f t="shared" si="32"/>
        <v>18</v>
      </c>
      <c r="W295" t="str">
        <f t="shared" si="33"/>
        <v>12</v>
      </c>
      <c r="X295" t="str">
        <f t="shared" si="34"/>
        <v>20</v>
      </c>
      <c r="Y295" t="str">
        <f t="shared" si="35"/>
        <v>2020</v>
      </c>
      <c r="Z295"/>
      <c r="AA295" s="2">
        <f t="shared" si="36"/>
        <v>44183</v>
      </c>
      <c r="AB295"/>
      <c r="AC295"/>
    </row>
    <row r="296" spans="21:29" ht="15">
      <c r="U296" s="232" t="s">
        <v>7241</v>
      </c>
      <c r="V296" t="str">
        <f t="shared" si="32"/>
        <v>18</v>
      </c>
      <c r="W296" t="str">
        <f t="shared" si="33"/>
        <v>12</v>
      </c>
      <c r="X296" t="str">
        <f t="shared" si="34"/>
        <v>20</v>
      </c>
      <c r="Y296" t="str">
        <f t="shared" si="35"/>
        <v>2020</v>
      </c>
      <c r="Z296"/>
      <c r="AA296" s="2">
        <f t="shared" si="36"/>
        <v>44183</v>
      </c>
      <c r="AB296"/>
      <c r="AC296"/>
    </row>
    <row r="297" spans="21:29" ht="15">
      <c r="U297" s="232" t="s">
        <v>7246</v>
      </c>
      <c r="V297" t="str">
        <f t="shared" si="32"/>
        <v>20</v>
      </c>
      <c r="W297" t="str">
        <f t="shared" si="33"/>
        <v>12</v>
      </c>
      <c r="X297" t="str">
        <f t="shared" si="34"/>
        <v>20</v>
      </c>
      <c r="Y297" t="str">
        <f t="shared" si="35"/>
        <v>2020</v>
      </c>
      <c r="Z297"/>
      <c r="AA297" s="2">
        <f t="shared" si="36"/>
        <v>44185</v>
      </c>
      <c r="AB297"/>
      <c r="AC297"/>
    </row>
    <row r="298" spans="21:29" ht="15">
      <c r="U298" s="232" t="s">
        <v>7248</v>
      </c>
      <c r="V298" t="str">
        <f t="shared" si="32"/>
        <v>21</v>
      </c>
      <c r="W298" t="str">
        <f t="shared" si="33"/>
        <v>12</v>
      </c>
      <c r="X298" t="str">
        <f t="shared" si="34"/>
        <v>20</v>
      </c>
      <c r="Y298" t="str">
        <f t="shared" si="35"/>
        <v>2020</v>
      </c>
      <c r="Z298"/>
      <c r="AA298" s="2">
        <f t="shared" si="36"/>
        <v>44186</v>
      </c>
      <c r="AB298"/>
      <c r="AC298"/>
    </row>
    <row r="299" spans="21:29" ht="15">
      <c r="U299" s="232" t="s">
        <v>7248</v>
      </c>
      <c r="V299" t="str">
        <f t="shared" si="32"/>
        <v>21</v>
      </c>
      <c r="W299" t="str">
        <f t="shared" si="33"/>
        <v>12</v>
      </c>
      <c r="X299" t="str">
        <f t="shared" si="34"/>
        <v>20</v>
      </c>
      <c r="Y299" t="str">
        <f t="shared" si="35"/>
        <v>2020</v>
      </c>
      <c r="Z299"/>
      <c r="AA299" s="2">
        <f t="shared" si="36"/>
        <v>44186</v>
      </c>
      <c r="AB299"/>
      <c r="AC299"/>
    </row>
    <row r="300" spans="21:29" ht="15">
      <c r="U300" s="232" t="s">
        <v>7248</v>
      </c>
      <c r="V300" t="str">
        <f t="shared" si="32"/>
        <v>21</v>
      </c>
      <c r="W300" t="str">
        <f t="shared" si="33"/>
        <v>12</v>
      </c>
      <c r="X300" t="str">
        <f t="shared" si="34"/>
        <v>20</v>
      </c>
      <c r="Y300" t="str">
        <f t="shared" si="35"/>
        <v>2020</v>
      </c>
      <c r="Z300"/>
      <c r="AA300" s="2">
        <f t="shared" si="36"/>
        <v>44186</v>
      </c>
      <c r="AB300"/>
      <c r="AC300"/>
    </row>
    <row r="301" spans="21:29" ht="15">
      <c r="U301" s="232" t="s">
        <v>7248</v>
      </c>
      <c r="V301" t="str">
        <f t="shared" si="32"/>
        <v>21</v>
      </c>
      <c r="W301" t="str">
        <f t="shared" si="33"/>
        <v>12</v>
      </c>
      <c r="X301" t="str">
        <f t="shared" si="34"/>
        <v>20</v>
      </c>
      <c r="Y301" t="str">
        <f t="shared" si="35"/>
        <v>2020</v>
      </c>
      <c r="Z301"/>
      <c r="AA301" s="2">
        <f t="shared" si="36"/>
        <v>44186</v>
      </c>
      <c r="AB301"/>
      <c r="AC301"/>
    </row>
    <row r="302" spans="21:29" ht="15">
      <c r="U302" s="232" t="s">
        <v>7248</v>
      </c>
      <c r="V302" t="str">
        <f t="shared" si="32"/>
        <v>21</v>
      </c>
      <c r="W302" t="str">
        <f t="shared" si="33"/>
        <v>12</v>
      </c>
      <c r="X302" t="str">
        <f t="shared" si="34"/>
        <v>20</v>
      </c>
      <c r="Y302" t="str">
        <f t="shared" si="35"/>
        <v>2020</v>
      </c>
      <c r="Z302"/>
      <c r="AA302" s="2">
        <f t="shared" si="36"/>
        <v>44186</v>
      </c>
      <c r="AB302"/>
      <c r="AC302"/>
    </row>
    <row r="303" spans="21:29" ht="15">
      <c r="U303" s="232" t="s">
        <v>7248</v>
      </c>
      <c r="V303" t="str">
        <f t="shared" si="32"/>
        <v>21</v>
      </c>
      <c r="W303" t="str">
        <f t="shared" si="33"/>
        <v>12</v>
      </c>
      <c r="X303" t="str">
        <f t="shared" si="34"/>
        <v>20</v>
      </c>
      <c r="Y303" t="str">
        <f t="shared" si="35"/>
        <v>2020</v>
      </c>
      <c r="Z303"/>
      <c r="AA303" s="2">
        <f t="shared" si="36"/>
        <v>44186</v>
      </c>
      <c r="AB303"/>
      <c r="AC303"/>
    </row>
    <row r="304" spans="21:29" ht="15">
      <c r="U304" s="232" t="s">
        <v>7261</v>
      </c>
      <c r="V304" t="str">
        <f t="shared" si="32"/>
        <v>22</v>
      </c>
      <c r="W304" t="str">
        <f t="shared" si="33"/>
        <v>12</v>
      </c>
      <c r="X304" t="str">
        <f t="shared" si="34"/>
        <v>20</v>
      </c>
      <c r="Y304" t="str">
        <f t="shared" si="35"/>
        <v>2020</v>
      </c>
      <c r="Z304"/>
      <c r="AA304" s="2">
        <f t="shared" si="36"/>
        <v>44187</v>
      </c>
      <c r="AB304"/>
      <c r="AC304"/>
    </row>
    <row r="305" spans="21:29" ht="15">
      <c r="U305" s="232" t="s">
        <v>7264</v>
      </c>
      <c r="V305" t="str">
        <f t="shared" si="32"/>
        <v>23</v>
      </c>
      <c r="W305" t="str">
        <f t="shared" si="33"/>
        <v>12</v>
      </c>
      <c r="X305" t="str">
        <f t="shared" si="34"/>
        <v>20</v>
      </c>
      <c r="Y305" t="str">
        <f t="shared" si="35"/>
        <v>2020</v>
      </c>
      <c r="Z305"/>
      <c r="AA305" s="2">
        <f t="shared" si="36"/>
        <v>44188</v>
      </c>
      <c r="AB305"/>
      <c r="AC305"/>
    </row>
    <row r="306" spans="21:29" ht="15">
      <c r="U306" s="232" t="s">
        <v>7264</v>
      </c>
      <c r="V306" t="str">
        <f t="shared" si="32"/>
        <v>23</v>
      </c>
      <c r="W306" t="str">
        <f t="shared" si="33"/>
        <v>12</v>
      </c>
      <c r="X306" t="str">
        <f t="shared" si="34"/>
        <v>20</v>
      </c>
      <c r="Y306" t="str">
        <f t="shared" si="35"/>
        <v>2020</v>
      </c>
      <c r="Z306"/>
      <c r="AA306" s="2">
        <f t="shared" si="36"/>
        <v>44188</v>
      </c>
      <c r="AB306"/>
      <c r="AC306"/>
    </row>
    <row r="307" spans="21:29" ht="15">
      <c r="U307" s="232" t="s">
        <v>7269</v>
      </c>
      <c r="V307" t="str">
        <f t="shared" si="32"/>
        <v>24</v>
      </c>
      <c r="W307" t="str">
        <f t="shared" si="33"/>
        <v>12</v>
      </c>
      <c r="X307" t="str">
        <f t="shared" si="34"/>
        <v>20</v>
      </c>
      <c r="Y307" t="str">
        <f t="shared" si="35"/>
        <v>2020</v>
      </c>
      <c r="Z307"/>
      <c r="AA307" s="2">
        <f t="shared" si="36"/>
        <v>44189</v>
      </c>
      <c r="AB307"/>
      <c r="AC307"/>
    </row>
    <row r="308" spans="21:29" ht="15">
      <c r="U308" s="232" t="s">
        <v>7269</v>
      </c>
      <c r="V308" t="str">
        <f t="shared" si="32"/>
        <v>24</v>
      </c>
      <c r="W308" t="str">
        <f t="shared" si="33"/>
        <v>12</v>
      </c>
      <c r="X308" t="str">
        <f t="shared" si="34"/>
        <v>20</v>
      </c>
      <c r="Y308" t="str">
        <f t="shared" si="35"/>
        <v>2020</v>
      </c>
      <c r="Z308"/>
      <c r="AA308" s="2">
        <f t="shared" si="36"/>
        <v>44189</v>
      </c>
      <c r="AB308"/>
      <c r="AC308"/>
    </row>
    <row r="309" spans="21:29" ht="15">
      <c r="U309" s="232" t="s">
        <v>7269</v>
      </c>
      <c r="V309" t="str">
        <f t="shared" si="32"/>
        <v>24</v>
      </c>
      <c r="W309" t="str">
        <f t="shared" si="33"/>
        <v>12</v>
      </c>
      <c r="X309" t="str">
        <f t="shared" si="34"/>
        <v>20</v>
      </c>
      <c r="Y309" t="str">
        <f t="shared" si="35"/>
        <v>2020</v>
      </c>
      <c r="Z309"/>
      <c r="AA309" s="2">
        <f t="shared" si="36"/>
        <v>44189</v>
      </c>
      <c r="AB309"/>
      <c r="AC309"/>
    </row>
    <row r="310" spans="21:29" ht="15">
      <c r="U310" s="232" t="s">
        <v>7269</v>
      </c>
      <c r="V310" t="str">
        <f t="shared" si="32"/>
        <v>24</v>
      </c>
      <c r="W310" t="str">
        <f t="shared" si="33"/>
        <v>12</v>
      </c>
      <c r="X310" t="str">
        <f t="shared" si="34"/>
        <v>20</v>
      </c>
      <c r="Y310" t="str">
        <f t="shared" si="35"/>
        <v>2020</v>
      </c>
      <c r="Z310"/>
      <c r="AA310" s="2">
        <f t="shared" si="36"/>
        <v>44189</v>
      </c>
      <c r="AB310"/>
      <c r="AC310"/>
    </row>
    <row r="311" spans="21:29" ht="15">
      <c r="U311" s="232" t="s">
        <v>7269</v>
      </c>
      <c r="V311" t="str">
        <f t="shared" si="32"/>
        <v>24</v>
      </c>
      <c r="W311" t="str">
        <f t="shared" si="33"/>
        <v>12</v>
      </c>
      <c r="X311" t="str">
        <f t="shared" si="34"/>
        <v>20</v>
      </c>
      <c r="Y311" t="str">
        <f t="shared" si="35"/>
        <v>2020</v>
      </c>
      <c r="Z311"/>
      <c r="AA311" s="2">
        <f t="shared" si="36"/>
        <v>44189</v>
      </c>
      <c r="AB311"/>
      <c r="AC311"/>
    </row>
    <row r="312" spans="21:29" ht="15">
      <c r="U312" s="232" t="s">
        <v>7269</v>
      </c>
      <c r="V312" t="str">
        <f t="shared" si="32"/>
        <v>24</v>
      </c>
      <c r="W312" t="str">
        <f t="shared" si="33"/>
        <v>12</v>
      </c>
      <c r="X312" t="str">
        <f t="shared" si="34"/>
        <v>20</v>
      </c>
      <c r="Y312" t="str">
        <f t="shared" si="35"/>
        <v>2020</v>
      </c>
      <c r="Z312"/>
      <c r="AA312" s="2">
        <f t="shared" si="36"/>
        <v>44189</v>
      </c>
      <c r="AB312"/>
      <c r="AC312"/>
    </row>
    <row r="313" spans="21:29" ht="15">
      <c r="U313" s="232" t="s">
        <v>7269</v>
      </c>
      <c r="V313" t="str">
        <f t="shared" si="32"/>
        <v>24</v>
      </c>
      <c r="W313" t="str">
        <f t="shared" si="33"/>
        <v>12</v>
      </c>
      <c r="X313" t="str">
        <f t="shared" si="34"/>
        <v>20</v>
      </c>
      <c r="Y313" t="str">
        <f t="shared" si="35"/>
        <v>2020</v>
      </c>
      <c r="Z313"/>
      <c r="AA313" s="2">
        <f t="shared" si="36"/>
        <v>44189</v>
      </c>
      <c r="AB313"/>
      <c r="AC313"/>
    </row>
    <row r="314" spans="21:29" ht="15">
      <c r="U314" s="232" t="s">
        <v>7284</v>
      </c>
      <c r="V314" t="str">
        <f t="shared" si="32"/>
        <v>25</v>
      </c>
      <c r="W314" t="str">
        <f t="shared" si="33"/>
        <v>12</v>
      </c>
      <c r="X314" t="str">
        <f t="shared" si="34"/>
        <v>20</v>
      </c>
      <c r="Y314" t="str">
        <f t="shared" si="35"/>
        <v>2020</v>
      </c>
      <c r="Z314"/>
      <c r="AA314" s="2">
        <f t="shared" si="36"/>
        <v>44190</v>
      </c>
      <c r="AB314"/>
      <c r="AC314"/>
    </row>
    <row r="315" spans="21:29" ht="15">
      <c r="U315" s="232" t="s">
        <v>7287</v>
      </c>
      <c r="V315" t="str">
        <f t="shared" si="32"/>
        <v>26</v>
      </c>
      <c r="W315" t="str">
        <f t="shared" si="33"/>
        <v>12</v>
      </c>
      <c r="X315" t="str">
        <f t="shared" si="34"/>
        <v>20</v>
      </c>
      <c r="Y315" t="str">
        <f t="shared" si="35"/>
        <v>2020</v>
      </c>
      <c r="Z315"/>
      <c r="AA315" s="2">
        <f t="shared" si="36"/>
        <v>44191</v>
      </c>
      <c r="AB315"/>
      <c r="AC315"/>
    </row>
    <row r="316" spans="21:29" ht="15">
      <c r="U316" s="232" t="s">
        <v>7287</v>
      </c>
      <c r="V316" t="str">
        <f t="shared" si="32"/>
        <v>26</v>
      </c>
      <c r="W316" t="str">
        <f t="shared" si="33"/>
        <v>12</v>
      </c>
      <c r="X316" t="str">
        <f t="shared" si="34"/>
        <v>20</v>
      </c>
      <c r="Y316" t="str">
        <f t="shared" si="35"/>
        <v>2020</v>
      </c>
      <c r="Z316"/>
      <c r="AA316" s="2">
        <f t="shared" si="36"/>
        <v>44191</v>
      </c>
      <c r="AB316"/>
      <c r="AC316"/>
    </row>
    <row r="317" spans="21:29" ht="15">
      <c r="U317" s="232" t="s">
        <v>7287</v>
      </c>
      <c r="V317" t="str">
        <f t="shared" si="32"/>
        <v>26</v>
      </c>
      <c r="W317" t="str">
        <f t="shared" si="33"/>
        <v>12</v>
      </c>
      <c r="X317" t="str">
        <f t="shared" si="34"/>
        <v>20</v>
      </c>
      <c r="Y317" t="str">
        <f t="shared" si="35"/>
        <v>2020</v>
      </c>
      <c r="Z317"/>
      <c r="AA317" s="2">
        <f t="shared" si="36"/>
        <v>44191</v>
      </c>
      <c r="AB317"/>
      <c r="AC317"/>
    </row>
    <row r="318" spans="21:29" ht="15">
      <c r="U318" s="232" t="s">
        <v>7287</v>
      </c>
      <c r="V318" t="str">
        <f t="shared" si="32"/>
        <v>26</v>
      </c>
      <c r="W318" t="str">
        <f t="shared" si="33"/>
        <v>12</v>
      </c>
      <c r="X318" t="str">
        <f t="shared" si="34"/>
        <v>20</v>
      </c>
      <c r="Y318" t="str">
        <f t="shared" si="35"/>
        <v>2020</v>
      </c>
      <c r="Z318"/>
      <c r="AA318" s="2">
        <f t="shared" si="36"/>
        <v>44191</v>
      </c>
      <c r="AB318"/>
      <c r="AC318"/>
    </row>
    <row r="319" spans="21:29" ht="15">
      <c r="U319" s="232" t="s">
        <v>7296</v>
      </c>
      <c r="V319" t="str">
        <f t="shared" si="32"/>
        <v>27</v>
      </c>
      <c r="W319" t="str">
        <f t="shared" si="33"/>
        <v>12</v>
      </c>
      <c r="X319" t="str">
        <f t="shared" si="34"/>
        <v>20</v>
      </c>
      <c r="Y319" t="str">
        <f t="shared" si="35"/>
        <v>2020</v>
      </c>
      <c r="Z319"/>
      <c r="AA319" s="2">
        <f t="shared" si="36"/>
        <v>44192</v>
      </c>
      <c r="AB319"/>
      <c r="AC319"/>
    </row>
    <row r="320" spans="21:29" ht="15">
      <c r="U320" s="232" t="s">
        <v>7299</v>
      </c>
      <c r="V320" t="str">
        <f t="shared" si="32"/>
        <v>28</v>
      </c>
      <c r="W320" t="str">
        <f t="shared" si="33"/>
        <v>12</v>
      </c>
      <c r="X320" t="str">
        <f t="shared" si="34"/>
        <v>20</v>
      </c>
      <c r="Y320" t="str">
        <f t="shared" si="35"/>
        <v>2020</v>
      </c>
      <c r="Z320"/>
      <c r="AA320" s="2">
        <f t="shared" si="36"/>
        <v>44193</v>
      </c>
      <c r="AB320"/>
      <c r="AC320"/>
    </row>
    <row r="321" spans="21:29" ht="15">
      <c r="U321" s="232" t="s">
        <v>7299</v>
      </c>
      <c r="V321" t="str">
        <f t="shared" si="32"/>
        <v>28</v>
      </c>
      <c r="W321" t="str">
        <f t="shared" si="33"/>
        <v>12</v>
      </c>
      <c r="X321" t="str">
        <f t="shared" si="34"/>
        <v>20</v>
      </c>
      <c r="Y321" t="str">
        <f t="shared" si="35"/>
        <v>2020</v>
      </c>
      <c r="Z321"/>
      <c r="AA321" s="2">
        <f t="shared" si="36"/>
        <v>44193</v>
      </c>
      <c r="AB321"/>
      <c r="AC321"/>
    </row>
    <row r="322" spans="21:29" ht="15">
      <c r="U322" s="232" t="s">
        <v>7299</v>
      </c>
      <c r="V322" t="str">
        <f t="shared" si="32"/>
        <v>28</v>
      </c>
      <c r="W322" t="str">
        <f t="shared" si="33"/>
        <v>12</v>
      </c>
      <c r="X322" t="str">
        <f t="shared" si="34"/>
        <v>20</v>
      </c>
      <c r="Y322" t="str">
        <f t="shared" si="35"/>
        <v>2020</v>
      </c>
      <c r="Z322"/>
      <c r="AA322" s="2">
        <f t="shared" si="36"/>
        <v>44193</v>
      </c>
      <c r="AB322"/>
      <c r="AC322"/>
    </row>
    <row r="323" spans="21:29" ht="15">
      <c r="U323" s="232" t="s">
        <v>7299</v>
      </c>
      <c r="V323" t="str">
        <f t="shared" ref="V323:V386" si="37">LEFT(U323,2)</f>
        <v>28</v>
      </c>
      <c r="W323" t="str">
        <f t="shared" ref="W323:W386" si="38">MID(U323,4,2)</f>
        <v>12</v>
      </c>
      <c r="X323" t="str">
        <f t="shared" ref="X323:X386" si="39">RIGHT(U323,2)</f>
        <v>20</v>
      </c>
      <c r="Y323" t="str">
        <f t="shared" ref="Y323:Y386" si="40">"20" &amp; X323</f>
        <v>2020</v>
      </c>
      <c r="Z323"/>
      <c r="AA323" s="2">
        <f t="shared" ref="AA323:AA386" si="41">DATE(Y323,W323,V323)</f>
        <v>44193</v>
      </c>
      <c r="AB323"/>
      <c r="AC323"/>
    </row>
    <row r="324" spans="21:29" ht="15">
      <c r="U324" s="232" t="s">
        <v>7299</v>
      </c>
      <c r="V324" t="str">
        <f t="shared" si="37"/>
        <v>28</v>
      </c>
      <c r="W324" t="str">
        <f t="shared" si="38"/>
        <v>12</v>
      </c>
      <c r="X324" t="str">
        <f t="shared" si="39"/>
        <v>20</v>
      </c>
      <c r="Y324" t="str">
        <f t="shared" si="40"/>
        <v>2020</v>
      </c>
      <c r="Z324"/>
      <c r="AA324" s="2">
        <f t="shared" si="41"/>
        <v>44193</v>
      </c>
      <c r="AB324"/>
      <c r="AC324"/>
    </row>
    <row r="325" spans="21:29" ht="15">
      <c r="U325" s="232" t="s">
        <v>7310</v>
      </c>
      <c r="V325" t="str">
        <f t="shared" si="37"/>
        <v>29</v>
      </c>
      <c r="W325" t="str">
        <f t="shared" si="38"/>
        <v>12</v>
      </c>
      <c r="X325" t="str">
        <f t="shared" si="39"/>
        <v>20</v>
      </c>
      <c r="Y325" t="str">
        <f t="shared" si="40"/>
        <v>2020</v>
      </c>
      <c r="Z325"/>
      <c r="AA325" s="2">
        <f t="shared" si="41"/>
        <v>44194</v>
      </c>
      <c r="AB325"/>
      <c r="AC325"/>
    </row>
    <row r="326" spans="21:29" ht="15">
      <c r="U326" s="232" t="s">
        <v>7313</v>
      </c>
      <c r="V326" t="str">
        <f t="shared" si="37"/>
        <v>30</v>
      </c>
      <c r="W326" t="str">
        <f t="shared" si="38"/>
        <v>12</v>
      </c>
      <c r="X326" t="str">
        <f t="shared" si="39"/>
        <v>20</v>
      </c>
      <c r="Y326" t="str">
        <f t="shared" si="40"/>
        <v>2020</v>
      </c>
      <c r="Z326"/>
      <c r="AA326" s="2">
        <f t="shared" si="41"/>
        <v>44195</v>
      </c>
      <c r="AB326"/>
      <c r="AC326"/>
    </row>
    <row r="327" spans="21:29" ht="15">
      <c r="U327" s="232" t="s">
        <v>7316</v>
      </c>
      <c r="V327" t="str">
        <f t="shared" si="37"/>
        <v>31</v>
      </c>
      <c r="W327" t="str">
        <f t="shared" si="38"/>
        <v>12</v>
      </c>
      <c r="X327" t="str">
        <f t="shared" si="39"/>
        <v>20</v>
      </c>
      <c r="Y327" t="str">
        <f t="shared" si="40"/>
        <v>2020</v>
      </c>
      <c r="Z327"/>
      <c r="AA327" s="2">
        <f t="shared" si="41"/>
        <v>44196</v>
      </c>
      <c r="AB327"/>
      <c r="AC327"/>
    </row>
    <row r="328" spans="21:29" ht="15">
      <c r="U328" s="232" t="s">
        <v>7316</v>
      </c>
      <c r="V328" t="str">
        <f t="shared" si="37"/>
        <v>31</v>
      </c>
      <c r="W328" t="str">
        <f t="shared" si="38"/>
        <v>12</v>
      </c>
      <c r="X328" t="str">
        <f t="shared" si="39"/>
        <v>20</v>
      </c>
      <c r="Y328" t="str">
        <f t="shared" si="40"/>
        <v>2020</v>
      </c>
      <c r="Z328"/>
      <c r="AA328" s="2">
        <f t="shared" si="41"/>
        <v>44196</v>
      </c>
      <c r="AB328"/>
      <c r="AC328"/>
    </row>
    <row r="329" spans="21:29" ht="15">
      <c r="U329" s="232" t="s">
        <v>7319</v>
      </c>
      <c r="V329" t="str">
        <f t="shared" si="37"/>
        <v>01</v>
      </c>
      <c r="W329" t="str">
        <f t="shared" si="38"/>
        <v>01</v>
      </c>
      <c r="X329" t="str">
        <f t="shared" si="39"/>
        <v>21</v>
      </c>
      <c r="Y329" t="str">
        <f t="shared" si="40"/>
        <v>2021</v>
      </c>
      <c r="Z329"/>
      <c r="AA329" s="2">
        <f t="shared" si="41"/>
        <v>44197</v>
      </c>
      <c r="AB329"/>
      <c r="AC329"/>
    </row>
    <row r="330" spans="21:29" ht="15">
      <c r="U330" s="232" t="s">
        <v>7319</v>
      </c>
      <c r="V330" t="str">
        <f t="shared" si="37"/>
        <v>01</v>
      </c>
      <c r="W330" t="str">
        <f t="shared" si="38"/>
        <v>01</v>
      </c>
      <c r="X330" t="str">
        <f t="shared" si="39"/>
        <v>21</v>
      </c>
      <c r="Y330" t="str">
        <f t="shared" si="40"/>
        <v>2021</v>
      </c>
      <c r="Z330"/>
      <c r="AA330" s="2">
        <f t="shared" si="41"/>
        <v>44197</v>
      </c>
      <c r="AB330"/>
      <c r="AC330"/>
    </row>
    <row r="331" spans="21:29" ht="15">
      <c r="U331" s="232" t="s">
        <v>7319</v>
      </c>
      <c r="V331" t="str">
        <f t="shared" si="37"/>
        <v>01</v>
      </c>
      <c r="W331" t="str">
        <f t="shared" si="38"/>
        <v>01</v>
      </c>
      <c r="X331" t="str">
        <f t="shared" si="39"/>
        <v>21</v>
      </c>
      <c r="Y331" t="str">
        <f t="shared" si="40"/>
        <v>2021</v>
      </c>
      <c r="Z331"/>
      <c r="AA331" s="2">
        <f t="shared" si="41"/>
        <v>44197</v>
      </c>
      <c r="AB331"/>
      <c r="AC331"/>
    </row>
    <row r="332" spans="21:29" ht="15">
      <c r="U332" s="232" t="s">
        <v>7326</v>
      </c>
      <c r="V332" t="str">
        <f t="shared" si="37"/>
        <v>02</v>
      </c>
      <c r="W332" t="str">
        <f t="shared" si="38"/>
        <v>01</v>
      </c>
      <c r="X332" t="str">
        <f t="shared" si="39"/>
        <v>21</v>
      </c>
      <c r="Y332" t="str">
        <f t="shared" si="40"/>
        <v>2021</v>
      </c>
      <c r="Z332"/>
      <c r="AA332" s="2">
        <f t="shared" si="41"/>
        <v>44198</v>
      </c>
      <c r="AB332"/>
      <c r="AC332"/>
    </row>
    <row r="333" spans="21:29" ht="15">
      <c r="U333" s="232" t="s">
        <v>7329</v>
      </c>
      <c r="V333" t="str">
        <f t="shared" si="37"/>
        <v>03</v>
      </c>
      <c r="W333" t="str">
        <f t="shared" si="38"/>
        <v>01</v>
      </c>
      <c r="X333" t="str">
        <f t="shared" si="39"/>
        <v>21</v>
      </c>
      <c r="Y333" t="str">
        <f t="shared" si="40"/>
        <v>2021</v>
      </c>
      <c r="Z333"/>
      <c r="AA333" s="2">
        <f t="shared" si="41"/>
        <v>44199</v>
      </c>
      <c r="AB333"/>
      <c r="AC333"/>
    </row>
    <row r="334" spans="21:29" ht="15">
      <c r="U334" s="232" t="s">
        <v>7329</v>
      </c>
      <c r="V334" t="str">
        <f t="shared" si="37"/>
        <v>03</v>
      </c>
      <c r="W334" t="str">
        <f t="shared" si="38"/>
        <v>01</v>
      </c>
      <c r="X334" t="str">
        <f t="shared" si="39"/>
        <v>21</v>
      </c>
      <c r="Y334" t="str">
        <f t="shared" si="40"/>
        <v>2021</v>
      </c>
      <c r="Z334"/>
      <c r="AA334" s="2">
        <f t="shared" si="41"/>
        <v>44199</v>
      </c>
      <c r="AB334"/>
      <c r="AC334"/>
    </row>
    <row r="335" spans="21:29" ht="15">
      <c r="U335" s="232" t="s">
        <v>7334</v>
      </c>
      <c r="V335" t="str">
        <f t="shared" si="37"/>
        <v>04</v>
      </c>
      <c r="W335" t="str">
        <f t="shared" si="38"/>
        <v>01</v>
      </c>
      <c r="X335" t="str">
        <f t="shared" si="39"/>
        <v>21</v>
      </c>
      <c r="Y335" t="str">
        <f t="shared" si="40"/>
        <v>2021</v>
      </c>
      <c r="Z335"/>
      <c r="AA335" s="2">
        <f t="shared" si="41"/>
        <v>44200</v>
      </c>
      <c r="AB335"/>
      <c r="AC335"/>
    </row>
    <row r="336" spans="21:29" ht="15">
      <c r="U336" s="232" t="s">
        <v>7337</v>
      </c>
      <c r="V336" t="str">
        <f t="shared" si="37"/>
        <v>05</v>
      </c>
      <c r="W336" t="str">
        <f t="shared" si="38"/>
        <v>01</v>
      </c>
      <c r="X336" t="str">
        <f t="shared" si="39"/>
        <v>21</v>
      </c>
      <c r="Y336" t="str">
        <f t="shared" si="40"/>
        <v>2021</v>
      </c>
      <c r="Z336"/>
      <c r="AA336" s="2">
        <f t="shared" si="41"/>
        <v>44201</v>
      </c>
      <c r="AB336"/>
      <c r="AC336"/>
    </row>
    <row r="337" spans="21:29" ht="15">
      <c r="U337" s="232" t="s">
        <v>7337</v>
      </c>
      <c r="V337" t="str">
        <f t="shared" si="37"/>
        <v>05</v>
      </c>
      <c r="W337" t="str">
        <f t="shared" si="38"/>
        <v>01</v>
      </c>
      <c r="X337" t="str">
        <f t="shared" si="39"/>
        <v>21</v>
      </c>
      <c r="Y337" t="str">
        <f t="shared" si="40"/>
        <v>2021</v>
      </c>
      <c r="Z337"/>
      <c r="AA337" s="2">
        <f t="shared" si="41"/>
        <v>44201</v>
      </c>
      <c r="AB337"/>
      <c r="AC337"/>
    </row>
    <row r="338" spans="21:29" ht="15">
      <c r="U338" s="232" t="s">
        <v>7337</v>
      </c>
      <c r="V338" t="str">
        <f t="shared" si="37"/>
        <v>05</v>
      </c>
      <c r="W338" t="str">
        <f t="shared" si="38"/>
        <v>01</v>
      </c>
      <c r="X338" t="str">
        <f t="shared" si="39"/>
        <v>21</v>
      </c>
      <c r="Y338" t="str">
        <f t="shared" si="40"/>
        <v>2021</v>
      </c>
      <c r="Z338"/>
      <c r="AA338" s="2">
        <f t="shared" si="41"/>
        <v>44201</v>
      </c>
      <c r="AB338"/>
      <c r="AC338"/>
    </row>
    <row r="339" spans="21:29" ht="15">
      <c r="U339" s="232" t="s">
        <v>7337</v>
      </c>
      <c r="V339" t="str">
        <f t="shared" si="37"/>
        <v>05</v>
      </c>
      <c r="W339" t="str">
        <f t="shared" si="38"/>
        <v>01</v>
      </c>
      <c r="X339" t="str">
        <f t="shared" si="39"/>
        <v>21</v>
      </c>
      <c r="Y339" t="str">
        <f t="shared" si="40"/>
        <v>2021</v>
      </c>
      <c r="Z339"/>
      <c r="AA339" s="2">
        <f t="shared" si="41"/>
        <v>44201</v>
      </c>
      <c r="AB339"/>
      <c r="AC339"/>
    </row>
    <row r="340" spans="21:29" ht="15">
      <c r="U340" s="232" t="s">
        <v>7337</v>
      </c>
      <c r="V340" t="str">
        <f t="shared" si="37"/>
        <v>05</v>
      </c>
      <c r="W340" t="str">
        <f t="shared" si="38"/>
        <v>01</v>
      </c>
      <c r="X340" t="str">
        <f t="shared" si="39"/>
        <v>21</v>
      </c>
      <c r="Y340" t="str">
        <f t="shared" si="40"/>
        <v>2021</v>
      </c>
      <c r="Z340"/>
      <c r="AA340" s="2">
        <f t="shared" si="41"/>
        <v>44201</v>
      </c>
      <c r="AB340"/>
      <c r="AC340"/>
    </row>
    <row r="341" spans="21:29" ht="15">
      <c r="U341" s="232" t="s">
        <v>7347</v>
      </c>
      <c r="V341" t="str">
        <f t="shared" si="37"/>
        <v>08</v>
      </c>
      <c r="W341" t="str">
        <f t="shared" si="38"/>
        <v>01</v>
      </c>
      <c r="X341" t="str">
        <f t="shared" si="39"/>
        <v>21</v>
      </c>
      <c r="Y341" t="str">
        <f t="shared" si="40"/>
        <v>2021</v>
      </c>
      <c r="Z341"/>
      <c r="AA341" s="2">
        <f t="shared" si="41"/>
        <v>44204</v>
      </c>
      <c r="AB341"/>
      <c r="AC341"/>
    </row>
    <row r="342" spans="21:29" ht="15">
      <c r="U342" s="232" t="s">
        <v>7347</v>
      </c>
      <c r="V342" t="str">
        <f t="shared" si="37"/>
        <v>08</v>
      </c>
      <c r="W342" t="str">
        <f t="shared" si="38"/>
        <v>01</v>
      </c>
      <c r="X342" t="str">
        <f t="shared" si="39"/>
        <v>21</v>
      </c>
      <c r="Y342" t="str">
        <f t="shared" si="40"/>
        <v>2021</v>
      </c>
      <c r="Z342"/>
      <c r="AA342" s="2">
        <f t="shared" si="41"/>
        <v>44204</v>
      </c>
      <c r="AB342"/>
      <c r="AC342"/>
    </row>
    <row r="343" spans="21:29" ht="15">
      <c r="U343" s="232" t="s">
        <v>7347</v>
      </c>
      <c r="V343" t="str">
        <f t="shared" si="37"/>
        <v>08</v>
      </c>
      <c r="W343" t="str">
        <f t="shared" si="38"/>
        <v>01</v>
      </c>
      <c r="X343" t="str">
        <f t="shared" si="39"/>
        <v>21</v>
      </c>
      <c r="Y343" t="str">
        <f t="shared" si="40"/>
        <v>2021</v>
      </c>
      <c r="Z343"/>
      <c r="AA343" s="2">
        <f t="shared" si="41"/>
        <v>44204</v>
      </c>
      <c r="AB343"/>
      <c r="AC343"/>
    </row>
    <row r="344" spans="21:29" ht="15">
      <c r="U344" s="232" t="s">
        <v>7353</v>
      </c>
      <c r="V344" t="str">
        <f t="shared" si="37"/>
        <v>09</v>
      </c>
      <c r="W344" t="str">
        <f t="shared" si="38"/>
        <v>01</v>
      </c>
      <c r="X344" t="str">
        <f t="shared" si="39"/>
        <v>21</v>
      </c>
      <c r="Y344" t="str">
        <f t="shared" si="40"/>
        <v>2021</v>
      </c>
      <c r="Z344"/>
      <c r="AA344" s="2">
        <f t="shared" si="41"/>
        <v>44205</v>
      </c>
      <c r="AB344"/>
      <c r="AC344"/>
    </row>
    <row r="345" spans="21:29" ht="15">
      <c r="U345" s="232" t="s">
        <v>7353</v>
      </c>
      <c r="V345" t="str">
        <f t="shared" si="37"/>
        <v>09</v>
      </c>
      <c r="W345" t="str">
        <f t="shared" si="38"/>
        <v>01</v>
      </c>
      <c r="X345" t="str">
        <f t="shared" si="39"/>
        <v>21</v>
      </c>
      <c r="Y345" t="str">
        <f t="shared" si="40"/>
        <v>2021</v>
      </c>
      <c r="Z345"/>
      <c r="AA345" s="2">
        <f t="shared" si="41"/>
        <v>44205</v>
      </c>
      <c r="AB345"/>
      <c r="AC345"/>
    </row>
    <row r="346" spans="21:29" ht="15">
      <c r="U346" s="232" t="s">
        <v>7353</v>
      </c>
      <c r="V346" t="str">
        <f t="shared" si="37"/>
        <v>09</v>
      </c>
      <c r="W346" t="str">
        <f t="shared" si="38"/>
        <v>01</v>
      </c>
      <c r="X346" t="str">
        <f t="shared" si="39"/>
        <v>21</v>
      </c>
      <c r="Y346" t="str">
        <f t="shared" si="40"/>
        <v>2021</v>
      </c>
      <c r="Z346"/>
      <c r="AA346" s="2">
        <f t="shared" si="41"/>
        <v>44205</v>
      </c>
      <c r="AB346"/>
      <c r="AC346"/>
    </row>
    <row r="347" spans="21:29" ht="15">
      <c r="U347" s="232" t="s">
        <v>7359</v>
      </c>
      <c r="V347" t="str">
        <f t="shared" si="37"/>
        <v>13</v>
      </c>
      <c r="W347" t="str">
        <f t="shared" si="38"/>
        <v>01</v>
      </c>
      <c r="X347" t="str">
        <f t="shared" si="39"/>
        <v>21</v>
      </c>
      <c r="Y347" t="str">
        <f t="shared" si="40"/>
        <v>2021</v>
      </c>
      <c r="Z347"/>
      <c r="AA347" s="2">
        <f t="shared" si="41"/>
        <v>44209</v>
      </c>
      <c r="AB347"/>
      <c r="AC347"/>
    </row>
    <row r="348" spans="21:29" ht="15">
      <c r="U348" s="232" t="s">
        <v>7359</v>
      </c>
      <c r="V348" t="str">
        <f t="shared" si="37"/>
        <v>13</v>
      </c>
      <c r="W348" t="str">
        <f t="shared" si="38"/>
        <v>01</v>
      </c>
      <c r="X348" t="str">
        <f t="shared" si="39"/>
        <v>21</v>
      </c>
      <c r="Y348" t="str">
        <f t="shared" si="40"/>
        <v>2021</v>
      </c>
      <c r="Z348"/>
      <c r="AA348" s="2">
        <f t="shared" si="41"/>
        <v>44209</v>
      </c>
      <c r="AB348"/>
      <c r="AC348"/>
    </row>
    <row r="349" spans="21:29" ht="15">
      <c r="U349" s="232" t="s">
        <v>7364</v>
      </c>
      <c r="V349" t="str">
        <f t="shared" si="37"/>
        <v>15</v>
      </c>
      <c r="W349" t="str">
        <f t="shared" si="38"/>
        <v>01</v>
      </c>
      <c r="X349" t="str">
        <f t="shared" si="39"/>
        <v>21</v>
      </c>
      <c r="Y349" t="str">
        <f t="shared" si="40"/>
        <v>2021</v>
      </c>
      <c r="Z349"/>
      <c r="AA349" s="2">
        <f t="shared" si="41"/>
        <v>44211</v>
      </c>
      <c r="AB349"/>
      <c r="AC349"/>
    </row>
    <row r="350" spans="21:29" ht="15">
      <c r="U350" s="232" t="s">
        <v>7367</v>
      </c>
      <c r="V350" t="str">
        <f t="shared" si="37"/>
        <v>16</v>
      </c>
      <c r="W350" t="str">
        <f t="shared" si="38"/>
        <v>01</v>
      </c>
      <c r="X350" t="str">
        <f t="shared" si="39"/>
        <v>21</v>
      </c>
      <c r="Y350" t="str">
        <f t="shared" si="40"/>
        <v>2021</v>
      </c>
      <c r="Z350"/>
      <c r="AA350" s="2">
        <f t="shared" si="41"/>
        <v>44212</v>
      </c>
      <c r="AB350"/>
      <c r="AC350"/>
    </row>
    <row r="351" spans="21:29" ht="15">
      <c r="U351" s="232" t="s">
        <v>7367</v>
      </c>
      <c r="V351" t="str">
        <f t="shared" si="37"/>
        <v>16</v>
      </c>
      <c r="W351" t="str">
        <f t="shared" si="38"/>
        <v>01</v>
      </c>
      <c r="X351" t="str">
        <f t="shared" si="39"/>
        <v>21</v>
      </c>
      <c r="Y351" t="str">
        <f t="shared" si="40"/>
        <v>2021</v>
      </c>
      <c r="Z351"/>
      <c r="AA351" s="2">
        <f t="shared" si="41"/>
        <v>44212</v>
      </c>
      <c r="AB351"/>
      <c r="AC351"/>
    </row>
    <row r="352" spans="21:29" ht="15">
      <c r="U352" s="232" t="s">
        <v>7367</v>
      </c>
      <c r="V352" t="str">
        <f t="shared" si="37"/>
        <v>16</v>
      </c>
      <c r="W352" t="str">
        <f t="shared" si="38"/>
        <v>01</v>
      </c>
      <c r="X352" t="str">
        <f t="shared" si="39"/>
        <v>21</v>
      </c>
      <c r="Y352" t="str">
        <f t="shared" si="40"/>
        <v>2021</v>
      </c>
      <c r="Z352"/>
      <c r="AA352" s="2">
        <f t="shared" si="41"/>
        <v>44212</v>
      </c>
      <c r="AB352"/>
      <c r="AC352"/>
    </row>
    <row r="353" spans="21:29" ht="15">
      <c r="U353" s="232" t="s">
        <v>7367</v>
      </c>
      <c r="V353" t="str">
        <f t="shared" si="37"/>
        <v>16</v>
      </c>
      <c r="W353" t="str">
        <f t="shared" si="38"/>
        <v>01</v>
      </c>
      <c r="X353" t="str">
        <f t="shared" si="39"/>
        <v>21</v>
      </c>
      <c r="Y353" t="str">
        <f t="shared" si="40"/>
        <v>2021</v>
      </c>
      <c r="Z353"/>
      <c r="AA353" s="2">
        <f t="shared" si="41"/>
        <v>44212</v>
      </c>
      <c r="AB353"/>
      <c r="AC353"/>
    </row>
    <row r="354" spans="21:29" ht="15">
      <c r="U354" s="232" t="s">
        <v>7376</v>
      </c>
      <c r="V354" t="str">
        <f t="shared" si="37"/>
        <v>18</v>
      </c>
      <c r="W354" t="str">
        <f t="shared" si="38"/>
        <v>01</v>
      </c>
      <c r="X354" t="str">
        <f t="shared" si="39"/>
        <v>21</v>
      </c>
      <c r="Y354" t="str">
        <f t="shared" si="40"/>
        <v>2021</v>
      </c>
      <c r="Z354"/>
      <c r="AA354" s="2">
        <f t="shared" si="41"/>
        <v>44214</v>
      </c>
      <c r="AB354"/>
      <c r="AC354"/>
    </row>
    <row r="355" spans="21:29" ht="15">
      <c r="U355" s="232" t="s">
        <v>7379</v>
      </c>
      <c r="V355" t="str">
        <f t="shared" si="37"/>
        <v>20</v>
      </c>
      <c r="W355" t="str">
        <f t="shared" si="38"/>
        <v>01</v>
      </c>
      <c r="X355" t="str">
        <f t="shared" si="39"/>
        <v>21</v>
      </c>
      <c r="Y355" t="str">
        <f t="shared" si="40"/>
        <v>2021</v>
      </c>
      <c r="Z355"/>
      <c r="AA355" s="2">
        <f t="shared" si="41"/>
        <v>44216</v>
      </c>
      <c r="AB355"/>
      <c r="AC355"/>
    </row>
    <row r="356" spans="21:29" ht="15">
      <c r="U356" s="232" t="s">
        <v>7381</v>
      </c>
      <c r="V356" t="str">
        <f t="shared" si="37"/>
        <v>21</v>
      </c>
      <c r="W356" t="str">
        <f t="shared" si="38"/>
        <v>01</v>
      </c>
      <c r="X356" t="str">
        <f t="shared" si="39"/>
        <v>21</v>
      </c>
      <c r="Y356" t="str">
        <f t="shared" si="40"/>
        <v>2021</v>
      </c>
      <c r="Z356"/>
      <c r="AA356" s="2">
        <f t="shared" si="41"/>
        <v>44217</v>
      </c>
      <c r="AB356"/>
      <c r="AC356"/>
    </row>
    <row r="357" spans="21:29" ht="15">
      <c r="U357" s="232" t="s">
        <v>7384</v>
      </c>
      <c r="V357" t="str">
        <f t="shared" si="37"/>
        <v>22</v>
      </c>
      <c r="W357" t="str">
        <f t="shared" si="38"/>
        <v>01</v>
      </c>
      <c r="X357" t="str">
        <f t="shared" si="39"/>
        <v>21</v>
      </c>
      <c r="Y357" t="str">
        <f t="shared" si="40"/>
        <v>2021</v>
      </c>
      <c r="Z357"/>
      <c r="AA357" s="2">
        <f t="shared" si="41"/>
        <v>44218</v>
      </c>
      <c r="AB357"/>
      <c r="AC357"/>
    </row>
    <row r="358" spans="21:29" ht="15">
      <c r="U358" s="232" t="s">
        <v>7387</v>
      </c>
      <c r="V358" t="str">
        <f t="shared" si="37"/>
        <v>23</v>
      </c>
      <c r="W358" t="str">
        <f t="shared" si="38"/>
        <v>01</v>
      </c>
      <c r="X358" t="str">
        <f t="shared" si="39"/>
        <v>21</v>
      </c>
      <c r="Y358" t="str">
        <f t="shared" si="40"/>
        <v>2021</v>
      </c>
      <c r="Z358"/>
      <c r="AA358" s="2">
        <f t="shared" si="41"/>
        <v>44219</v>
      </c>
      <c r="AB358"/>
      <c r="AC358"/>
    </row>
    <row r="359" spans="21:29" ht="15">
      <c r="U359" s="232" t="s">
        <v>7387</v>
      </c>
      <c r="V359" t="str">
        <f t="shared" si="37"/>
        <v>23</v>
      </c>
      <c r="W359" t="str">
        <f t="shared" si="38"/>
        <v>01</v>
      </c>
      <c r="X359" t="str">
        <f t="shared" si="39"/>
        <v>21</v>
      </c>
      <c r="Y359" t="str">
        <f t="shared" si="40"/>
        <v>2021</v>
      </c>
      <c r="Z359"/>
      <c r="AA359" s="2">
        <f t="shared" si="41"/>
        <v>44219</v>
      </c>
      <c r="AB359"/>
      <c r="AC359"/>
    </row>
    <row r="360" spans="21:29" ht="15">
      <c r="U360" s="232" t="s">
        <v>7387</v>
      </c>
      <c r="V360" t="str">
        <f t="shared" si="37"/>
        <v>23</v>
      </c>
      <c r="W360" t="str">
        <f t="shared" si="38"/>
        <v>01</v>
      </c>
      <c r="X360" t="str">
        <f t="shared" si="39"/>
        <v>21</v>
      </c>
      <c r="Y360" t="str">
        <f t="shared" si="40"/>
        <v>2021</v>
      </c>
      <c r="Z360"/>
      <c r="AA360" s="2">
        <f t="shared" si="41"/>
        <v>44219</v>
      </c>
      <c r="AB360"/>
      <c r="AC360"/>
    </row>
    <row r="361" spans="21:29" ht="15">
      <c r="U361" s="232" t="s">
        <v>7394</v>
      </c>
      <c r="V361" t="str">
        <f t="shared" si="37"/>
        <v>25</v>
      </c>
      <c r="W361" t="str">
        <f t="shared" si="38"/>
        <v>01</v>
      </c>
      <c r="X361" t="str">
        <f t="shared" si="39"/>
        <v>21</v>
      </c>
      <c r="Y361" t="str">
        <f t="shared" si="40"/>
        <v>2021</v>
      </c>
      <c r="Z361"/>
      <c r="AA361" s="2">
        <f t="shared" si="41"/>
        <v>44221</v>
      </c>
      <c r="AB361"/>
      <c r="AC361"/>
    </row>
    <row r="362" spans="21:29" ht="15">
      <c r="U362" s="232" t="s">
        <v>7394</v>
      </c>
      <c r="V362" t="str">
        <f t="shared" si="37"/>
        <v>25</v>
      </c>
      <c r="W362" t="str">
        <f t="shared" si="38"/>
        <v>01</v>
      </c>
      <c r="X362" t="str">
        <f t="shared" si="39"/>
        <v>21</v>
      </c>
      <c r="Y362" t="str">
        <f t="shared" si="40"/>
        <v>2021</v>
      </c>
      <c r="Z362"/>
      <c r="AA362" s="2">
        <f t="shared" si="41"/>
        <v>44221</v>
      </c>
      <c r="AB362"/>
      <c r="AC362"/>
    </row>
    <row r="363" spans="21:29" ht="15">
      <c r="U363" s="232" t="s">
        <v>7394</v>
      </c>
      <c r="V363" t="str">
        <f t="shared" si="37"/>
        <v>25</v>
      </c>
      <c r="W363" t="str">
        <f t="shared" si="38"/>
        <v>01</v>
      </c>
      <c r="X363" t="str">
        <f t="shared" si="39"/>
        <v>21</v>
      </c>
      <c r="Y363" t="str">
        <f t="shared" si="40"/>
        <v>2021</v>
      </c>
      <c r="Z363"/>
      <c r="AA363" s="2">
        <f t="shared" si="41"/>
        <v>44221</v>
      </c>
      <c r="AB363"/>
      <c r="AC363"/>
    </row>
    <row r="364" spans="21:29" ht="15">
      <c r="U364" s="232" t="s">
        <v>7394</v>
      </c>
      <c r="V364" t="str">
        <f t="shared" si="37"/>
        <v>25</v>
      </c>
      <c r="W364" t="str">
        <f t="shared" si="38"/>
        <v>01</v>
      </c>
      <c r="X364" t="str">
        <f t="shared" si="39"/>
        <v>21</v>
      </c>
      <c r="Y364" t="str">
        <f t="shared" si="40"/>
        <v>2021</v>
      </c>
      <c r="Z364"/>
      <c r="AA364" s="2">
        <f t="shared" si="41"/>
        <v>44221</v>
      </c>
      <c r="AB364"/>
      <c r="AC364"/>
    </row>
    <row r="365" spans="21:29" ht="15">
      <c r="U365" s="232" t="s">
        <v>7394</v>
      </c>
      <c r="V365" t="str">
        <f t="shared" si="37"/>
        <v>25</v>
      </c>
      <c r="W365" t="str">
        <f t="shared" si="38"/>
        <v>01</v>
      </c>
      <c r="X365" t="str">
        <f t="shared" si="39"/>
        <v>21</v>
      </c>
      <c r="Y365" t="str">
        <f t="shared" si="40"/>
        <v>2021</v>
      </c>
      <c r="Z365"/>
      <c r="AA365" s="2">
        <f t="shared" si="41"/>
        <v>44221</v>
      </c>
      <c r="AB365"/>
      <c r="AC365"/>
    </row>
    <row r="366" spans="21:29" ht="15">
      <c r="U366" s="232" t="s">
        <v>7394</v>
      </c>
      <c r="V366" t="str">
        <f t="shared" si="37"/>
        <v>25</v>
      </c>
      <c r="W366" t="str">
        <f t="shared" si="38"/>
        <v>01</v>
      </c>
      <c r="X366" t="str">
        <f t="shared" si="39"/>
        <v>21</v>
      </c>
      <c r="Y366" t="str">
        <f t="shared" si="40"/>
        <v>2021</v>
      </c>
      <c r="Z366"/>
      <c r="AA366" s="2">
        <f t="shared" si="41"/>
        <v>44221</v>
      </c>
      <c r="AB366"/>
      <c r="AC366"/>
    </row>
    <row r="367" spans="21:29" ht="15">
      <c r="U367" s="232" t="s">
        <v>7407</v>
      </c>
      <c r="V367" t="str">
        <f t="shared" si="37"/>
        <v>27</v>
      </c>
      <c r="W367" t="str">
        <f t="shared" si="38"/>
        <v>01</v>
      </c>
      <c r="X367" t="str">
        <f t="shared" si="39"/>
        <v>21</v>
      </c>
      <c r="Y367" t="str">
        <f t="shared" si="40"/>
        <v>2021</v>
      </c>
      <c r="Z367"/>
      <c r="AA367" s="2">
        <f t="shared" si="41"/>
        <v>44223</v>
      </c>
      <c r="AB367"/>
      <c r="AC367"/>
    </row>
    <row r="368" spans="21:29" ht="15">
      <c r="U368" s="232" t="s">
        <v>7410</v>
      </c>
      <c r="V368" t="str">
        <f t="shared" si="37"/>
        <v>28</v>
      </c>
      <c r="W368" t="str">
        <f t="shared" si="38"/>
        <v>01</v>
      </c>
      <c r="X368" t="str">
        <f t="shared" si="39"/>
        <v>21</v>
      </c>
      <c r="Y368" t="str">
        <f t="shared" si="40"/>
        <v>2021</v>
      </c>
      <c r="Z368"/>
      <c r="AA368" s="2">
        <f t="shared" si="41"/>
        <v>44224</v>
      </c>
      <c r="AB368"/>
      <c r="AC368"/>
    </row>
    <row r="369" spans="21:29" ht="15">
      <c r="U369" s="232" t="s">
        <v>7413</v>
      </c>
      <c r="V369" t="str">
        <f t="shared" si="37"/>
        <v>30</v>
      </c>
      <c r="W369" t="str">
        <f t="shared" si="38"/>
        <v>01</v>
      </c>
      <c r="X369" t="str">
        <f t="shared" si="39"/>
        <v>21</v>
      </c>
      <c r="Y369" t="str">
        <f t="shared" si="40"/>
        <v>2021</v>
      </c>
      <c r="Z369"/>
      <c r="AA369" s="2">
        <f t="shared" si="41"/>
        <v>44226</v>
      </c>
      <c r="AB369"/>
      <c r="AC369"/>
    </row>
    <row r="370" spans="21:29" ht="15">
      <c r="U370" s="232" t="s">
        <v>7416</v>
      </c>
      <c r="V370" t="str">
        <f t="shared" si="37"/>
        <v>01</v>
      </c>
      <c r="W370" t="str">
        <f t="shared" si="38"/>
        <v>02</v>
      </c>
      <c r="X370" t="str">
        <f t="shared" si="39"/>
        <v>21</v>
      </c>
      <c r="Y370" t="str">
        <f t="shared" si="40"/>
        <v>2021</v>
      </c>
      <c r="Z370"/>
      <c r="AA370" s="2">
        <f t="shared" si="41"/>
        <v>44228</v>
      </c>
      <c r="AB370"/>
      <c r="AC370"/>
    </row>
    <row r="371" spans="21:29" ht="15">
      <c r="U371" s="232" t="s">
        <v>7416</v>
      </c>
      <c r="V371" t="str">
        <f t="shared" si="37"/>
        <v>01</v>
      </c>
      <c r="W371" t="str">
        <f t="shared" si="38"/>
        <v>02</v>
      </c>
      <c r="X371" t="str">
        <f t="shared" si="39"/>
        <v>21</v>
      </c>
      <c r="Y371" t="str">
        <f t="shared" si="40"/>
        <v>2021</v>
      </c>
      <c r="Z371"/>
      <c r="AA371" s="2">
        <f t="shared" si="41"/>
        <v>44228</v>
      </c>
      <c r="AB371"/>
      <c r="AC371"/>
    </row>
    <row r="372" spans="21:29" ht="15">
      <c r="U372" s="232" t="s">
        <v>7416</v>
      </c>
      <c r="V372" t="str">
        <f t="shared" si="37"/>
        <v>01</v>
      </c>
      <c r="W372" t="str">
        <f t="shared" si="38"/>
        <v>02</v>
      </c>
      <c r="X372" t="str">
        <f t="shared" si="39"/>
        <v>21</v>
      </c>
      <c r="Y372" t="str">
        <f t="shared" si="40"/>
        <v>2021</v>
      </c>
      <c r="Z372"/>
      <c r="AA372" s="2">
        <f t="shared" si="41"/>
        <v>44228</v>
      </c>
      <c r="AB372"/>
      <c r="AC372"/>
    </row>
    <row r="373" spans="21:29" ht="15">
      <c r="U373" s="232" t="s">
        <v>7422</v>
      </c>
      <c r="V373" t="str">
        <f t="shared" si="37"/>
        <v>05</v>
      </c>
      <c r="W373" t="str">
        <f t="shared" si="38"/>
        <v>02</v>
      </c>
      <c r="X373" t="str">
        <f t="shared" si="39"/>
        <v>21</v>
      </c>
      <c r="Y373" t="str">
        <f t="shared" si="40"/>
        <v>2021</v>
      </c>
      <c r="Z373"/>
      <c r="AA373" s="2">
        <f t="shared" si="41"/>
        <v>44232</v>
      </c>
      <c r="AB373"/>
      <c r="AC373"/>
    </row>
    <row r="374" spans="21:29" ht="15">
      <c r="U374" s="232" t="s">
        <v>7422</v>
      </c>
      <c r="V374" t="str">
        <f t="shared" si="37"/>
        <v>05</v>
      </c>
      <c r="W374" t="str">
        <f t="shared" si="38"/>
        <v>02</v>
      </c>
      <c r="X374" t="str">
        <f t="shared" si="39"/>
        <v>21</v>
      </c>
      <c r="Y374" t="str">
        <f t="shared" si="40"/>
        <v>2021</v>
      </c>
      <c r="Z374"/>
      <c r="AA374" s="2">
        <f t="shared" si="41"/>
        <v>44232</v>
      </c>
      <c r="AB374"/>
      <c r="AC374"/>
    </row>
    <row r="375" spans="21:29" ht="15">
      <c r="U375" s="232" t="s">
        <v>7427</v>
      </c>
      <c r="V375" t="str">
        <f t="shared" si="37"/>
        <v>06</v>
      </c>
      <c r="W375" t="str">
        <f t="shared" si="38"/>
        <v>02</v>
      </c>
      <c r="X375" t="str">
        <f t="shared" si="39"/>
        <v>21</v>
      </c>
      <c r="Y375" t="str">
        <f t="shared" si="40"/>
        <v>2021</v>
      </c>
      <c r="Z375"/>
      <c r="AA375" s="2">
        <f t="shared" si="41"/>
        <v>44233</v>
      </c>
      <c r="AB375"/>
      <c r="AC375"/>
    </row>
    <row r="376" spans="21:29" ht="15">
      <c r="U376" s="232" t="s">
        <v>7427</v>
      </c>
      <c r="V376" t="str">
        <f t="shared" si="37"/>
        <v>06</v>
      </c>
      <c r="W376" t="str">
        <f t="shared" si="38"/>
        <v>02</v>
      </c>
      <c r="X376" t="str">
        <f t="shared" si="39"/>
        <v>21</v>
      </c>
      <c r="Y376" t="str">
        <f t="shared" si="40"/>
        <v>2021</v>
      </c>
      <c r="Z376"/>
      <c r="AA376" s="2">
        <f t="shared" si="41"/>
        <v>44233</v>
      </c>
      <c r="AB376"/>
      <c r="AC376"/>
    </row>
    <row r="377" spans="21:29" ht="15">
      <c r="U377" s="232" t="s">
        <v>7432</v>
      </c>
      <c r="V377" t="str">
        <f t="shared" si="37"/>
        <v>08</v>
      </c>
      <c r="W377" t="str">
        <f t="shared" si="38"/>
        <v>02</v>
      </c>
      <c r="X377" t="str">
        <f t="shared" si="39"/>
        <v>21</v>
      </c>
      <c r="Y377" t="str">
        <f t="shared" si="40"/>
        <v>2021</v>
      </c>
      <c r="Z377"/>
      <c r="AA377" s="2">
        <f t="shared" si="41"/>
        <v>44235</v>
      </c>
      <c r="AB377"/>
      <c r="AC377"/>
    </row>
    <row r="378" spans="21:29" ht="15">
      <c r="U378" s="232" t="s">
        <v>7434</v>
      </c>
      <c r="V378" t="str">
        <f t="shared" si="37"/>
        <v>09</v>
      </c>
      <c r="W378" t="str">
        <f t="shared" si="38"/>
        <v>02</v>
      </c>
      <c r="X378" t="str">
        <f t="shared" si="39"/>
        <v>21</v>
      </c>
      <c r="Y378" t="str">
        <f t="shared" si="40"/>
        <v>2021</v>
      </c>
      <c r="Z378"/>
      <c r="AA378" s="2">
        <f t="shared" si="41"/>
        <v>44236</v>
      </c>
      <c r="AB378"/>
      <c r="AC378"/>
    </row>
    <row r="379" spans="21:29" ht="15">
      <c r="U379" s="232" t="s">
        <v>7434</v>
      </c>
      <c r="V379" t="str">
        <f t="shared" si="37"/>
        <v>09</v>
      </c>
      <c r="W379" t="str">
        <f t="shared" si="38"/>
        <v>02</v>
      </c>
      <c r="X379" t="str">
        <f t="shared" si="39"/>
        <v>21</v>
      </c>
      <c r="Y379" t="str">
        <f t="shared" si="40"/>
        <v>2021</v>
      </c>
      <c r="Z379"/>
      <c r="AA379" s="2">
        <f t="shared" si="41"/>
        <v>44236</v>
      </c>
      <c r="AB379"/>
      <c r="AC379"/>
    </row>
    <row r="380" spans="21:29" ht="15">
      <c r="U380" s="232" t="s">
        <v>7438</v>
      </c>
      <c r="V380" t="str">
        <f t="shared" si="37"/>
        <v>10</v>
      </c>
      <c r="W380" t="str">
        <f t="shared" si="38"/>
        <v>02</v>
      </c>
      <c r="X380" t="str">
        <f t="shared" si="39"/>
        <v>21</v>
      </c>
      <c r="Y380" t="str">
        <f t="shared" si="40"/>
        <v>2021</v>
      </c>
      <c r="Z380"/>
      <c r="AA380" s="2">
        <f t="shared" si="41"/>
        <v>44237</v>
      </c>
      <c r="AB380"/>
      <c r="AC380"/>
    </row>
    <row r="381" spans="21:29" ht="15">
      <c r="U381" s="232" t="s">
        <v>7441</v>
      </c>
      <c r="V381" t="str">
        <f t="shared" si="37"/>
        <v>11</v>
      </c>
      <c r="W381" t="str">
        <f t="shared" si="38"/>
        <v>02</v>
      </c>
      <c r="X381" t="str">
        <f t="shared" si="39"/>
        <v>21</v>
      </c>
      <c r="Y381" t="str">
        <f t="shared" si="40"/>
        <v>2021</v>
      </c>
      <c r="Z381"/>
      <c r="AA381" s="2">
        <f t="shared" si="41"/>
        <v>44238</v>
      </c>
      <c r="AB381"/>
      <c r="AC381"/>
    </row>
    <row r="382" spans="21:29" ht="15">
      <c r="U382" s="232" t="s">
        <v>7441</v>
      </c>
      <c r="V382" t="str">
        <f t="shared" si="37"/>
        <v>11</v>
      </c>
      <c r="W382" t="str">
        <f t="shared" si="38"/>
        <v>02</v>
      </c>
      <c r="X382" t="str">
        <f t="shared" si="39"/>
        <v>21</v>
      </c>
      <c r="Y382" t="str">
        <f t="shared" si="40"/>
        <v>2021</v>
      </c>
      <c r="Z382"/>
      <c r="AA382" s="2">
        <f t="shared" si="41"/>
        <v>44238</v>
      </c>
      <c r="AB382"/>
      <c r="AC382"/>
    </row>
    <row r="383" spans="21:29" ht="15">
      <c r="U383" s="232" t="s">
        <v>7446</v>
      </c>
      <c r="V383" t="str">
        <f t="shared" si="37"/>
        <v>13</v>
      </c>
      <c r="W383" t="str">
        <f t="shared" si="38"/>
        <v>02</v>
      </c>
      <c r="X383" t="str">
        <f t="shared" si="39"/>
        <v>21</v>
      </c>
      <c r="Y383" t="str">
        <f t="shared" si="40"/>
        <v>2021</v>
      </c>
      <c r="Z383"/>
      <c r="AA383" s="2">
        <f t="shared" si="41"/>
        <v>44240</v>
      </c>
      <c r="AB383"/>
      <c r="AC383"/>
    </row>
    <row r="384" spans="21:29" ht="15">
      <c r="U384" s="232" t="s">
        <v>7446</v>
      </c>
      <c r="V384" t="str">
        <f t="shared" si="37"/>
        <v>13</v>
      </c>
      <c r="W384" t="str">
        <f t="shared" si="38"/>
        <v>02</v>
      </c>
      <c r="X384" t="str">
        <f t="shared" si="39"/>
        <v>21</v>
      </c>
      <c r="Y384" t="str">
        <f t="shared" si="40"/>
        <v>2021</v>
      </c>
      <c r="Z384"/>
      <c r="AA384" s="2">
        <f t="shared" si="41"/>
        <v>44240</v>
      </c>
      <c r="AB384"/>
      <c r="AC384"/>
    </row>
    <row r="385" spans="21:29" ht="15">
      <c r="U385" s="232" t="s">
        <v>7451</v>
      </c>
      <c r="V385" t="str">
        <f t="shared" si="37"/>
        <v>16</v>
      </c>
      <c r="W385" t="str">
        <f t="shared" si="38"/>
        <v>02</v>
      </c>
      <c r="X385" t="str">
        <f t="shared" si="39"/>
        <v>21</v>
      </c>
      <c r="Y385" t="str">
        <f t="shared" si="40"/>
        <v>2021</v>
      </c>
      <c r="Z385"/>
      <c r="AA385" s="2">
        <f t="shared" si="41"/>
        <v>44243</v>
      </c>
      <c r="AB385"/>
      <c r="AC385"/>
    </row>
    <row r="386" spans="21:29" ht="15">
      <c r="U386" s="232" t="s">
        <v>7454</v>
      </c>
      <c r="V386" t="str">
        <f t="shared" si="37"/>
        <v>17</v>
      </c>
      <c r="W386" t="str">
        <f t="shared" si="38"/>
        <v>02</v>
      </c>
      <c r="X386" t="str">
        <f t="shared" si="39"/>
        <v>21</v>
      </c>
      <c r="Y386" t="str">
        <f t="shared" si="40"/>
        <v>2021</v>
      </c>
      <c r="Z386"/>
      <c r="AA386" s="2">
        <f t="shared" si="41"/>
        <v>44244</v>
      </c>
      <c r="AB386"/>
      <c r="AC386"/>
    </row>
    <row r="387" spans="21:29" ht="15">
      <c r="U387" s="232" t="s">
        <v>7454</v>
      </c>
      <c r="V387" t="str">
        <f t="shared" ref="V387:V450" si="42">LEFT(U387,2)</f>
        <v>17</v>
      </c>
      <c r="W387" t="str">
        <f t="shared" ref="W387:W450" si="43">MID(U387,4,2)</f>
        <v>02</v>
      </c>
      <c r="X387" t="str">
        <f t="shared" ref="X387:X450" si="44">RIGHT(U387,2)</f>
        <v>21</v>
      </c>
      <c r="Y387" t="str">
        <f t="shared" ref="Y387:Y450" si="45">"20" &amp; X387</f>
        <v>2021</v>
      </c>
      <c r="Z387"/>
      <c r="AA387" s="2">
        <f t="shared" ref="AA387:AA450" si="46">DATE(Y387,W387,V387)</f>
        <v>44244</v>
      </c>
      <c r="AB387"/>
      <c r="AC387"/>
    </row>
    <row r="388" spans="21:29" ht="15">
      <c r="U388" s="232" t="s">
        <v>7459</v>
      </c>
      <c r="V388" t="str">
        <f t="shared" si="42"/>
        <v>19</v>
      </c>
      <c r="W388" t="str">
        <f t="shared" si="43"/>
        <v>02</v>
      </c>
      <c r="X388" t="str">
        <f t="shared" si="44"/>
        <v>21</v>
      </c>
      <c r="Y388" t="str">
        <f t="shared" si="45"/>
        <v>2021</v>
      </c>
      <c r="Z388"/>
      <c r="AA388" s="2">
        <f t="shared" si="46"/>
        <v>44246</v>
      </c>
      <c r="AB388"/>
      <c r="AC388"/>
    </row>
    <row r="389" spans="21:29" ht="15">
      <c r="U389" s="232" t="s">
        <v>7461</v>
      </c>
      <c r="V389" t="str">
        <f t="shared" si="42"/>
        <v>21</v>
      </c>
      <c r="W389" t="str">
        <f t="shared" si="43"/>
        <v>02</v>
      </c>
      <c r="X389" t="str">
        <f t="shared" si="44"/>
        <v>21</v>
      </c>
      <c r="Y389" t="str">
        <f t="shared" si="45"/>
        <v>2021</v>
      </c>
      <c r="Z389"/>
      <c r="AA389" s="2">
        <f t="shared" si="46"/>
        <v>44248</v>
      </c>
      <c r="AB389"/>
      <c r="AC389"/>
    </row>
    <row r="390" spans="21:29" ht="15">
      <c r="U390" s="232" t="s">
        <v>7461</v>
      </c>
      <c r="V390" t="str">
        <f t="shared" si="42"/>
        <v>21</v>
      </c>
      <c r="W390" t="str">
        <f t="shared" si="43"/>
        <v>02</v>
      </c>
      <c r="X390" t="str">
        <f t="shared" si="44"/>
        <v>21</v>
      </c>
      <c r="Y390" t="str">
        <f t="shared" si="45"/>
        <v>2021</v>
      </c>
      <c r="Z390"/>
      <c r="AA390" s="2">
        <f t="shared" si="46"/>
        <v>44248</v>
      </c>
      <c r="AB390"/>
      <c r="AC390"/>
    </row>
    <row r="391" spans="21:29" ht="15">
      <c r="U391" s="232" t="s">
        <v>7466</v>
      </c>
      <c r="V391" t="str">
        <f t="shared" si="42"/>
        <v>22</v>
      </c>
      <c r="W391" t="str">
        <f t="shared" si="43"/>
        <v>02</v>
      </c>
      <c r="X391" t="str">
        <f t="shared" si="44"/>
        <v>21</v>
      </c>
      <c r="Y391" t="str">
        <f t="shared" si="45"/>
        <v>2021</v>
      </c>
      <c r="Z391"/>
      <c r="AA391" s="2">
        <f t="shared" si="46"/>
        <v>44249</v>
      </c>
      <c r="AB391"/>
      <c r="AC391"/>
    </row>
    <row r="392" spans="21:29" ht="15">
      <c r="U392" s="232" t="s">
        <v>7469</v>
      </c>
      <c r="V392" t="str">
        <f t="shared" si="42"/>
        <v>23</v>
      </c>
      <c r="W392" t="str">
        <f t="shared" si="43"/>
        <v>02</v>
      </c>
      <c r="X392" t="str">
        <f t="shared" si="44"/>
        <v>21</v>
      </c>
      <c r="Y392" t="str">
        <f t="shared" si="45"/>
        <v>2021</v>
      </c>
      <c r="Z392"/>
      <c r="AA392" s="2">
        <f t="shared" si="46"/>
        <v>44250</v>
      </c>
      <c r="AB392"/>
      <c r="AC392"/>
    </row>
    <row r="393" spans="21:29" ht="15">
      <c r="U393" s="232" t="s">
        <v>7469</v>
      </c>
      <c r="V393" t="str">
        <f t="shared" si="42"/>
        <v>23</v>
      </c>
      <c r="W393" t="str">
        <f t="shared" si="43"/>
        <v>02</v>
      </c>
      <c r="X393" t="str">
        <f t="shared" si="44"/>
        <v>21</v>
      </c>
      <c r="Y393" t="str">
        <f t="shared" si="45"/>
        <v>2021</v>
      </c>
      <c r="Z393"/>
      <c r="AA393" s="2">
        <f t="shared" si="46"/>
        <v>44250</v>
      </c>
      <c r="AB393"/>
      <c r="AC393"/>
    </row>
    <row r="394" spans="21:29" ht="15">
      <c r="U394" s="232" t="s">
        <v>7474</v>
      </c>
      <c r="V394" t="str">
        <f t="shared" si="42"/>
        <v>24</v>
      </c>
      <c r="W394" t="str">
        <f t="shared" si="43"/>
        <v>02</v>
      </c>
      <c r="X394" t="str">
        <f t="shared" si="44"/>
        <v>21</v>
      </c>
      <c r="Y394" t="str">
        <f t="shared" si="45"/>
        <v>2021</v>
      </c>
      <c r="Z394"/>
      <c r="AA394" s="2">
        <f t="shared" si="46"/>
        <v>44251</v>
      </c>
      <c r="AB394"/>
      <c r="AC394"/>
    </row>
    <row r="395" spans="21:29" ht="15">
      <c r="U395" s="232" t="s">
        <v>7477</v>
      </c>
      <c r="V395" t="str">
        <f t="shared" si="42"/>
        <v>26</v>
      </c>
      <c r="W395" t="str">
        <f t="shared" si="43"/>
        <v>02</v>
      </c>
      <c r="X395" t="str">
        <f t="shared" si="44"/>
        <v>21</v>
      </c>
      <c r="Y395" t="str">
        <f t="shared" si="45"/>
        <v>2021</v>
      </c>
      <c r="Z395"/>
      <c r="AA395" s="2">
        <f t="shared" si="46"/>
        <v>44253</v>
      </c>
      <c r="AB395"/>
      <c r="AC395"/>
    </row>
    <row r="396" spans="21:29" ht="15">
      <c r="U396" s="232" t="s">
        <v>7477</v>
      </c>
      <c r="V396" t="str">
        <f t="shared" si="42"/>
        <v>26</v>
      </c>
      <c r="W396" t="str">
        <f t="shared" si="43"/>
        <v>02</v>
      </c>
      <c r="X396" t="str">
        <f t="shared" si="44"/>
        <v>21</v>
      </c>
      <c r="Y396" t="str">
        <f t="shared" si="45"/>
        <v>2021</v>
      </c>
      <c r="Z396"/>
      <c r="AA396" s="2">
        <f t="shared" si="46"/>
        <v>44253</v>
      </c>
      <c r="AB396"/>
      <c r="AC396"/>
    </row>
    <row r="397" spans="21:29" ht="15">
      <c r="U397" s="232" t="s">
        <v>7477</v>
      </c>
      <c r="V397" t="str">
        <f t="shared" si="42"/>
        <v>26</v>
      </c>
      <c r="W397" t="str">
        <f t="shared" si="43"/>
        <v>02</v>
      </c>
      <c r="X397" t="str">
        <f t="shared" si="44"/>
        <v>21</v>
      </c>
      <c r="Y397" t="str">
        <f t="shared" si="45"/>
        <v>2021</v>
      </c>
      <c r="Z397"/>
      <c r="AA397" s="2">
        <f t="shared" si="46"/>
        <v>44253</v>
      </c>
      <c r="AB397"/>
      <c r="AC397"/>
    </row>
    <row r="398" spans="21:29" ht="15">
      <c r="U398" s="232" t="s">
        <v>7484</v>
      </c>
      <c r="V398" t="str">
        <f t="shared" si="42"/>
        <v>27</v>
      </c>
      <c r="W398" t="str">
        <f t="shared" si="43"/>
        <v>02</v>
      </c>
      <c r="X398" t="str">
        <f t="shared" si="44"/>
        <v>21</v>
      </c>
      <c r="Y398" t="str">
        <f t="shared" si="45"/>
        <v>2021</v>
      </c>
      <c r="Z398"/>
      <c r="AA398" s="2">
        <f t="shared" si="46"/>
        <v>44254</v>
      </c>
      <c r="AB398"/>
      <c r="AC398"/>
    </row>
    <row r="399" spans="21:29" ht="15">
      <c r="U399" s="232" t="s">
        <v>7484</v>
      </c>
      <c r="V399" t="str">
        <f t="shared" si="42"/>
        <v>27</v>
      </c>
      <c r="W399" t="str">
        <f t="shared" si="43"/>
        <v>02</v>
      </c>
      <c r="X399" t="str">
        <f t="shared" si="44"/>
        <v>21</v>
      </c>
      <c r="Y399" t="str">
        <f t="shared" si="45"/>
        <v>2021</v>
      </c>
      <c r="Z399"/>
      <c r="AA399" s="2">
        <f t="shared" si="46"/>
        <v>44254</v>
      </c>
      <c r="AB399"/>
      <c r="AC399"/>
    </row>
    <row r="400" spans="21:29" ht="15">
      <c r="U400" s="232" t="s">
        <v>7484</v>
      </c>
      <c r="V400" t="str">
        <f t="shared" si="42"/>
        <v>27</v>
      </c>
      <c r="W400" t="str">
        <f t="shared" si="43"/>
        <v>02</v>
      </c>
      <c r="X400" t="str">
        <f t="shared" si="44"/>
        <v>21</v>
      </c>
      <c r="Y400" t="str">
        <f t="shared" si="45"/>
        <v>2021</v>
      </c>
      <c r="Z400"/>
      <c r="AA400" s="2">
        <f t="shared" si="46"/>
        <v>44254</v>
      </c>
      <c r="AB400"/>
      <c r="AC400"/>
    </row>
    <row r="401" spans="21:29" ht="15">
      <c r="U401" s="232" t="s">
        <v>7491</v>
      </c>
      <c r="V401" t="str">
        <f t="shared" si="42"/>
        <v>28</v>
      </c>
      <c r="W401" t="str">
        <f t="shared" si="43"/>
        <v>02</v>
      </c>
      <c r="X401" t="str">
        <f t="shared" si="44"/>
        <v>21</v>
      </c>
      <c r="Y401" t="str">
        <f t="shared" si="45"/>
        <v>2021</v>
      </c>
      <c r="Z401"/>
      <c r="AA401" s="2">
        <f t="shared" si="46"/>
        <v>44255</v>
      </c>
      <c r="AB401"/>
      <c r="AC401"/>
    </row>
    <row r="402" spans="21:29" ht="15">
      <c r="U402" s="232" t="s">
        <v>7494</v>
      </c>
      <c r="V402" t="str">
        <f t="shared" si="42"/>
        <v>02</v>
      </c>
      <c r="W402" t="str">
        <f t="shared" si="43"/>
        <v>03</v>
      </c>
      <c r="X402" t="str">
        <f t="shared" si="44"/>
        <v>21</v>
      </c>
      <c r="Y402" t="str">
        <f t="shared" si="45"/>
        <v>2021</v>
      </c>
      <c r="Z402"/>
      <c r="AA402" s="2">
        <f t="shared" si="46"/>
        <v>44257</v>
      </c>
      <c r="AB402"/>
      <c r="AC402"/>
    </row>
    <row r="403" spans="21:29" ht="15">
      <c r="U403" s="232" t="s">
        <v>7494</v>
      </c>
      <c r="V403" t="str">
        <f t="shared" si="42"/>
        <v>02</v>
      </c>
      <c r="W403" t="str">
        <f t="shared" si="43"/>
        <v>03</v>
      </c>
      <c r="X403" t="str">
        <f t="shared" si="44"/>
        <v>21</v>
      </c>
      <c r="Y403" t="str">
        <f t="shared" si="45"/>
        <v>2021</v>
      </c>
      <c r="Z403"/>
      <c r="AA403" s="2">
        <f t="shared" si="46"/>
        <v>44257</v>
      </c>
      <c r="AB403"/>
      <c r="AC403"/>
    </row>
    <row r="404" spans="21:29" ht="15">
      <c r="U404" s="232" t="s">
        <v>7499</v>
      </c>
      <c r="V404" t="str">
        <f t="shared" si="42"/>
        <v>03</v>
      </c>
      <c r="W404" t="str">
        <f t="shared" si="43"/>
        <v>03</v>
      </c>
      <c r="X404" t="str">
        <f t="shared" si="44"/>
        <v>21</v>
      </c>
      <c r="Y404" t="str">
        <f t="shared" si="45"/>
        <v>2021</v>
      </c>
      <c r="Z404"/>
      <c r="AA404" s="2">
        <f t="shared" si="46"/>
        <v>44258</v>
      </c>
      <c r="AB404"/>
      <c r="AC404"/>
    </row>
    <row r="405" spans="21:29" ht="15">
      <c r="U405" s="232" t="s">
        <v>7499</v>
      </c>
      <c r="V405" t="str">
        <f t="shared" si="42"/>
        <v>03</v>
      </c>
      <c r="W405" t="str">
        <f t="shared" si="43"/>
        <v>03</v>
      </c>
      <c r="X405" t="str">
        <f t="shared" si="44"/>
        <v>21</v>
      </c>
      <c r="Y405" t="str">
        <f t="shared" si="45"/>
        <v>2021</v>
      </c>
      <c r="Z405"/>
      <c r="AA405" s="2">
        <f t="shared" si="46"/>
        <v>44258</v>
      </c>
      <c r="AB405"/>
      <c r="AC405"/>
    </row>
    <row r="406" spans="21:29" ht="15">
      <c r="U406" s="232" t="s">
        <v>7499</v>
      </c>
      <c r="V406" t="str">
        <f t="shared" si="42"/>
        <v>03</v>
      </c>
      <c r="W406" t="str">
        <f t="shared" si="43"/>
        <v>03</v>
      </c>
      <c r="X406" t="str">
        <f t="shared" si="44"/>
        <v>21</v>
      </c>
      <c r="Y406" t="str">
        <f t="shared" si="45"/>
        <v>2021</v>
      </c>
      <c r="Z406"/>
      <c r="AA406" s="2">
        <f t="shared" si="46"/>
        <v>44258</v>
      </c>
      <c r="AB406"/>
      <c r="AC406"/>
    </row>
    <row r="407" spans="21:29" ht="15">
      <c r="U407" s="232" t="s">
        <v>7506</v>
      </c>
      <c r="V407" t="str">
        <f t="shared" si="42"/>
        <v>04</v>
      </c>
      <c r="W407" t="str">
        <f t="shared" si="43"/>
        <v>03</v>
      </c>
      <c r="X407" t="str">
        <f t="shared" si="44"/>
        <v>21</v>
      </c>
      <c r="Y407" t="str">
        <f t="shared" si="45"/>
        <v>2021</v>
      </c>
      <c r="Z407"/>
      <c r="AA407" s="2">
        <f t="shared" si="46"/>
        <v>44259</v>
      </c>
      <c r="AB407"/>
      <c r="AC407"/>
    </row>
    <row r="408" spans="21:29" ht="15">
      <c r="U408" s="232" t="s">
        <v>7509</v>
      </c>
      <c r="V408" t="str">
        <f t="shared" si="42"/>
        <v>05</v>
      </c>
      <c r="W408" t="str">
        <f t="shared" si="43"/>
        <v>03</v>
      </c>
      <c r="X408" t="str">
        <f t="shared" si="44"/>
        <v>21</v>
      </c>
      <c r="Y408" t="str">
        <f t="shared" si="45"/>
        <v>2021</v>
      </c>
      <c r="Z408"/>
      <c r="AA408" s="2">
        <f t="shared" si="46"/>
        <v>44260</v>
      </c>
      <c r="AB408"/>
      <c r="AC408"/>
    </row>
    <row r="409" spans="21:29" ht="15">
      <c r="U409" s="232" t="s">
        <v>7509</v>
      </c>
      <c r="V409" t="str">
        <f t="shared" si="42"/>
        <v>05</v>
      </c>
      <c r="W409" t="str">
        <f t="shared" si="43"/>
        <v>03</v>
      </c>
      <c r="X409" t="str">
        <f t="shared" si="44"/>
        <v>21</v>
      </c>
      <c r="Y409" t="str">
        <f t="shared" si="45"/>
        <v>2021</v>
      </c>
      <c r="Z409"/>
      <c r="AA409" s="2">
        <f t="shared" si="46"/>
        <v>44260</v>
      </c>
      <c r="AB409"/>
      <c r="AC409"/>
    </row>
    <row r="410" spans="21:29" ht="15">
      <c r="U410" s="232" t="s">
        <v>7514</v>
      </c>
      <c r="V410" t="str">
        <f t="shared" si="42"/>
        <v>06</v>
      </c>
      <c r="W410" t="str">
        <f t="shared" si="43"/>
        <v>03</v>
      </c>
      <c r="X410" t="str">
        <f t="shared" si="44"/>
        <v>21</v>
      </c>
      <c r="Y410" t="str">
        <f t="shared" si="45"/>
        <v>2021</v>
      </c>
      <c r="Z410"/>
      <c r="AA410" s="2">
        <f t="shared" si="46"/>
        <v>44261</v>
      </c>
      <c r="AB410"/>
      <c r="AC410"/>
    </row>
    <row r="411" spans="21:29" ht="15">
      <c r="U411" s="232" t="s">
        <v>7517</v>
      </c>
      <c r="V411" t="str">
        <f t="shared" si="42"/>
        <v>07</v>
      </c>
      <c r="W411" t="str">
        <f t="shared" si="43"/>
        <v>03</v>
      </c>
      <c r="X411" t="str">
        <f t="shared" si="44"/>
        <v>21</v>
      </c>
      <c r="Y411" t="str">
        <f t="shared" si="45"/>
        <v>2021</v>
      </c>
      <c r="Z411"/>
      <c r="AA411" s="2">
        <f t="shared" si="46"/>
        <v>44262</v>
      </c>
      <c r="AB411"/>
      <c r="AC411"/>
    </row>
    <row r="412" spans="21:29" ht="15">
      <c r="U412" s="232" t="s">
        <v>7519</v>
      </c>
      <c r="V412" t="str">
        <f t="shared" si="42"/>
        <v>08</v>
      </c>
      <c r="W412" t="str">
        <f t="shared" si="43"/>
        <v>03</v>
      </c>
      <c r="X412" t="str">
        <f t="shared" si="44"/>
        <v>21</v>
      </c>
      <c r="Y412" t="str">
        <f t="shared" si="45"/>
        <v>2021</v>
      </c>
      <c r="Z412"/>
      <c r="AA412" s="2">
        <f t="shared" si="46"/>
        <v>44263</v>
      </c>
      <c r="AB412"/>
      <c r="AC412"/>
    </row>
    <row r="413" spans="21:29" ht="15">
      <c r="U413" s="232" t="s">
        <v>7519</v>
      </c>
      <c r="V413" t="str">
        <f t="shared" si="42"/>
        <v>08</v>
      </c>
      <c r="W413" t="str">
        <f t="shared" si="43"/>
        <v>03</v>
      </c>
      <c r="X413" t="str">
        <f t="shared" si="44"/>
        <v>21</v>
      </c>
      <c r="Y413" t="str">
        <f t="shared" si="45"/>
        <v>2021</v>
      </c>
      <c r="Z413"/>
      <c r="AA413" s="2">
        <f t="shared" si="46"/>
        <v>44263</v>
      </c>
      <c r="AB413"/>
      <c r="AC413"/>
    </row>
    <row r="414" spans="21:29" ht="15">
      <c r="U414" s="232" t="s">
        <v>7519</v>
      </c>
      <c r="V414" t="str">
        <f t="shared" si="42"/>
        <v>08</v>
      </c>
      <c r="W414" t="str">
        <f t="shared" si="43"/>
        <v>03</v>
      </c>
      <c r="X414" t="str">
        <f t="shared" si="44"/>
        <v>21</v>
      </c>
      <c r="Y414" t="str">
        <f t="shared" si="45"/>
        <v>2021</v>
      </c>
      <c r="Z414"/>
      <c r="AA414" s="2">
        <f t="shared" si="46"/>
        <v>44263</v>
      </c>
      <c r="AB414"/>
      <c r="AC414"/>
    </row>
    <row r="415" spans="21:29" ht="15">
      <c r="U415" s="232" t="s">
        <v>7519</v>
      </c>
      <c r="V415" t="str">
        <f t="shared" si="42"/>
        <v>08</v>
      </c>
      <c r="W415" t="str">
        <f t="shared" si="43"/>
        <v>03</v>
      </c>
      <c r="X415" t="str">
        <f t="shared" si="44"/>
        <v>21</v>
      </c>
      <c r="Y415" t="str">
        <f t="shared" si="45"/>
        <v>2021</v>
      </c>
      <c r="Z415"/>
      <c r="AA415" s="2">
        <f t="shared" si="46"/>
        <v>44263</v>
      </c>
      <c r="AB415"/>
      <c r="AC415"/>
    </row>
    <row r="416" spans="21:29" ht="15">
      <c r="U416" s="232" t="s">
        <v>7527</v>
      </c>
      <c r="V416" t="str">
        <f t="shared" si="42"/>
        <v>09</v>
      </c>
      <c r="W416" t="str">
        <f t="shared" si="43"/>
        <v>03</v>
      </c>
      <c r="X416" t="str">
        <f t="shared" si="44"/>
        <v>21</v>
      </c>
      <c r="Y416" t="str">
        <f t="shared" si="45"/>
        <v>2021</v>
      </c>
      <c r="Z416"/>
      <c r="AA416" s="2">
        <f t="shared" si="46"/>
        <v>44264</v>
      </c>
      <c r="AB416"/>
      <c r="AC416"/>
    </row>
    <row r="417" spans="21:29" ht="15">
      <c r="U417" s="232" t="s">
        <v>7527</v>
      </c>
      <c r="V417" t="str">
        <f t="shared" si="42"/>
        <v>09</v>
      </c>
      <c r="W417" t="str">
        <f t="shared" si="43"/>
        <v>03</v>
      </c>
      <c r="X417" t="str">
        <f t="shared" si="44"/>
        <v>21</v>
      </c>
      <c r="Y417" t="str">
        <f t="shared" si="45"/>
        <v>2021</v>
      </c>
      <c r="Z417"/>
      <c r="AA417" s="2">
        <f t="shared" si="46"/>
        <v>44264</v>
      </c>
      <c r="AB417"/>
      <c r="AC417"/>
    </row>
    <row r="418" spans="21:29" ht="15">
      <c r="U418" s="232" t="s">
        <v>7531</v>
      </c>
      <c r="V418" t="str">
        <f t="shared" si="42"/>
        <v>10</v>
      </c>
      <c r="W418" t="str">
        <f t="shared" si="43"/>
        <v>03</v>
      </c>
      <c r="X418" t="str">
        <f t="shared" si="44"/>
        <v>21</v>
      </c>
      <c r="Y418" t="str">
        <f t="shared" si="45"/>
        <v>2021</v>
      </c>
      <c r="Z418"/>
      <c r="AA418" s="2">
        <f t="shared" si="46"/>
        <v>44265</v>
      </c>
      <c r="AB418"/>
      <c r="AC418"/>
    </row>
    <row r="419" spans="21:29" ht="15">
      <c r="U419" s="232" t="s">
        <v>7531</v>
      </c>
      <c r="V419" t="str">
        <f t="shared" si="42"/>
        <v>10</v>
      </c>
      <c r="W419" t="str">
        <f t="shared" si="43"/>
        <v>03</v>
      </c>
      <c r="X419" t="str">
        <f t="shared" si="44"/>
        <v>21</v>
      </c>
      <c r="Y419" t="str">
        <f t="shared" si="45"/>
        <v>2021</v>
      </c>
      <c r="Z419"/>
      <c r="AA419" s="2">
        <f t="shared" si="46"/>
        <v>44265</v>
      </c>
      <c r="AB419"/>
      <c r="AC419"/>
    </row>
    <row r="420" spans="21:29" ht="15">
      <c r="U420" s="232" t="s">
        <v>7536</v>
      </c>
      <c r="V420" t="str">
        <f t="shared" si="42"/>
        <v>13</v>
      </c>
      <c r="W420" t="str">
        <f t="shared" si="43"/>
        <v>03</v>
      </c>
      <c r="X420" t="str">
        <f t="shared" si="44"/>
        <v>21</v>
      </c>
      <c r="Y420" t="str">
        <f t="shared" si="45"/>
        <v>2021</v>
      </c>
      <c r="Z420"/>
      <c r="AA420" s="2">
        <f t="shared" si="46"/>
        <v>44268</v>
      </c>
      <c r="AB420"/>
      <c r="AC420"/>
    </row>
    <row r="421" spans="21:29" ht="15">
      <c r="U421" s="232" t="s">
        <v>7539</v>
      </c>
      <c r="V421" t="str">
        <f t="shared" si="42"/>
        <v>17</v>
      </c>
      <c r="W421" t="str">
        <f t="shared" si="43"/>
        <v>03</v>
      </c>
      <c r="X421" t="str">
        <f t="shared" si="44"/>
        <v>21</v>
      </c>
      <c r="Y421" t="str">
        <f t="shared" si="45"/>
        <v>2021</v>
      </c>
      <c r="Z421"/>
      <c r="AA421" s="2">
        <f t="shared" si="46"/>
        <v>44272</v>
      </c>
      <c r="AB421"/>
      <c r="AC421"/>
    </row>
    <row r="422" spans="21:29" ht="15">
      <c r="U422" s="232" t="s">
        <v>7542</v>
      </c>
      <c r="V422" t="str">
        <f t="shared" si="42"/>
        <v>18</v>
      </c>
      <c r="W422" t="str">
        <f t="shared" si="43"/>
        <v>03</v>
      </c>
      <c r="X422" t="str">
        <f t="shared" si="44"/>
        <v>21</v>
      </c>
      <c r="Y422" t="str">
        <f t="shared" si="45"/>
        <v>2021</v>
      </c>
      <c r="Z422"/>
      <c r="AA422" s="2">
        <f t="shared" si="46"/>
        <v>44273</v>
      </c>
      <c r="AB422"/>
      <c r="AC422"/>
    </row>
    <row r="423" spans="21:29" ht="15">
      <c r="U423" s="232" t="s">
        <v>7542</v>
      </c>
      <c r="V423" t="str">
        <f t="shared" si="42"/>
        <v>18</v>
      </c>
      <c r="W423" t="str">
        <f t="shared" si="43"/>
        <v>03</v>
      </c>
      <c r="X423" t="str">
        <f t="shared" si="44"/>
        <v>21</v>
      </c>
      <c r="Y423" t="str">
        <f t="shared" si="45"/>
        <v>2021</v>
      </c>
      <c r="Z423"/>
      <c r="AA423" s="2">
        <f t="shared" si="46"/>
        <v>44273</v>
      </c>
      <c r="AB423"/>
      <c r="AC423"/>
    </row>
    <row r="424" spans="21:29" ht="15">
      <c r="U424" s="232" t="s">
        <v>7547</v>
      </c>
      <c r="V424" t="str">
        <f t="shared" si="42"/>
        <v>19</v>
      </c>
      <c r="W424" t="str">
        <f t="shared" si="43"/>
        <v>03</v>
      </c>
      <c r="X424" t="str">
        <f t="shared" si="44"/>
        <v>21</v>
      </c>
      <c r="Y424" t="str">
        <f t="shared" si="45"/>
        <v>2021</v>
      </c>
      <c r="Z424"/>
      <c r="AA424" s="2">
        <f t="shared" si="46"/>
        <v>44274</v>
      </c>
      <c r="AB424"/>
      <c r="AC424"/>
    </row>
    <row r="425" spans="21:29" ht="15">
      <c r="U425" s="232" t="s">
        <v>7547</v>
      </c>
      <c r="V425" t="str">
        <f t="shared" si="42"/>
        <v>19</v>
      </c>
      <c r="W425" t="str">
        <f t="shared" si="43"/>
        <v>03</v>
      </c>
      <c r="X425" t="str">
        <f t="shared" si="44"/>
        <v>21</v>
      </c>
      <c r="Y425" t="str">
        <f t="shared" si="45"/>
        <v>2021</v>
      </c>
      <c r="Z425"/>
      <c r="AA425" s="2">
        <f t="shared" si="46"/>
        <v>44274</v>
      </c>
      <c r="AB425"/>
      <c r="AC425"/>
    </row>
    <row r="426" spans="21:29" ht="15">
      <c r="U426" s="232" t="s">
        <v>7547</v>
      </c>
      <c r="V426" t="str">
        <f t="shared" si="42"/>
        <v>19</v>
      </c>
      <c r="W426" t="str">
        <f t="shared" si="43"/>
        <v>03</v>
      </c>
      <c r="X426" t="str">
        <f t="shared" si="44"/>
        <v>21</v>
      </c>
      <c r="Y426" t="str">
        <f t="shared" si="45"/>
        <v>2021</v>
      </c>
      <c r="Z426"/>
      <c r="AA426" s="2">
        <f t="shared" si="46"/>
        <v>44274</v>
      </c>
      <c r="AB426"/>
      <c r="AC426"/>
    </row>
    <row r="427" spans="21:29" ht="15">
      <c r="U427" s="232" t="s">
        <v>7553</v>
      </c>
      <c r="V427" t="str">
        <f t="shared" si="42"/>
        <v>21</v>
      </c>
      <c r="W427" t="str">
        <f t="shared" si="43"/>
        <v>03</v>
      </c>
      <c r="X427" t="str">
        <f t="shared" si="44"/>
        <v>21</v>
      </c>
      <c r="Y427" t="str">
        <f t="shared" si="45"/>
        <v>2021</v>
      </c>
      <c r="Z427"/>
      <c r="AA427" s="2">
        <f t="shared" si="46"/>
        <v>44276</v>
      </c>
      <c r="AB427"/>
      <c r="AC427"/>
    </row>
    <row r="428" spans="21:29" ht="15">
      <c r="U428" s="232" t="s">
        <v>7553</v>
      </c>
      <c r="V428" t="str">
        <f t="shared" si="42"/>
        <v>21</v>
      </c>
      <c r="W428" t="str">
        <f t="shared" si="43"/>
        <v>03</v>
      </c>
      <c r="X428" t="str">
        <f t="shared" si="44"/>
        <v>21</v>
      </c>
      <c r="Y428" t="str">
        <f t="shared" si="45"/>
        <v>2021</v>
      </c>
      <c r="Z428"/>
      <c r="AA428" s="2">
        <f t="shared" si="46"/>
        <v>44276</v>
      </c>
      <c r="AB428"/>
      <c r="AC428"/>
    </row>
    <row r="429" spans="21:29" ht="15">
      <c r="U429" s="232" t="s">
        <v>7553</v>
      </c>
      <c r="V429" t="str">
        <f t="shared" si="42"/>
        <v>21</v>
      </c>
      <c r="W429" t="str">
        <f t="shared" si="43"/>
        <v>03</v>
      </c>
      <c r="X429" t="str">
        <f t="shared" si="44"/>
        <v>21</v>
      </c>
      <c r="Y429" t="str">
        <f t="shared" si="45"/>
        <v>2021</v>
      </c>
      <c r="Z429"/>
      <c r="AA429" s="2">
        <f t="shared" si="46"/>
        <v>44276</v>
      </c>
      <c r="AB429"/>
      <c r="AC429"/>
    </row>
    <row r="430" spans="21:29" ht="15">
      <c r="U430" s="232" t="s">
        <v>7553</v>
      </c>
      <c r="V430" t="str">
        <f t="shared" si="42"/>
        <v>21</v>
      </c>
      <c r="W430" t="str">
        <f t="shared" si="43"/>
        <v>03</v>
      </c>
      <c r="X430" t="str">
        <f t="shared" si="44"/>
        <v>21</v>
      </c>
      <c r="Y430" t="str">
        <f t="shared" si="45"/>
        <v>2021</v>
      </c>
      <c r="Z430"/>
      <c r="AA430" s="2">
        <f t="shared" si="46"/>
        <v>44276</v>
      </c>
      <c r="AB430"/>
      <c r="AC430"/>
    </row>
    <row r="431" spans="21:29" ht="15">
      <c r="U431" s="232" t="s">
        <v>7562</v>
      </c>
      <c r="V431" t="str">
        <f t="shared" si="42"/>
        <v>22</v>
      </c>
      <c r="W431" t="str">
        <f t="shared" si="43"/>
        <v>03</v>
      </c>
      <c r="X431" t="str">
        <f t="shared" si="44"/>
        <v>21</v>
      </c>
      <c r="Y431" t="str">
        <f t="shared" si="45"/>
        <v>2021</v>
      </c>
      <c r="Z431"/>
      <c r="AA431" s="2">
        <f t="shared" si="46"/>
        <v>44277</v>
      </c>
      <c r="AB431"/>
      <c r="AC431"/>
    </row>
    <row r="432" spans="21:29" ht="15">
      <c r="U432" s="232" t="s">
        <v>7562</v>
      </c>
      <c r="V432" t="str">
        <f t="shared" si="42"/>
        <v>22</v>
      </c>
      <c r="W432" t="str">
        <f t="shared" si="43"/>
        <v>03</v>
      </c>
      <c r="X432" t="str">
        <f t="shared" si="44"/>
        <v>21</v>
      </c>
      <c r="Y432" t="str">
        <f t="shared" si="45"/>
        <v>2021</v>
      </c>
      <c r="Z432"/>
      <c r="AA432" s="2">
        <f t="shared" si="46"/>
        <v>44277</v>
      </c>
      <c r="AB432"/>
      <c r="AC432"/>
    </row>
    <row r="433" spans="21:29" ht="15">
      <c r="U433" s="232" t="s">
        <v>7567</v>
      </c>
      <c r="V433" t="str">
        <f t="shared" si="42"/>
        <v>23</v>
      </c>
      <c r="W433" t="str">
        <f t="shared" si="43"/>
        <v>03</v>
      </c>
      <c r="X433" t="str">
        <f t="shared" si="44"/>
        <v>21</v>
      </c>
      <c r="Y433" t="str">
        <f t="shared" si="45"/>
        <v>2021</v>
      </c>
      <c r="Z433"/>
      <c r="AA433" s="2">
        <f t="shared" si="46"/>
        <v>44278</v>
      </c>
      <c r="AB433"/>
      <c r="AC433"/>
    </row>
    <row r="434" spans="21:29" ht="15">
      <c r="U434" s="232" t="s">
        <v>7570</v>
      </c>
      <c r="V434" t="str">
        <f t="shared" si="42"/>
        <v>25</v>
      </c>
      <c r="W434" t="str">
        <f t="shared" si="43"/>
        <v>03</v>
      </c>
      <c r="X434" t="str">
        <f t="shared" si="44"/>
        <v>21</v>
      </c>
      <c r="Y434" t="str">
        <f t="shared" si="45"/>
        <v>2021</v>
      </c>
      <c r="Z434"/>
      <c r="AA434" s="2">
        <f t="shared" si="46"/>
        <v>44280</v>
      </c>
      <c r="AB434"/>
      <c r="AC434"/>
    </row>
    <row r="435" spans="21:29" ht="15">
      <c r="U435" s="232" t="s">
        <v>7573</v>
      </c>
      <c r="V435" t="str">
        <f t="shared" si="42"/>
        <v>26</v>
      </c>
      <c r="W435" t="str">
        <f t="shared" si="43"/>
        <v>03</v>
      </c>
      <c r="X435" t="str">
        <f t="shared" si="44"/>
        <v>21</v>
      </c>
      <c r="Y435" t="str">
        <f t="shared" si="45"/>
        <v>2021</v>
      </c>
      <c r="Z435"/>
      <c r="AA435" s="2">
        <f t="shared" si="46"/>
        <v>44281</v>
      </c>
      <c r="AB435"/>
      <c r="AC435"/>
    </row>
    <row r="436" spans="21:29" ht="15">
      <c r="U436" s="232" t="s">
        <v>7573</v>
      </c>
      <c r="V436" t="str">
        <f t="shared" si="42"/>
        <v>26</v>
      </c>
      <c r="W436" t="str">
        <f t="shared" si="43"/>
        <v>03</v>
      </c>
      <c r="X436" t="str">
        <f t="shared" si="44"/>
        <v>21</v>
      </c>
      <c r="Y436" t="str">
        <f t="shared" si="45"/>
        <v>2021</v>
      </c>
      <c r="Z436"/>
      <c r="AA436" s="2">
        <f t="shared" si="46"/>
        <v>44281</v>
      </c>
      <c r="AB436"/>
      <c r="AC436"/>
    </row>
    <row r="437" spans="21:29" ht="15">
      <c r="U437" s="232" t="s">
        <v>7573</v>
      </c>
      <c r="V437" t="str">
        <f t="shared" si="42"/>
        <v>26</v>
      </c>
      <c r="W437" t="str">
        <f t="shared" si="43"/>
        <v>03</v>
      </c>
      <c r="X437" t="str">
        <f t="shared" si="44"/>
        <v>21</v>
      </c>
      <c r="Y437" t="str">
        <f t="shared" si="45"/>
        <v>2021</v>
      </c>
      <c r="Z437"/>
      <c r="AA437" s="2">
        <f t="shared" si="46"/>
        <v>44281</v>
      </c>
      <c r="AB437"/>
      <c r="AC437"/>
    </row>
    <row r="438" spans="21:29" ht="15">
      <c r="U438" s="232" t="s">
        <v>7573</v>
      </c>
      <c r="V438" t="str">
        <f t="shared" si="42"/>
        <v>26</v>
      </c>
      <c r="W438" t="str">
        <f t="shared" si="43"/>
        <v>03</v>
      </c>
      <c r="X438" t="str">
        <f t="shared" si="44"/>
        <v>21</v>
      </c>
      <c r="Y438" t="str">
        <f t="shared" si="45"/>
        <v>2021</v>
      </c>
      <c r="Z438"/>
      <c r="AA438" s="2">
        <f t="shared" si="46"/>
        <v>44281</v>
      </c>
      <c r="AB438"/>
      <c r="AC438"/>
    </row>
    <row r="439" spans="21:29" ht="15">
      <c r="U439" s="232" t="s">
        <v>7582</v>
      </c>
      <c r="V439" t="str">
        <f t="shared" si="42"/>
        <v>27</v>
      </c>
      <c r="W439" t="str">
        <f t="shared" si="43"/>
        <v>03</v>
      </c>
      <c r="X439" t="str">
        <f t="shared" si="44"/>
        <v>21</v>
      </c>
      <c r="Y439" t="str">
        <f t="shared" si="45"/>
        <v>2021</v>
      </c>
      <c r="Z439"/>
      <c r="AA439" s="2">
        <f t="shared" si="46"/>
        <v>44282</v>
      </c>
      <c r="AB439"/>
      <c r="AC439"/>
    </row>
    <row r="440" spans="21:29" ht="15">
      <c r="U440" s="232" t="s">
        <v>7582</v>
      </c>
      <c r="V440" t="str">
        <f t="shared" si="42"/>
        <v>27</v>
      </c>
      <c r="W440" t="str">
        <f t="shared" si="43"/>
        <v>03</v>
      </c>
      <c r="X440" t="str">
        <f t="shared" si="44"/>
        <v>21</v>
      </c>
      <c r="Y440" t="str">
        <f t="shared" si="45"/>
        <v>2021</v>
      </c>
      <c r="Z440"/>
      <c r="AA440" s="2">
        <f t="shared" si="46"/>
        <v>44282</v>
      </c>
      <c r="AB440"/>
      <c r="AC440"/>
    </row>
    <row r="441" spans="21:29" ht="15">
      <c r="U441" s="232" t="s">
        <v>7587</v>
      </c>
      <c r="V441" t="str">
        <f t="shared" si="42"/>
        <v>28</v>
      </c>
      <c r="W441" t="str">
        <f t="shared" si="43"/>
        <v>03</v>
      </c>
      <c r="X441" t="str">
        <f t="shared" si="44"/>
        <v>21</v>
      </c>
      <c r="Y441" t="str">
        <f t="shared" si="45"/>
        <v>2021</v>
      </c>
      <c r="Z441"/>
      <c r="AA441" s="2">
        <f t="shared" si="46"/>
        <v>44283</v>
      </c>
      <c r="AB441"/>
      <c r="AC441"/>
    </row>
    <row r="442" spans="21:29" ht="15">
      <c r="U442" s="232" t="s">
        <v>7590</v>
      </c>
      <c r="V442" t="str">
        <f t="shared" si="42"/>
        <v>29</v>
      </c>
      <c r="W442" t="str">
        <f t="shared" si="43"/>
        <v>03</v>
      </c>
      <c r="X442" t="str">
        <f t="shared" si="44"/>
        <v>21</v>
      </c>
      <c r="Y442" t="str">
        <f t="shared" si="45"/>
        <v>2021</v>
      </c>
      <c r="Z442"/>
      <c r="AA442" s="2">
        <f t="shared" si="46"/>
        <v>44284</v>
      </c>
      <c r="AB442"/>
      <c r="AC442"/>
    </row>
    <row r="443" spans="21:29" ht="15">
      <c r="U443" s="232" t="s">
        <v>7593</v>
      </c>
      <c r="V443" t="str">
        <f t="shared" si="42"/>
        <v>31</v>
      </c>
      <c r="W443" t="str">
        <f t="shared" si="43"/>
        <v>03</v>
      </c>
      <c r="X443" t="str">
        <f t="shared" si="44"/>
        <v>21</v>
      </c>
      <c r="Y443" t="str">
        <f t="shared" si="45"/>
        <v>2021</v>
      </c>
      <c r="Z443"/>
      <c r="AA443" s="2">
        <f t="shared" si="46"/>
        <v>44286</v>
      </c>
      <c r="AB443"/>
      <c r="AC443"/>
    </row>
    <row r="444" spans="21:29" ht="15">
      <c r="U444" s="232" t="s">
        <v>7593</v>
      </c>
      <c r="V444" t="str">
        <f t="shared" si="42"/>
        <v>31</v>
      </c>
      <c r="W444" t="str">
        <f t="shared" si="43"/>
        <v>03</v>
      </c>
      <c r="X444" t="str">
        <f t="shared" si="44"/>
        <v>21</v>
      </c>
      <c r="Y444" t="str">
        <f t="shared" si="45"/>
        <v>2021</v>
      </c>
      <c r="Z444"/>
      <c r="AA444" s="2">
        <f t="shared" si="46"/>
        <v>44286</v>
      </c>
      <c r="AB444"/>
      <c r="AC444"/>
    </row>
    <row r="445" spans="21:29" ht="15">
      <c r="U445" s="232" t="s">
        <v>7596</v>
      </c>
      <c r="V445" t="str">
        <f t="shared" si="42"/>
        <v>01</v>
      </c>
      <c r="W445" t="str">
        <f t="shared" si="43"/>
        <v>04</v>
      </c>
      <c r="X445" t="str">
        <f t="shared" si="44"/>
        <v>21</v>
      </c>
      <c r="Y445" t="str">
        <f t="shared" si="45"/>
        <v>2021</v>
      </c>
      <c r="Z445"/>
      <c r="AA445" s="2">
        <f t="shared" si="46"/>
        <v>44287</v>
      </c>
      <c r="AB445"/>
      <c r="AC445"/>
    </row>
    <row r="446" spans="21:29" ht="15">
      <c r="U446" s="234" t="s">
        <v>7596</v>
      </c>
      <c r="V446" t="str">
        <f t="shared" si="42"/>
        <v>01</v>
      </c>
      <c r="W446" t="str">
        <f t="shared" si="43"/>
        <v>04</v>
      </c>
      <c r="X446" t="str">
        <f t="shared" si="44"/>
        <v>21</v>
      </c>
      <c r="Y446" t="str">
        <f t="shared" si="45"/>
        <v>2021</v>
      </c>
      <c r="Z446"/>
      <c r="AA446" s="2">
        <f t="shared" si="46"/>
        <v>44287</v>
      </c>
      <c r="AB446"/>
      <c r="AC446"/>
    </row>
    <row r="447" spans="21:29" ht="15">
      <c r="U447" s="234" t="s">
        <v>7599</v>
      </c>
      <c r="V447" t="str">
        <f t="shared" si="42"/>
        <v>02</v>
      </c>
      <c r="W447" t="str">
        <f t="shared" si="43"/>
        <v>04</v>
      </c>
      <c r="X447" t="str">
        <f t="shared" si="44"/>
        <v>21</v>
      </c>
      <c r="Y447" t="str">
        <f t="shared" si="45"/>
        <v>2021</v>
      </c>
      <c r="Z447"/>
      <c r="AA447" s="2">
        <f t="shared" si="46"/>
        <v>44288</v>
      </c>
      <c r="AB447"/>
      <c r="AC447"/>
    </row>
    <row r="448" spans="21:29" ht="15">
      <c r="U448" s="234" t="s">
        <v>7599</v>
      </c>
      <c r="V448" t="str">
        <f t="shared" si="42"/>
        <v>02</v>
      </c>
      <c r="W448" t="str">
        <f t="shared" si="43"/>
        <v>04</v>
      </c>
      <c r="X448" t="str">
        <f t="shared" si="44"/>
        <v>21</v>
      </c>
      <c r="Y448" t="str">
        <f t="shared" si="45"/>
        <v>2021</v>
      </c>
      <c r="Z448"/>
      <c r="AA448" s="2">
        <f t="shared" si="46"/>
        <v>44288</v>
      </c>
      <c r="AB448"/>
      <c r="AC448"/>
    </row>
    <row r="449" spans="21:29" ht="15">
      <c r="U449" s="234" t="s">
        <v>7599</v>
      </c>
      <c r="V449" t="str">
        <f t="shared" si="42"/>
        <v>02</v>
      </c>
      <c r="W449" t="str">
        <f t="shared" si="43"/>
        <v>04</v>
      </c>
      <c r="X449" t="str">
        <f t="shared" si="44"/>
        <v>21</v>
      </c>
      <c r="Y449" t="str">
        <f t="shared" si="45"/>
        <v>2021</v>
      </c>
      <c r="Z449"/>
      <c r="AA449" s="2">
        <f t="shared" si="46"/>
        <v>44288</v>
      </c>
      <c r="AB449"/>
      <c r="AC449"/>
    </row>
    <row r="450" spans="21:29" ht="15">
      <c r="U450" s="234" t="s">
        <v>7599</v>
      </c>
      <c r="V450" t="str">
        <f t="shared" si="42"/>
        <v>02</v>
      </c>
      <c r="W450" t="str">
        <f t="shared" si="43"/>
        <v>04</v>
      </c>
      <c r="X450" t="str">
        <f t="shared" si="44"/>
        <v>21</v>
      </c>
      <c r="Y450" t="str">
        <f t="shared" si="45"/>
        <v>2021</v>
      </c>
      <c r="Z450"/>
      <c r="AA450" s="2">
        <f t="shared" si="46"/>
        <v>44288</v>
      </c>
      <c r="AB450"/>
      <c r="AC450"/>
    </row>
    <row r="451" spans="21:29" ht="15">
      <c r="U451" s="234" t="s">
        <v>7599</v>
      </c>
      <c r="V451" t="str">
        <f t="shared" ref="V451:V514" si="47">LEFT(U451,2)</f>
        <v>02</v>
      </c>
      <c r="W451" t="str">
        <f t="shared" ref="W451:W514" si="48">MID(U451,4,2)</f>
        <v>04</v>
      </c>
      <c r="X451" t="str">
        <f t="shared" ref="X451:X514" si="49">RIGHT(U451,2)</f>
        <v>21</v>
      </c>
      <c r="Y451" t="str">
        <f t="shared" ref="Y451:Y514" si="50">"20" &amp; X451</f>
        <v>2021</v>
      </c>
      <c r="Z451"/>
      <c r="AA451" s="2">
        <f t="shared" ref="AA451:AA514" si="51">DATE(Y451,W451,V451)</f>
        <v>44288</v>
      </c>
      <c r="AB451"/>
      <c r="AC451"/>
    </row>
    <row r="452" spans="21:29" ht="15">
      <c r="U452" s="234" t="s">
        <v>7599</v>
      </c>
      <c r="V452" t="str">
        <f t="shared" si="47"/>
        <v>02</v>
      </c>
      <c r="W452" t="str">
        <f t="shared" si="48"/>
        <v>04</v>
      </c>
      <c r="X452" t="str">
        <f t="shared" si="49"/>
        <v>21</v>
      </c>
      <c r="Y452" t="str">
        <f t="shared" si="50"/>
        <v>2021</v>
      </c>
      <c r="Z452"/>
      <c r="AA452" s="2">
        <f t="shared" si="51"/>
        <v>44288</v>
      </c>
      <c r="AB452"/>
      <c r="AC452"/>
    </row>
    <row r="453" spans="21:29" ht="15">
      <c r="U453" s="234" t="s">
        <v>7606</v>
      </c>
      <c r="V453" t="str">
        <f t="shared" si="47"/>
        <v>03</v>
      </c>
      <c r="W453" t="str">
        <f t="shared" si="48"/>
        <v>04</v>
      </c>
      <c r="X453" t="str">
        <f t="shared" si="49"/>
        <v>21</v>
      </c>
      <c r="Y453" t="str">
        <f t="shared" si="50"/>
        <v>2021</v>
      </c>
      <c r="Z453"/>
      <c r="AA453" s="2">
        <f t="shared" si="51"/>
        <v>44289</v>
      </c>
      <c r="AB453"/>
      <c r="AC453"/>
    </row>
    <row r="454" spans="21:29" ht="15">
      <c r="U454" s="234" t="s">
        <v>7606</v>
      </c>
      <c r="V454" t="str">
        <f t="shared" si="47"/>
        <v>03</v>
      </c>
      <c r="W454" t="str">
        <f t="shared" si="48"/>
        <v>04</v>
      </c>
      <c r="X454" t="str">
        <f t="shared" si="49"/>
        <v>21</v>
      </c>
      <c r="Y454" t="str">
        <f t="shared" si="50"/>
        <v>2021</v>
      </c>
      <c r="Z454"/>
      <c r="AA454" s="2">
        <f t="shared" si="51"/>
        <v>44289</v>
      </c>
      <c r="AB454"/>
      <c r="AC454"/>
    </row>
    <row r="455" spans="21:29" ht="15">
      <c r="U455" s="234" t="s">
        <v>7606</v>
      </c>
      <c r="V455" t="str">
        <f t="shared" si="47"/>
        <v>03</v>
      </c>
      <c r="W455" t="str">
        <f t="shared" si="48"/>
        <v>04</v>
      </c>
      <c r="X455" t="str">
        <f t="shared" si="49"/>
        <v>21</v>
      </c>
      <c r="Y455" t="str">
        <f t="shared" si="50"/>
        <v>2021</v>
      </c>
      <c r="Z455"/>
      <c r="AA455" s="2">
        <f t="shared" si="51"/>
        <v>44289</v>
      </c>
      <c r="AB455"/>
      <c r="AC455"/>
    </row>
    <row r="456" spans="21:29" ht="15">
      <c r="U456" s="234" t="s">
        <v>7610</v>
      </c>
      <c r="V456" t="str">
        <f t="shared" si="47"/>
        <v>04</v>
      </c>
      <c r="W456" t="str">
        <f t="shared" si="48"/>
        <v>04</v>
      </c>
      <c r="X456" t="str">
        <f t="shared" si="49"/>
        <v>21</v>
      </c>
      <c r="Y456" t="str">
        <f t="shared" si="50"/>
        <v>2021</v>
      </c>
      <c r="Z456"/>
      <c r="AA456" s="2">
        <f t="shared" si="51"/>
        <v>44290</v>
      </c>
      <c r="AB456"/>
      <c r="AC456"/>
    </row>
    <row r="457" spans="21:29" ht="15">
      <c r="U457" s="234" t="s">
        <v>7611</v>
      </c>
      <c r="V457" t="str">
        <f t="shared" si="47"/>
        <v>05</v>
      </c>
      <c r="W457" t="str">
        <f t="shared" si="48"/>
        <v>04</v>
      </c>
      <c r="X457" t="str">
        <f t="shared" si="49"/>
        <v>21</v>
      </c>
      <c r="Y457" t="str">
        <f t="shared" si="50"/>
        <v>2021</v>
      </c>
      <c r="Z457"/>
      <c r="AA457" s="2">
        <f t="shared" si="51"/>
        <v>44291</v>
      </c>
      <c r="AB457"/>
      <c r="AC457"/>
    </row>
    <row r="458" spans="21:29" ht="15">
      <c r="U458" s="234" t="s">
        <v>7611</v>
      </c>
      <c r="V458" t="str">
        <f t="shared" si="47"/>
        <v>05</v>
      </c>
      <c r="W458" t="str">
        <f t="shared" si="48"/>
        <v>04</v>
      </c>
      <c r="X458" t="str">
        <f t="shared" si="49"/>
        <v>21</v>
      </c>
      <c r="Y458" t="str">
        <f t="shared" si="50"/>
        <v>2021</v>
      </c>
      <c r="Z458"/>
      <c r="AA458" s="2">
        <f t="shared" si="51"/>
        <v>44291</v>
      </c>
      <c r="AB458"/>
      <c r="AC458"/>
    </row>
    <row r="459" spans="21:29" ht="15">
      <c r="U459" s="234" t="s">
        <v>7614</v>
      </c>
      <c r="V459" t="str">
        <f t="shared" si="47"/>
        <v>06</v>
      </c>
      <c r="W459" t="str">
        <f t="shared" si="48"/>
        <v>04</v>
      </c>
      <c r="X459" t="str">
        <f t="shared" si="49"/>
        <v>21</v>
      </c>
      <c r="Y459" t="str">
        <f t="shared" si="50"/>
        <v>2021</v>
      </c>
      <c r="Z459"/>
      <c r="AA459" s="2">
        <f t="shared" si="51"/>
        <v>44292</v>
      </c>
      <c r="AB459"/>
      <c r="AC459"/>
    </row>
    <row r="460" spans="21:29" ht="15">
      <c r="U460" s="234" t="s">
        <v>7614</v>
      </c>
      <c r="V460" t="str">
        <f t="shared" si="47"/>
        <v>06</v>
      </c>
      <c r="W460" t="str">
        <f t="shared" si="48"/>
        <v>04</v>
      </c>
      <c r="X460" t="str">
        <f t="shared" si="49"/>
        <v>21</v>
      </c>
      <c r="Y460" t="str">
        <f t="shared" si="50"/>
        <v>2021</v>
      </c>
      <c r="Z460"/>
      <c r="AA460" s="2">
        <f t="shared" si="51"/>
        <v>44292</v>
      </c>
      <c r="AB460"/>
      <c r="AC460"/>
    </row>
    <row r="461" spans="21:29" ht="15">
      <c r="U461" s="234" t="s">
        <v>7614</v>
      </c>
      <c r="V461" t="str">
        <f t="shared" si="47"/>
        <v>06</v>
      </c>
      <c r="W461" t="str">
        <f t="shared" si="48"/>
        <v>04</v>
      </c>
      <c r="X461" t="str">
        <f t="shared" si="49"/>
        <v>21</v>
      </c>
      <c r="Y461" t="str">
        <f t="shared" si="50"/>
        <v>2021</v>
      </c>
      <c r="Z461"/>
      <c r="AA461" s="2">
        <f t="shared" si="51"/>
        <v>44292</v>
      </c>
      <c r="AB461"/>
      <c r="AC461"/>
    </row>
    <row r="462" spans="21:29" ht="15">
      <c r="U462" s="234" t="s">
        <v>7618</v>
      </c>
      <c r="V462" t="str">
        <f t="shared" si="47"/>
        <v>07</v>
      </c>
      <c r="W462" t="str">
        <f t="shared" si="48"/>
        <v>04</v>
      </c>
      <c r="X462" t="str">
        <f t="shared" si="49"/>
        <v>21</v>
      </c>
      <c r="Y462" t="str">
        <f t="shared" si="50"/>
        <v>2021</v>
      </c>
      <c r="Z462"/>
      <c r="AA462" s="2">
        <f t="shared" si="51"/>
        <v>44293</v>
      </c>
      <c r="AB462"/>
      <c r="AC462"/>
    </row>
    <row r="463" spans="21:29" ht="15">
      <c r="U463" s="234" t="s">
        <v>7620</v>
      </c>
      <c r="V463" t="str">
        <f t="shared" si="47"/>
        <v>08</v>
      </c>
      <c r="W463" t="str">
        <f t="shared" si="48"/>
        <v>04</v>
      </c>
      <c r="X463" t="str">
        <f t="shared" si="49"/>
        <v>21</v>
      </c>
      <c r="Y463" t="str">
        <f t="shared" si="50"/>
        <v>2021</v>
      </c>
      <c r="Z463"/>
      <c r="AA463" s="2">
        <f t="shared" si="51"/>
        <v>44294</v>
      </c>
      <c r="AB463"/>
      <c r="AC463"/>
    </row>
    <row r="464" spans="21:29" ht="15">
      <c r="U464" s="234" t="s">
        <v>7620</v>
      </c>
      <c r="V464" t="str">
        <f t="shared" si="47"/>
        <v>08</v>
      </c>
      <c r="W464" t="str">
        <f t="shared" si="48"/>
        <v>04</v>
      </c>
      <c r="X464" t="str">
        <f t="shared" si="49"/>
        <v>21</v>
      </c>
      <c r="Y464" t="str">
        <f t="shared" si="50"/>
        <v>2021</v>
      </c>
      <c r="Z464"/>
      <c r="AA464" s="2">
        <f t="shared" si="51"/>
        <v>44294</v>
      </c>
      <c r="AB464"/>
      <c r="AC464"/>
    </row>
    <row r="465" spans="21:29" ht="15">
      <c r="U465" s="234" t="s">
        <v>7623</v>
      </c>
      <c r="V465" t="str">
        <f t="shared" si="47"/>
        <v>09</v>
      </c>
      <c r="W465" t="str">
        <f t="shared" si="48"/>
        <v>04</v>
      </c>
      <c r="X465" t="str">
        <f t="shared" si="49"/>
        <v>21</v>
      </c>
      <c r="Y465" t="str">
        <f t="shared" si="50"/>
        <v>2021</v>
      </c>
      <c r="Z465"/>
      <c r="AA465" s="2">
        <f t="shared" si="51"/>
        <v>44295</v>
      </c>
      <c r="AB465"/>
      <c r="AC465"/>
    </row>
    <row r="466" spans="21:29" ht="15">
      <c r="U466" s="234" t="s">
        <v>7623</v>
      </c>
      <c r="V466" t="str">
        <f t="shared" si="47"/>
        <v>09</v>
      </c>
      <c r="W466" t="str">
        <f t="shared" si="48"/>
        <v>04</v>
      </c>
      <c r="X466" t="str">
        <f t="shared" si="49"/>
        <v>21</v>
      </c>
      <c r="Y466" t="str">
        <f t="shared" si="50"/>
        <v>2021</v>
      </c>
      <c r="Z466"/>
      <c r="AA466" s="2">
        <f t="shared" si="51"/>
        <v>44295</v>
      </c>
      <c r="AB466"/>
      <c r="AC466"/>
    </row>
    <row r="467" spans="21:29" ht="15">
      <c r="U467" s="234" t="s">
        <v>7623</v>
      </c>
      <c r="V467" t="str">
        <f t="shared" si="47"/>
        <v>09</v>
      </c>
      <c r="W467" t="str">
        <f t="shared" si="48"/>
        <v>04</v>
      </c>
      <c r="X467" t="str">
        <f t="shared" si="49"/>
        <v>21</v>
      </c>
      <c r="Y467" t="str">
        <f t="shared" si="50"/>
        <v>2021</v>
      </c>
      <c r="Z467"/>
      <c r="AA467" s="2">
        <f t="shared" si="51"/>
        <v>44295</v>
      </c>
      <c r="AB467"/>
      <c r="AC467"/>
    </row>
    <row r="468" spans="21:29" ht="15">
      <c r="U468" s="234" t="s">
        <v>7627</v>
      </c>
      <c r="V468" t="str">
        <f t="shared" si="47"/>
        <v>10</v>
      </c>
      <c r="W468" t="str">
        <f t="shared" si="48"/>
        <v>04</v>
      </c>
      <c r="X468" t="str">
        <f t="shared" si="49"/>
        <v>21</v>
      </c>
      <c r="Y468" t="str">
        <f t="shared" si="50"/>
        <v>2021</v>
      </c>
      <c r="Z468"/>
      <c r="AA468" s="2">
        <f t="shared" si="51"/>
        <v>44296</v>
      </c>
      <c r="AB468"/>
      <c r="AC468"/>
    </row>
    <row r="469" spans="21:29" ht="15">
      <c r="U469" s="234" t="s">
        <v>7629</v>
      </c>
      <c r="V469" t="str">
        <f t="shared" si="47"/>
        <v>11</v>
      </c>
      <c r="W469" t="str">
        <f t="shared" si="48"/>
        <v>04</v>
      </c>
      <c r="X469" t="str">
        <f t="shared" si="49"/>
        <v>21</v>
      </c>
      <c r="Y469" t="str">
        <f t="shared" si="50"/>
        <v>2021</v>
      </c>
      <c r="Z469"/>
      <c r="AA469" s="2">
        <f t="shared" si="51"/>
        <v>44297</v>
      </c>
      <c r="AB469"/>
      <c r="AC469"/>
    </row>
    <row r="470" spans="21:29" ht="15">
      <c r="U470" s="234" t="s">
        <v>7629</v>
      </c>
      <c r="V470" t="str">
        <f t="shared" si="47"/>
        <v>11</v>
      </c>
      <c r="W470" t="str">
        <f t="shared" si="48"/>
        <v>04</v>
      </c>
      <c r="X470" t="str">
        <f t="shared" si="49"/>
        <v>21</v>
      </c>
      <c r="Y470" t="str">
        <f t="shared" si="50"/>
        <v>2021</v>
      </c>
      <c r="Z470"/>
      <c r="AA470" s="2">
        <f t="shared" si="51"/>
        <v>44297</v>
      </c>
      <c r="AB470"/>
      <c r="AC470"/>
    </row>
    <row r="471" spans="21:29" ht="15">
      <c r="U471" s="234" t="s">
        <v>7632</v>
      </c>
      <c r="V471" t="str">
        <f t="shared" si="47"/>
        <v>12</v>
      </c>
      <c r="W471" t="str">
        <f t="shared" si="48"/>
        <v>04</v>
      </c>
      <c r="X471" t="str">
        <f t="shared" si="49"/>
        <v>21</v>
      </c>
      <c r="Y471" t="str">
        <f t="shared" si="50"/>
        <v>2021</v>
      </c>
      <c r="Z471"/>
      <c r="AA471" s="2">
        <f t="shared" si="51"/>
        <v>44298</v>
      </c>
      <c r="AB471"/>
      <c r="AC471"/>
    </row>
    <row r="472" spans="21:29" ht="15">
      <c r="U472" s="234" t="s">
        <v>7634</v>
      </c>
      <c r="V472" t="str">
        <f t="shared" si="47"/>
        <v>14</v>
      </c>
      <c r="W472" t="str">
        <f t="shared" si="48"/>
        <v>04</v>
      </c>
      <c r="X472" t="str">
        <f t="shared" si="49"/>
        <v>21</v>
      </c>
      <c r="Y472" t="str">
        <f t="shared" si="50"/>
        <v>2021</v>
      </c>
      <c r="Z472"/>
      <c r="AA472" s="2">
        <f t="shared" si="51"/>
        <v>44300</v>
      </c>
      <c r="AB472"/>
      <c r="AC472"/>
    </row>
    <row r="473" spans="21:29" ht="15">
      <c r="U473" s="234" t="s">
        <v>7634</v>
      </c>
      <c r="V473" t="str">
        <f t="shared" si="47"/>
        <v>14</v>
      </c>
      <c r="W473" t="str">
        <f t="shared" si="48"/>
        <v>04</v>
      </c>
      <c r="X473" t="str">
        <f t="shared" si="49"/>
        <v>21</v>
      </c>
      <c r="Y473" t="str">
        <f t="shared" si="50"/>
        <v>2021</v>
      </c>
      <c r="Z473"/>
      <c r="AA473" s="2">
        <f t="shared" si="51"/>
        <v>44300</v>
      </c>
      <c r="AB473"/>
      <c r="AC473"/>
    </row>
    <row r="474" spans="21:29" ht="15">
      <c r="U474" s="234" t="s">
        <v>7634</v>
      </c>
      <c r="V474" t="str">
        <f t="shared" si="47"/>
        <v>14</v>
      </c>
      <c r="W474" t="str">
        <f t="shared" si="48"/>
        <v>04</v>
      </c>
      <c r="X474" t="str">
        <f t="shared" si="49"/>
        <v>21</v>
      </c>
      <c r="Y474" t="str">
        <f t="shared" si="50"/>
        <v>2021</v>
      </c>
      <c r="Z474"/>
      <c r="AA474" s="2">
        <f t="shared" si="51"/>
        <v>44300</v>
      </c>
      <c r="AB474"/>
      <c r="AC474"/>
    </row>
    <row r="475" spans="21:29" ht="15">
      <c r="U475" s="234" t="s">
        <v>7638</v>
      </c>
      <c r="V475" t="str">
        <f t="shared" si="47"/>
        <v>15</v>
      </c>
      <c r="W475" t="str">
        <f t="shared" si="48"/>
        <v>04</v>
      </c>
      <c r="X475" t="str">
        <f t="shared" si="49"/>
        <v>21</v>
      </c>
      <c r="Y475" t="str">
        <f t="shared" si="50"/>
        <v>2021</v>
      </c>
      <c r="Z475"/>
      <c r="AA475" s="2">
        <f t="shared" si="51"/>
        <v>44301</v>
      </c>
      <c r="AB475"/>
      <c r="AC475"/>
    </row>
    <row r="476" spans="21:29" ht="15">
      <c r="U476" s="234" t="s">
        <v>7638</v>
      </c>
      <c r="V476" t="str">
        <f t="shared" si="47"/>
        <v>15</v>
      </c>
      <c r="W476" t="str">
        <f t="shared" si="48"/>
        <v>04</v>
      </c>
      <c r="X476" t="str">
        <f t="shared" si="49"/>
        <v>21</v>
      </c>
      <c r="Y476" t="str">
        <f t="shared" si="50"/>
        <v>2021</v>
      </c>
      <c r="Z476"/>
      <c r="AA476" s="2">
        <f t="shared" si="51"/>
        <v>44301</v>
      </c>
      <c r="AB476"/>
      <c r="AC476"/>
    </row>
    <row r="477" spans="21:29" ht="15">
      <c r="U477" s="234" t="s">
        <v>7638</v>
      </c>
      <c r="V477" t="str">
        <f t="shared" si="47"/>
        <v>15</v>
      </c>
      <c r="W477" t="str">
        <f t="shared" si="48"/>
        <v>04</v>
      </c>
      <c r="X477" t="str">
        <f t="shared" si="49"/>
        <v>21</v>
      </c>
      <c r="Y477" t="str">
        <f t="shared" si="50"/>
        <v>2021</v>
      </c>
      <c r="Z477"/>
      <c r="AA477" s="2">
        <f t="shared" si="51"/>
        <v>44301</v>
      </c>
      <c r="AB477"/>
      <c r="AC477"/>
    </row>
    <row r="478" spans="21:29" ht="15">
      <c r="U478" s="234" t="s">
        <v>7638</v>
      </c>
      <c r="V478" t="str">
        <f t="shared" si="47"/>
        <v>15</v>
      </c>
      <c r="W478" t="str">
        <f t="shared" si="48"/>
        <v>04</v>
      </c>
      <c r="X478" t="str">
        <f t="shared" si="49"/>
        <v>21</v>
      </c>
      <c r="Y478" t="str">
        <f t="shared" si="50"/>
        <v>2021</v>
      </c>
      <c r="Z478"/>
      <c r="AA478" s="2">
        <f t="shared" si="51"/>
        <v>44301</v>
      </c>
      <c r="AB478"/>
      <c r="AC478"/>
    </row>
    <row r="479" spans="21:29" ht="15">
      <c r="U479" s="234" t="s">
        <v>7643</v>
      </c>
      <c r="V479" t="str">
        <f t="shared" si="47"/>
        <v>16</v>
      </c>
      <c r="W479" t="str">
        <f t="shared" si="48"/>
        <v>04</v>
      </c>
      <c r="X479" t="str">
        <f t="shared" si="49"/>
        <v>21</v>
      </c>
      <c r="Y479" t="str">
        <f t="shared" si="50"/>
        <v>2021</v>
      </c>
      <c r="Z479"/>
      <c r="AA479" s="2">
        <f t="shared" si="51"/>
        <v>44302</v>
      </c>
      <c r="AB479"/>
      <c r="AC479"/>
    </row>
    <row r="480" spans="21:29" ht="15">
      <c r="U480" s="234" t="s">
        <v>7645</v>
      </c>
      <c r="V480" t="str">
        <f t="shared" si="47"/>
        <v>17</v>
      </c>
      <c r="W480" t="str">
        <f t="shared" si="48"/>
        <v>04</v>
      </c>
      <c r="X480" t="str">
        <f t="shared" si="49"/>
        <v>21</v>
      </c>
      <c r="Y480" t="str">
        <f t="shared" si="50"/>
        <v>2021</v>
      </c>
      <c r="Z480"/>
      <c r="AA480" s="2">
        <f t="shared" si="51"/>
        <v>44303</v>
      </c>
      <c r="AB480"/>
      <c r="AC480"/>
    </row>
    <row r="481" spans="21:29" ht="15">
      <c r="U481" s="234" t="s">
        <v>7645</v>
      </c>
      <c r="V481" t="str">
        <f t="shared" si="47"/>
        <v>17</v>
      </c>
      <c r="W481" t="str">
        <f t="shared" si="48"/>
        <v>04</v>
      </c>
      <c r="X481" t="str">
        <f t="shared" si="49"/>
        <v>21</v>
      </c>
      <c r="Y481" t="str">
        <f t="shared" si="50"/>
        <v>2021</v>
      </c>
      <c r="Z481"/>
      <c r="AA481" s="2">
        <f t="shared" si="51"/>
        <v>44303</v>
      </c>
      <c r="AB481"/>
      <c r="AC481"/>
    </row>
    <row r="482" spans="21:29" ht="15">
      <c r="U482" s="234" t="s">
        <v>7645</v>
      </c>
      <c r="V482" t="str">
        <f t="shared" si="47"/>
        <v>17</v>
      </c>
      <c r="W482" t="str">
        <f t="shared" si="48"/>
        <v>04</v>
      </c>
      <c r="X482" t="str">
        <f t="shared" si="49"/>
        <v>21</v>
      </c>
      <c r="Y482" t="str">
        <f t="shared" si="50"/>
        <v>2021</v>
      </c>
      <c r="Z482"/>
      <c r="AA482" s="2">
        <f t="shared" si="51"/>
        <v>44303</v>
      </c>
      <c r="AB482"/>
      <c r="AC482"/>
    </row>
    <row r="483" spans="21:29" ht="15">
      <c r="U483" s="234" t="s">
        <v>7645</v>
      </c>
      <c r="V483" t="str">
        <f t="shared" si="47"/>
        <v>17</v>
      </c>
      <c r="W483" t="str">
        <f t="shared" si="48"/>
        <v>04</v>
      </c>
      <c r="X483" t="str">
        <f t="shared" si="49"/>
        <v>21</v>
      </c>
      <c r="Y483" t="str">
        <f t="shared" si="50"/>
        <v>2021</v>
      </c>
      <c r="Z483"/>
      <c r="AA483" s="2">
        <f t="shared" si="51"/>
        <v>44303</v>
      </c>
      <c r="AB483"/>
      <c r="AC483"/>
    </row>
    <row r="484" spans="21:29" ht="15">
      <c r="U484" s="234" t="s">
        <v>7645</v>
      </c>
      <c r="V484" t="str">
        <f t="shared" si="47"/>
        <v>17</v>
      </c>
      <c r="W484" t="str">
        <f t="shared" si="48"/>
        <v>04</v>
      </c>
      <c r="X484" t="str">
        <f t="shared" si="49"/>
        <v>21</v>
      </c>
      <c r="Y484" t="str">
        <f t="shared" si="50"/>
        <v>2021</v>
      </c>
      <c r="Z484"/>
      <c r="AA484" s="2">
        <f t="shared" si="51"/>
        <v>44303</v>
      </c>
      <c r="AB484"/>
      <c r="AC484"/>
    </row>
    <row r="485" spans="21:29" ht="15">
      <c r="U485" s="234" t="s">
        <v>7645</v>
      </c>
      <c r="V485" t="str">
        <f t="shared" si="47"/>
        <v>17</v>
      </c>
      <c r="W485" t="str">
        <f t="shared" si="48"/>
        <v>04</v>
      </c>
      <c r="X485" t="str">
        <f t="shared" si="49"/>
        <v>21</v>
      </c>
      <c r="Y485" t="str">
        <f t="shared" si="50"/>
        <v>2021</v>
      </c>
      <c r="Z485"/>
      <c r="AA485" s="2">
        <f t="shared" si="51"/>
        <v>44303</v>
      </c>
      <c r="AB485"/>
      <c r="AC485"/>
    </row>
    <row r="486" spans="21:29" ht="15">
      <c r="U486" s="234" t="s">
        <v>7645</v>
      </c>
      <c r="V486" t="str">
        <f t="shared" si="47"/>
        <v>17</v>
      </c>
      <c r="W486" t="str">
        <f t="shared" si="48"/>
        <v>04</v>
      </c>
      <c r="X486" t="str">
        <f t="shared" si="49"/>
        <v>21</v>
      </c>
      <c r="Y486" t="str">
        <f t="shared" si="50"/>
        <v>2021</v>
      </c>
      <c r="Z486"/>
      <c r="AA486" s="2">
        <f t="shared" si="51"/>
        <v>44303</v>
      </c>
      <c r="AB486"/>
      <c r="AC486"/>
    </row>
    <row r="487" spans="21:29" ht="15">
      <c r="U487" s="234" t="s">
        <v>7653</v>
      </c>
      <c r="V487" t="str">
        <f t="shared" si="47"/>
        <v>18</v>
      </c>
      <c r="W487" t="str">
        <f t="shared" si="48"/>
        <v>04</v>
      </c>
      <c r="X487" t="str">
        <f t="shared" si="49"/>
        <v>21</v>
      </c>
      <c r="Y487" t="str">
        <f t="shared" si="50"/>
        <v>2021</v>
      </c>
      <c r="Z487"/>
      <c r="AA487" s="2">
        <f t="shared" si="51"/>
        <v>44304</v>
      </c>
      <c r="AB487"/>
      <c r="AC487"/>
    </row>
    <row r="488" spans="21:29" ht="15">
      <c r="U488" s="234" t="s">
        <v>7655</v>
      </c>
      <c r="V488" t="str">
        <f t="shared" si="47"/>
        <v>19</v>
      </c>
      <c r="W488" t="str">
        <f t="shared" si="48"/>
        <v>04</v>
      </c>
      <c r="X488" t="str">
        <f t="shared" si="49"/>
        <v>21</v>
      </c>
      <c r="Y488" t="str">
        <f t="shared" si="50"/>
        <v>2021</v>
      </c>
      <c r="Z488"/>
      <c r="AA488" s="2">
        <f t="shared" si="51"/>
        <v>44305</v>
      </c>
      <c r="AB488"/>
      <c r="AC488"/>
    </row>
    <row r="489" spans="21:29" ht="15">
      <c r="U489" s="234" t="s">
        <v>7655</v>
      </c>
      <c r="V489" t="str">
        <f t="shared" si="47"/>
        <v>19</v>
      </c>
      <c r="W489" t="str">
        <f t="shared" si="48"/>
        <v>04</v>
      </c>
      <c r="X489" t="str">
        <f t="shared" si="49"/>
        <v>21</v>
      </c>
      <c r="Y489" t="str">
        <f t="shared" si="50"/>
        <v>2021</v>
      </c>
      <c r="Z489"/>
      <c r="AA489" s="2">
        <f t="shared" si="51"/>
        <v>44305</v>
      </c>
      <c r="AB489"/>
      <c r="AC489"/>
    </row>
    <row r="490" spans="21:29" ht="15">
      <c r="U490" s="234" t="s">
        <v>7658</v>
      </c>
      <c r="V490" t="str">
        <f t="shared" si="47"/>
        <v>20</v>
      </c>
      <c r="W490" t="str">
        <f t="shared" si="48"/>
        <v>04</v>
      </c>
      <c r="X490" t="str">
        <f t="shared" si="49"/>
        <v>21</v>
      </c>
      <c r="Y490" t="str">
        <f t="shared" si="50"/>
        <v>2021</v>
      </c>
      <c r="Z490"/>
      <c r="AA490" s="2">
        <f t="shared" si="51"/>
        <v>44306</v>
      </c>
      <c r="AB490"/>
      <c r="AC490"/>
    </row>
    <row r="491" spans="21:29" ht="15">
      <c r="U491" s="234" t="s">
        <v>7658</v>
      </c>
      <c r="V491" t="str">
        <f t="shared" si="47"/>
        <v>20</v>
      </c>
      <c r="W491" t="str">
        <f t="shared" si="48"/>
        <v>04</v>
      </c>
      <c r="X491" t="str">
        <f t="shared" si="49"/>
        <v>21</v>
      </c>
      <c r="Y491" t="str">
        <f t="shared" si="50"/>
        <v>2021</v>
      </c>
      <c r="Z491"/>
      <c r="AA491" s="2">
        <f t="shared" si="51"/>
        <v>44306</v>
      </c>
      <c r="AB491"/>
      <c r="AC491"/>
    </row>
    <row r="492" spans="21:29" ht="15">
      <c r="U492" s="234" t="s">
        <v>7658</v>
      </c>
      <c r="V492" t="str">
        <f t="shared" si="47"/>
        <v>20</v>
      </c>
      <c r="W492" t="str">
        <f t="shared" si="48"/>
        <v>04</v>
      </c>
      <c r="X492" t="str">
        <f t="shared" si="49"/>
        <v>21</v>
      </c>
      <c r="Y492" t="str">
        <f t="shared" si="50"/>
        <v>2021</v>
      </c>
      <c r="Z492"/>
      <c r="AA492" s="2">
        <f t="shared" si="51"/>
        <v>44306</v>
      </c>
      <c r="AB492"/>
      <c r="AC492"/>
    </row>
    <row r="493" spans="21:29" ht="15">
      <c r="U493" s="234" t="s">
        <v>7662</v>
      </c>
      <c r="V493" t="str">
        <f t="shared" si="47"/>
        <v>21</v>
      </c>
      <c r="W493" t="str">
        <f t="shared" si="48"/>
        <v>04</v>
      </c>
      <c r="X493" t="str">
        <f t="shared" si="49"/>
        <v>21</v>
      </c>
      <c r="Y493" t="str">
        <f t="shared" si="50"/>
        <v>2021</v>
      </c>
      <c r="Z493"/>
      <c r="AA493" s="2">
        <f t="shared" si="51"/>
        <v>44307</v>
      </c>
      <c r="AB493"/>
      <c r="AC493"/>
    </row>
    <row r="494" spans="21:29" ht="15">
      <c r="U494" s="234" t="s">
        <v>7662</v>
      </c>
      <c r="V494" t="str">
        <f t="shared" si="47"/>
        <v>21</v>
      </c>
      <c r="W494" t="str">
        <f t="shared" si="48"/>
        <v>04</v>
      </c>
      <c r="X494" t="str">
        <f t="shared" si="49"/>
        <v>21</v>
      </c>
      <c r="Y494" t="str">
        <f t="shared" si="50"/>
        <v>2021</v>
      </c>
      <c r="Z494"/>
      <c r="AA494" s="2">
        <f t="shared" si="51"/>
        <v>44307</v>
      </c>
      <c r="AB494"/>
      <c r="AC494"/>
    </row>
    <row r="495" spans="21:29" ht="15">
      <c r="U495" s="234" t="s">
        <v>7665</v>
      </c>
      <c r="V495" t="str">
        <f t="shared" si="47"/>
        <v>22</v>
      </c>
      <c r="W495" t="str">
        <f t="shared" si="48"/>
        <v>04</v>
      </c>
      <c r="X495" t="str">
        <f t="shared" si="49"/>
        <v>21</v>
      </c>
      <c r="Y495" t="str">
        <f t="shared" si="50"/>
        <v>2021</v>
      </c>
      <c r="Z495"/>
      <c r="AA495" s="2">
        <f t="shared" si="51"/>
        <v>44308</v>
      </c>
      <c r="AB495"/>
      <c r="AC495"/>
    </row>
    <row r="496" spans="21:29" ht="15">
      <c r="U496" s="234" t="s">
        <v>7665</v>
      </c>
      <c r="V496" t="str">
        <f t="shared" si="47"/>
        <v>22</v>
      </c>
      <c r="W496" t="str">
        <f t="shared" si="48"/>
        <v>04</v>
      </c>
      <c r="X496" t="str">
        <f t="shared" si="49"/>
        <v>21</v>
      </c>
      <c r="Y496" t="str">
        <f t="shared" si="50"/>
        <v>2021</v>
      </c>
      <c r="Z496"/>
      <c r="AA496" s="2">
        <f t="shared" si="51"/>
        <v>44308</v>
      </c>
      <c r="AB496"/>
      <c r="AC496"/>
    </row>
    <row r="497" spans="21:29" ht="15">
      <c r="U497" s="234" t="s">
        <v>7665</v>
      </c>
      <c r="V497" t="str">
        <f t="shared" si="47"/>
        <v>22</v>
      </c>
      <c r="W497" t="str">
        <f t="shared" si="48"/>
        <v>04</v>
      </c>
      <c r="X497" t="str">
        <f t="shared" si="49"/>
        <v>21</v>
      </c>
      <c r="Y497" t="str">
        <f t="shared" si="50"/>
        <v>2021</v>
      </c>
      <c r="Z497"/>
      <c r="AA497" s="2">
        <f t="shared" si="51"/>
        <v>44308</v>
      </c>
      <c r="AB497"/>
      <c r="AC497"/>
    </row>
    <row r="498" spans="21:29" ht="15">
      <c r="U498" s="234" t="s">
        <v>7669</v>
      </c>
      <c r="V498" t="str">
        <f t="shared" si="47"/>
        <v>25</v>
      </c>
      <c r="W498" t="str">
        <f t="shared" si="48"/>
        <v>04</v>
      </c>
      <c r="X498" t="str">
        <f t="shared" si="49"/>
        <v>21</v>
      </c>
      <c r="Y498" t="str">
        <f t="shared" si="50"/>
        <v>2021</v>
      </c>
      <c r="Z498"/>
      <c r="AA498" s="2">
        <f t="shared" si="51"/>
        <v>44311</v>
      </c>
      <c r="AB498"/>
      <c r="AC498"/>
    </row>
    <row r="499" spans="21:29" ht="15">
      <c r="U499" s="234" t="s">
        <v>7669</v>
      </c>
      <c r="V499" t="str">
        <f t="shared" si="47"/>
        <v>25</v>
      </c>
      <c r="W499" t="str">
        <f t="shared" si="48"/>
        <v>04</v>
      </c>
      <c r="X499" t="str">
        <f t="shared" si="49"/>
        <v>21</v>
      </c>
      <c r="Y499" t="str">
        <f t="shared" si="50"/>
        <v>2021</v>
      </c>
      <c r="Z499"/>
      <c r="AA499" s="2">
        <f t="shared" si="51"/>
        <v>44311</v>
      </c>
      <c r="AB499"/>
      <c r="AC499"/>
    </row>
    <row r="500" spans="21:29" ht="15">
      <c r="U500" s="234" t="s">
        <v>7672</v>
      </c>
      <c r="V500" t="str">
        <f t="shared" si="47"/>
        <v>26</v>
      </c>
      <c r="W500" t="str">
        <f t="shared" si="48"/>
        <v>04</v>
      </c>
      <c r="X500" t="str">
        <f t="shared" si="49"/>
        <v>21</v>
      </c>
      <c r="Y500" t="str">
        <f t="shared" si="50"/>
        <v>2021</v>
      </c>
      <c r="Z500"/>
      <c r="AA500" s="2">
        <f t="shared" si="51"/>
        <v>44312</v>
      </c>
      <c r="AB500"/>
      <c r="AC500"/>
    </row>
    <row r="501" spans="21:29" ht="15">
      <c r="U501" s="234" t="s">
        <v>7672</v>
      </c>
      <c r="V501" t="str">
        <f t="shared" si="47"/>
        <v>26</v>
      </c>
      <c r="W501" t="str">
        <f t="shared" si="48"/>
        <v>04</v>
      </c>
      <c r="X501" t="str">
        <f t="shared" si="49"/>
        <v>21</v>
      </c>
      <c r="Y501" t="str">
        <f t="shared" si="50"/>
        <v>2021</v>
      </c>
      <c r="Z501"/>
      <c r="AA501" s="2">
        <f t="shared" si="51"/>
        <v>44312</v>
      </c>
      <c r="AB501"/>
      <c r="AC501"/>
    </row>
    <row r="502" spans="21:29" ht="15">
      <c r="U502" s="234" t="s">
        <v>7672</v>
      </c>
      <c r="V502" t="str">
        <f t="shared" si="47"/>
        <v>26</v>
      </c>
      <c r="W502" t="str">
        <f t="shared" si="48"/>
        <v>04</v>
      </c>
      <c r="X502" t="str">
        <f t="shared" si="49"/>
        <v>21</v>
      </c>
      <c r="Y502" t="str">
        <f t="shared" si="50"/>
        <v>2021</v>
      </c>
      <c r="Z502"/>
      <c r="AA502" s="2">
        <f t="shared" si="51"/>
        <v>44312</v>
      </c>
      <c r="AB502"/>
      <c r="AC502"/>
    </row>
    <row r="503" spans="21:29" ht="15">
      <c r="U503" s="234" t="s">
        <v>7672</v>
      </c>
      <c r="V503" t="str">
        <f t="shared" si="47"/>
        <v>26</v>
      </c>
      <c r="W503" t="str">
        <f t="shared" si="48"/>
        <v>04</v>
      </c>
      <c r="X503" t="str">
        <f t="shared" si="49"/>
        <v>21</v>
      </c>
      <c r="Y503" t="str">
        <f t="shared" si="50"/>
        <v>2021</v>
      </c>
      <c r="Z503"/>
      <c r="AA503" s="2">
        <f t="shared" si="51"/>
        <v>44312</v>
      </c>
      <c r="AB503"/>
      <c r="AC503"/>
    </row>
    <row r="504" spans="21:29" ht="15">
      <c r="U504" s="234" t="s">
        <v>7677</v>
      </c>
      <c r="V504" t="str">
        <f t="shared" si="47"/>
        <v>27</v>
      </c>
      <c r="W504" t="str">
        <f t="shared" si="48"/>
        <v>04</v>
      </c>
      <c r="X504" t="str">
        <f t="shared" si="49"/>
        <v>21</v>
      </c>
      <c r="Y504" t="str">
        <f t="shared" si="50"/>
        <v>2021</v>
      </c>
      <c r="Z504"/>
      <c r="AA504" s="2">
        <f t="shared" si="51"/>
        <v>44313</v>
      </c>
      <c r="AB504"/>
      <c r="AC504"/>
    </row>
    <row r="505" spans="21:29" ht="15">
      <c r="U505" s="234" t="s">
        <v>7677</v>
      </c>
      <c r="V505" t="str">
        <f t="shared" si="47"/>
        <v>27</v>
      </c>
      <c r="W505" t="str">
        <f t="shared" si="48"/>
        <v>04</v>
      </c>
      <c r="X505" t="str">
        <f t="shared" si="49"/>
        <v>21</v>
      </c>
      <c r="Y505" t="str">
        <f t="shared" si="50"/>
        <v>2021</v>
      </c>
      <c r="Z505"/>
      <c r="AA505" s="2">
        <f t="shared" si="51"/>
        <v>44313</v>
      </c>
      <c r="AB505"/>
      <c r="AC505"/>
    </row>
    <row r="506" spans="21:29" ht="15">
      <c r="U506" s="234" t="s">
        <v>7680</v>
      </c>
      <c r="V506" t="str">
        <f t="shared" si="47"/>
        <v>29</v>
      </c>
      <c r="W506" t="str">
        <f t="shared" si="48"/>
        <v>04</v>
      </c>
      <c r="X506" t="str">
        <f t="shared" si="49"/>
        <v>21</v>
      </c>
      <c r="Y506" t="str">
        <f t="shared" si="50"/>
        <v>2021</v>
      </c>
      <c r="Z506"/>
      <c r="AA506" s="2">
        <f t="shared" si="51"/>
        <v>44315</v>
      </c>
      <c r="AB506"/>
      <c r="AC506"/>
    </row>
    <row r="507" spans="21:29" ht="15">
      <c r="U507" s="234" t="s">
        <v>7680</v>
      </c>
      <c r="V507" t="str">
        <f t="shared" si="47"/>
        <v>29</v>
      </c>
      <c r="W507" t="str">
        <f t="shared" si="48"/>
        <v>04</v>
      </c>
      <c r="X507" t="str">
        <f t="shared" si="49"/>
        <v>21</v>
      </c>
      <c r="Y507" t="str">
        <f t="shared" si="50"/>
        <v>2021</v>
      </c>
      <c r="Z507"/>
      <c r="AA507" s="2">
        <f t="shared" si="51"/>
        <v>44315</v>
      </c>
      <c r="AB507"/>
      <c r="AC507"/>
    </row>
    <row r="508" spans="21:29" ht="15">
      <c r="U508" s="234" t="s">
        <v>7680</v>
      </c>
      <c r="V508" t="str">
        <f t="shared" si="47"/>
        <v>29</v>
      </c>
      <c r="W508" t="str">
        <f t="shared" si="48"/>
        <v>04</v>
      </c>
      <c r="X508" t="str">
        <f t="shared" si="49"/>
        <v>21</v>
      </c>
      <c r="Y508" t="str">
        <f t="shared" si="50"/>
        <v>2021</v>
      </c>
      <c r="Z508"/>
      <c r="AA508" s="2">
        <f t="shared" si="51"/>
        <v>44315</v>
      </c>
      <c r="AB508"/>
      <c r="AC508"/>
    </row>
    <row r="509" spans="21:29" ht="15">
      <c r="U509" s="234" t="s">
        <v>7680</v>
      </c>
      <c r="V509" t="str">
        <f t="shared" si="47"/>
        <v>29</v>
      </c>
      <c r="W509" t="str">
        <f t="shared" si="48"/>
        <v>04</v>
      </c>
      <c r="X509" t="str">
        <f t="shared" si="49"/>
        <v>21</v>
      </c>
      <c r="Y509" t="str">
        <f t="shared" si="50"/>
        <v>2021</v>
      </c>
      <c r="Z509"/>
      <c r="AA509" s="2">
        <f t="shared" si="51"/>
        <v>44315</v>
      </c>
      <c r="AB509"/>
      <c r="AC509"/>
    </row>
    <row r="510" spans="21:29" ht="15">
      <c r="U510" s="234" t="s">
        <v>7680</v>
      </c>
      <c r="V510" t="str">
        <f t="shared" si="47"/>
        <v>29</v>
      </c>
      <c r="W510" t="str">
        <f t="shared" si="48"/>
        <v>04</v>
      </c>
      <c r="X510" t="str">
        <f t="shared" si="49"/>
        <v>21</v>
      </c>
      <c r="Y510" t="str">
        <f t="shared" si="50"/>
        <v>2021</v>
      </c>
      <c r="Z510"/>
      <c r="AA510" s="2">
        <f t="shared" si="51"/>
        <v>44315</v>
      </c>
      <c r="AB510"/>
      <c r="AC510"/>
    </row>
    <row r="511" spans="21:29" ht="15">
      <c r="U511" s="234" t="s">
        <v>7680</v>
      </c>
      <c r="V511" t="str">
        <f t="shared" si="47"/>
        <v>29</v>
      </c>
      <c r="W511" t="str">
        <f t="shared" si="48"/>
        <v>04</v>
      </c>
      <c r="X511" t="str">
        <f t="shared" si="49"/>
        <v>21</v>
      </c>
      <c r="Y511" t="str">
        <f t="shared" si="50"/>
        <v>2021</v>
      </c>
      <c r="Z511"/>
      <c r="AA511" s="2">
        <f t="shared" si="51"/>
        <v>44315</v>
      </c>
      <c r="AB511"/>
      <c r="AC511"/>
    </row>
    <row r="512" spans="21:29" ht="15">
      <c r="U512" s="234" t="s">
        <v>7687</v>
      </c>
      <c r="V512" t="str">
        <f t="shared" si="47"/>
        <v>30</v>
      </c>
      <c r="W512" t="str">
        <f t="shared" si="48"/>
        <v>04</v>
      </c>
      <c r="X512" t="str">
        <f t="shared" si="49"/>
        <v>21</v>
      </c>
      <c r="Y512" t="str">
        <f t="shared" si="50"/>
        <v>2021</v>
      </c>
      <c r="Z512"/>
      <c r="AA512" s="2">
        <f t="shared" si="51"/>
        <v>44316</v>
      </c>
      <c r="AB512"/>
      <c r="AC512"/>
    </row>
    <row r="513" spans="21:29" ht="15">
      <c r="U513" s="234" t="s">
        <v>7687</v>
      </c>
      <c r="V513" t="str">
        <f t="shared" si="47"/>
        <v>30</v>
      </c>
      <c r="W513" t="str">
        <f t="shared" si="48"/>
        <v>04</v>
      </c>
      <c r="X513" t="str">
        <f t="shared" si="49"/>
        <v>21</v>
      </c>
      <c r="Y513" t="str">
        <f t="shared" si="50"/>
        <v>2021</v>
      </c>
      <c r="Z513"/>
      <c r="AA513" s="2">
        <f t="shared" si="51"/>
        <v>44316</v>
      </c>
      <c r="AB513"/>
      <c r="AC513"/>
    </row>
    <row r="514" spans="21:29" ht="15">
      <c r="U514" s="234" t="s">
        <v>7687</v>
      </c>
      <c r="V514" t="str">
        <f t="shared" si="47"/>
        <v>30</v>
      </c>
      <c r="W514" t="str">
        <f t="shared" si="48"/>
        <v>04</v>
      </c>
      <c r="X514" t="str">
        <f t="shared" si="49"/>
        <v>21</v>
      </c>
      <c r="Y514" t="str">
        <f t="shared" si="50"/>
        <v>2021</v>
      </c>
      <c r="Z514"/>
      <c r="AA514" s="2">
        <f t="shared" si="51"/>
        <v>44316</v>
      </c>
      <c r="AB514"/>
      <c r="AC514"/>
    </row>
    <row r="515" spans="21:29" ht="15">
      <c r="U515" s="234" t="s">
        <v>7691</v>
      </c>
      <c r="V515" t="str">
        <f t="shared" ref="V515:V578" si="52">LEFT(U515,2)</f>
        <v>01</v>
      </c>
      <c r="W515" t="str">
        <f t="shared" ref="W515:W578" si="53">MID(U515,4,2)</f>
        <v>05</v>
      </c>
      <c r="X515" t="str">
        <f t="shared" ref="X515:X578" si="54">RIGHT(U515,2)</f>
        <v>21</v>
      </c>
      <c r="Y515" t="str">
        <f t="shared" ref="Y515:Y578" si="55">"20" &amp; X515</f>
        <v>2021</v>
      </c>
      <c r="Z515"/>
      <c r="AA515" s="2">
        <f t="shared" ref="AA515:AA578" si="56">DATE(Y515,W515,V515)</f>
        <v>44317</v>
      </c>
      <c r="AB515"/>
      <c r="AC515"/>
    </row>
    <row r="516" spans="21:29" ht="15">
      <c r="U516" s="234" t="s">
        <v>7691</v>
      </c>
      <c r="V516" t="str">
        <f t="shared" si="52"/>
        <v>01</v>
      </c>
      <c r="W516" t="str">
        <f t="shared" si="53"/>
        <v>05</v>
      </c>
      <c r="X516" t="str">
        <f t="shared" si="54"/>
        <v>21</v>
      </c>
      <c r="Y516" t="str">
        <f t="shared" si="55"/>
        <v>2021</v>
      </c>
      <c r="Z516"/>
      <c r="AA516" s="2">
        <f t="shared" si="56"/>
        <v>44317</v>
      </c>
      <c r="AB516"/>
      <c r="AC516"/>
    </row>
    <row r="517" spans="21:29" ht="15">
      <c r="U517" s="234" t="s">
        <v>7691</v>
      </c>
      <c r="V517" t="str">
        <f t="shared" si="52"/>
        <v>01</v>
      </c>
      <c r="W517" t="str">
        <f t="shared" si="53"/>
        <v>05</v>
      </c>
      <c r="X517" t="str">
        <f t="shared" si="54"/>
        <v>21</v>
      </c>
      <c r="Y517" t="str">
        <f t="shared" si="55"/>
        <v>2021</v>
      </c>
      <c r="Z517"/>
      <c r="AA517" s="2">
        <f t="shared" si="56"/>
        <v>44317</v>
      </c>
      <c r="AB517"/>
      <c r="AC517"/>
    </row>
    <row r="518" spans="21:29" ht="15">
      <c r="U518" s="234" t="s">
        <v>7691</v>
      </c>
      <c r="V518" t="str">
        <f t="shared" si="52"/>
        <v>01</v>
      </c>
      <c r="W518" t="str">
        <f t="shared" si="53"/>
        <v>05</v>
      </c>
      <c r="X518" t="str">
        <f t="shared" si="54"/>
        <v>21</v>
      </c>
      <c r="Y518" t="str">
        <f t="shared" si="55"/>
        <v>2021</v>
      </c>
      <c r="Z518"/>
      <c r="AA518" s="2">
        <f t="shared" si="56"/>
        <v>44317</v>
      </c>
      <c r="AB518"/>
      <c r="AC518"/>
    </row>
    <row r="519" spans="21:29" ht="15">
      <c r="U519" s="234" t="s">
        <v>7696</v>
      </c>
      <c r="V519" t="str">
        <f t="shared" si="52"/>
        <v>03</v>
      </c>
      <c r="W519" t="str">
        <f t="shared" si="53"/>
        <v>05</v>
      </c>
      <c r="X519" t="str">
        <f t="shared" si="54"/>
        <v>21</v>
      </c>
      <c r="Y519" t="str">
        <f t="shared" si="55"/>
        <v>2021</v>
      </c>
      <c r="Z519"/>
      <c r="AA519" s="2">
        <f t="shared" si="56"/>
        <v>44319</v>
      </c>
      <c r="AB519"/>
      <c r="AC519"/>
    </row>
    <row r="520" spans="21:29" ht="15">
      <c r="U520" s="234" t="s">
        <v>7698</v>
      </c>
      <c r="V520" t="str">
        <f t="shared" si="52"/>
        <v>04</v>
      </c>
      <c r="W520" t="str">
        <f t="shared" si="53"/>
        <v>05</v>
      </c>
      <c r="X520" t="str">
        <f t="shared" si="54"/>
        <v>21</v>
      </c>
      <c r="Y520" t="str">
        <f t="shared" si="55"/>
        <v>2021</v>
      </c>
      <c r="Z520"/>
      <c r="AA520" s="2">
        <f t="shared" si="56"/>
        <v>44320</v>
      </c>
      <c r="AB520"/>
      <c r="AC520"/>
    </row>
    <row r="521" spans="21:29" ht="15">
      <c r="U521" s="234" t="s">
        <v>7698</v>
      </c>
      <c r="V521" t="str">
        <f t="shared" si="52"/>
        <v>04</v>
      </c>
      <c r="W521" t="str">
        <f t="shared" si="53"/>
        <v>05</v>
      </c>
      <c r="X521" t="str">
        <f t="shared" si="54"/>
        <v>21</v>
      </c>
      <c r="Y521" t="str">
        <f t="shared" si="55"/>
        <v>2021</v>
      </c>
      <c r="Z521"/>
      <c r="AA521" s="2">
        <f t="shared" si="56"/>
        <v>44320</v>
      </c>
      <c r="AB521"/>
      <c r="AC521"/>
    </row>
    <row r="522" spans="21:29" ht="15">
      <c r="U522" s="234" t="s">
        <v>7701</v>
      </c>
      <c r="V522" t="str">
        <f t="shared" si="52"/>
        <v>05</v>
      </c>
      <c r="W522" t="str">
        <f t="shared" si="53"/>
        <v>05</v>
      </c>
      <c r="X522" t="str">
        <f t="shared" si="54"/>
        <v>21</v>
      </c>
      <c r="Y522" t="str">
        <f t="shared" si="55"/>
        <v>2021</v>
      </c>
      <c r="Z522"/>
      <c r="AA522" s="2">
        <f t="shared" si="56"/>
        <v>44321</v>
      </c>
      <c r="AB522"/>
      <c r="AC522"/>
    </row>
    <row r="523" spans="21:29" ht="15">
      <c r="U523" s="234" t="s">
        <v>7702</v>
      </c>
      <c r="V523" t="str">
        <f t="shared" si="52"/>
        <v>06</v>
      </c>
      <c r="W523" t="str">
        <f t="shared" si="53"/>
        <v>05</v>
      </c>
      <c r="X523" t="str">
        <f t="shared" si="54"/>
        <v>21</v>
      </c>
      <c r="Y523" t="str">
        <f t="shared" si="55"/>
        <v>2021</v>
      </c>
      <c r="Z523"/>
      <c r="AA523" s="2">
        <f t="shared" si="56"/>
        <v>44322</v>
      </c>
      <c r="AB523"/>
      <c r="AC523"/>
    </row>
    <row r="524" spans="21:29" ht="15">
      <c r="U524" s="234" t="s">
        <v>7702</v>
      </c>
      <c r="V524" t="str">
        <f t="shared" si="52"/>
        <v>06</v>
      </c>
      <c r="W524" t="str">
        <f t="shared" si="53"/>
        <v>05</v>
      </c>
      <c r="X524" t="str">
        <f t="shared" si="54"/>
        <v>21</v>
      </c>
      <c r="Y524" t="str">
        <f t="shared" si="55"/>
        <v>2021</v>
      </c>
      <c r="Z524"/>
      <c r="AA524" s="2">
        <f t="shared" si="56"/>
        <v>44322</v>
      </c>
      <c r="AB524"/>
      <c r="AC524"/>
    </row>
    <row r="525" spans="21:29" ht="15">
      <c r="U525" s="234" t="s">
        <v>7702</v>
      </c>
      <c r="V525" t="str">
        <f t="shared" si="52"/>
        <v>06</v>
      </c>
      <c r="W525" t="str">
        <f t="shared" si="53"/>
        <v>05</v>
      </c>
      <c r="X525" t="str">
        <f t="shared" si="54"/>
        <v>21</v>
      </c>
      <c r="Y525" t="str">
        <f t="shared" si="55"/>
        <v>2021</v>
      </c>
      <c r="Z525"/>
      <c r="AA525" s="2">
        <f t="shared" si="56"/>
        <v>44322</v>
      </c>
      <c r="AB525"/>
      <c r="AC525"/>
    </row>
    <row r="526" spans="21:29" ht="15">
      <c r="U526" s="234" t="s">
        <v>7702</v>
      </c>
      <c r="V526" t="str">
        <f t="shared" si="52"/>
        <v>06</v>
      </c>
      <c r="W526" t="str">
        <f t="shared" si="53"/>
        <v>05</v>
      </c>
      <c r="X526" t="str">
        <f t="shared" si="54"/>
        <v>21</v>
      </c>
      <c r="Y526" t="str">
        <f t="shared" si="55"/>
        <v>2021</v>
      </c>
      <c r="Z526"/>
      <c r="AA526" s="2">
        <f t="shared" si="56"/>
        <v>44322</v>
      </c>
      <c r="AB526"/>
      <c r="AC526"/>
    </row>
    <row r="527" spans="21:29" ht="15">
      <c r="U527" s="234" t="s">
        <v>7707</v>
      </c>
      <c r="V527" t="str">
        <f t="shared" si="52"/>
        <v>07</v>
      </c>
      <c r="W527" t="str">
        <f t="shared" si="53"/>
        <v>05</v>
      </c>
      <c r="X527" t="str">
        <f t="shared" si="54"/>
        <v>21</v>
      </c>
      <c r="Y527" t="str">
        <f t="shared" si="55"/>
        <v>2021</v>
      </c>
      <c r="Z527"/>
      <c r="AA527" s="2">
        <f t="shared" si="56"/>
        <v>44323</v>
      </c>
      <c r="AB527"/>
      <c r="AC527"/>
    </row>
    <row r="528" spans="21:29" ht="15">
      <c r="U528" s="234" t="s">
        <v>7707</v>
      </c>
      <c r="V528" t="str">
        <f t="shared" si="52"/>
        <v>07</v>
      </c>
      <c r="W528" t="str">
        <f t="shared" si="53"/>
        <v>05</v>
      </c>
      <c r="X528" t="str">
        <f t="shared" si="54"/>
        <v>21</v>
      </c>
      <c r="Y528" t="str">
        <f t="shared" si="55"/>
        <v>2021</v>
      </c>
      <c r="Z528"/>
      <c r="AA528" s="2">
        <f t="shared" si="56"/>
        <v>44323</v>
      </c>
      <c r="AB528"/>
      <c r="AC528"/>
    </row>
    <row r="529" spans="21:29" ht="15">
      <c r="U529" s="234" t="s">
        <v>7707</v>
      </c>
      <c r="V529" t="str">
        <f t="shared" si="52"/>
        <v>07</v>
      </c>
      <c r="W529" t="str">
        <f t="shared" si="53"/>
        <v>05</v>
      </c>
      <c r="X529" t="str">
        <f t="shared" si="54"/>
        <v>21</v>
      </c>
      <c r="Y529" t="str">
        <f t="shared" si="55"/>
        <v>2021</v>
      </c>
      <c r="Z529"/>
      <c r="AA529" s="2">
        <f t="shared" si="56"/>
        <v>44323</v>
      </c>
      <c r="AB529"/>
      <c r="AC529"/>
    </row>
    <row r="530" spans="21:29" ht="15">
      <c r="U530" s="234" t="s">
        <v>7707</v>
      </c>
      <c r="V530" t="str">
        <f t="shared" si="52"/>
        <v>07</v>
      </c>
      <c r="W530" t="str">
        <f t="shared" si="53"/>
        <v>05</v>
      </c>
      <c r="X530" t="str">
        <f t="shared" si="54"/>
        <v>21</v>
      </c>
      <c r="Y530" t="str">
        <f t="shared" si="55"/>
        <v>2021</v>
      </c>
      <c r="Z530"/>
      <c r="AA530" s="2">
        <f t="shared" si="56"/>
        <v>44323</v>
      </c>
      <c r="AB530"/>
      <c r="AC530"/>
    </row>
    <row r="531" spans="21:29" ht="15">
      <c r="U531" s="234" t="s">
        <v>7712</v>
      </c>
      <c r="V531" t="str">
        <f t="shared" si="52"/>
        <v>08</v>
      </c>
      <c r="W531" t="str">
        <f t="shared" si="53"/>
        <v>05</v>
      </c>
      <c r="X531" t="str">
        <f t="shared" si="54"/>
        <v>21</v>
      </c>
      <c r="Y531" t="str">
        <f t="shared" si="55"/>
        <v>2021</v>
      </c>
      <c r="Z531"/>
      <c r="AA531" s="2">
        <f t="shared" si="56"/>
        <v>44324</v>
      </c>
      <c r="AB531"/>
      <c r="AC531"/>
    </row>
    <row r="532" spans="21:29" ht="15">
      <c r="U532" s="234" t="s">
        <v>7714</v>
      </c>
      <c r="V532" t="str">
        <f t="shared" si="52"/>
        <v>09</v>
      </c>
      <c r="W532" t="str">
        <f t="shared" si="53"/>
        <v>05</v>
      </c>
      <c r="X532" t="str">
        <f t="shared" si="54"/>
        <v>21</v>
      </c>
      <c r="Y532" t="str">
        <f t="shared" si="55"/>
        <v>2021</v>
      </c>
      <c r="Z532"/>
      <c r="AA532" s="2">
        <f t="shared" si="56"/>
        <v>44325</v>
      </c>
      <c r="AB532"/>
      <c r="AC532"/>
    </row>
    <row r="533" spans="21:29" ht="15">
      <c r="U533" s="234" t="s">
        <v>7714</v>
      </c>
      <c r="V533" t="str">
        <f t="shared" si="52"/>
        <v>09</v>
      </c>
      <c r="W533" t="str">
        <f t="shared" si="53"/>
        <v>05</v>
      </c>
      <c r="X533" t="str">
        <f t="shared" si="54"/>
        <v>21</v>
      </c>
      <c r="Y533" t="str">
        <f t="shared" si="55"/>
        <v>2021</v>
      </c>
      <c r="Z533"/>
      <c r="AA533" s="2">
        <f t="shared" si="56"/>
        <v>44325</v>
      </c>
      <c r="AB533"/>
      <c r="AC533"/>
    </row>
    <row r="534" spans="21:29" ht="15">
      <c r="U534" s="234" t="s">
        <v>7714</v>
      </c>
      <c r="V534" t="str">
        <f t="shared" si="52"/>
        <v>09</v>
      </c>
      <c r="W534" t="str">
        <f t="shared" si="53"/>
        <v>05</v>
      </c>
      <c r="X534" t="str">
        <f t="shared" si="54"/>
        <v>21</v>
      </c>
      <c r="Y534" t="str">
        <f t="shared" si="55"/>
        <v>2021</v>
      </c>
      <c r="Z534"/>
      <c r="AA534" s="2">
        <f t="shared" si="56"/>
        <v>44325</v>
      </c>
      <c r="AB534"/>
      <c r="AC534"/>
    </row>
    <row r="535" spans="21:29" ht="15">
      <c r="U535" s="234" t="s">
        <v>7718</v>
      </c>
      <c r="V535" t="str">
        <f t="shared" si="52"/>
        <v>10</v>
      </c>
      <c r="W535" t="str">
        <f t="shared" si="53"/>
        <v>05</v>
      </c>
      <c r="X535" t="str">
        <f t="shared" si="54"/>
        <v>21</v>
      </c>
      <c r="Y535" t="str">
        <f t="shared" si="55"/>
        <v>2021</v>
      </c>
      <c r="Z535"/>
      <c r="AA535" s="2">
        <f t="shared" si="56"/>
        <v>44326</v>
      </c>
      <c r="AB535"/>
      <c r="AC535"/>
    </row>
    <row r="536" spans="21:29" ht="15">
      <c r="U536" s="234" t="s">
        <v>7718</v>
      </c>
      <c r="V536" t="str">
        <f t="shared" si="52"/>
        <v>10</v>
      </c>
      <c r="W536" t="str">
        <f t="shared" si="53"/>
        <v>05</v>
      </c>
      <c r="X536" t="str">
        <f t="shared" si="54"/>
        <v>21</v>
      </c>
      <c r="Y536" t="str">
        <f t="shared" si="55"/>
        <v>2021</v>
      </c>
      <c r="Z536"/>
      <c r="AA536" s="2">
        <f t="shared" si="56"/>
        <v>44326</v>
      </c>
      <c r="AB536"/>
      <c r="AC536"/>
    </row>
    <row r="537" spans="21:29" ht="15">
      <c r="U537" s="234" t="s">
        <v>7718</v>
      </c>
      <c r="V537" t="str">
        <f t="shared" si="52"/>
        <v>10</v>
      </c>
      <c r="W537" t="str">
        <f t="shared" si="53"/>
        <v>05</v>
      </c>
      <c r="X537" t="str">
        <f t="shared" si="54"/>
        <v>21</v>
      </c>
      <c r="Y537" t="str">
        <f t="shared" si="55"/>
        <v>2021</v>
      </c>
      <c r="Z537"/>
      <c r="AA537" s="2">
        <f t="shared" si="56"/>
        <v>44326</v>
      </c>
      <c r="AB537"/>
      <c r="AC537"/>
    </row>
    <row r="538" spans="21:29" ht="15">
      <c r="U538" s="234" t="s">
        <v>7722</v>
      </c>
      <c r="V538" t="str">
        <f t="shared" si="52"/>
        <v>11</v>
      </c>
      <c r="W538" t="str">
        <f t="shared" si="53"/>
        <v>05</v>
      </c>
      <c r="X538" t="str">
        <f t="shared" si="54"/>
        <v>21</v>
      </c>
      <c r="Y538" t="str">
        <f t="shared" si="55"/>
        <v>2021</v>
      </c>
      <c r="Z538"/>
      <c r="AA538" s="2">
        <f t="shared" si="56"/>
        <v>44327</v>
      </c>
      <c r="AB538"/>
      <c r="AC538"/>
    </row>
    <row r="539" spans="21:29" ht="15">
      <c r="U539" s="234" t="s">
        <v>7724</v>
      </c>
      <c r="V539" t="str">
        <f t="shared" si="52"/>
        <v>13</v>
      </c>
      <c r="W539" t="str">
        <f t="shared" si="53"/>
        <v>05</v>
      </c>
      <c r="X539" t="str">
        <f t="shared" si="54"/>
        <v>21</v>
      </c>
      <c r="Y539" t="str">
        <f t="shared" si="55"/>
        <v>2021</v>
      </c>
      <c r="Z539"/>
      <c r="AA539" s="2">
        <f t="shared" si="56"/>
        <v>44329</v>
      </c>
      <c r="AB539"/>
      <c r="AC539"/>
    </row>
    <row r="540" spans="21:29" ht="15">
      <c r="U540" s="234" t="s">
        <v>7726</v>
      </c>
      <c r="V540" t="str">
        <f t="shared" si="52"/>
        <v>14</v>
      </c>
      <c r="W540" t="str">
        <f t="shared" si="53"/>
        <v>05</v>
      </c>
      <c r="X540" t="str">
        <f t="shared" si="54"/>
        <v>21</v>
      </c>
      <c r="Y540" t="str">
        <f t="shared" si="55"/>
        <v>2021</v>
      </c>
      <c r="Z540"/>
      <c r="AA540" s="2">
        <f t="shared" si="56"/>
        <v>44330</v>
      </c>
      <c r="AB540"/>
      <c r="AC540"/>
    </row>
    <row r="541" spans="21:29" ht="15">
      <c r="U541" s="234" t="s">
        <v>7728</v>
      </c>
      <c r="V541" t="str">
        <f t="shared" si="52"/>
        <v>15</v>
      </c>
      <c r="W541" t="str">
        <f t="shared" si="53"/>
        <v>05</v>
      </c>
      <c r="X541" t="str">
        <f t="shared" si="54"/>
        <v>21</v>
      </c>
      <c r="Y541" t="str">
        <f t="shared" si="55"/>
        <v>2021</v>
      </c>
      <c r="Z541"/>
      <c r="AA541" s="2">
        <f t="shared" si="56"/>
        <v>44331</v>
      </c>
      <c r="AB541"/>
      <c r="AC541"/>
    </row>
    <row r="542" spans="21:29" ht="15">
      <c r="U542" s="234" t="s">
        <v>7728</v>
      </c>
      <c r="V542" t="str">
        <f t="shared" si="52"/>
        <v>15</v>
      </c>
      <c r="W542" t="str">
        <f t="shared" si="53"/>
        <v>05</v>
      </c>
      <c r="X542" t="str">
        <f t="shared" si="54"/>
        <v>21</v>
      </c>
      <c r="Y542" t="str">
        <f t="shared" si="55"/>
        <v>2021</v>
      </c>
      <c r="Z542"/>
      <c r="AA542" s="2">
        <f t="shared" si="56"/>
        <v>44331</v>
      </c>
      <c r="AB542"/>
      <c r="AC542"/>
    </row>
    <row r="543" spans="21:29" ht="15">
      <c r="U543" s="234" t="s">
        <v>7731</v>
      </c>
      <c r="V543" t="str">
        <f t="shared" si="52"/>
        <v>16</v>
      </c>
      <c r="W543" t="str">
        <f t="shared" si="53"/>
        <v>05</v>
      </c>
      <c r="X543" t="str">
        <f t="shared" si="54"/>
        <v>21</v>
      </c>
      <c r="Y543" t="str">
        <f t="shared" si="55"/>
        <v>2021</v>
      </c>
      <c r="Z543"/>
      <c r="AA543" s="2">
        <f t="shared" si="56"/>
        <v>44332</v>
      </c>
      <c r="AB543"/>
      <c r="AC543"/>
    </row>
    <row r="544" spans="21:29" ht="15">
      <c r="U544" s="234" t="s">
        <v>7733</v>
      </c>
      <c r="V544" t="str">
        <f t="shared" si="52"/>
        <v>17</v>
      </c>
      <c r="W544" t="str">
        <f t="shared" si="53"/>
        <v>05</v>
      </c>
      <c r="X544" t="str">
        <f t="shared" si="54"/>
        <v>21</v>
      </c>
      <c r="Y544" t="str">
        <f t="shared" si="55"/>
        <v>2021</v>
      </c>
      <c r="Z544"/>
      <c r="AA544" s="2">
        <f t="shared" si="56"/>
        <v>44333</v>
      </c>
      <c r="AB544"/>
      <c r="AC544"/>
    </row>
    <row r="545" spans="21:29" ht="15">
      <c r="U545" s="234" t="s">
        <v>7735</v>
      </c>
      <c r="V545" t="str">
        <f t="shared" si="52"/>
        <v>20</v>
      </c>
      <c r="W545" t="str">
        <f t="shared" si="53"/>
        <v>05</v>
      </c>
      <c r="X545" t="str">
        <f t="shared" si="54"/>
        <v>21</v>
      </c>
      <c r="Y545" t="str">
        <f t="shared" si="55"/>
        <v>2021</v>
      </c>
      <c r="Z545"/>
      <c r="AA545" s="2">
        <f t="shared" si="56"/>
        <v>44336</v>
      </c>
      <c r="AB545"/>
      <c r="AC545"/>
    </row>
    <row r="546" spans="21:29" ht="15">
      <c r="U546" s="234" t="s">
        <v>7735</v>
      </c>
      <c r="V546" t="str">
        <f t="shared" si="52"/>
        <v>20</v>
      </c>
      <c r="W546" t="str">
        <f t="shared" si="53"/>
        <v>05</v>
      </c>
      <c r="X546" t="str">
        <f t="shared" si="54"/>
        <v>21</v>
      </c>
      <c r="Y546" t="str">
        <f t="shared" si="55"/>
        <v>2021</v>
      </c>
      <c r="Z546"/>
      <c r="AA546" s="2">
        <f t="shared" si="56"/>
        <v>44336</v>
      </c>
      <c r="AB546"/>
      <c r="AC546"/>
    </row>
    <row r="547" spans="21:29" ht="15">
      <c r="U547" s="234" t="s">
        <v>7738</v>
      </c>
      <c r="V547" t="str">
        <f t="shared" si="52"/>
        <v>21</v>
      </c>
      <c r="W547" t="str">
        <f t="shared" si="53"/>
        <v>05</v>
      </c>
      <c r="X547" t="str">
        <f t="shared" si="54"/>
        <v>21</v>
      </c>
      <c r="Y547" t="str">
        <f t="shared" si="55"/>
        <v>2021</v>
      </c>
      <c r="Z547"/>
      <c r="AA547" s="2">
        <f t="shared" si="56"/>
        <v>44337</v>
      </c>
      <c r="AB547"/>
      <c r="AC547"/>
    </row>
    <row r="548" spans="21:29" ht="15">
      <c r="U548" s="234" t="s">
        <v>7738</v>
      </c>
      <c r="V548" t="str">
        <f t="shared" si="52"/>
        <v>21</v>
      </c>
      <c r="W548" t="str">
        <f t="shared" si="53"/>
        <v>05</v>
      </c>
      <c r="X548" t="str">
        <f t="shared" si="54"/>
        <v>21</v>
      </c>
      <c r="Y548" t="str">
        <f t="shared" si="55"/>
        <v>2021</v>
      </c>
      <c r="Z548"/>
      <c r="AA548" s="2">
        <f t="shared" si="56"/>
        <v>44337</v>
      </c>
      <c r="AB548"/>
      <c r="AC548"/>
    </row>
    <row r="549" spans="21:29" ht="15">
      <c r="U549" s="234" t="s">
        <v>7738</v>
      </c>
      <c r="V549" t="str">
        <f t="shared" si="52"/>
        <v>21</v>
      </c>
      <c r="W549" t="str">
        <f t="shared" si="53"/>
        <v>05</v>
      </c>
      <c r="X549" t="str">
        <f t="shared" si="54"/>
        <v>21</v>
      </c>
      <c r="Y549" t="str">
        <f t="shared" si="55"/>
        <v>2021</v>
      </c>
      <c r="Z549"/>
      <c r="AA549" s="2">
        <f t="shared" si="56"/>
        <v>44337</v>
      </c>
      <c r="AB549"/>
      <c r="AC549"/>
    </row>
    <row r="550" spans="21:29" ht="15">
      <c r="U550" s="234" t="s">
        <v>7742</v>
      </c>
      <c r="V550" t="str">
        <f t="shared" si="52"/>
        <v>22</v>
      </c>
      <c r="W550" t="str">
        <f t="shared" si="53"/>
        <v>05</v>
      </c>
      <c r="X550" t="str">
        <f t="shared" si="54"/>
        <v>21</v>
      </c>
      <c r="Y550" t="str">
        <f t="shared" si="55"/>
        <v>2021</v>
      </c>
      <c r="Z550"/>
      <c r="AA550" s="2">
        <f t="shared" si="56"/>
        <v>44338</v>
      </c>
      <c r="AB550"/>
      <c r="AC550"/>
    </row>
    <row r="551" spans="21:29" ht="15">
      <c r="U551" s="234" t="s">
        <v>7744</v>
      </c>
      <c r="V551" t="str">
        <f t="shared" si="52"/>
        <v>23</v>
      </c>
      <c r="W551" t="str">
        <f t="shared" si="53"/>
        <v>05</v>
      </c>
      <c r="X551" t="str">
        <f t="shared" si="54"/>
        <v>21</v>
      </c>
      <c r="Y551" t="str">
        <f t="shared" si="55"/>
        <v>2021</v>
      </c>
      <c r="Z551"/>
      <c r="AA551" s="2">
        <f t="shared" si="56"/>
        <v>44339</v>
      </c>
      <c r="AB551"/>
      <c r="AC551"/>
    </row>
    <row r="552" spans="21:29" ht="15">
      <c r="U552" s="234" t="s">
        <v>7744</v>
      </c>
      <c r="V552" t="str">
        <f t="shared" si="52"/>
        <v>23</v>
      </c>
      <c r="W552" t="str">
        <f t="shared" si="53"/>
        <v>05</v>
      </c>
      <c r="X552" t="str">
        <f t="shared" si="54"/>
        <v>21</v>
      </c>
      <c r="Y552" t="str">
        <f t="shared" si="55"/>
        <v>2021</v>
      </c>
      <c r="Z552"/>
      <c r="AA552" s="2">
        <f t="shared" si="56"/>
        <v>44339</v>
      </c>
      <c r="AB552"/>
      <c r="AC552"/>
    </row>
    <row r="553" spans="21:29" ht="15">
      <c r="U553" s="234" t="s">
        <v>7744</v>
      </c>
      <c r="V553" t="str">
        <f t="shared" si="52"/>
        <v>23</v>
      </c>
      <c r="W553" t="str">
        <f t="shared" si="53"/>
        <v>05</v>
      </c>
      <c r="X553" t="str">
        <f t="shared" si="54"/>
        <v>21</v>
      </c>
      <c r="Y553" t="str">
        <f t="shared" si="55"/>
        <v>2021</v>
      </c>
      <c r="Z553"/>
      <c r="AA553" s="2">
        <f t="shared" si="56"/>
        <v>44339</v>
      </c>
      <c r="AB553"/>
      <c r="AC553"/>
    </row>
    <row r="554" spans="21:29" ht="15">
      <c r="U554" s="234" t="s">
        <v>7744</v>
      </c>
      <c r="V554" t="str">
        <f t="shared" si="52"/>
        <v>23</v>
      </c>
      <c r="W554" t="str">
        <f t="shared" si="53"/>
        <v>05</v>
      </c>
      <c r="X554" t="str">
        <f t="shared" si="54"/>
        <v>21</v>
      </c>
      <c r="Y554" t="str">
        <f t="shared" si="55"/>
        <v>2021</v>
      </c>
      <c r="Z554"/>
      <c r="AA554" s="2">
        <f t="shared" si="56"/>
        <v>44339</v>
      </c>
      <c r="AB554"/>
      <c r="AC554"/>
    </row>
    <row r="555" spans="21:29" ht="15">
      <c r="U555" s="234" t="s">
        <v>7749</v>
      </c>
      <c r="V555" t="str">
        <f t="shared" si="52"/>
        <v>25</v>
      </c>
      <c r="W555" t="str">
        <f t="shared" si="53"/>
        <v>05</v>
      </c>
      <c r="X555" t="str">
        <f t="shared" si="54"/>
        <v>21</v>
      </c>
      <c r="Y555" t="str">
        <f t="shared" si="55"/>
        <v>2021</v>
      </c>
      <c r="Z555"/>
      <c r="AA555" s="2">
        <f t="shared" si="56"/>
        <v>44341</v>
      </c>
      <c r="AB555"/>
      <c r="AC555"/>
    </row>
    <row r="556" spans="21:29" ht="15">
      <c r="U556" s="234" t="s">
        <v>7751</v>
      </c>
      <c r="V556" t="str">
        <f t="shared" si="52"/>
        <v>26</v>
      </c>
      <c r="W556" t="str">
        <f t="shared" si="53"/>
        <v>05</v>
      </c>
      <c r="X556" t="str">
        <f t="shared" si="54"/>
        <v>21</v>
      </c>
      <c r="Y556" t="str">
        <f t="shared" si="55"/>
        <v>2021</v>
      </c>
      <c r="Z556"/>
      <c r="AA556" s="2">
        <f t="shared" si="56"/>
        <v>44342</v>
      </c>
      <c r="AB556"/>
      <c r="AC556"/>
    </row>
    <row r="557" spans="21:29" ht="15">
      <c r="U557" s="234" t="s">
        <v>7751</v>
      </c>
      <c r="V557" t="str">
        <f t="shared" si="52"/>
        <v>26</v>
      </c>
      <c r="W557" t="str">
        <f t="shared" si="53"/>
        <v>05</v>
      </c>
      <c r="X557" t="str">
        <f t="shared" si="54"/>
        <v>21</v>
      </c>
      <c r="Y557" t="str">
        <f t="shared" si="55"/>
        <v>2021</v>
      </c>
      <c r="Z557"/>
      <c r="AA557" s="2">
        <f t="shared" si="56"/>
        <v>44342</v>
      </c>
      <c r="AB557"/>
      <c r="AC557"/>
    </row>
    <row r="558" spans="21:29" ht="15">
      <c r="U558" s="234" t="s">
        <v>7751</v>
      </c>
      <c r="V558" t="str">
        <f t="shared" si="52"/>
        <v>26</v>
      </c>
      <c r="W558" t="str">
        <f t="shared" si="53"/>
        <v>05</v>
      </c>
      <c r="X558" t="str">
        <f t="shared" si="54"/>
        <v>21</v>
      </c>
      <c r="Y558" t="str">
        <f t="shared" si="55"/>
        <v>2021</v>
      </c>
      <c r="Z558"/>
      <c r="AA558" s="2">
        <f t="shared" si="56"/>
        <v>44342</v>
      </c>
      <c r="AB558"/>
      <c r="AC558"/>
    </row>
    <row r="559" spans="21:29" ht="15">
      <c r="U559" s="234" t="s">
        <v>7755</v>
      </c>
      <c r="V559" t="str">
        <f t="shared" si="52"/>
        <v>27</v>
      </c>
      <c r="W559" t="str">
        <f t="shared" si="53"/>
        <v>05</v>
      </c>
      <c r="X559" t="str">
        <f t="shared" si="54"/>
        <v>21</v>
      </c>
      <c r="Y559" t="str">
        <f t="shared" si="55"/>
        <v>2021</v>
      </c>
      <c r="Z559"/>
      <c r="AA559" s="2">
        <f t="shared" si="56"/>
        <v>44343</v>
      </c>
      <c r="AB559"/>
      <c r="AC559"/>
    </row>
    <row r="560" spans="21:29" ht="15">
      <c r="U560" s="234" t="s">
        <v>7757</v>
      </c>
      <c r="V560" t="str">
        <f t="shared" si="52"/>
        <v>29</v>
      </c>
      <c r="W560" t="str">
        <f t="shared" si="53"/>
        <v>05</v>
      </c>
      <c r="X560" t="str">
        <f t="shared" si="54"/>
        <v>21</v>
      </c>
      <c r="Y560" t="str">
        <f t="shared" si="55"/>
        <v>2021</v>
      </c>
      <c r="Z560"/>
      <c r="AA560" s="2">
        <f t="shared" si="56"/>
        <v>44345</v>
      </c>
      <c r="AB560"/>
      <c r="AC560"/>
    </row>
    <row r="561" spans="21:29" ht="15">
      <c r="U561" s="234" t="s">
        <v>7759</v>
      </c>
      <c r="V561" t="str">
        <f t="shared" si="52"/>
        <v>30</v>
      </c>
      <c r="W561" t="str">
        <f t="shared" si="53"/>
        <v>05</v>
      </c>
      <c r="X561" t="str">
        <f t="shared" si="54"/>
        <v>21</v>
      </c>
      <c r="Y561" t="str">
        <f t="shared" si="55"/>
        <v>2021</v>
      </c>
      <c r="Z561"/>
      <c r="AA561" s="2">
        <f t="shared" si="56"/>
        <v>44346</v>
      </c>
      <c r="AB561"/>
      <c r="AC561"/>
    </row>
    <row r="562" spans="21:29" ht="15">
      <c r="U562" s="234" t="s">
        <v>7759</v>
      </c>
      <c r="V562" t="str">
        <f t="shared" si="52"/>
        <v>30</v>
      </c>
      <c r="W562" t="str">
        <f t="shared" si="53"/>
        <v>05</v>
      </c>
      <c r="X562" t="str">
        <f t="shared" si="54"/>
        <v>21</v>
      </c>
      <c r="Y562" t="str">
        <f t="shared" si="55"/>
        <v>2021</v>
      </c>
      <c r="Z562"/>
      <c r="AA562" s="2">
        <f t="shared" si="56"/>
        <v>44346</v>
      </c>
      <c r="AB562"/>
      <c r="AC562"/>
    </row>
    <row r="563" spans="21:29" ht="15">
      <c r="U563" s="234" t="s">
        <v>7762</v>
      </c>
      <c r="V563" t="str">
        <f t="shared" si="52"/>
        <v>31</v>
      </c>
      <c r="W563" t="str">
        <f t="shared" si="53"/>
        <v>05</v>
      </c>
      <c r="X563" t="str">
        <f t="shared" si="54"/>
        <v>21</v>
      </c>
      <c r="Y563" t="str">
        <f t="shared" si="55"/>
        <v>2021</v>
      </c>
      <c r="Z563"/>
      <c r="AA563" s="2">
        <f t="shared" si="56"/>
        <v>44347</v>
      </c>
      <c r="AB563"/>
      <c r="AC563"/>
    </row>
    <row r="564" spans="21:29" ht="15">
      <c r="U564" s="234" t="s">
        <v>7762</v>
      </c>
      <c r="V564" t="str">
        <f t="shared" si="52"/>
        <v>31</v>
      </c>
      <c r="W564" t="str">
        <f t="shared" si="53"/>
        <v>05</v>
      </c>
      <c r="X564" t="str">
        <f t="shared" si="54"/>
        <v>21</v>
      </c>
      <c r="Y564" t="str">
        <f t="shared" si="55"/>
        <v>2021</v>
      </c>
      <c r="Z564"/>
      <c r="AA564" s="2">
        <f t="shared" si="56"/>
        <v>44347</v>
      </c>
      <c r="AB564"/>
      <c r="AC564"/>
    </row>
    <row r="565" spans="21:29" ht="15">
      <c r="U565" s="234" t="s">
        <v>7762</v>
      </c>
      <c r="V565" t="str">
        <f t="shared" si="52"/>
        <v>31</v>
      </c>
      <c r="W565" t="str">
        <f t="shared" si="53"/>
        <v>05</v>
      </c>
      <c r="X565" t="str">
        <f t="shared" si="54"/>
        <v>21</v>
      </c>
      <c r="Y565" t="str">
        <f t="shared" si="55"/>
        <v>2021</v>
      </c>
      <c r="Z565"/>
      <c r="AA565" s="2">
        <f t="shared" si="56"/>
        <v>44347</v>
      </c>
      <c r="AB565"/>
      <c r="AC565"/>
    </row>
    <row r="566" spans="21:29" ht="15">
      <c r="U566" s="234" t="s">
        <v>7762</v>
      </c>
      <c r="V566" t="str">
        <f t="shared" si="52"/>
        <v>31</v>
      </c>
      <c r="W566" t="str">
        <f t="shared" si="53"/>
        <v>05</v>
      </c>
      <c r="X566" t="str">
        <f t="shared" si="54"/>
        <v>21</v>
      </c>
      <c r="Y566" t="str">
        <f t="shared" si="55"/>
        <v>2021</v>
      </c>
      <c r="Z566"/>
      <c r="AA566" s="2">
        <f t="shared" si="56"/>
        <v>44347</v>
      </c>
      <c r="AB566"/>
      <c r="AC566"/>
    </row>
    <row r="567" spans="21:29" ht="15">
      <c r="U567" s="234" t="s">
        <v>7762</v>
      </c>
      <c r="V567" t="str">
        <f t="shared" si="52"/>
        <v>31</v>
      </c>
      <c r="W567" t="str">
        <f t="shared" si="53"/>
        <v>05</v>
      </c>
      <c r="X567" t="str">
        <f t="shared" si="54"/>
        <v>21</v>
      </c>
      <c r="Y567" t="str">
        <f t="shared" si="55"/>
        <v>2021</v>
      </c>
      <c r="Z567"/>
      <c r="AA567" s="2">
        <f t="shared" si="56"/>
        <v>44347</v>
      </c>
      <c r="AB567"/>
      <c r="AC567"/>
    </row>
    <row r="568" spans="21:29" ht="15">
      <c r="U568" s="234" t="s">
        <v>7762</v>
      </c>
      <c r="V568" t="str">
        <f t="shared" si="52"/>
        <v>31</v>
      </c>
      <c r="W568" t="str">
        <f t="shared" si="53"/>
        <v>05</v>
      </c>
      <c r="X568" t="str">
        <f t="shared" si="54"/>
        <v>21</v>
      </c>
      <c r="Y568" t="str">
        <f t="shared" si="55"/>
        <v>2021</v>
      </c>
      <c r="Z568"/>
      <c r="AA568" s="2">
        <f t="shared" si="56"/>
        <v>44347</v>
      </c>
      <c r="AB568"/>
      <c r="AC568"/>
    </row>
    <row r="569" spans="21:29" ht="15">
      <c r="U569" s="234" t="s">
        <v>7769</v>
      </c>
      <c r="V569" t="str">
        <f t="shared" si="52"/>
        <v>01</v>
      </c>
      <c r="W569" t="str">
        <f t="shared" si="53"/>
        <v>06</v>
      </c>
      <c r="X569" t="str">
        <f t="shared" si="54"/>
        <v>21</v>
      </c>
      <c r="Y569" t="str">
        <f t="shared" si="55"/>
        <v>2021</v>
      </c>
      <c r="Z569"/>
      <c r="AA569" s="2">
        <f t="shared" si="56"/>
        <v>44348</v>
      </c>
      <c r="AB569"/>
      <c r="AC569"/>
    </row>
    <row r="570" spans="21:29" ht="15">
      <c r="U570" s="234" t="s">
        <v>7769</v>
      </c>
      <c r="V570" t="str">
        <f t="shared" si="52"/>
        <v>01</v>
      </c>
      <c r="W570" t="str">
        <f t="shared" si="53"/>
        <v>06</v>
      </c>
      <c r="X570" t="str">
        <f t="shared" si="54"/>
        <v>21</v>
      </c>
      <c r="Y570" t="str">
        <f t="shared" si="55"/>
        <v>2021</v>
      </c>
      <c r="Z570"/>
      <c r="AA570" s="2">
        <f t="shared" si="56"/>
        <v>44348</v>
      </c>
      <c r="AB570"/>
      <c r="AC570"/>
    </row>
    <row r="571" spans="21:29" ht="15">
      <c r="U571" s="234" t="s">
        <v>7769</v>
      </c>
      <c r="V571" t="str">
        <f t="shared" si="52"/>
        <v>01</v>
      </c>
      <c r="W571" t="str">
        <f t="shared" si="53"/>
        <v>06</v>
      </c>
      <c r="X571" t="str">
        <f t="shared" si="54"/>
        <v>21</v>
      </c>
      <c r="Y571" t="str">
        <f t="shared" si="55"/>
        <v>2021</v>
      </c>
      <c r="Z571"/>
      <c r="AA571" s="2">
        <f t="shared" si="56"/>
        <v>44348</v>
      </c>
      <c r="AB571"/>
      <c r="AC571"/>
    </row>
    <row r="572" spans="21:29" ht="15">
      <c r="U572" s="234" t="s">
        <v>7769</v>
      </c>
      <c r="V572" t="str">
        <f t="shared" si="52"/>
        <v>01</v>
      </c>
      <c r="W572" t="str">
        <f t="shared" si="53"/>
        <v>06</v>
      </c>
      <c r="X572" t="str">
        <f t="shared" si="54"/>
        <v>21</v>
      </c>
      <c r="Y572" t="str">
        <f t="shared" si="55"/>
        <v>2021</v>
      </c>
      <c r="Z572"/>
      <c r="AA572" s="2">
        <f t="shared" si="56"/>
        <v>44348</v>
      </c>
      <c r="AB572"/>
      <c r="AC572"/>
    </row>
    <row r="573" spans="21:29" ht="15">
      <c r="U573" s="234" t="s">
        <v>7769</v>
      </c>
      <c r="V573" t="str">
        <f t="shared" si="52"/>
        <v>01</v>
      </c>
      <c r="W573" t="str">
        <f t="shared" si="53"/>
        <v>06</v>
      </c>
      <c r="X573" t="str">
        <f t="shared" si="54"/>
        <v>21</v>
      </c>
      <c r="Y573" t="str">
        <f t="shared" si="55"/>
        <v>2021</v>
      </c>
      <c r="Z573"/>
      <c r="AA573" s="2">
        <f t="shared" si="56"/>
        <v>44348</v>
      </c>
      <c r="AB573"/>
      <c r="AC573"/>
    </row>
    <row r="574" spans="21:29" ht="15">
      <c r="U574" s="234" t="s">
        <v>7769</v>
      </c>
      <c r="V574" t="str">
        <f t="shared" si="52"/>
        <v>01</v>
      </c>
      <c r="W574" t="str">
        <f t="shared" si="53"/>
        <v>06</v>
      </c>
      <c r="X574" t="str">
        <f t="shared" si="54"/>
        <v>21</v>
      </c>
      <c r="Y574" t="str">
        <f t="shared" si="55"/>
        <v>2021</v>
      </c>
      <c r="Z574"/>
      <c r="AA574" s="2">
        <f t="shared" si="56"/>
        <v>44348</v>
      </c>
      <c r="AB574"/>
      <c r="AC574"/>
    </row>
    <row r="575" spans="21:29" ht="15">
      <c r="U575" s="234" t="s">
        <v>7776</v>
      </c>
      <c r="V575" t="str">
        <f t="shared" si="52"/>
        <v>02</v>
      </c>
      <c r="W575" t="str">
        <f t="shared" si="53"/>
        <v>06</v>
      </c>
      <c r="X575" t="str">
        <f t="shared" si="54"/>
        <v>21</v>
      </c>
      <c r="Y575" t="str">
        <f t="shared" si="55"/>
        <v>2021</v>
      </c>
      <c r="Z575"/>
      <c r="AA575" s="2">
        <f t="shared" si="56"/>
        <v>44349</v>
      </c>
      <c r="AB575"/>
      <c r="AC575"/>
    </row>
    <row r="576" spans="21:29" ht="15">
      <c r="U576" s="234" t="s">
        <v>7776</v>
      </c>
      <c r="V576" t="str">
        <f t="shared" si="52"/>
        <v>02</v>
      </c>
      <c r="W576" t="str">
        <f t="shared" si="53"/>
        <v>06</v>
      </c>
      <c r="X576" t="str">
        <f t="shared" si="54"/>
        <v>21</v>
      </c>
      <c r="Y576" t="str">
        <f t="shared" si="55"/>
        <v>2021</v>
      </c>
      <c r="Z576"/>
      <c r="AA576" s="2">
        <f t="shared" si="56"/>
        <v>44349</v>
      </c>
      <c r="AB576"/>
      <c r="AC576"/>
    </row>
    <row r="577" spans="21:29" ht="15">
      <c r="U577" s="234" t="s">
        <v>7776</v>
      </c>
      <c r="V577" t="str">
        <f t="shared" si="52"/>
        <v>02</v>
      </c>
      <c r="W577" t="str">
        <f t="shared" si="53"/>
        <v>06</v>
      </c>
      <c r="X577" t="str">
        <f t="shared" si="54"/>
        <v>21</v>
      </c>
      <c r="Y577" t="str">
        <f t="shared" si="55"/>
        <v>2021</v>
      </c>
      <c r="Z577"/>
      <c r="AA577" s="2">
        <f t="shared" si="56"/>
        <v>44349</v>
      </c>
      <c r="AB577"/>
      <c r="AC577"/>
    </row>
    <row r="578" spans="21:29" ht="15">
      <c r="U578" s="234" t="s">
        <v>7776</v>
      </c>
      <c r="V578" t="str">
        <f t="shared" si="52"/>
        <v>02</v>
      </c>
      <c r="W578" t="str">
        <f t="shared" si="53"/>
        <v>06</v>
      </c>
      <c r="X578" t="str">
        <f t="shared" si="54"/>
        <v>21</v>
      </c>
      <c r="Y578" t="str">
        <f t="shared" si="55"/>
        <v>2021</v>
      </c>
      <c r="Z578"/>
      <c r="AA578" s="2">
        <f t="shared" si="56"/>
        <v>44349</v>
      </c>
      <c r="AB578"/>
      <c r="AC578"/>
    </row>
    <row r="579" spans="21:29" ht="15">
      <c r="U579" s="234" t="s">
        <v>7781</v>
      </c>
      <c r="V579" t="str">
        <f t="shared" ref="V579:V642" si="57">LEFT(U579,2)</f>
        <v>03</v>
      </c>
      <c r="W579" t="str">
        <f t="shared" ref="W579:W642" si="58">MID(U579,4,2)</f>
        <v>06</v>
      </c>
      <c r="X579" t="str">
        <f t="shared" ref="X579:X642" si="59">RIGHT(U579,2)</f>
        <v>21</v>
      </c>
      <c r="Y579" t="str">
        <f t="shared" ref="Y579:Y642" si="60">"20" &amp; X579</f>
        <v>2021</v>
      </c>
      <c r="Z579"/>
      <c r="AA579" s="2">
        <f t="shared" ref="AA579:AA642" si="61">DATE(Y579,W579,V579)</f>
        <v>44350</v>
      </c>
      <c r="AB579"/>
      <c r="AC579"/>
    </row>
    <row r="580" spans="21:29" ht="15">
      <c r="U580" s="234" t="s">
        <v>7781</v>
      </c>
      <c r="V580" t="str">
        <f t="shared" si="57"/>
        <v>03</v>
      </c>
      <c r="W580" t="str">
        <f t="shared" si="58"/>
        <v>06</v>
      </c>
      <c r="X580" t="str">
        <f t="shared" si="59"/>
        <v>21</v>
      </c>
      <c r="Y580" t="str">
        <f t="shared" si="60"/>
        <v>2021</v>
      </c>
      <c r="Z580"/>
      <c r="AA580" s="2">
        <f t="shared" si="61"/>
        <v>44350</v>
      </c>
      <c r="AB580"/>
      <c r="AC580"/>
    </row>
    <row r="581" spans="21:29" ht="15">
      <c r="U581" s="234" t="s">
        <v>7781</v>
      </c>
      <c r="V581" t="str">
        <f t="shared" si="57"/>
        <v>03</v>
      </c>
      <c r="W581" t="str">
        <f t="shared" si="58"/>
        <v>06</v>
      </c>
      <c r="X581" t="str">
        <f t="shared" si="59"/>
        <v>21</v>
      </c>
      <c r="Y581" t="str">
        <f t="shared" si="60"/>
        <v>2021</v>
      </c>
      <c r="Z581"/>
      <c r="AA581" s="2">
        <f t="shared" si="61"/>
        <v>44350</v>
      </c>
      <c r="AB581"/>
      <c r="AC581"/>
    </row>
    <row r="582" spans="21:29" ht="15">
      <c r="U582" s="234" t="s">
        <v>7781</v>
      </c>
      <c r="V582" t="str">
        <f t="shared" si="57"/>
        <v>03</v>
      </c>
      <c r="W582" t="str">
        <f t="shared" si="58"/>
        <v>06</v>
      </c>
      <c r="X582" t="str">
        <f t="shared" si="59"/>
        <v>21</v>
      </c>
      <c r="Y582" t="str">
        <f t="shared" si="60"/>
        <v>2021</v>
      </c>
      <c r="Z582"/>
      <c r="AA582" s="2">
        <f t="shared" si="61"/>
        <v>44350</v>
      </c>
      <c r="AB582"/>
      <c r="AC582"/>
    </row>
    <row r="583" spans="21:29" ht="15">
      <c r="U583" s="234" t="s">
        <v>7786</v>
      </c>
      <c r="V583" t="str">
        <f t="shared" si="57"/>
        <v>04</v>
      </c>
      <c r="W583" t="str">
        <f t="shared" si="58"/>
        <v>06</v>
      </c>
      <c r="X583" t="str">
        <f t="shared" si="59"/>
        <v>21</v>
      </c>
      <c r="Y583" t="str">
        <f t="shared" si="60"/>
        <v>2021</v>
      </c>
      <c r="Z583"/>
      <c r="AA583" s="2">
        <f t="shared" si="61"/>
        <v>44351</v>
      </c>
      <c r="AB583"/>
      <c r="AC583"/>
    </row>
    <row r="584" spans="21:29" ht="15">
      <c r="U584" s="234" t="s">
        <v>7787</v>
      </c>
      <c r="V584" t="str">
        <f t="shared" si="57"/>
        <v>05</v>
      </c>
      <c r="W584" t="str">
        <f t="shared" si="58"/>
        <v>06</v>
      </c>
      <c r="X584" t="str">
        <f t="shared" si="59"/>
        <v>21</v>
      </c>
      <c r="Y584" t="str">
        <f t="shared" si="60"/>
        <v>2021</v>
      </c>
      <c r="Z584"/>
      <c r="AA584" s="2">
        <f t="shared" si="61"/>
        <v>44352</v>
      </c>
      <c r="AB584"/>
      <c r="AC584"/>
    </row>
    <row r="585" spans="21:29" ht="15">
      <c r="U585" s="234" t="s">
        <v>7789</v>
      </c>
      <c r="V585" t="str">
        <f t="shared" si="57"/>
        <v>06</v>
      </c>
      <c r="W585" t="str">
        <f t="shared" si="58"/>
        <v>06</v>
      </c>
      <c r="X585" t="str">
        <f t="shared" si="59"/>
        <v>21</v>
      </c>
      <c r="Y585" t="str">
        <f t="shared" si="60"/>
        <v>2021</v>
      </c>
      <c r="Z585"/>
      <c r="AA585" s="2">
        <f t="shared" si="61"/>
        <v>44353</v>
      </c>
      <c r="AB585"/>
      <c r="AC585"/>
    </row>
    <row r="586" spans="21:29" ht="15">
      <c r="U586" s="234" t="s">
        <v>7791</v>
      </c>
      <c r="V586" t="str">
        <f t="shared" si="57"/>
        <v>07</v>
      </c>
      <c r="W586" t="str">
        <f t="shared" si="58"/>
        <v>06</v>
      </c>
      <c r="X586" t="str">
        <f t="shared" si="59"/>
        <v>21</v>
      </c>
      <c r="Y586" t="str">
        <f t="shared" si="60"/>
        <v>2021</v>
      </c>
      <c r="Z586"/>
      <c r="AA586" s="2">
        <f t="shared" si="61"/>
        <v>44354</v>
      </c>
      <c r="AB586"/>
      <c r="AC586"/>
    </row>
    <row r="587" spans="21:29" ht="15">
      <c r="U587" s="234" t="s">
        <v>7793</v>
      </c>
      <c r="V587" t="str">
        <f t="shared" si="57"/>
        <v>08</v>
      </c>
      <c r="W587" t="str">
        <f t="shared" si="58"/>
        <v>06</v>
      </c>
      <c r="X587" t="str">
        <f t="shared" si="59"/>
        <v>21</v>
      </c>
      <c r="Y587" t="str">
        <f t="shared" si="60"/>
        <v>2021</v>
      </c>
      <c r="Z587"/>
      <c r="AA587" s="2">
        <f t="shared" si="61"/>
        <v>44355</v>
      </c>
      <c r="AB587"/>
      <c r="AC587"/>
    </row>
    <row r="588" spans="21:29" ht="15">
      <c r="U588" s="234" t="s">
        <v>7793</v>
      </c>
      <c r="V588" t="str">
        <f t="shared" si="57"/>
        <v>08</v>
      </c>
      <c r="W588" t="str">
        <f t="shared" si="58"/>
        <v>06</v>
      </c>
      <c r="X588" t="str">
        <f t="shared" si="59"/>
        <v>21</v>
      </c>
      <c r="Y588" t="str">
        <f t="shared" si="60"/>
        <v>2021</v>
      </c>
      <c r="Z588"/>
      <c r="AA588" s="2">
        <f t="shared" si="61"/>
        <v>44355</v>
      </c>
      <c r="AB588"/>
      <c r="AC588"/>
    </row>
    <row r="589" spans="21:29" ht="15">
      <c r="U589" s="234" t="s">
        <v>7793</v>
      </c>
      <c r="V589" t="str">
        <f t="shared" si="57"/>
        <v>08</v>
      </c>
      <c r="W589" t="str">
        <f t="shared" si="58"/>
        <v>06</v>
      </c>
      <c r="X589" t="str">
        <f t="shared" si="59"/>
        <v>21</v>
      </c>
      <c r="Y589" t="str">
        <f t="shared" si="60"/>
        <v>2021</v>
      </c>
      <c r="Z589"/>
      <c r="AA589" s="2">
        <f t="shared" si="61"/>
        <v>44355</v>
      </c>
      <c r="AB589"/>
      <c r="AC589"/>
    </row>
    <row r="590" spans="21:29" ht="15">
      <c r="U590" s="234" t="s">
        <v>7797</v>
      </c>
      <c r="V590" t="str">
        <f t="shared" si="57"/>
        <v>09</v>
      </c>
      <c r="W590" t="str">
        <f t="shared" si="58"/>
        <v>06</v>
      </c>
      <c r="X590" t="str">
        <f t="shared" si="59"/>
        <v>21</v>
      </c>
      <c r="Y590" t="str">
        <f t="shared" si="60"/>
        <v>2021</v>
      </c>
      <c r="Z590"/>
      <c r="AA590" s="2">
        <f t="shared" si="61"/>
        <v>44356</v>
      </c>
      <c r="AB590"/>
      <c r="AC590"/>
    </row>
    <row r="591" spans="21:29" ht="15">
      <c r="U591" s="234" t="s">
        <v>7797</v>
      </c>
      <c r="V591" t="str">
        <f t="shared" si="57"/>
        <v>09</v>
      </c>
      <c r="W591" t="str">
        <f t="shared" si="58"/>
        <v>06</v>
      </c>
      <c r="X591" t="str">
        <f t="shared" si="59"/>
        <v>21</v>
      </c>
      <c r="Y591" t="str">
        <f t="shared" si="60"/>
        <v>2021</v>
      </c>
      <c r="Z591"/>
      <c r="AA591" s="2">
        <f t="shared" si="61"/>
        <v>44356</v>
      </c>
      <c r="AB591"/>
      <c r="AC591"/>
    </row>
    <row r="592" spans="21:29" ht="15">
      <c r="U592" s="234" t="s">
        <v>7797</v>
      </c>
      <c r="V592" t="str">
        <f t="shared" si="57"/>
        <v>09</v>
      </c>
      <c r="W592" t="str">
        <f t="shared" si="58"/>
        <v>06</v>
      </c>
      <c r="X592" t="str">
        <f t="shared" si="59"/>
        <v>21</v>
      </c>
      <c r="Y592" t="str">
        <f t="shared" si="60"/>
        <v>2021</v>
      </c>
      <c r="Z592"/>
      <c r="AA592" s="2">
        <f t="shared" si="61"/>
        <v>44356</v>
      </c>
      <c r="AB592"/>
      <c r="AC592"/>
    </row>
    <row r="593" spans="21:29" ht="15">
      <c r="U593" s="234" t="s">
        <v>7801</v>
      </c>
      <c r="V593" t="str">
        <f t="shared" si="57"/>
        <v>10</v>
      </c>
      <c r="W593" t="str">
        <f t="shared" si="58"/>
        <v>06</v>
      </c>
      <c r="X593" t="str">
        <f t="shared" si="59"/>
        <v>21</v>
      </c>
      <c r="Y593" t="str">
        <f t="shared" si="60"/>
        <v>2021</v>
      </c>
      <c r="Z593"/>
      <c r="AA593" s="2">
        <f t="shared" si="61"/>
        <v>44357</v>
      </c>
      <c r="AB593"/>
      <c r="AC593"/>
    </row>
    <row r="594" spans="21:29" ht="15">
      <c r="U594" s="234" t="s">
        <v>7801</v>
      </c>
      <c r="V594" t="str">
        <f t="shared" si="57"/>
        <v>10</v>
      </c>
      <c r="W594" t="str">
        <f t="shared" si="58"/>
        <v>06</v>
      </c>
      <c r="X594" t="str">
        <f t="shared" si="59"/>
        <v>21</v>
      </c>
      <c r="Y594" t="str">
        <f t="shared" si="60"/>
        <v>2021</v>
      </c>
      <c r="Z594"/>
      <c r="AA594" s="2">
        <f t="shared" si="61"/>
        <v>44357</v>
      </c>
      <c r="AB594"/>
      <c r="AC594"/>
    </row>
    <row r="595" spans="21:29" ht="15">
      <c r="U595" s="234" t="s">
        <v>7801</v>
      </c>
      <c r="V595" t="str">
        <f t="shared" si="57"/>
        <v>10</v>
      </c>
      <c r="W595" t="str">
        <f t="shared" si="58"/>
        <v>06</v>
      </c>
      <c r="X595" t="str">
        <f t="shared" si="59"/>
        <v>21</v>
      </c>
      <c r="Y595" t="str">
        <f t="shared" si="60"/>
        <v>2021</v>
      </c>
      <c r="Z595"/>
      <c r="AA595" s="2">
        <f t="shared" si="61"/>
        <v>44357</v>
      </c>
      <c r="AB595"/>
      <c r="AC595"/>
    </row>
    <row r="596" spans="21:29" ht="15">
      <c r="U596" s="234" t="s">
        <v>7805</v>
      </c>
      <c r="V596" t="str">
        <f t="shared" si="57"/>
        <v>11</v>
      </c>
      <c r="W596" t="str">
        <f t="shared" si="58"/>
        <v>06</v>
      </c>
      <c r="X596" t="str">
        <f t="shared" si="59"/>
        <v>21</v>
      </c>
      <c r="Y596" t="str">
        <f t="shared" si="60"/>
        <v>2021</v>
      </c>
      <c r="Z596"/>
      <c r="AA596" s="2">
        <f t="shared" si="61"/>
        <v>44358</v>
      </c>
      <c r="AB596"/>
      <c r="AC596"/>
    </row>
    <row r="597" spans="21:29" ht="15">
      <c r="U597" s="234" t="s">
        <v>7807</v>
      </c>
      <c r="V597" t="str">
        <f t="shared" si="57"/>
        <v>12</v>
      </c>
      <c r="W597" t="str">
        <f t="shared" si="58"/>
        <v>06</v>
      </c>
      <c r="X597" t="str">
        <f t="shared" si="59"/>
        <v>21</v>
      </c>
      <c r="Y597" t="str">
        <f t="shared" si="60"/>
        <v>2021</v>
      </c>
      <c r="Z597"/>
      <c r="AA597" s="2">
        <f t="shared" si="61"/>
        <v>44359</v>
      </c>
      <c r="AB597"/>
      <c r="AC597"/>
    </row>
    <row r="598" spans="21:29" ht="15">
      <c r="U598" s="234" t="s">
        <v>7807</v>
      </c>
      <c r="V598" t="str">
        <f t="shared" si="57"/>
        <v>12</v>
      </c>
      <c r="W598" t="str">
        <f t="shared" si="58"/>
        <v>06</v>
      </c>
      <c r="X598" t="str">
        <f t="shared" si="59"/>
        <v>21</v>
      </c>
      <c r="Y598" t="str">
        <f t="shared" si="60"/>
        <v>2021</v>
      </c>
      <c r="Z598"/>
      <c r="AA598" s="2">
        <f t="shared" si="61"/>
        <v>44359</v>
      </c>
      <c r="AB598"/>
      <c r="AC598"/>
    </row>
    <row r="599" spans="21:29" ht="15">
      <c r="U599" s="234" t="s">
        <v>7807</v>
      </c>
      <c r="V599" t="str">
        <f t="shared" si="57"/>
        <v>12</v>
      </c>
      <c r="W599" t="str">
        <f t="shared" si="58"/>
        <v>06</v>
      </c>
      <c r="X599" t="str">
        <f t="shared" si="59"/>
        <v>21</v>
      </c>
      <c r="Y599" t="str">
        <f t="shared" si="60"/>
        <v>2021</v>
      </c>
      <c r="Z599"/>
      <c r="AA599" s="2">
        <f t="shared" si="61"/>
        <v>44359</v>
      </c>
      <c r="AB599"/>
      <c r="AC599"/>
    </row>
    <row r="600" spans="21:29" ht="15">
      <c r="U600" s="234" t="s">
        <v>7807</v>
      </c>
      <c r="V600" t="str">
        <f t="shared" si="57"/>
        <v>12</v>
      </c>
      <c r="W600" t="str">
        <f t="shared" si="58"/>
        <v>06</v>
      </c>
      <c r="X600" t="str">
        <f t="shared" si="59"/>
        <v>21</v>
      </c>
      <c r="Y600" t="str">
        <f t="shared" si="60"/>
        <v>2021</v>
      </c>
      <c r="Z600"/>
      <c r="AA600" s="2">
        <f t="shared" si="61"/>
        <v>44359</v>
      </c>
      <c r="AB600"/>
      <c r="AC600"/>
    </row>
    <row r="601" spans="21:29" ht="15">
      <c r="U601" s="234" t="s">
        <v>7807</v>
      </c>
      <c r="V601" t="str">
        <f t="shared" si="57"/>
        <v>12</v>
      </c>
      <c r="W601" t="str">
        <f t="shared" si="58"/>
        <v>06</v>
      </c>
      <c r="X601" t="str">
        <f t="shared" si="59"/>
        <v>21</v>
      </c>
      <c r="Y601" t="str">
        <f t="shared" si="60"/>
        <v>2021</v>
      </c>
      <c r="Z601"/>
      <c r="AA601" s="2">
        <f t="shared" si="61"/>
        <v>44359</v>
      </c>
      <c r="AB601"/>
      <c r="AC601"/>
    </row>
    <row r="602" spans="21:29" ht="15">
      <c r="U602" s="234" t="s">
        <v>7813</v>
      </c>
      <c r="V602" t="str">
        <f t="shared" si="57"/>
        <v>13</v>
      </c>
      <c r="W602" t="str">
        <f t="shared" si="58"/>
        <v>06</v>
      </c>
      <c r="X602" t="str">
        <f t="shared" si="59"/>
        <v>21</v>
      </c>
      <c r="Y602" t="str">
        <f t="shared" si="60"/>
        <v>2021</v>
      </c>
      <c r="Z602"/>
      <c r="AA602" s="2">
        <f t="shared" si="61"/>
        <v>44360</v>
      </c>
      <c r="AB602"/>
      <c r="AC602"/>
    </row>
    <row r="603" spans="21:29" ht="15">
      <c r="U603" s="234" t="s">
        <v>7815</v>
      </c>
      <c r="V603" t="str">
        <f t="shared" si="57"/>
        <v>15</v>
      </c>
      <c r="W603" t="str">
        <f t="shared" si="58"/>
        <v>06</v>
      </c>
      <c r="X603" t="str">
        <f t="shared" si="59"/>
        <v>21</v>
      </c>
      <c r="Y603" t="str">
        <f t="shared" si="60"/>
        <v>2021</v>
      </c>
      <c r="Z603"/>
      <c r="AA603" s="2">
        <f t="shared" si="61"/>
        <v>44362</v>
      </c>
      <c r="AB603"/>
      <c r="AC603"/>
    </row>
    <row r="604" spans="21:29" ht="15">
      <c r="U604" s="234" t="s">
        <v>7815</v>
      </c>
      <c r="V604" t="str">
        <f t="shared" si="57"/>
        <v>15</v>
      </c>
      <c r="W604" t="str">
        <f t="shared" si="58"/>
        <v>06</v>
      </c>
      <c r="X604" t="str">
        <f t="shared" si="59"/>
        <v>21</v>
      </c>
      <c r="Y604" t="str">
        <f t="shared" si="60"/>
        <v>2021</v>
      </c>
      <c r="Z604"/>
      <c r="AA604" s="2">
        <f t="shared" si="61"/>
        <v>44362</v>
      </c>
      <c r="AB604"/>
      <c r="AC604"/>
    </row>
    <row r="605" spans="21:29" ht="15">
      <c r="U605" s="234" t="s">
        <v>7815</v>
      </c>
      <c r="V605" t="str">
        <f t="shared" si="57"/>
        <v>15</v>
      </c>
      <c r="W605" t="str">
        <f t="shared" si="58"/>
        <v>06</v>
      </c>
      <c r="X605" t="str">
        <f t="shared" si="59"/>
        <v>21</v>
      </c>
      <c r="Y605" t="str">
        <f t="shared" si="60"/>
        <v>2021</v>
      </c>
      <c r="Z605"/>
      <c r="AA605" s="2">
        <f t="shared" si="61"/>
        <v>44362</v>
      </c>
      <c r="AB605"/>
      <c r="AC605"/>
    </row>
    <row r="606" spans="21:29" ht="15">
      <c r="U606" s="234" t="s">
        <v>7819</v>
      </c>
      <c r="V606" t="str">
        <f t="shared" si="57"/>
        <v>16</v>
      </c>
      <c r="W606" t="str">
        <f t="shared" si="58"/>
        <v>06</v>
      </c>
      <c r="X606" t="str">
        <f t="shared" si="59"/>
        <v>21</v>
      </c>
      <c r="Y606" t="str">
        <f t="shared" si="60"/>
        <v>2021</v>
      </c>
      <c r="Z606"/>
      <c r="AA606" s="2">
        <f t="shared" si="61"/>
        <v>44363</v>
      </c>
      <c r="AB606"/>
      <c r="AC606"/>
    </row>
    <row r="607" spans="21:29" ht="15">
      <c r="U607" s="234" t="s">
        <v>7821</v>
      </c>
      <c r="V607" t="str">
        <f t="shared" si="57"/>
        <v>17</v>
      </c>
      <c r="W607" t="str">
        <f t="shared" si="58"/>
        <v>06</v>
      </c>
      <c r="X607" t="str">
        <f t="shared" si="59"/>
        <v>21</v>
      </c>
      <c r="Y607" t="str">
        <f t="shared" si="60"/>
        <v>2021</v>
      </c>
      <c r="Z607"/>
      <c r="AA607" s="2">
        <f t="shared" si="61"/>
        <v>44364</v>
      </c>
      <c r="AB607"/>
      <c r="AC607"/>
    </row>
    <row r="608" spans="21:29" ht="15">
      <c r="U608" s="234" t="s">
        <v>7821</v>
      </c>
      <c r="V608" t="str">
        <f t="shared" si="57"/>
        <v>17</v>
      </c>
      <c r="W608" t="str">
        <f t="shared" si="58"/>
        <v>06</v>
      </c>
      <c r="X608" t="str">
        <f t="shared" si="59"/>
        <v>21</v>
      </c>
      <c r="Y608" t="str">
        <f t="shared" si="60"/>
        <v>2021</v>
      </c>
      <c r="Z608"/>
      <c r="AA608" s="2">
        <f t="shared" si="61"/>
        <v>44364</v>
      </c>
      <c r="AB608"/>
      <c r="AC608"/>
    </row>
    <row r="609" spans="21:29" ht="15">
      <c r="U609" s="234" t="s">
        <v>7821</v>
      </c>
      <c r="V609" t="str">
        <f t="shared" si="57"/>
        <v>17</v>
      </c>
      <c r="W609" t="str">
        <f t="shared" si="58"/>
        <v>06</v>
      </c>
      <c r="X609" t="str">
        <f t="shared" si="59"/>
        <v>21</v>
      </c>
      <c r="Y609" t="str">
        <f t="shared" si="60"/>
        <v>2021</v>
      </c>
      <c r="Z609"/>
      <c r="AA609" s="2">
        <f t="shared" si="61"/>
        <v>44364</v>
      </c>
      <c r="AB609"/>
      <c r="AC609"/>
    </row>
    <row r="610" spans="21:29" ht="15">
      <c r="U610" s="234" t="s">
        <v>7825</v>
      </c>
      <c r="V610" t="str">
        <f t="shared" si="57"/>
        <v>18</v>
      </c>
      <c r="W610" t="str">
        <f t="shared" si="58"/>
        <v>06</v>
      </c>
      <c r="X610" t="str">
        <f t="shared" si="59"/>
        <v>21</v>
      </c>
      <c r="Y610" t="str">
        <f t="shared" si="60"/>
        <v>2021</v>
      </c>
      <c r="Z610"/>
      <c r="AA610" s="2">
        <f t="shared" si="61"/>
        <v>44365</v>
      </c>
      <c r="AB610"/>
      <c r="AC610"/>
    </row>
    <row r="611" spans="21:29" ht="15">
      <c r="U611" s="234" t="s">
        <v>7825</v>
      </c>
      <c r="V611" t="str">
        <f t="shared" si="57"/>
        <v>18</v>
      </c>
      <c r="W611" t="str">
        <f t="shared" si="58"/>
        <v>06</v>
      </c>
      <c r="X611" t="str">
        <f t="shared" si="59"/>
        <v>21</v>
      </c>
      <c r="Y611" t="str">
        <f t="shared" si="60"/>
        <v>2021</v>
      </c>
      <c r="Z611"/>
      <c r="AA611" s="2">
        <f t="shared" si="61"/>
        <v>44365</v>
      </c>
      <c r="AB611"/>
      <c r="AC611"/>
    </row>
    <row r="612" spans="21:29" ht="15">
      <c r="U612" s="234" t="s">
        <v>7828</v>
      </c>
      <c r="V612" t="str">
        <f t="shared" si="57"/>
        <v>19</v>
      </c>
      <c r="W612" t="str">
        <f t="shared" si="58"/>
        <v>06</v>
      </c>
      <c r="X612" t="str">
        <f t="shared" si="59"/>
        <v>21</v>
      </c>
      <c r="Y612" t="str">
        <f t="shared" si="60"/>
        <v>2021</v>
      </c>
      <c r="Z612"/>
      <c r="AA612" s="2">
        <f t="shared" si="61"/>
        <v>44366</v>
      </c>
      <c r="AB612"/>
      <c r="AC612"/>
    </row>
    <row r="613" spans="21:29" ht="15">
      <c r="U613" s="234" t="s">
        <v>7828</v>
      </c>
      <c r="V613" t="str">
        <f t="shared" si="57"/>
        <v>19</v>
      </c>
      <c r="W613" t="str">
        <f t="shared" si="58"/>
        <v>06</v>
      </c>
      <c r="X613" t="str">
        <f t="shared" si="59"/>
        <v>21</v>
      </c>
      <c r="Y613" t="str">
        <f t="shared" si="60"/>
        <v>2021</v>
      </c>
      <c r="Z613"/>
      <c r="AA613" s="2">
        <f t="shared" si="61"/>
        <v>44366</v>
      </c>
      <c r="AB613"/>
      <c r="AC613"/>
    </row>
    <row r="614" spans="21:29" ht="15">
      <c r="U614" s="234" t="s">
        <v>7831</v>
      </c>
      <c r="V614" t="str">
        <f t="shared" si="57"/>
        <v>21</v>
      </c>
      <c r="W614" t="str">
        <f t="shared" si="58"/>
        <v>06</v>
      </c>
      <c r="X614" t="str">
        <f t="shared" si="59"/>
        <v>21</v>
      </c>
      <c r="Y614" t="str">
        <f t="shared" si="60"/>
        <v>2021</v>
      </c>
      <c r="Z614"/>
      <c r="AA614" s="2">
        <f t="shared" si="61"/>
        <v>44368</v>
      </c>
      <c r="AB614"/>
      <c r="AC614"/>
    </row>
    <row r="615" spans="21:29" ht="15">
      <c r="U615" s="234" t="s">
        <v>7833</v>
      </c>
      <c r="V615" t="str">
        <f t="shared" si="57"/>
        <v>22</v>
      </c>
      <c r="W615" t="str">
        <f t="shared" si="58"/>
        <v>06</v>
      </c>
      <c r="X615" t="str">
        <f t="shared" si="59"/>
        <v>21</v>
      </c>
      <c r="Y615" t="str">
        <f t="shared" si="60"/>
        <v>2021</v>
      </c>
      <c r="Z615"/>
      <c r="AA615" s="2">
        <f t="shared" si="61"/>
        <v>44369</v>
      </c>
      <c r="AB615"/>
      <c r="AC615"/>
    </row>
    <row r="616" spans="21:29" ht="15">
      <c r="U616" s="234" t="s">
        <v>7833</v>
      </c>
      <c r="V616" t="str">
        <f t="shared" si="57"/>
        <v>22</v>
      </c>
      <c r="W616" t="str">
        <f t="shared" si="58"/>
        <v>06</v>
      </c>
      <c r="X616" t="str">
        <f t="shared" si="59"/>
        <v>21</v>
      </c>
      <c r="Y616" t="str">
        <f t="shared" si="60"/>
        <v>2021</v>
      </c>
      <c r="Z616"/>
      <c r="AA616" s="2">
        <f t="shared" si="61"/>
        <v>44369</v>
      </c>
      <c r="AB616"/>
      <c r="AC616"/>
    </row>
    <row r="617" spans="21:29" ht="15">
      <c r="U617" s="234" t="s">
        <v>7836</v>
      </c>
      <c r="V617" t="str">
        <f t="shared" si="57"/>
        <v>23</v>
      </c>
      <c r="W617" t="str">
        <f t="shared" si="58"/>
        <v>06</v>
      </c>
      <c r="X617" t="str">
        <f t="shared" si="59"/>
        <v>21</v>
      </c>
      <c r="Y617" t="str">
        <f t="shared" si="60"/>
        <v>2021</v>
      </c>
      <c r="Z617"/>
      <c r="AA617" s="2">
        <f t="shared" si="61"/>
        <v>44370</v>
      </c>
      <c r="AB617"/>
      <c r="AC617"/>
    </row>
    <row r="618" spans="21:29" ht="15">
      <c r="U618" s="234" t="s">
        <v>7836</v>
      </c>
      <c r="V618" t="str">
        <f t="shared" si="57"/>
        <v>23</v>
      </c>
      <c r="W618" t="str">
        <f t="shared" si="58"/>
        <v>06</v>
      </c>
      <c r="X618" t="str">
        <f t="shared" si="59"/>
        <v>21</v>
      </c>
      <c r="Y618" t="str">
        <f t="shared" si="60"/>
        <v>2021</v>
      </c>
      <c r="Z618"/>
      <c r="AA618" s="2">
        <f t="shared" si="61"/>
        <v>44370</v>
      </c>
      <c r="AB618"/>
      <c r="AC618"/>
    </row>
    <row r="619" spans="21:29" ht="15">
      <c r="U619" s="234" t="s">
        <v>7836</v>
      </c>
      <c r="V619" t="str">
        <f t="shared" si="57"/>
        <v>23</v>
      </c>
      <c r="W619" t="str">
        <f t="shared" si="58"/>
        <v>06</v>
      </c>
      <c r="X619" t="str">
        <f t="shared" si="59"/>
        <v>21</v>
      </c>
      <c r="Y619" t="str">
        <f t="shared" si="60"/>
        <v>2021</v>
      </c>
      <c r="Z619"/>
      <c r="AA619" s="2">
        <f t="shared" si="61"/>
        <v>44370</v>
      </c>
      <c r="AB619"/>
      <c r="AC619"/>
    </row>
    <row r="620" spans="21:29" ht="15">
      <c r="U620" s="234" t="s">
        <v>7836</v>
      </c>
      <c r="V620" t="str">
        <f t="shared" si="57"/>
        <v>23</v>
      </c>
      <c r="W620" t="str">
        <f t="shared" si="58"/>
        <v>06</v>
      </c>
      <c r="X620" t="str">
        <f t="shared" si="59"/>
        <v>21</v>
      </c>
      <c r="Y620" t="str">
        <f t="shared" si="60"/>
        <v>2021</v>
      </c>
      <c r="Z620"/>
      <c r="AA620" s="2">
        <f t="shared" si="61"/>
        <v>44370</v>
      </c>
      <c r="AB620"/>
      <c r="AC620"/>
    </row>
    <row r="621" spans="21:29" ht="15">
      <c r="U621" s="234" t="s">
        <v>7836</v>
      </c>
      <c r="V621" t="str">
        <f t="shared" si="57"/>
        <v>23</v>
      </c>
      <c r="W621" t="str">
        <f t="shared" si="58"/>
        <v>06</v>
      </c>
      <c r="X621" t="str">
        <f t="shared" si="59"/>
        <v>21</v>
      </c>
      <c r="Y621" t="str">
        <f t="shared" si="60"/>
        <v>2021</v>
      </c>
      <c r="Z621"/>
      <c r="AA621" s="2">
        <f t="shared" si="61"/>
        <v>44370</v>
      </c>
      <c r="AB621"/>
      <c r="AC621"/>
    </row>
    <row r="622" spans="21:29" ht="15">
      <c r="U622" s="234" t="s">
        <v>7842</v>
      </c>
      <c r="V622" t="str">
        <f t="shared" si="57"/>
        <v>24</v>
      </c>
      <c r="W622" t="str">
        <f t="shared" si="58"/>
        <v>06</v>
      </c>
      <c r="X622" t="str">
        <f t="shared" si="59"/>
        <v>21</v>
      </c>
      <c r="Y622" t="str">
        <f t="shared" si="60"/>
        <v>2021</v>
      </c>
      <c r="Z622"/>
      <c r="AA622" s="2">
        <f t="shared" si="61"/>
        <v>44371</v>
      </c>
      <c r="AB622"/>
      <c r="AC622"/>
    </row>
    <row r="623" spans="21:29" ht="15">
      <c r="U623" s="234" t="s">
        <v>7842</v>
      </c>
      <c r="V623" t="str">
        <f t="shared" si="57"/>
        <v>24</v>
      </c>
      <c r="W623" t="str">
        <f t="shared" si="58"/>
        <v>06</v>
      </c>
      <c r="X623" t="str">
        <f t="shared" si="59"/>
        <v>21</v>
      </c>
      <c r="Y623" t="str">
        <f t="shared" si="60"/>
        <v>2021</v>
      </c>
      <c r="Z623"/>
      <c r="AA623" s="2">
        <f t="shared" si="61"/>
        <v>44371</v>
      </c>
      <c r="AB623"/>
      <c r="AC623"/>
    </row>
    <row r="624" spans="21:29" ht="15">
      <c r="U624" s="234" t="s">
        <v>7845</v>
      </c>
      <c r="V624" t="str">
        <f t="shared" si="57"/>
        <v>25</v>
      </c>
      <c r="W624" t="str">
        <f t="shared" si="58"/>
        <v>06</v>
      </c>
      <c r="X624" t="str">
        <f t="shared" si="59"/>
        <v>21</v>
      </c>
      <c r="Y624" t="str">
        <f t="shared" si="60"/>
        <v>2021</v>
      </c>
      <c r="Z624"/>
      <c r="AA624" s="2">
        <f t="shared" si="61"/>
        <v>44372</v>
      </c>
      <c r="AB624"/>
      <c r="AC624"/>
    </row>
    <row r="625" spans="21:29" ht="15">
      <c r="U625" s="234" t="s">
        <v>7845</v>
      </c>
      <c r="V625" t="str">
        <f t="shared" si="57"/>
        <v>25</v>
      </c>
      <c r="W625" t="str">
        <f t="shared" si="58"/>
        <v>06</v>
      </c>
      <c r="X625" t="str">
        <f t="shared" si="59"/>
        <v>21</v>
      </c>
      <c r="Y625" t="str">
        <f t="shared" si="60"/>
        <v>2021</v>
      </c>
      <c r="Z625"/>
      <c r="AA625" s="2">
        <f t="shared" si="61"/>
        <v>44372</v>
      </c>
      <c r="AB625"/>
      <c r="AC625"/>
    </row>
    <row r="626" spans="21:29" ht="15">
      <c r="U626" s="234" t="s">
        <v>7848</v>
      </c>
      <c r="V626" t="str">
        <f t="shared" si="57"/>
        <v>26</v>
      </c>
      <c r="W626" t="str">
        <f t="shared" si="58"/>
        <v>06</v>
      </c>
      <c r="X626" t="str">
        <f t="shared" si="59"/>
        <v>21</v>
      </c>
      <c r="Y626" t="str">
        <f t="shared" si="60"/>
        <v>2021</v>
      </c>
      <c r="Z626"/>
      <c r="AA626" s="2">
        <f t="shared" si="61"/>
        <v>44373</v>
      </c>
      <c r="AB626"/>
      <c r="AC626"/>
    </row>
    <row r="627" spans="21:29" ht="15">
      <c r="U627" s="234" t="s">
        <v>7850</v>
      </c>
      <c r="V627" t="str">
        <f t="shared" si="57"/>
        <v>27</v>
      </c>
      <c r="W627" t="str">
        <f t="shared" si="58"/>
        <v>06</v>
      </c>
      <c r="X627" t="str">
        <f t="shared" si="59"/>
        <v>21</v>
      </c>
      <c r="Y627" t="str">
        <f t="shared" si="60"/>
        <v>2021</v>
      </c>
      <c r="Z627"/>
      <c r="AA627" s="2">
        <f t="shared" si="61"/>
        <v>44374</v>
      </c>
      <c r="AB627"/>
      <c r="AC627"/>
    </row>
    <row r="628" spans="21:29" ht="15">
      <c r="U628" s="234" t="s">
        <v>7850</v>
      </c>
      <c r="V628" t="str">
        <f t="shared" si="57"/>
        <v>27</v>
      </c>
      <c r="W628" t="str">
        <f t="shared" si="58"/>
        <v>06</v>
      </c>
      <c r="X628" t="str">
        <f t="shared" si="59"/>
        <v>21</v>
      </c>
      <c r="Y628" t="str">
        <f t="shared" si="60"/>
        <v>2021</v>
      </c>
      <c r="Z628"/>
      <c r="AA628" s="2">
        <f t="shared" si="61"/>
        <v>44374</v>
      </c>
      <c r="AB628"/>
      <c r="AC628"/>
    </row>
    <row r="629" spans="21:29" ht="15">
      <c r="U629" s="234" t="s">
        <v>7850</v>
      </c>
      <c r="V629" t="str">
        <f t="shared" si="57"/>
        <v>27</v>
      </c>
      <c r="W629" t="str">
        <f t="shared" si="58"/>
        <v>06</v>
      </c>
      <c r="X629" t="str">
        <f t="shared" si="59"/>
        <v>21</v>
      </c>
      <c r="Y629" t="str">
        <f t="shared" si="60"/>
        <v>2021</v>
      </c>
      <c r="Z629"/>
      <c r="AA629" s="2">
        <f t="shared" si="61"/>
        <v>44374</v>
      </c>
      <c r="AB629"/>
      <c r="AC629"/>
    </row>
    <row r="630" spans="21:29" ht="15">
      <c r="U630" s="234" t="s">
        <v>7850</v>
      </c>
      <c r="V630" t="str">
        <f t="shared" si="57"/>
        <v>27</v>
      </c>
      <c r="W630" t="str">
        <f t="shared" si="58"/>
        <v>06</v>
      </c>
      <c r="X630" t="str">
        <f t="shared" si="59"/>
        <v>21</v>
      </c>
      <c r="Y630" t="str">
        <f t="shared" si="60"/>
        <v>2021</v>
      </c>
      <c r="Z630"/>
      <c r="AA630" s="2">
        <f t="shared" si="61"/>
        <v>44374</v>
      </c>
      <c r="AB630"/>
      <c r="AC630"/>
    </row>
    <row r="631" spans="21:29" ht="15">
      <c r="U631" s="234" t="s">
        <v>7855</v>
      </c>
      <c r="V631" t="str">
        <f t="shared" si="57"/>
        <v>28</v>
      </c>
      <c r="W631" t="str">
        <f t="shared" si="58"/>
        <v>06</v>
      </c>
      <c r="X631" t="str">
        <f t="shared" si="59"/>
        <v>21</v>
      </c>
      <c r="Y631" t="str">
        <f t="shared" si="60"/>
        <v>2021</v>
      </c>
      <c r="Z631"/>
      <c r="AA631" s="2">
        <f t="shared" si="61"/>
        <v>44375</v>
      </c>
      <c r="AB631"/>
      <c r="AC631"/>
    </row>
    <row r="632" spans="21:29" ht="15">
      <c r="U632" s="234" t="s">
        <v>7857</v>
      </c>
      <c r="V632" t="str">
        <f t="shared" si="57"/>
        <v>30</v>
      </c>
      <c r="W632" t="str">
        <f t="shared" si="58"/>
        <v>06</v>
      </c>
      <c r="X632" t="str">
        <f t="shared" si="59"/>
        <v>21</v>
      </c>
      <c r="Y632" t="str">
        <f t="shared" si="60"/>
        <v>2021</v>
      </c>
      <c r="Z632"/>
      <c r="AA632" s="2">
        <f t="shared" si="61"/>
        <v>44377</v>
      </c>
      <c r="AB632"/>
      <c r="AC632"/>
    </row>
    <row r="633" spans="21:29" ht="15">
      <c r="U633" s="234" t="s">
        <v>7857</v>
      </c>
      <c r="V633" t="str">
        <f t="shared" si="57"/>
        <v>30</v>
      </c>
      <c r="W633" t="str">
        <f t="shared" si="58"/>
        <v>06</v>
      </c>
      <c r="X633" t="str">
        <f t="shared" si="59"/>
        <v>21</v>
      </c>
      <c r="Y633" t="str">
        <f t="shared" si="60"/>
        <v>2021</v>
      </c>
      <c r="Z633"/>
      <c r="AA633" s="2">
        <f t="shared" si="61"/>
        <v>44377</v>
      </c>
      <c r="AB633"/>
      <c r="AC633"/>
    </row>
    <row r="634" spans="21:29" ht="15">
      <c r="U634" s="234" t="s">
        <v>7859</v>
      </c>
      <c r="V634" t="str">
        <f t="shared" si="57"/>
        <v>01</v>
      </c>
      <c r="W634" t="str">
        <f t="shared" si="58"/>
        <v>07</v>
      </c>
      <c r="X634" t="str">
        <f t="shared" si="59"/>
        <v>21</v>
      </c>
      <c r="Y634" t="str">
        <f t="shared" si="60"/>
        <v>2021</v>
      </c>
      <c r="Z634"/>
      <c r="AA634" s="2">
        <f t="shared" si="61"/>
        <v>44378</v>
      </c>
      <c r="AB634"/>
      <c r="AC634"/>
    </row>
    <row r="635" spans="21:29" ht="15">
      <c r="U635" s="234" t="s">
        <v>7859</v>
      </c>
      <c r="V635" t="str">
        <f t="shared" si="57"/>
        <v>01</v>
      </c>
      <c r="W635" t="str">
        <f t="shared" si="58"/>
        <v>07</v>
      </c>
      <c r="X635" t="str">
        <f t="shared" si="59"/>
        <v>21</v>
      </c>
      <c r="Y635" t="str">
        <f t="shared" si="60"/>
        <v>2021</v>
      </c>
      <c r="Z635"/>
      <c r="AA635" s="2">
        <f t="shared" si="61"/>
        <v>44378</v>
      </c>
      <c r="AB635"/>
      <c r="AC635"/>
    </row>
    <row r="636" spans="21:29" ht="15">
      <c r="U636" s="234" t="s">
        <v>7859</v>
      </c>
      <c r="V636" t="str">
        <f t="shared" si="57"/>
        <v>01</v>
      </c>
      <c r="W636" t="str">
        <f t="shared" si="58"/>
        <v>07</v>
      </c>
      <c r="X636" t="str">
        <f t="shared" si="59"/>
        <v>21</v>
      </c>
      <c r="Y636" t="str">
        <f t="shared" si="60"/>
        <v>2021</v>
      </c>
      <c r="Z636"/>
      <c r="AA636" s="2">
        <f t="shared" si="61"/>
        <v>44378</v>
      </c>
      <c r="AB636"/>
      <c r="AC636"/>
    </row>
    <row r="637" spans="21:29" ht="15">
      <c r="U637" s="234" t="s">
        <v>7863</v>
      </c>
      <c r="V637" t="str">
        <f t="shared" si="57"/>
        <v>02</v>
      </c>
      <c r="W637" t="str">
        <f t="shared" si="58"/>
        <v>07</v>
      </c>
      <c r="X637" t="str">
        <f t="shared" si="59"/>
        <v>21</v>
      </c>
      <c r="Y637" t="str">
        <f t="shared" si="60"/>
        <v>2021</v>
      </c>
      <c r="Z637"/>
      <c r="AA637" s="2">
        <f t="shared" si="61"/>
        <v>44379</v>
      </c>
      <c r="AB637"/>
      <c r="AC637"/>
    </row>
    <row r="638" spans="21:29" ht="15">
      <c r="U638" s="234" t="s">
        <v>7863</v>
      </c>
      <c r="V638" t="str">
        <f t="shared" si="57"/>
        <v>02</v>
      </c>
      <c r="W638" t="str">
        <f t="shared" si="58"/>
        <v>07</v>
      </c>
      <c r="X638" t="str">
        <f t="shared" si="59"/>
        <v>21</v>
      </c>
      <c r="Y638" t="str">
        <f t="shared" si="60"/>
        <v>2021</v>
      </c>
      <c r="Z638"/>
      <c r="AA638" s="2">
        <f t="shared" si="61"/>
        <v>44379</v>
      </c>
      <c r="AB638"/>
      <c r="AC638"/>
    </row>
    <row r="639" spans="21:29" ht="15">
      <c r="U639" s="234" t="s">
        <v>7863</v>
      </c>
      <c r="V639" t="str">
        <f t="shared" si="57"/>
        <v>02</v>
      </c>
      <c r="W639" t="str">
        <f t="shared" si="58"/>
        <v>07</v>
      </c>
      <c r="X639" t="str">
        <f t="shared" si="59"/>
        <v>21</v>
      </c>
      <c r="Y639" t="str">
        <f t="shared" si="60"/>
        <v>2021</v>
      </c>
      <c r="Z639"/>
      <c r="AA639" s="2">
        <f t="shared" si="61"/>
        <v>44379</v>
      </c>
      <c r="AB639"/>
      <c r="AC639"/>
    </row>
    <row r="640" spans="21:29" ht="15">
      <c r="U640" s="234" t="s">
        <v>7863</v>
      </c>
      <c r="V640" t="str">
        <f t="shared" si="57"/>
        <v>02</v>
      </c>
      <c r="W640" t="str">
        <f t="shared" si="58"/>
        <v>07</v>
      </c>
      <c r="X640" t="str">
        <f t="shared" si="59"/>
        <v>21</v>
      </c>
      <c r="Y640" t="str">
        <f t="shared" si="60"/>
        <v>2021</v>
      </c>
      <c r="Z640"/>
      <c r="AA640" s="2">
        <f t="shared" si="61"/>
        <v>44379</v>
      </c>
      <c r="AB640"/>
      <c r="AC640"/>
    </row>
    <row r="641" spans="21:29" ht="15">
      <c r="U641" s="234" t="s">
        <v>7863</v>
      </c>
      <c r="V641" t="str">
        <f t="shared" si="57"/>
        <v>02</v>
      </c>
      <c r="W641" t="str">
        <f t="shared" si="58"/>
        <v>07</v>
      </c>
      <c r="X641" t="str">
        <f t="shared" si="59"/>
        <v>21</v>
      </c>
      <c r="Y641" t="str">
        <f t="shared" si="60"/>
        <v>2021</v>
      </c>
      <c r="Z641"/>
      <c r="AA641" s="2">
        <f t="shared" si="61"/>
        <v>44379</v>
      </c>
      <c r="AB641"/>
      <c r="AC641"/>
    </row>
    <row r="642" spans="21:29" ht="15">
      <c r="U642" s="234" t="s">
        <v>7868</v>
      </c>
      <c r="V642" t="str">
        <f t="shared" si="57"/>
        <v>06</v>
      </c>
      <c r="W642" t="str">
        <f t="shared" si="58"/>
        <v>07</v>
      </c>
      <c r="X642" t="str">
        <f t="shared" si="59"/>
        <v>21</v>
      </c>
      <c r="Y642" t="str">
        <f t="shared" si="60"/>
        <v>2021</v>
      </c>
      <c r="Z642"/>
      <c r="AA642" s="2">
        <f t="shared" si="61"/>
        <v>44383</v>
      </c>
      <c r="AB642"/>
      <c r="AC642"/>
    </row>
    <row r="643" spans="21:29" ht="15">
      <c r="U643" s="234" t="s">
        <v>7868</v>
      </c>
      <c r="V643" t="str">
        <f t="shared" ref="V643:V706" si="62">LEFT(U643,2)</f>
        <v>06</v>
      </c>
      <c r="W643" t="str">
        <f t="shared" ref="W643:W706" si="63">MID(U643,4,2)</f>
        <v>07</v>
      </c>
      <c r="X643" t="str">
        <f t="shared" ref="X643:X706" si="64">RIGHT(U643,2)</f>
        <v>21</v>
      </c>
      <c r="Y643" t="str">
        <f t="shared" ref="Y643:Y706" si="65">"20" &amp; X643</f>
        <v>2021</v>
      </c>
      <c r="Z643"/>
      <c r="AA643" s="2">
        <f t="shared" ref="AA643:AA706" si="66">DATE(Y643,W643,V643)</f>
        <v>44383</v>
      </c>
      <c r="AB643"/>
      <c r="AC643"/>
    </row>
    <row r="644" spans="21:29" ht="15">
      <c r="U644" s="234" t="s">
        <v>7868</v>
      </c>
      <c r="V644" t="str">
        <f t="shared" si="62"/>
        <v>06</v>
      </c>
      <c r="W644" t="str">
        <f t="shared" si="63"/>
        <v>07</v>
      </c>
      <c r="X644" t="str">
        <f t="shared" si="64"/>
        <v>21</v>
      </c>
      <c r="Y644" t="str">
        <f t="shared" si="65"/>
        <v>2021</v>
      </c>
      <c r="Z644"/>
      <c r="AA644" s="2">
        <f t="shared" si="66"/>
        <v>44383</v>
      </c>
      <c r="AB644"/>
      <c r="AC644"/>
    </row>
    <row r="645" spans="21:29" ht="15">
      <c r="U645" s="234" t="s">
        <v>7868</v>
      </c>
      <c r="V645" t="str">
        <f t="shared" si="62"/>
        <v>06</v>
      </c>
      <c r="W645" t="str">
        <f t="shared" si="63"/>
        <v>07</v>
      </c>
      <c r="X645" t="str">
        <f t="shared" si="64"/>
        <v>21</v>
      </c>
      <c r="Y645" t="str">
        <f t="shared" si="65"/>
        <v>2021</v>
      </c>
      <c r="Z645"/>
      <c r="AA645" s="2">
        <f t="shared" si="66"/>
        <v>44383</v>
      </c>
      <c r="AB645"/>
      <c r="AC645"/>
    </row>
    <row r="646" spans="21:29" ht="15">
      <c r="U646" s="234" t="s">
        <v>7873</v>
      </c>
      <c r="V646" t="str">
        <f t="shared" si="62"/>
        <v>07</v>
      </c>
      <c r="W646" t="str">
        <f t="shared" si="63"/>
        <v>07</v>
      </c>
      <c r="X646" t="str">
        <f t="shared" si="64"/>
        <v>21</v>
      </c>
      <c r="Y646" t="str">
        <f t="shared" si="65"/>
        <v>2021</v>
      </c>
      <c r="Z646"/>
      <c r="AA646" s="2">
        <f t="shared" si="66"/>
        <v>44384</v>
      </c>
      <c r="AB646"/>
      <c r="AC646"/>
    </row>
    <row r="647" spans="21:29" ht="15">
      <c r="U647" s="234" t="s">
        <v>7875</v>
      </c>
      <c r="V647" t="str">
        <f t="shared" si="62"/>
        <v>08</v>
      </c>
      <c r="W647" t="str">
        <f t="shared" si="63"/>
        <v>07</v>
      </c>
      <c r="X647" t="str">
        <f t="shared" si="64"/>
        <v>21</v>
      </c>
      <c r="Y647" t="str">
        <f t="shared" si="65"/>
        <v>2021</v>
      </c>
      <c r="Z647"/>
      <c r="AA647" s="2">
        <f t="shared" si="66"/>
        <v>44385</v>
      </c>
      <c r="AB647"/>
      <c r="AC647"/>
    </row>
    <row r="648" spans="21:29" ht="15">
      <c r="U648" s="234" t="s">
        <v>7875</v>
      </c>
      <c r="V648" t="str">
        <f t="shared" si="62"/>
        <v>08</v>
      </c>
      <c r="W648" t="str">
        <f t="shared" si="63"/>
        <v>07</v>
      </c>
      <c r="X648" t="str">
        <f t="shared" si="64"/>
        <v>21</v>
      </c>
      <c r="Y648" t="str">
        <f t="shared" si="65"/>
        <v>2021</v>
      </c>
      <c r="Z648"/>
      <c r="AA648" s="2">
        <f t="shared" si="66"/>
        <v>44385</v>
      </c>
      <c r="AB648"/>
      <c r="AC648"/>
    </row>
    <row r="649" spans="21:29" ht="15">
      <c r="U649" s="234" t="s">
        <v>7878</v>
      </c>
      <c r="V649" t="str">
        <f t="shared" si="62"/>
        <v>09</v>
      </c>
      <c r="W649" t="str">
        <f t="shared" si="63"/>
        <v>07</v>
      </c>
      <c r="X649" t="str">
        <f t="shared" si="64"/>
        <v>21</v>
      </c>
      <c r="Y649" t="str">
        <f t="shared" si="65"/>
        <v>2021</v>
      </c>
      <c r="Z649"/>
      <c r="AA649" s="2">
        <f t="shared" si="66"/>
        <v>44386</v>
      </c>
      <c r="AB649"/>
      <c r="AC649"/>
    </row>
    <row r="650" spans="21:29" ht="15">
      <c r="U650" s="234" t="s">
        <v>7878</v>
      </c>
      <c r="V650" t="str">
        <f t="shared" si="62"/>
        <v>09</v>
      </c>
      <c r="W650" t="str">
        <f t="shared" si="63"/>
        <v>07</v>
      </c>
      <c r="X650" t="str">
        <f t="shared" si="64"/>
        <v>21</v>
      </c>
      <c r="Y650" t="str">
        <f t="shared" si="65"/>
        <v>2021</v>
      </c>
      <c r="Z650"/>
      <c r="AA650" s="2">
        <f t="shared" si="66"/>
        <v>44386</v>
      </c>
      <c r="AB650"/>
      <c r="AC650"/>
    </row>
    <row r="651" spans="21:29" ht="15">
      <c r="U651" s="234" t="s">
        <v>7878</v>
      </c>
      <c r="V651" t="str">
        <f t="shared" si="62"/>
        <v>09</v>
      </c>
      <c r="W651" t="str">
        <f t="shared" si="63"/>
        <v>07</v>
      </c>
      <c r="X651" t="str">
        <f t="shared" si="64"/>
        <v>21</v>
      </c>
      <c r="Y651" t="str">
        <f t="shared" si="65"/>
        <v>2021</v>
      </c>
      <c r="Z651"/>
      <c r="AA651" s="2">
        <f t="shared" si="66"/>
        <v>44386</v>
      </c>
      <c r="AB651"/>
      <c r="AC651"/>
    </row>
    <row r="652" spans="21:29" ht="15">
      <c r="U652" s="234" t="s">
        <v>7878</v>
      </c>
      <c r="V652" t="str">
        <f t="shared" si="62"/>
        <v>09</v>
      </c>
      <c r="W652" t="str">
        <f t="shared" si="63"/>
        <v>07</v>
      </c>
      <c r="X652" t="str">
        <f t="shared" si="64"/>
        <v>21</v>
      </c>
      <c r="Y652" t="str">
        <f t="shared" si="65"/>
        <v>2021</v>
      </c>
      <c r="Z652"/>
      <c r="AA652" s="2">
        <f t="shared" si="66"/>
        <v>44386</v>
      </c>
      <c r="AB652"/>
      <c r="AC652"/>
    </row>
    <row r="653" spans="21:29" ht="15">
      <c r="U653" s="234" t="s">
        <v>7883</v>
      </c>
      <c r="V653" t="str">
        <f t="shared" si="62"/>
        <v>10</v>
      </c>
      <c r="W653" t="str">
        <f t="shared" si="63"/>
        <v>07</v>
      </c>
      <c r="X653" t="str">
        <f t="shared" si="64"/>
        <v>21</v>
      </c>
      <c r="Y653" t="str">
        <f t="shared" si="65"/>
        <v>2021</v>
      </c>
      <c r="Z653"/>
      <c r="AA653" s="2">
        <f t="shared" si="66"/>
        <v>44387</v>
      </c>
      <c r="AB653"/>
      <c r="AC653"/>
    </row>
    <row r="654" spans="21:29" ht="15">
      <c r="U654" s="234" t="s">
        <v>7885</v>
      </c>
      <c r="V654" t="str">
        <f t="shared" si="62"/>
        <v>13</v>
      </c>
      <c r="W654" t="str">
        <f t="shared" si="63"/>
        <v>07</v>
      </c>
      <c r="X654" t="str">
        <f t="shared" si="64"/>
        <v>21</v>
      </c>
      <c r="Y654" t="str">
        <f t="shared" si="65"/>
        <v>2021</v>
      </c>
      <c r="Z654"/>
      <c r="AA654" s="2">
        <f t="shared" si="66"/>
        <v>44390</v>
      </c>
      <c r="AB654"/>
      <c r="AC654"/>
    </row>
    <row r="655" spans="21:29" ht="15">
      <c r="U655" s="234" t="s">
        <v>7885</v>
      </c>
      <c r="V655" t="str">
        <f t="shared" si="62"/>
        <v>13</v>
      </c>
      <c r="W655" t="str">
        <f t="shared" si="63"/>
        <v>07</v>
      </c>
      <c r="X655" t="str">
        <f t="shared" si="64"/>
        <v>21</v>
      </c>
      <c r="Y655" t="str">
        <f t="shared" si="65"/>
        <v>2021</v>
      </c>
      <c r="Z655"/>
      <c r="AA655" s="2">
        <f t="shared" si="66"/>
        <v>44390</v>
      </c>
      <c r="AB655"/>
      <c r="AC655"/>
    </row>
    <row r="656" spans="21:29" ht="15">
      <c r="U656" s="234" t="s">
        <v>7885</v>
      </c>
      <c r="V656" t="str">
        <f t="shared" si="62"/>
        <v>13</v>
      </c>
      <c r="W656" t="str">
        <f t="shared" si="63"/>
        <v>07</v>
      </c>
      <c r="X656" t="str">
        <f t="shared" si="64"/>
        <v>21</v>
      </c>
      <c r="Y656" t="str">
        <f t="shared" si="65"/>
        <v>2021</v>
      </c>
      <c r="Z656"/>
      <c r="AA656" s="2">
        <f t="shared" si="66"/>
        <v>44390</v>
      </c>
      <c r="AB656"/>
      <c r="AC656"/>
    </row>
    <row r="657" spans="21:29" ht="15">
      <c r="U657" s="234" t="s">
        <v>7889</v>
      </c>
      <c r="V657" t="str">
        <f t="shared" si="62"/>
        <v>14</v>
      </c>
      <c r="W657" t="str">
        <f t="shared" si="63"/>
        <v>07</v>
      </c>
      <c r="X657" t="str">
        <f t="shared" si="64"/>
        <v>21</v>
      </c>
      <c r="Y657" t="str">
        <f t="shared" si="65"/>
        <v>2021</v>
      </c>
      <c r="Z657"/>
      <c r="AA657" s="2">
        <f t="shared" si="66"/>
        <v>44391</v>
      </c>
      <c r="AB657"/>
      <c r="AC657"/>
    </row>
    <row r="658" spans="21:29" ht="15">
      <c r="U658" s="234" t="s">
        <v>7891</v>
      </c>
      <c r="V658" t="str">
        <f t="shared" si="62"/>
        <v>15</v>
      </c>
      <c r="W658" t="str">
        <f t="shared" si="63"/>
        <v>07</v>
      </c>
      <c r="X658" t="str">
        <f t="shared" si="64"/>
        <v>21</v>
      </c>
      <c r="Y658" t="str">
        <f t="shared" si="65"/>
        <v>2021</v>
      </c>
      <c r="Z658"/>
      <c r="AA658" s="2">
        <f t="shared" si="66"/>
        <v>44392</v>
      </c>
      <c r="AB658"/>
      <c r="AC658"/>
    </row>
    <row r="659" spans="21:29" ht="15">
      <c r="U659" s="234" t="s">
        <v>7891</v>
      </c>
      <c r="V659" t="str">
        <f t="shared" si="62"/>
        <v>15</v>
      </c>
      <c r="W659" t="str">
        <f t="shared" si="63"/>
        <v>07</v>
      </c>
      <c r="X659" t="str">
        <f t="shared" si="64"/>
        <v>21</v>
      </c>
      <c r="Y659" t="str">
        <f t="shared" si="65"/>
        <v>2021</v>
      </c>
      <c r="Z659"/>
      <c r="AA659" s="2">
        <f t="shared" si="66"/>
        <v>44392</v>
      </c>
      <c r="AB659"/>
      <c r="AC659"/>
    </row>
    <row r="660" spans="21:29" ht="15">
      <c r="U660" s="234" t="s">
        <v>7894</v>
      </c>
      <c r="V660" t="str">
        <f t="shared" si="62"/>
        <v>16</v>
      </c>
      <c r="W660" t="str">
        <f t="shared" si="63"/>
        <v>07</v>
      </c>
      <c r="X660" t="str">
        <f t="shared" si="64"/>
        <v>21</v>
      </c>
      <c r="Y660" t="str">
        <f t="shared" si="65"/>
        <v>2021</v>
      </c>
      <c r="Z660"/>
      <c r="AA660" s="2">
        <f t="shared" si="66"/>
        <v>44393</v>
      </c>
      <c r="AB660"/>
      <c r="AC660"/>
    </row>
    <row r="661" spans="21:29" ht="15">
      <c r="U661" s="234" t="s">
        <v>7896</v>
      </c>
      <c r="V661" t="str">
        <f t="shared" si="62"/>
        <v>17</v>
      </c>
      <c r="W661" t="str">
        <f t="shared" si="63"/>
        <v>07</v>
      </c>
      <c r="X661" t="str">
        <f t="shared" si="64"/>
        <v>21</v>
      </c>
      <c r="Y661" t="str">
        <f t="shared" si="65"/>
        <v>2021</v>
      </c>
      <c r="Z661"/>
      <c r="AA661" s="2">
        <f t="shared" si="66"/>
        <v>44394</v>
      </c>
      <c r="AB661"/>
      <c r="AC661"/>
    </row>
    <row r="662" spans="21:29" ht="15">
      <c r="U662" s="234" t="s">
        <v>7898</v>
      </c>
      <c r="V662" t="str">
        <f t="shared" si="62"/>
        <v>18</v>
      </c>
      <c r="W662" t="str">
        <f t="shared" si="63"/>
        <v>07</v>
      </c>
      <c r="X662" t="str">
        <f t="shared" si="64"/>
        <v>21</v>
      </c>
      <c r="Y662" t="str">
        <f t="shared" si="65"/>
        <v>2021</v>
      </c>
      <c r="Z662"/>
      <c r="AA662" s="2">
        <f t="shared" si="66"/>
        <v>44395</v>
      </c>
      <c r="AB662"/>
      <c r="AC662"/>
    </row>
    <row r="663" spans="21:29" ht="15">
      <c r="U663" s="234" t="s">
        <v>7898</v>
      </c>
      <c r="V663" t="str">
        <f t="shared" si="62"/>
        <v>18</v>
      </c>
      <c r="W663" t="str">
        <f t="shared" si="63"/>
        <v>07</v>
      </c>
      <c r="X663" t="str">
        <f t="shared" si="64"/>
        <v>21</v>
      </c>
      <c r="Y663" t="str">
        <f t="shared" si="65"/>
        <v>2021</v>
      </c>
      <c r="Z663"/>
      <c r="AA663" s="2">
        <f t="shared" si="66"/>
        <v>44395</v>
      </c>
      <c r="AB663"/>
      <c r="AC663"/>
    </row>
    <row r="664" spans="21:29" ht="15">
      <c r="U664" s="234" t="s">
        <v>7898</v>
      </c>
      <c r="V664" t="str">
        <f t="shared" si="62"/>
        <v>18</v>
      </c>
      <c r="W664" t="str">
        <f t="shared" si="63"/>
        <v>07</v>
      </c>
      <c r="X664" t="str">
        <f t="shared" si="64"/>
        <v>21</v>
      </c>
      <c r="Y664" t="str">
        <f t="shared" si="65"/>
        <v>2021</v>
      </c>
      <c r="Z664"/>
      <c r="AA664" s="2">
        <f t="shared" si="66"/>
        <v>44395</v>
      </c>
      <c r="AB664"/>
      <c r="AC664"/>
    </row>
    <row r="665" spans="21:29" ht="15">
      <c r="U665" s="234" t="s">
        <v>7898</v>
      </c>
      <c r="V665" t="str">
        <f t="shared" si="62"/>
        <v>18</v>
      </c>
      <c r="W665" t="str">
        <f t="shared" si="63"/>
        <v>07</v>
      </c>
      <c r="X665" t="str">
        <f t="shared" si="64"/>
        <v>21</v>
      </c>
      <c r="Y665" t="str">
        <f t="shared" si="65"/>
        <v>2021</v>
      </c>
      <c r="Z665"/>
      <c r="AA665" s="2">
        <f t="shared" si="66"/>
        <v>44395</v>
      </c>
      <c r="AB665"/>
      <c r="AC665"/>
    </row>
    <row r="666" spans="21:29" ht="15">
      <c r="U666" s="234" t="s">
        <v>7898</v>
      </c>
      <c r="V666" t="str">
        <f t="shared" si="62"/>
        <v>18</v>
      </c>
      <c r="W666" t="str">
        <f t="shared" si="63"/>
        <v>07</v>
      </c>
      <c r="X666" t="str">
        <f t="shared" si="64"/>
        <v>21</v>
      </c>
      <c r="Y666" t="str">
        <f t="shared" si="65"/>
        <v>2021</v>
      </c>
      <c r="Z666"/>
      <c r="AA666" s="2">
        <f t="shared" si="66"/>
        <v>44395</v>
      </c>
      <c r="AB666"/>
      <c r="AC666"/>
    </row>
    <row r="667" spans="21:29" ht="15">
      <c r="U667" s="234" t="s">
        <v>7904</v>
      </c>
      <c r="V667" t="str">
        <f t="shared" si="62"/>
        <v>19</v>
      </c>
      <c r="W667" t="str">
        <f t="shared" si="63"/>
        <v>07</v>
      </c>
      <c r="X667" t="str">
        <f t="shared" si="64"/>
        <v>21</v>
      </c>
      <c r="Y667" t="str">
        <f t="shared" si="65"/>
        <v>2021</v>
      </c>
      <c r="Z667"/>
      <c r="AA667" s="2">
        <f t="shared" si="66"/>
        <v>44396</v>
      </c>
      <c r="AB667"/>
      <c r="AC667"/>
    </row>
    <row r="668" spans="21:29" ht="15">
      <c r="U668" s="234" t="s">
        <v>7906</v>
      </c>
      <c r="V668" t="str">
        <f t="shared" si="62"/>
        <v>20</v>
      </c>
      <c r="W668" t="str">
        <f t="shared" si="63"/>
        <v>07</v>
      </c>
      <c r="X668" t="str">
        <f t="shared" si="64"/>
        <v>21</v>
      </c>
      <c r="Y668" t="str">
        <f t="shared" si="65"/>
        <v>2021</v>
      </c>
      <c r="Z668"/>
      <c r="AA668" s="2">
        <f t="shared" si="66"/>
        <v>44397</v>
      </c>
      <c r="AB668"/>
      <c r="AC668"/>
    </row>
    <row r="669" spans="21:29" ht="15">
      <c r="U669" s="234" t="s">
        <v>7908</v>
      </c>
      <c r="V669" t="str">
        <f t="shared" si="62"/>
        <v>21</v>
      </c>
      <c r="W669" t="str">
        <f t="shared" si="63"/>
        <v>07</v>
      </c>
      <c r="X669" t="str">
        <f t="shared" si="64"/>
        <v>21</v>
      </c>
      <c r="Y669" t="str">
        <f t="shared" si="65"/>
        <v>2021</v>
      </c>
      <c r="Z669"/>
      <c r="AA669" s="2">
        <f t="shared" si="66"/>
        <v>44398</v>
      </c>
      <c r="AB669"/>
      <c r="AC669"/>
    </row>
    <row r="670" spans="21:29" ht="15">
      <c r="U670" s="234" t="s">
        <v>7908</v>
      </c>
      <c r="V670" t="str">
        <f t="shared" si="62"/>
        <v>21</v>
      </c>
      <c r="W670" t="str">
        <f t="shared" si="63"/>
        <v>07</v>
      </c>
      <c r="X670" t="str">
        <f t="shared" si="64"/>
        <v>21</v>
      </c>
      <c r="Y670" t="str">
        <f t="shared" si="65"/>
        <v>2021</v>
      </c>
      <c r="Z670"/>
      <c r="AA670" s="2">
        <f t="shared" si="66"/>
        <v>44398</v>
      </c>
      <c r="AB670"/>
      <c r="AC670"/>
    </row>
    <row r="671" spans="21:29" ht="15">
      <c r="U671" s="234" t="s">
        <v>7908</v>
      </c>
      <c r="V671" t="str">
        <f t="shared" si="62"/>
        <v>21</v>
      </c>
      <c r="W671" t="str">
        <f t="shared" si="63"/>
        <v>07</v>
      </c>
      <c r="X671" t="str">
        <f t="shared" si="64"/>
        <v>21</v>
      </c>
      <c r="Y671" t="str">
        <f t="shared" si="65"/>
        <v>2021</v>
      </c>
      <c r="Z671"/>
      <c r="AA671" s="2">
        <f t="shared" si="66"/>
        <v>44398</v>
      </c>
      <c r="AB671"/>
      <c r="AC671"/>
    </row>
    <row r="672" spans="21:29" ht="15">
      <c r="U672" s="234" t="s">
        <v>7912</v>
      </c>
      <c r="V672" t="str">
        <f t="shared" si="62"/>
        <v>22</v>
      </c>
      <c r="W672" t="str">
        <f t="shared" si="63"/>
        <v>07</v>
      </c>
      <c r="X672" t="str">
        <f t="shared" si="64"/>
        <v>21</v>
      </c>
      <c r="Y672" t="str">
        <f t="shared" si="65"/>
        <v>2021</v>
      </c>
      <c r="Z672"/>
      <c r="AA672" s="2">
        <f t="shared" si="66"/>
        <v>44399</v>
      </c>
      <c r="AB672"/>
      <c r="AC672"/>
    </row>
    <row r="673" spans="21:29" ht="15">
      <c r="U673" s="234" t="s">
        <v>7912</v>
      </c>
      <c r="V673" t="str">
        <f t="shared" si="62"/>
        <v>22</v>
      </c>
      <c r="W673" t="str">
        <f t="shared" si="63"/>
        <v>07</v>
      </c>
      <c r="X673" t="str">
        <f t="shared" si="64"/>
        <v>21</v>
      </c>
      <c r="Y673" t="str">
        <f t="shared" si="65"/>
        <v>2021</v>
      </c>
      <c r="Z673"/>
      <c r="AA673" s="2">
        <f t="shared" si="66"/>
        <v>44399</v>
      </c>
      <c r="AB673"/>
      <c r="AC673"/>
    </row>
    <row r="674" spans="21:29" ht="15">
      <c r="U674" s="234" t="s">
        <v>7915</v>
      </c>
      <c r="V674" t="str">
        <f t="shared" si="62"/>
        <v>24</v>
      </c>
      <c r="W674" t="str">
        <f t="shared" si="63"/>
        <v>07</v>
      </c>
      <c r="X674" t="str">
        <f t="shared" si="64"/>
        <v>21</v>
      </c>
      <c r="Y674" t="str">
        <f t="shared" si="65"/>
        <v>2021</v>
      </c>
      <c r="Z674"/>
      <c r="AA674" s="2">
        <f t="shared" si="66"/>
        <v>44401</v>
      </c>
      <c r="AB674"/>
      <c r="AC674"/>
    </row>
    <row r="675" spans="21:29" ht="15">
      <c r="U675" s="234" t="s">
        <v>7917</v>
      </c>
      <c r="V675" t="str">
        <f t="shared" si="62"/>
        <v>25</v>
      </c>
      <c r="W675" t="str">
        <f t="shared" si="63"/>
        <v>07</v>
      </c>
      <c r="X675" t="str">
        <f t="shared" si="64"/>
        <v>21</v>
      </c>
      <c r="Y675" t="str">
        <f t="shared" si="65"/>
        <v>2021</v>
      </c>
      <c r="Z675"/>
      <c r="AA675" s="2">
        <f t="shared" si="66"/>
        <v>44402</v>
      </c>
      <c r="AB675"/>
      <c r="AC675"/>
    </row>
    <row r="676" spans="21:29" ht="15">
      <c r="U676" s="234" t="s">
        <v>7919</v>
      </c>
      <c r="V676" t="str">
        <f t="shared" si="62"/>
        <v>26</v>
      </c>
      <c r="W676" t="str">
        <f t="shared" si="63"/>
        <v>07</v>
      </c>
      <c r="X676" t="str">
        <f t="shared" si="64"/>
        <v>21</v>
      </c>
      <c r="Y676" t="str">
        <f t="shared" si="65"/>
        <v>2021</v>
      </c>
      <c r="Z676"/>
      <c r="AA676" s="2">
        <f t="shared" si="66"/>
        <v>44403</v>
      </c>
      <c r="AB676"/>
      <c r="AC676"/>
    </row>
    <row r="677" spans="21:29" ht="15">
      <c r="U677" s="234" t="s">
        <v>7921</v>
      </c>
      <c r="V677" t="str">
        <f t="shared" si="62"/>
        <v>29</v>
      </c>
      <c r="W677" t="str">
        <f t="shared" si="63"/>
        <v>07</v>
      </c>
      <c r="X677" t="str">
        <f t="shared" si="64"/>
        <v>21</v>
      </c>
      <c r="Y677" t="str">
        <f t="shared" si="65"/>
        <v>2021</v>
      </c>
      <c r="Z677"/>
      <c r="AA677" s="2">
        <f t="shared" si="66"/>
        <v>44406</v>
      </c>
      <c r="AB677"/>
      <c r="AC677"/>
    </row>
    <row r="678" spans="21:29" ht="15">
      <c r="U678" s="234" t="s">
        <v>7921</v>
      </c>
      <c r="V678" t="str">
        <f t="shared" si="62"/>
        <v>29</v>
      </c>
      <c r="W678" t="str">
        <f t="shared" si="63"/>
        <v>07</v>
      </c>
      <c r="X678" t="str">
        <f t="shared" si="64"/>
        <v>21</v>
      </c>
      <c r="Y678" t="str">
        <f t="shared" si="65"/>
        <v>2021</v>
      </c>
      <c r="Z678"/>
      <c r="AA678" s="2">
        <f t="shared" si="66"/>
        <v>44406</v>
      </c>
      <c r="AB678"/>
      <c r="AC678"/>
    </row>
    <row r="679" spans="21:29" ht="15">
      <c r="U679" s="234" t="s">
        <v>7921</v>
      </c>
      <c r="V679" t="str">
        <f t="shared" si="62"/>
        <v>29</v>
      </c>
      <c r="W679" t="str">
        <f t="shared" si="63"/>
        <v>07</v>
      </c>
      <c r="X679" t="str">
        <f t="shared" si="64"/>
        <v>21</v>
      </c>
      <c r="Y679" t="str">
        <f t="shared" si="65"/>
        <v>2021</v>
      </c>
      <c r="Z679"/>
      <c r="AA679" s="2">
        <f t="shared" si="66"/>
        <v>44406</v>
      </c>
      <c r="AB679"/>
      <c r="AC679"/>
    </row>
    <row r="680" spans="21:29" ht="15">
      <c r="U680" s="234" t="s">
        <v>7925</v>
      </c>
      <c r="V680" t="str">
        <f t="shared" si="62"/>
        <v>01</v>
      </c>
      <c r="W680" t="str">
        <f t="shared" si="63"/>
        <v>08</v>
      </c>
      <c r="X680" t="str">
        <f t="shared" si="64"/>
        <v>21</v>
      </c>
      <c r="Y680" t="str">
        <f t="shared" si="65"/>
        <v>2021</v>
      </c>
      <c r="Z680"/>
      <c r="AA680" s="2">
        <f t="shared" si="66"/>
        <v>44409</v>
      </c>
      <c r="AB680"/>
      <c r="AC680"/>
    </row>
    <row r="681" spans="21:29" ht="15">
      <c r="U681" s="234" t="s">
        <v>7925</v>
      </c>
      <c r="V681" t="str">
        <f t="shared" si="62"/>
        <v>01</v>
      </c>
      <c r="W681" t="str">
        <f t="shared" si="63"/>
        <v>08</v>
      </c>
      <c r="X681" t="str">
        <f t="shared" si="64"/>
        <v>21</v>
      </c>
      <c r="Y681" t="str">
        <f t="shared" si="65"/>
        <v>2021</v>
      </c>
      <c r="Z681"/>
      <c r="AA681" s="2">
        <f t="shared" si="66"/>
        <v>44409</v>
      </c>
      <c r="AB681"/>
      <c r="AC681"/>
    </row>
    <row r="682" spans="21:29" ht="15">
      <c r="U682" s="234" t="s">
        <v>7925</v>
      </c>
      <c r="V682" t="str">
        <f t="shared" si="62"/>
        <v>01</v>
      </c>
      <c r="W682" t="str">
        <f t="shared" si="63"/>
        <v>08</v>
      </c>
      <c r="X682" t="str">
        <f t="shared" si="64"/>
        <v>21</v>
      </c>
      <c r="Y682" t="str">
        <f t="shared" si="65"/>
        <v>2021</v>
      </c>
      <c r="Z682"/>
      <c r="AA682" s="2">
        <f t="shared" si="66"/>
        <v>44409</v>
      </c>
      <c r="AB682"/>
      <c r="AC682"/>
    </row>
    <row r="683" spans="21:29" ht="15">
      <c r="U683" s="234" t="s">
        <v>7925</v>
      </c>
      <c r="V683" t="str">
        <f t="shared" si="62"/>
        <v>01</v>
      </c>
      <c r="W683" t="str">
        <f t="shared" si="63"/>
        <v>08</v>
      </c>
      <c r="X683" t="str">
        <f t="shared" si="64"/>
        <v>21</v>
      </c>
      <c r="Y683" t="str">
        <f t="shared" si="65"/>
        <v>2021</v>
      </c>
      <c r="Z683"/>
      <c r="AA683" s="2">
        <f t="shared" si="66"/>
        <v>44409</v>
      </c>
      <c r="AB683"/>
      <c r="AC683"/>
    </row>
    <row r="684" spans="21:29" ht="15">
      <c r="U684" s="234" t="s">
        <v>7925</v>
      </c>
      <c r="V684" t="str">
        <f t="shared" si="62"/>
        <v>01</v>
      </c>
      <c r="W684" t="str">
        <f t="shared" si="63"/>
        <v>08</v>
      </c>
      <c r="X684" t="str">
        <f t="shared" si="64"/>
        <v>21</v>
      </c>
      <c r="Y684" t="str">
        <f t="shared" si="65"/>
        <v>2021</v>
      </c>
      <c r="Z684"/>
      <c r="AA684" s="2">
        <f t="shared" si="66"/>
        <v>44409</v>
      </c>
      <c r="AB684"/>
      <c r="AC684"/>
    </row>
    <row r="685" spans="21:29" ht="15">
      <c r="U685" s="234" t="s">
        <v>7925</v>
      </c>
      <c r="V685" t="str">
        <f t="shared" si="62"/>
        <v>01</v>
      </c>
      <c r="W685" t="str">
        <f t="shared" si="63"/>
        <v>08</v>
      </c>
      <c r="X685" t="str">
        <f t="shared" si="64"/>
        <v>21</v>
      </c>
      <c r="Y685" t="str">
        <f t="shared" si="65"/>
        <v>2021</v>
      </c>
      <c r="Z685"/>
      <c r="AA685" s="2">
        <f t="shared" si="66"/>
        <v>44409</v>
      </c>
      <c r="AB685"/>
      <c r="AC685"/>
    </row>
    <row r="686" spans="21:29" ht="15">
      <c r="U686" s="234" t="s">
        <v>7925</v>
      </c>
      <c r="V686" t="str">
        <f t="shared" si="62"/>
        <v>01</v>
      </c>
      <c r="W686" t="str">
        <f t="shared" si="63"/>
        <v>08</v>
      </c>
      <c r="X686" t="str">
        <f t="shared" si="64"/>
        <v>21</v>
      </c>
      <c r="Y686" t="str">
        <f t="shared" si="65"/>
        <v>2021</v>
      </c>
      <c r="Z686"/>
      <c r="AA686" s="2">
        <f t="shared" si="66"/>
        <v>44409</v>
      </c>
      <c r="AB686"/>
      <c r="AC686"/>
    </row>
    <row r="687" spans="21:29" ht="15">
      <c r="U687" s="234" t="s">
        <v>7933</v>
      </c>
      <c r="V687" t="str">
        <f t="shared" si="62"/>
        <v>02</v>
      </c>
      <c r="W687" t="str">
        <f t="shared" si="63"/>
        <v>08</v>
      </c>
      <c r="X687" t="str">
        <f t="shared" si="64"/>
        <v>21</v>
      </c>
      <c r="Y687" t="str">
        <f t="shared" si="65"/>
        <v>2021</v>
      </c>
      <c r="Z687"/>
      <c r="AA687" s="2">
        <f t="shared" si="66"/>
        <v>44410</v>
      </c>
      <c r="AB687"/>
      <c r="AC687"/>
    </row>
    <row r="688" spans="21:29" ht="15">
      <c r="U688" s="234" t="s">
        <v>7933</v>
      </c>
      <c r="V688" t="str">
        <f t="shared" si="62"/>
        <v>02</v>
      </c>
      <c r="W688" t="str">
        <f t="shared" si="63"/>
        <v>08</v>
      </c>
      <c r="X688" t="str">
        <f t="shared" si="64"/>
        <v>21</v>
      </c>
      <c r="Y688" t="str">
        <f t="shared" si="65"/>
        <v>2021</v>
      </c>
      <c r="Z688"/>
      <c r="AA688" s="2">
        <f t="shared" si="66"/>
        <v>44410</v>
      </c>
      <c r="AB688"/>
      <c r="AC688"/>
    </row>
    <row r="689" spans="21:29" ht="15">
      <c r="U689" s="234" t="s">
        <v>7936</v>
      </c>
      <c r="V689" t="str">
        <f t="shared" si="62"/>
        <v>03</v>
      </c>
      <c r="W689" t="str">
        <f t="shared" si="63"/>
        <v>08</v>
      </c>
      <c r="X689" t="str">
        <f t="shared" si="64"/>
        <v>21</v>
      </c>
      <c r="Y689" t="str">
        <f t="shared" si="65"/>
        <v>2021</v>
      </c>
      <c r="Z689"/>
      <c r="AA689" s="2">
        <f t="shared" si="66"/>
        <v>44411</v>
      </c>
      <c r="AB689"/>
      <c r="AC689"/>
    </row>
    <row r="690" spans="21:29" ht="15">
      <c r="U690" s="234" t="s">
        <v>7936</v>
      </c>
      <c r="V690" t="str">
        <f t="shared" si="62"/>
        <v>03</v>
      </c>
      <c r="W690" t="str">
        <f t="shared" si="63"/>
        <v>08</v>
      </c>
      <c r="X690" t="str">
        <f t="shared" si="64"/>
        <v>21</v>
      </c>
      <c r="Y690" t="str">
        <f t="shared" si="65"/>
        <v>2021</v>
      </c>
      <c r="Z690"/>
      <c r="AA690" s="2">
        <f t="shared" si="66"/>
        <v>44411</v>
      </c>
      <c r="AB690"/>
      <c r="AC690"/>
    </row>
    <row r="691" spans="21:29" ht="15">
      <c r="U691" s="234" t="s">
        <v>7939</v>
      </c>
      <c r="V691" t="str">
        <f t="shared" si="62"/>
        <v>04</v>
      </c>
      <c r="W691" t="str">
        <f t="shared" si="63"/>
        <v>08</v>
      </c>
      <c r="X691" t="str">
        <f t="shared" si="64"/>
        <v>21</v>
      </c>
      <c r="Y691" t="str">
        <f t="shared" si="65"/>
        <v>2021</v>
      </c>
      <c r="Z691"/>
      <c r="AA691" s="2">
        <f t="shared" si="66"/>
        <v>44412</v>
      </c>
      <c r="AB691"/>
      <c r="AC691"/>
    </row>
    <row r="692" spans="21:29" ht="15">
      <c r="U692" s="234" t="s">
        <v>7939</v>
      </c>
      <c r="V692" t="str">
        <f t="shared" si="62"/>
        <v>04</v>
      </c>
      <c r="W692" t="str">
        <f t="shared" si="63"/>
        <v>08</v>
      </c>
      <c r="X692" t="str">
        <f t="shared" si="64"/>
        <v>21</v>
      </c>
      <c r="Y692" t="str">
        <f t="shared" si="65"/>
        <v>2021</v>
      </c>
      <c r="Z692"/>
      <c r="AA692" s="2">
        <f t="shared" si="66"/>
        <v>44412</v>
      </c>
      <c r="AB692"/>
      <c r="AC692"/>
    </row>
    <row r="693" spans="21:29" ht="15">
      <c r="U693" s="234" t="s">
        <v>7939</v>
      </c>
      <c r="V693" t="str">
        <f t="shared" si="62"/>
        <v>04</v>
      </c>
      <c r="W693" t="str">
        <f t="shared" si="63"/>
        <v>08</v>
      </c>
      <c r="X693" t="str">
        <f t="shared" si="64"/>
        <v>21</v>
      </c>
      <c r="Y693" t="str">
        <f t="shared" si="65"/>
        <v>2021</v>
      </c>
      <c r="Z693"/>
      <c r="AA693" s="2">
        <f t="shared" si="66"/>
        <v>44412</v>
      </c>
      <c r="AB693"/>
      <c r="AC693"/>
    </row>
    <row r="694" spans="21:29" ht="15">
      <c r="U694" s="234" t="s">
        <v>7942</v>
      </c>
      <c r="V694" t="str">
        <f t="shared" si="62"/>
        <v>05</v>
      </c>
      <c r="W694" t="str">
        <f t="shared" si="63"/>
        <v>08</v>
      </c>
      <c r="X694" t="str">
        <f t="shared" si="64"/>
        <v>21</v>
      </c>
      <c r="Y694" t="str">
        <f t="shared" si="65"/>
        <v>2021</v>
      </c>
      <c r="Z694"/>
      <c r="AA694" s="2">
        <f t="shared" si="66"/>
        <v>44413</v>
      </c>
      <c r="AB694"/>
      <c r="AC694"/>
    </row>
    <row r="695" spans="21:29" ht="15">
      <c r="U695" s="234" t="s">
        <v>7942</v>
      </c>
      <c r="V695" t="str">
        <f t="shared" si="62"/>
        <v>05</v>
      </c>
      <c r="W695" t="str">
        <f t="shared" si="63"/>
        <v>08</v>
      </c>
      <c r="X695" t="str">
        <f t="shared" si="64"/>
        <v>21</v>
      </c>
      <c r="Y695" t="str">
        <f t="shared" si="65"/>
        <v>2021</v>
      </c>
      <c r="Z695"/>
      <c r="AA695" s="2">
        <f t="shared" si="66"/>
        <v>44413</v>
      </c>
      <c r="AB695"/>
      <c r="AC695"/>
    </row>
    <row r="696" spans="21:29" ht="15">
      <c r="U696" s="234" t="s">
        <v>7942</v>
      </c>
      <c r="V696" t="str">
        <f t="shared" si="62"/>
        <v>05</v>
      </c>
      <c r="W696" t="str">
        <f t="shared" si="63"/>
        <v>08</v>
      </c>
      <c r="X696" t="str">
        <f t="shared" si="64"/>
        <v>21</v>
      </c>
      <c r="Y696" t="str">
        <f t="shared" si="65"/>
        <v>2021</v>
      </c>
      <c r="Z696"/>
      <c r="AA696" s="2">
        <f t="shared" si="66"/>
        <v>44413</v>
      </c>
      <c r="AB696"/>
      <c r="AC696"/>
    </row>
    <row r="697" spans="21:29" ht="15">
      <c r="U697" s="234" t="s">
        <v>7942</v>
      </c>
      <c r="V697" t="str">
        <f t="shared" si="62"/>
        <v>05</v>
      </c>
      <c r="W697" t="str">
        <f t="shared" si="63"/>
        <v>08</v>
      </c>
      <c r="X697" t="str">
        <f t="shared" si="64"/>
        <v>21</v>
      </c>
      <c r="Y697" t="str">
        <f t="shared" si="65"/>
        <v>2021</v>
      </c>
      <c r="Z697"/>
      <c r="AA697" s="2">
        <f t="shared" si="66"/>
        <v>44413</v>
      </c>
      <c r="AB697"/>
      <c r="AC697"/>
    </row>
    <row r="698" spans="21:29" ht="15">
      <c r="U698" s="234" t="s">
        <v>7947</v>
      </c>
      <c r="V698" t="str">
        <f t="shared" si="62"/>
        <v>06</v>
      </c>
      <c r="W698" t="str">
        <f t="shared" si="63"/>
        <v>08</v>
      </c>
      <c r="X698" t="str">
        <f t="shared" si="64"/>
        <v>21</v>
      </c>
      <c r="Y698" t="str">
        <f t="shared" si="65"/>
        <v>2021</v>
      </c>
      <c r="Z698"/>
      <c r="AA698" s="2">
        <f t="shared" si="66"/>
        <v>44414</v>
      </c>
      <c r="AB698"/>
      <c r="AC698"/>
    </row>
    <row r="699" spans="21:29" ht="15">
      <c r="U699" s="234" t="s">
        <v>7949</v>
      </c>
      <c r="V699" t="str">
        <f t="shared" si="62"/>
        <v>09</v>
      </c>
      <c r="W699" t="str">
        <f t="shared" si="63"/>
        <v>08</v>
      </c>
      <c r="X699" t="str">
        <f t="shared" si="64"/>
        <v>21</v>
      </c>
      <c r="Y699" t="str">
        <f t="shared" si="65"/>
        <v>2021</v>
      </c>
      <c r="Z699"/>
      <c r="AA699" s="2">
        <f t="shared" si="66"/>
        <v>44417</v>
      </c>
      <c r="AB699"/>
      <c r="AC699"/>
    </row>
    <row r="700" spans="21:29" ht="15">
      <c r="U700" s="234" t="s">
        <v>7949</v>
      </c>
      <c r="V700" t="str">
        <f t="shared" si="62"/>
        <v>09</v>
      </c>
      <c r="W700" t="str">
        <f t="shared" si="63"/>
        <v>08</v>
      </c>
      <c r="X700" t="str">
        <f t="shared" si="64"/>
        <v>21</v>
      </c>
      <c r="Y700" t="str">
        <f t="shared" si="65"/>
        <v>2021</v>
      </c>
      <c r="Z700"/>
      <c r="AA700" s="2">
        <f t="shared" si="66"/>
        <v>44417</v>
      </c>
      <c r="AB700"/>
      <c r="AC700"/>
    </row>
    <row r="701" spans="21:29" ht="15">
      <c r="U701" s="234" t="s">
        <v>7949</v>
      </c>
      <c r="V701" t="str">
        <f t="shared" si="62"/>
        <v>09</v>
      </c>
      <c r="W701" t="str">
        <f t="shared" si="63"/>
        <v>08</v>
      </c>
      <c r="X701" t="str">
        <f t="shared" si="64"/>
        <v>21</v>
      </c>
      <c r="Y701" t="str">
        <f t="shared" si="65"/>
        <v>2021</v>
      </c>
      <c r="Z701"/>
      <c r="AA701" s="2">
        <f t="shared" si="66"/>
        <v>44417</v>
      </c>
      <c r="AB701"/>
      <c r="AC701"/>
    </row>
    <row r="702" spans="21:29" ht="15">
      <c r="U702" s="234" t="s">
        <v>7949</v>
      </c>
      <c r="V702" t="str">
        <f t="shared" si="62"/>
        <v>09</v>
      </c>
      <c r="W702" t="str">
        <f t="shared" si="63"/>
        <v>08</v>
      </c>
      <c r="X702" t="str">
        <f t="shared" si="64"/>
        <v>21</v>
      </c>
      <c r="Y702" t="str">
        <f t="shared" si="65"/>
        <v>2021</v>
      </c>
      <c r="Z702"/>
      <c r="AA702" s="2">
        <f t="shared" si="66"/>
        <v>44417</v>
      </c>
      <c r="AB702"/>
      <c r="AC702"/>
    </row>
    <row r="703" spans="21:29" ht="15">
      <c r="U703" s="234" t="s">
        <v>7954</v>
      </c>
      <c r="V703" t="str">
        <f t="shared" si="62"/>
        <v>11</v>
      </c>
      <c r="W703" t="str">
        <f t="shared" si="63"/>
        <v>08</v>
      </c>
      <c r="X703" t="str">
        <f t="shared" si="64"/>
        <v>21</v>
      </c>
      <c r="Y703" t="str">
        <f t="shared" si="65"/>
        <v>2021</v>
      </c>
      <c r="Z703"/>
      <c r="AA703" s="2">
        <f t="shared" si="66"/>
        <v>44419</v>
      </c>
      <c r="AB703"/>
      <c r="AC703"/>
    </row>
    <row r="704" spans="21:29" ht="15">
      <c r="U704" s="234" t="s">
        <v>7956</v>
      </c>
      <c r="V704" t="str">
        <f t="shared" si="62"/>
        <v>12</v>
      </c>
      <c r="W704" t="str">
        <f t="shared" si="63"/>
        <v>08</v>
      </c>
      <c r="X704" t="str">
        <f t="shared" si="64"/>
        <v>21</v>
      </c>
      <c r="Y704" t="str">
        <f t="shared" si="65"/>
        <v>2021</v>
      </c>
      <c r="Z704"/>
      <c r="AA704" s="2">
        <f t="shared" si="66"/>
        <v>44420</v>
      </c>
      <c r="AB704"/>
      <c r="AC704"/>
    </row>
    <row r="705" spans="21:29" ht="15">
      <c r="U705" s="234" t="s">
        <v>7958</v>
      </c>
      <c r="V705" t="str">
        <f t="shared" si="62"/>
        <v>14</v>
      </c>
      <c r="W705" t="str">
        <f t="shared" si="63"/>
        <v>08</v>
      </c>
      <c r="X705" t="str">
        <f t="shared" si="64"/>
        <v>21</v>
      </c>
      <c r="Y705" t="str">
        <f t="shared" si="65"/>
        <v>2021</v>
      </c>
      <c r="Z705"/>
      <c r="AA705" s="2">
        <f t="shared" si="66"/>
        <v>44422</v>
      </c>
      <c r="AB705"/>
      <c r="AC705"/>
    </row>
    <row r="706" spans="21:29" ht="15">
      <c r="U706" s="234" t="s">
        <v>7958</v>
      </c>
      <c r="V706" t="str">
        <f t="shared" si="62"/>
        <v>14</v>
      </c>
      <c r="W706" t="str">
        <f t="shared" si="63"/>
        <v>08</v>
      </c>
      <c r="X706" t="str">
        <f t="shared" si="64"/>
        <v>21</v>
      </c>
      <c r="Y706" t="str">
        <f t="shared" si="65"/>
        <v>2021</v>
      </c>
      <c r="Z706"/>
      <c r="AA706" s="2">
        <f t="shared" si="66"/>
        <v>44422</v>
      </c>
      <c r="AB706"/>
      <c r="AC706"/>
    </row>
    <row r="707" spans="21:29" ht="15">
      <c r="U707" s="234" t="s">
        <v>7958</v>
      </c>
      <c r="V707" t="str">
        <f t="shared" ref="V707:V770" si="67">LEFT(U707,2)</f>
        <v>14</v>
      </c>
      <c r="W707" t="str">
        <f t="shared" ref="W707:W770" si="68">MID(U707,4,2)</f>
        <v>08</v>
      </c>
      <c r="X707" t="str">
        <f t="shared" ref="X707:X770" si="69">RIGHT(U707,2)</f>
        <v>21</v>
      </c>
      <c r="Y707" t="str">
        <f t="shared" ref="Y707:Y770" si="70">"20" &amp; X707</f>
        <v>2021</v>
      </c>
      <c r="Z707"/>
      <c r="AA707" s="2">
        <f t="shared" ref="AA707:AA770" si="71">DATE(Y707,W707,V707)</f>
        <v>44422</v>
      </c>
      <c r="AB707"/>
      <c r="AC707"/>
    </row>
    <row r="708" spans="21:29" ht="15">
      <c r="U708" s="234" t="s">
        <v>7962</v>
      </c>
      <c r="V708" t="str">
        <f t="shared" si="67"/>
        <v>19</v>
      </c>
      <c r="W708" t="str">
        <f t="shared" si="68"/>
        <v>08</v>
      </c>
      <c r="X708" t="str">
        <f t="shared" si="69"/>
        <v>21</v>
      </c>
      <c r="Y708" t="str">
        <f t="shared" si="70"/>
        <v>2021</v>
      </c>
      <c r="Z708"/>
      <c r="AA708" s="2">
        <f t="shared" si="71"/>
        <v>44427</v>
      </c>
      <c r="AB708"/>
      <c r="AC708"/>
    </row>
    <row r="709" spans="21:29" ht="15">
      <c r="U709" s="234" t="s">
        <v>7962</v>
      </c>
      <c r="V709" t="str">
        <f t="shared" si="67"/>
        <v>19</v>
      </c>
      <c r="W709" t="str">
        <f t="shared" si="68"/>
        <v>08</v>
      </c>
      <c r="X709" t="str">
        <f t="shared" si="69"/>
        <v>21</v>
      </c>
      <c r="Y709" t="str">
        <f t="shared" si="70"/>
        <v>2021</v>
      </c>
      <c r="Z709"/>
      <c r="AA709" s="2">
        <f t="shared" si="71"/>
        <v>44427</v>
      </c>
      <c r="AB709"/>
      <c r="AC709"/>
    </row>
    <row r="710" spans="21:29" ht="15">
      <c r="U710" s="234" t="s">
        <v>7965</v>
      </c>
      <c r="V710" t="str">
        <f t="shared" si="67"/>
        <v>21</v>
      </c>
      <c r="W710" t="str">
        <f t="shared" si="68"/>
        <v>08</v>
      </c>
      <c r="X710" t="str">
        <f t="shared" si="69"/>
        <v>21</v>
      </c>
      <c r="Y710" t="str">
        <f t="shared" si="70"/>
        <v>2021</v>
      </c>
      <c r="Z710"/>
      <c r="AA710" s="2">
        <f t="shared" si="71"/>
        <v>44429</v>
      </c>
      <c r="AB710"/>
      <c r="AC710"/>
    </row>
    <row r="711" spans="21:29" ht="15">
      <c r="U711" s="234" t="s">
        <v>7965</v>
      </c>
      <c r="V711" t="str">
        <f t="shared" si="67"/>
        <v>21</v>
      </c>
      <c r="W711" t="str">
        <f t="shared" si="68"/>
        <v>08</v>
      </c>
      <c r="X711" t="str">
        <f t="shared" si="69"/>
        <v>21</v>
      </c>
      <c r="Y711" t="str">
        <f t="shared" si="70"/>
        <v>2021</v>
      </c>
      <c r="Z711"/>
      <c r="AA711" s="2">
        <f t="shared" si="71"/>
        <v>44429</v>
      </c>
      <c r="AB711"/>
      <c r="AC711"/>
    </row>
    <row r="712" spans="21:29" ht="15">
      <c r="U712" s="234" t="s">
        <v>7968</v>
      </c>
      <c r="V712" t="str">
        <f t="shared" si="67"/>
        <v>22</v>
      </c>
      <c r="W712" t="str">
        <f t="shared" si="68"/>
        <v>08</v>
      </c>
      <c r="X712" t="str">
        <f t="shared" si="69"/>
        <v>21</v>
      </c>
      <c r="Y712" t="str">
        <f t="shared" si="70"/>
        <v>2021</v>
      </c>
      <c r="Z712"/>
      <c r="AA712" s="2">
        <f t="shared" si="71"/>
        <v>44430</v>
      </c>
      <c r="AB712"/>
      <c r="AC712"/>
    </row>
    <row r="713" spans="21:29" ht="15">
      <c r="U713" s="234" t="s">
        <v>7970</v>
      </c>
      <c r="V713" t="str">
        <f t="shared" si="67"/>
        <v>26</v>
      </c>
      <c r="W713" t="str">
        <f t="shared" si="68"/>
        <v>08</v>
      </c>
      <c r="X713" t="str">
        <f t="shared" si="69"/>
        <v>21</v>
      </c>
      <c r="Y713" t="str">
        <f t="shared" si="70"/>
        <v>2021</v>
      </c>
      <c r="Z713"/>
      <c r="AA713" s="2">
        <f t="shared" si="71"/>
        <v>44434</v>
      </c>
      <c r="AB713"/>
      <c r="AC713"/>
    </row>
    <row r="714" spans="21:29" ht="15">
      <c r="U714" s="234" t="s">
        <v>7970</v>
      </c>
      <c r="V714" t="str">
        <f t="shared" si="67"/>
        <v>26</v>
      </c>
      <c r="W714" t="str">
        <f t="shared" si="68"/>
        <v>08</v>
      </c>
      <c r="X714" t="str">
        <f t="shared" si="69"/>
        <v>21</v>
      </c>
      <c r="Y714" t="str">
        <f t="shared" si="70"/>
        <v>2021</v>
      </c>
      <c r="Z714"/>
      <c r="AA714" s="2">
        <f t="shared" si="71"/>
        <v>44434</v>
      </c>
      <c r="AB714"/>
      <c r="AC714"/>
    </row>
    <row r="715" spans="21:29" ht="15">
      <c r="U715" s="234" t="s">
        <v>7970</v>
      </c>
      <c r="V715" t="str">
        <f t="shared" si="67"/>
        <v>26</v>
      </c>
      <c r="W715" t="str">
        <f t="shared" si="68"/>
        <v>08</v>
      </c>
      <c r="X715" t="str">
        <f t="shared" si="69"/>
        <v>21</v>
      </c>
      <c r="Y715" t="str">
        <f t="shared" si="70"/>
        <v>2021</v>
      </c>
      <c r="Z715"/>
      <c r="AA715" s="2">
        <f t="shared" si="71"/>
        <v>44434</v>
      </c>
      <c r="AB715"/>
      <c r="AC715"/>
    </row>
    <row r="716" spans="21:29" ht="15">
      <c r="U716" s="234" t="s">
        <v>7974</v>
      </c>
      <c r="V716" t="str">
        <f t="shared" si="67"/>
        <v>27</v>
      </c>
      <c r="W716" t="str">
        <f t="shared" si="68"/>
        <v>08</v>
      </c>
      <c r="X716" t="str">
        <f t="shared" si="69"/>
        <v>21</v>
      </c>
      <c r="Y716" t="str">
        <f t="shared" si="70"/>
        <v>2021</v>
      </c>
      <c r="Z716"/>
      <c r="AA716" s="2">
        <f t="shared" si="71"/>
        <v>44435</v>
      </c>
      <c r="AB716"/>
      <c r="AC716"/>
    </row>
    <row r="717" spans="21:29" ht="15">
      <c r="U717" s="234" t="s">
        <v>7974</v>
      </c>
      <c r="V717" t="str">
        <f t="shared" si="67"/>
        <v>27</v>
      </c>
      <c r="W717" t="str">
        <f t="shared" si="68"/>
        <v>08</v>
      </c>
      <c r="X717" t="str">
        <f t="shared" si="69"/>
        <v>21</v>
      </c>
      <c r="Y717" t="str">
        <f t="shared" si="70"/>
        <v>2021</v>
      </c>
      <c r="Z717"/>
      <c r="AA717" s="2">
        <f t="shared" si="71"/>
        <v>44435</v>
      </c>
      <c r="AB717"/>
      <c r="AC717"/>
    </row>
    <row r="718" spans="21:29" ht="15">
      <c r="U718" s="234" t="s">
        <v>7974</v>
      </c>
      <c r="V718" t="str">
        <f t="shared" si="67"/>
        <v>27</v>
      </c>
      <c r="W718" t="str">
        <f t="shared" si="68"/>
        <v>08</v>
      </c>
      <c r="X718" t="str">
        <f t="shared" si="69"/>
        <v>21</v>
      </c>
      <c r="Y718" t="str">
        <f t="shared" si="70"/>
        <v>2021</v>
      </c>
      <c r="Z718"/>
      <c r="AA718" s="2">
        <f t="shared" si="71"/>
        <v>44435</v>
      </c>
      <c r="AB718"/>
      <c r="AC718"/>
    </row>
    <row r="719" spans="21:29" ht="15">
      <c r="U719" s="234" t="s">
        <v>7974</v>
      </c>
      <c r="V719" t="str">
        <f t="shared" si="67"/>
        <v>27</v>
      </c>
      <c r="W719" t="str">
        <f t="shared" si="68"/>
        <v>08</v>
      </c>
      <c r="X719" t="str">
        <f t="shared" si="69"/>
        <v>21</v>
      </c>
      <c r="Y719" t="str">
        <f t="shared" si="70"/>
        <v>2021</v>
      </c>
      <c r="Z719"/>
      <c r="AA719" s="2">
        <f t="shared" si="71"/>
        <v>44435</v>
      </c>
      <c r="AB719"/>
      <c r="AC719"/>
    </row>
    <row r="720" spans="21:29" ht="15">
      <c r="U720" s="234" t="s">
        <v>7979</v>
      </c>
      <c r="V720" t="str">
        <f t="shared" si="67"/>
        <v>29</v>
      </c>
      <c r="W720" t="str">
        <f t="shared" si="68"/>
        <v>08</v>
      </c>
      <c r="X720" t="str">
        <f t="shared" si="69"/>
        <v>21</v>
      </c>
      <c r="Y720" t="str">
        <f t="shared" si="70"/>
        <v>2021</v>
      </c>
      <c r="Z720"/>
      <c r="AA720" s="2">
        <f t="shared" si="71"/>
        <v>44437</v>
      </c>
      <c r="AB720"/>
      <c r="AC720"/>
    </row>
    <row r="721" spans="21:29" ht="15">
      <c r="U721" s="234" t="s">
        <v>7979</v>
      </c>
      <c r="V721" t="str">
        <f t="shared" si="67"/>
        <v>29</v>
      </c>
      <c r="W721" t="str">
        <f t="shared" si="68"/>
        <v>08</v>
      </c>
      <c r="X721" t="str">
        <f t="shared" si="69"/>
        <v>21</v>
      </c>
      <c r="Y721" t="str">
        <f t="shared" si="70"/>
        <v>2021</v>
      </c>
      <c r="Z721"/>
      <c r="AA721" s="2">
        <f t="shared" si="71"/>
        <v>44437</v>
      </c>
      <c r="AB721"/>
      <c r="AC721"/>
    </row>
    <row r="722" spans="21:29" ht="15">
      <c r="U722" s="234" t="s">
        <v>7982</v>
      </c>
      <c r="V722" t="str">
        <f t="shared" si="67"/>
        <v>31</v>
      </c>
      <c r="W722" t="str">
        <f t="shared" si="68"/>
        <v>08</v>
      </c>
      <c r="X722" t="str">
        <f t="shared" si="69"/>
        <v>21</v>
      </c>
      <c r="Y722" t="str">
        <f t="shared" si="70"/>
        <v>2021</v>
      </c>
      <c r="Z722"/>
      <c r="AA722" s="2">
        <f t="shared" si="71"/>
        <v>44439</v>
      </c>
      <c r="AB722"/>
      <c r="AC722"/>
    </row>
    <row r="723" spans="21:29" ht="15">
      <c r="U723" s="234" t="s">
        <v>7984</v>
      </c>
      <c r="V723" t="str">
        <f t="shared" si="67"/>
        <v>01</v>
      </c>
      <c r="W723" t="str">
        <f t="shared" si="68"/>
        <v>09</v>
      </c>
      <c r="X723" t="str">
        <f t="shared" si="69"/>
        <v>21</v>
      </c>
      <c r="Y723" t="str">
        <f t="shared" si="70"/>
        <v>2021</v>
      </c>
      <c r="Z723"/>
      <c r="AA723" s="2">
        <f t="shared" si="71"/>
        <v>44440</v>
      </c>
      <c r="AB723"/>
      <c r="AC723"/>
    </row>
    <row r="724" spans="21:29" ht="15">
      <c r="U724" s="234" t="s">
        <v>7984</v>
      </c>
      <c r="V724" t="str">
        <f t="shared" si="67"/>
        <v>01</v>
      </c>
      <c r="W724" t="str">
        <f t="shared" si="68"/>
        <v>09</v>
      </c>
      <c r="X724" t="str">
        <f t="shared" si="69"/>
        <v>21</v>
      </c>
      <c r="Y724" t="str">
        <f t="shared" si="70"/>
        <v>2021</v>
      </c>
      <c r="Z724"/>
      <c r="AA724" s="2">
        <f t="shared" si="71"/>
        <v>44440</v>
      </c>
      <c r="AB724"/>
      <c r="AC724"/>
    </row>
    <row r="725" spans="21:29" ht="15">
      <c r="U725" s="234" t="s">
        <v>7984</v>
      </c>
      <c r="V725" t="str">
        <f t="shared" si="67"/>
        <v>01</v>
      </c>
      <c r="W725" t="str">
        <f t="shared" si="68"/>
        <v>09</v>
      </c>
      <c r="X725" t="str">
        <f t="shared" si="69"/>
        <v>21</v>
      </c>
      <c r="Y725" t="str">
        <f t="shared" si="70"/>
        <v>2021</v>
      </c>
      <c r="Z725"/>
      <c r="AA725" s="2">
        <f t="shared" si="71"/>
        <v>44440</v>
      </c>
      <c r="AB725"/>
      <c r="AC725"/>
    </row>
    <row r="726" spans="21:29" ht="15">
      <c r="U726" s="234" t="s">
        <v>7984</v>
      </c>
      <c r="V726" t="str">
        <f t="shared" si="67"/>
        <v>01</v>
      </c>
      <c r="W726" t="str">
        <f t="shared" si="68"/>
        <v>09</v>
      </c>
      <c r="X726" t="str">
        <f t="shared" si="69"/>
        <v>21</v>
      </c>
      <c r="Y726" t="str">
        <f t="shared" si="70"/>
        <v>2021</v>
      </c>
      <c r="Z726"/>
      <c r="AA726" s="2">
        <f t="shared" si="71"/>
        <v>44440</v>
      </c>
      <c r="AB726"/>
      <c r="AC726"/>
    </row>
    <row r="727" spans="21:29" ht="15">
      <c r="U727" s="234" t="s">
        <v>7984</v>
      </c>
      <c r="V727" t="str">
        <f t="shared" si="67"/>
        <v>01</v>
      </c>
      <c r="W727" t="str">
        <f t="shared" si="68"/>
        <v>09</v>
      </c>
      <c r="X727" t="str">
        <f t="shared" si="69"/>
        <v>21</v>
      </c>
      <c r="Y727" t="str">
        <f t="shared" si="70"/>
        <v>2021</v>
      </c>
      <c r="Z727"/>
      <c r="AA727" s="2">
        <f t="shared" si="71"/>
        <v>44440</v>
      </c>
      <c r="AB727"/>
      <c r="AC727"/>
    </row>
    <row r="728" spans="21:29" ht="15">
      <c r="U728" s="234" t="s">
        <v>7984</v>
      </c>
      <c r="V728" t="str">
        <f t="shared" si="67"/>
        <v>01</v>
      </c>
      <c r="W728" t="str">
        <f t="shared" si="68"/>
        <v>09</v>
      </c>
      <c r="X728" t="str">
        <f t="shared" si="69"/>
        <v>21</v>
      </c>
      <c r="Y728" t="str">
        <f t="shared" si="70"/>
        <v>2021</v>
      </c>
      <c r="Z728"/>
      <c r="AA728" s="2">
        <f t="shared" si="71"/>
        <v>44440</v>
      </c>
      <c r="AB728"/>
      <c r="AC728"/>
    </row>
    <row r="729" spans="21:29" ht="15">
      <c r="U729" s="234" t="s">
        <v>7991</v>
      </c>
      <c r="V729" t="str">
        <f t="shared" si="67"/>
        <v>02</v>
      </c>
      <c r="W729" t="str">
        <f t="shared" si="68"/>
        <v>09</v>
      </c>
      <c r="X729" t="str">
        <f t="shared" si="69"/>
        <v>21</v>
      </c>
      <c r="Y729" t="str">
        <f t="shared" si="70"/>
        <v>2021</v>
      </c>
      <c r="Z729"/>
      <c r="AA729" s="2">
        <f t="shared" si="71"/>
        <v>44441</v>
      </c>
      <c r="AB729"/>
      <c r="AC729"/>
    </row>
    <row r="730" spans="21:29" ht="15">
      <c r="U730" s="234" t="s">
        <v>7993</v>
      </c>
      <c r="V730" t="str">
        <f t="shared" si="67"/>
        <v>03</v>
      </c>
      <c r="W730" t="str">
        <f t="shared" si="68"/>
        <v>09</v>
      </c>
      <c r="X730" t="str">
        <f t="shared" si="69"/>
        <v>21</v>
      </c>
      <c r="Y730" t="str">
        <f t="shared" si="70"/>
        <v>2021</v>
      </c>
      <c r="Z730"/>
      <c r="AA730" s="2">
        <f t="shared" si="71"/>
        <v>44442</v>
      </c>
      <c r="AB730"/>
      <c r="AC730"/>
    </row>
    <row r="731" spans="21:29" ht="15">
      <c r="U731" s="234" t="s">
        <v>7993</v>
      </c>
      <c r="V731" t="str">
        <f t="shared" si="67"/>
        <v>03</v>
      </c>
      <c r="W731" t="str">
        <f t="shared" si="68"/>
        <v>09</v>
      </c>
      <c r="X731" t="str">
        <f t="shared" si="69"/>
        <v>21</v>
      </c>
      <c r="Y731" t="str">
        <f t="shared" si="70"/>
        <v>2021</v>
      </c>
      <c r="Z731"/>
      <c r="AA731" s="2">
        <f t="shared" si="71"/>
        <v>44442</v>
      </c>
      <c r="AB731"/>
      <c r="AC731"/>
    </row>
    <row r="732" spans="21:29" ht="15">
      <c r="U732" s="234" t="s">
        <v>7995</v>
      </c>
      <c r="V732" t="str">
        <f t="shared" si="67"/>
        <v>05</v>
      </c>
      <c r="W732" t="str">
        <f t="shared" si="68"/>
        <v>09</v>
      </c>
      <c r="X732" t="str">
        <f t="shared" si="69"/>
        <v>21</v>
      </c>
      <c r="Y732" t="str">
        <f t="shared" si="70"/>
        <v>2021</v>
      </c>
      <c r="Z732"/>
      <c r="AA732" s="2">
        <f t="shared" si="71"/>
        <v>44444</v>
      </c>
      <c r="AB732"/>
      <c r="AC732"/>
    </row>
    <row r="733" spans="21:29" ht="15">
      <c r="U733" s="234" t="s">
        <v>7995</v>
      </c>
      <c r="V733" t="str">
        <f t="shared" si="67"/>
        <v>05</v>
      </c>
      <c r="W733" t="str">
        <f t="shared" si="68"/>
        <v>09</v>
      </c>
      <c r="X733" t="str">
        <f t="shared" si="69"/>
        <v>21</v>
      </c>
      <c r="Y733" t="str">
        <f t="shared" si="70"/>
        <v>2021</v>
      </c>
      <c r="Z733"/>
      <c r="AA733" s="2">
        <f t="shared" si="71"/>
        <v>44444</v>
      </c>
      <c r="AB733"/>
      <c r="AC733"/>
    </row>
    <row r="734" spans="21:29" ht="15">
      <c r="U734" s="234" t="s">
        <v>7995</v>
      </c>
      <c r="V734" t="str">
        <f t="shared" si="67"/>
        <v>05</v>
      </c>
      <c r="W734" t="str">
        <f t="shared" si="68"/>
        <v>09</v>
      </c>
      <c r="X734" t="str">
        <f t="shared" si="69"/>
        <v>21</v>
      </c>
      <c r="Y734" t="str">
        <f t="shared" si="70"/>
        <v>2021</v>
      </c>
      <c r="Z734"/>
      <c r="AA734" s="2">
        <f t="shared" si="71"/>
        <v>44444</v>
      </c>
      <c r="AB734"/>
      <c r="AC734"/>
    </row>
    <row r="735" spans="21:29" ht="15">
      <c r="U735" s="234" t="s">
        <v>7995</v>
      </c>
      <c r="V735" t="str">
        <f t="shared" si="67"/>
        <v>05</v>
      </c>
      <c r="W735" t="str">
        <f t="shared" si="68"/>
        <v>09</v>
      </c>
      <c r="X735" t="str">
        <f t="shared" si="69"/>
        <v>21</v>
      </c>
      <c r="Y735" t="str">
        <f t="shared" si="70"/>
        <v>2021</v>
      </c>
      <c r="Z735"/>
      <c r="AA735" s="2">
        <f t="shared" si="71"/>
        <v>44444</v>
      </c>
      <c r="AB735"/>
      <c r="AC735"/>
    </row>
    <row r="736" spans="21:29" ht="15">
      <c r="U736" s="234" t="s">
        <v>8000</v>
      </c>
      <c r="V736" t="str">
        <f t="shared" si="67"/>
        <v>06</v>
      </c>
      <c r="W736" t="str">
        <f t="shared" si="68"/>
        <v>09</v>
      </c>
      <c r="X736" t="str">
        <f t="shared" si="69"/>
        <v>21</v>
      </c>
      <c r="Y736" t="str">
        <f t="shared" si="70"/>
        <v>2021</v>
      </c>
      <c r="Z736"/>
      <c r="AA736" s="2">
        <f t="shared" si="71"/>
        <v>44445</v>
      </c>
      <c r="AB736"/>
      <c r="AC736"/>
    </row>
    <row r="737" spans="21:29" ht="15">
      <c r="U737" s="234" t="s">
        <v>8002</v>
      </c>
      <c r="V737" t="str">
        <f t="shared" si="67"/>
        <v>07</v>
      </c>
      <c r="W737" t="str">
        <f t="shared" si="68"/>
        <v>09</v>
      </c>
      <c r="X737" t="str">
        <f t="shared" si="69"/>
        <v>21</v>
      </c>
      <c r="Y737" t="str">
        <f t="shared" si="70"/>
        <v>2021</v>
      </c>
      <c r="Z737"/>
      <c r="AA737" s="2">
        <f t="shared" si="71"/>
        <v>44446</v>
      </c>
      <c r="AB737"/>
      <c r="AC737"/>
    </row>
    <row r="738" spans="21:29" ht="15">
      <c r="U738" s="234" t="s">
        <v>8004</v>
      </c>
      <c r="V738" t="str">
        <f t="shared" si="67"/>
        <v>08</v>
      </c>
      <c r="W738" t="str">
        <f t="shared" si="68"/>
        <v>09</v>
      </c>
      <c r="X738" t="str">
        <f t="shared" si="69"/>
        <v>21</v>
      </c>
      <c r="Y738" t="str">
        <f t="shared" si="70"/>
        <v>2021</v>
      </c>
      <c r="Z738"/>
      <c r="AA738" s="2">
        <f t="shared" si="71"/>
        <v>44447</v>
      </c>
      <c r="AB738"/>
      <c r="AC738"/>
    </row>
    <row r="739" spans="21:29" ht="15">
      <c r="U739" s="234" t="s">
        <v>8004</v>
      </c>
      <c r="V739" t="str">
        <f t="shared" si="67"/>
        <v>08</v>
      </c>
      <c r="W739" t="str">
        <f t="shared" si="68"/>
        <v>09</v>
      </c>
      <c r="X739" t="str">
        <f t="shared" si="69"/>
        <v>21</v>
      </c>
      <c r="Y739" t="str">
        <f t="shared" si="70"/>
        <v>2021</v>
      </c>
      <c r="Z739"/>
      <c r="AA739" s="2">
        <f t="shared" si="71"/>
        <v>44447</v>
      </c>
      <c r="AB739"/>
      <c r="AC739"/>
    </row>
    <row r="740" spans="21:29" ht="15">
      <c r="U740" s="234" t="s">
        <v>8004</v>
      </c>
      <c r="V740" t="str">
        <f t="shared" si="67"/>
        <v>08</v>
      </c>
      <c r="W740" t="str">
        <f t="shared" si="68"/>
        <v>09</v>
      </c>
      <c r="X740" t="str">
        <f t="shared" si="69"/>
        <v>21</v>
      </c>
      <c r="Y740" t="str">
        <f t="shared" si="70"/>
        <v>2021</v>
      </c>
      <c r="Z740"/>
      <c r="AA740" s="2">
        <f t="shared" si="71"/>
        <v>44447</v>
      </c>
      <c r="AB740"/>
      <c r="AC740"/>
    </row>
    <row r="741" spans="21:29" ht="15">
      <c r="U741" s="234" t="s">
        <v>8008</v>
      </c>
      <c r="V741" t="str">
        <f t="shared" si="67"/>
        <v>09</v>
      </c>
      <c r="W741" t="str">
        <f t="shared" si="68"/>
        <v>09</v>
      </c>
      <c r="X741" t="str">
        <f t="shared" si="69"/>
        <v>21</v>
      </c>
      <c r="Y741" t="str">
        <f t="shared" si="70"/>
        <v>2021</v>
      </c>
      <c r="Z741"/>
      <c r="AA741" s="2">
        <f t="shared" si="71"/>
        <v>44448</v>
      </c>
      <c r="AB741"/>
      <c r="AC741"/>
    </row>
    <row r="742" spans="21:29" ht="15">
      <c r="U742" s="234" t="s">
        <v>8008</v>
      </c>
      <c r="V742" t="str">
        <f t="shared" si="67"/>
        <v>09</v>
      </c>
      <c r="W742" t="str">
        <f t="shared" si="68"/>
        <v>09</v>
      </c>
      <c r="X742" t="str">
        <f t="shared" si="69"/>
        <v>21</v>
      </c>
      <c r="Y742" t="str">
        <f t="shared" si="70"/>
        <v>2021</v>
      </c>
      <c r="Z742"/>
      <c r="AA742" s="2">
        <f t="shared" si="71"/>
        <v>44448</v>
      </c>
      <c r="AB742"/>
      <c r="AC742"/>
    </row>
    <row r="743" spans="21:29" ht="15">
      <c r="U743" s="234" t="s">
        <v>8008</v>
      </c>
      <c r="V743" t="str">
        <f t="shared" si="67"/>
        <v>09</v>
      </c>
      <c r="W743" t="str">
        <f t="shared" si="68"/>
        <v>09</v>
      </c>
      <c r="X743" t="str">
        <f t="shared" si="69"/>
        <v>21</v>
      </c>
      <c r="Y743" t="str">
        <f t="shared" si="70"/>
        <v>2021</v>
      </c>
      <c r="Z743"/>
      <c r="AA743" s="2">
        <f t="shared" si="71"/>
        <v>44448</v>
      </c>
      <c r="AB743"/>
      <c r="AC743"/>
    </row>
    <row r="744" spans="21:29" ht="15">
      <c r="U744" s="234" t="s">
        <v>8012</v>
      </c>
      <c r="V744" t="str">
        <f t="shared" si="67"/>
        <v>11</v>
      </c>
      <c r="W744" t="str">
        <f t="shared" si="68"/>
        <v>09</v>
      </c>
      <c r="X744" t="str">
        <f t="shared" si="69"/>
        <v>21</v>
      </c>
      <c r="Y744" t="str">
        <f t="shared" si="70"/>
        <v>2021</v>
      </c>
      <c r="Z744"/>
      <c r="AA744" s="2">
        <f t="shared" si="71"/>
        <v>44450</v>
      </c>
      <c r="AB744"/>
      <c r="AC744"/>
    </row>
    <row r="745" spans="21:29" ht="15">
      <c r="U745" s="234" t="s">
        <v>8014</v>
      </c>
      <c r="V745" t="str">
        <f t="shared" si="67"/>
        <v>20</v>
      </c>
      <c r="W745" t="str">
        <f t="shared" si="68"/>
        <v>09</v>
      </c>
      <c r="X745" t="str">
        <f t="shared" si="69"/>
        <v>21</v>
      </c>
      <c r="Y745" t="str">
        <f t="shared" si="70"/>
        <v>2021</v>
      </c>
      <c r="Z745"/>
      <c r="AA745" s="2">
        <f t="shared" si="71"/>
        <v>44459</v>
      </c>
      <c r="AB745"/>
      <c r="AC745"/>
    </row>
    <row r="746" spans="21:29" ht="15">
      <c r="U746" s="234" t="s">
        <v>8014</v>
      </c>
      <c r="V746" t="str">
        <f t="shared" si="67"/>
        <v>20</v>
      </c>
      <c r="W746" t="str">
        <f t="shared" si="68"/>
        <v>09</v>
      </c>
      <c r="X746" t="str">
        <f t="shared" si="69"/>
        <v>21</v>
      </c>
      <c r="Y746" t="str">
        <f t="shared" si="70"/>
        <v>2021</v>
      </c>
      <c r="Z746"/>
      <c r="AA746" s="2">
        <f t="shared" si="71"/>
        <v>44459</v>
      </c>
      <c r="AB746"/>
      <c r="AC746"/>
    </row>
    <row r="747" spans="21:29" ht="15">
      <c r="U747" s="234" t="s">
        <v>8014</v>
      </c>
      <c r="V747" t="str">
        <f t="shared" si="67"/>
        <v>20</v>
      </c>
      <c r="W747" t="str">
        <f t="shared" si="68"/>
        <v>09</v>
      </c>
      <c r="X747" t="str">
        <f t="shared" si="69"/>
        <v>21</v>
      </c>
      <c r="Y747" t="str">
        <f t="shared" si="70"/>
        <v>2021</v>
      </c>
      <c r="Z747"/>
      <c r="AA747" s="2">
        <f t="shared" si="71"/>
        <v>44459</v>
      </c>
      <c r="AB747"/>
      <c r="AC747"/>
    </row>
    <row r="748" spans="21:29" ht="15">
      <c r="U748" s="234" t="s">
        <v>8018</v>
      </c>
      <c r="V748" t="str">
        <f t="shared" si="67"/>
        <v>21</v>
      </c>
      <c r="W748" t="str">
        <f t="shared" si="68"/>
        <v>09</v>
      </c>
      <c r="X748" t="str">
        <f t="shared" si="69"/>
        <v>21</v>
      </c>
      <c r="Y748" t="str">
        <f t="shared" si="70"/>
        <v>2021</v>
      </c>
      <c r="Z748"/>
      <c r="AA748" s="2">
        <f t="shared" si="71"/>
        <v>44460</v>
      </c>
      <c r="AB748"/>
      <c r="AC748"/>
    </row>
    <row r="749" spans="21:29" ht="15">
      <c r="U749" s="234" t="s">
        <v>8020</v>
      </c>
      <c r="V749" t="str">
        <f t="shared" si="67"/>
        <v>23</v>
      </c>
      <c r="W749" t="str">
        <f t="shared" si="68"/>
        <v>09</v>
      </c>
      <c r="X749" t="str">
        <f t="shared" si="69"/>
        <v>21</v>
      </c>
      <c r="Y749" t="str">
        <f t="shared" si="70"/>
        <v>2021</v>
      </c>
      <c r="Z749"/>
      <c r="AA749" s="2">
        <f t="shared" si="71"/>
        <v>44462</v>
      </c>
      <c r="AB749"/>
      <c r="AC749"/>
    </row>
    <row r="750" spans="21:29" ht="15">
      <c r="U750" s="234" t="s">
        <v>8020</v>
      </c>
      <c r="V750" t="str">
        <f t="shared" si="67"/>
        <v>23</v>
      </c>
      <c r="W750" t="str">
        <f t="shared" si="68"/>
        <v>09</v>
      </c>
      <c r="X750" t="str">
        <f t="shared" si="69"/>
        <v>21</v>
      </c>
      <c r="Y750" t="str">
        <f t="shared" si="70"/>
        <v>2021</v>
      </c>
      <c r="Z750"/>
      <c r="AA750" s="2">
        <f t="shared" si="71"/>
        <v>44462</v>
      </c>
      <c r="AB750"/>
      <c r="AC750"/>
    </row>
    <row r="751" spans="21:29" ht="15">
      <c r="U751" s="234" t="s">
        <v>8020</v>
      </c>
      <c r="V751" t="str">
        <f t="shared" si="67"/>
        <v>23</v>
      </c>
      <c r="W751" t="str">
        <f t="shared" si="68"/>
        <v>09</v>
      </c>
      <c r="X751" t="str">
        <f t="shared" si="69"/>
        <v>21</v>
      </c>
      <c r="Y751" t="str">
        <f t="shared" si="70"/>
        <v>2021</v>
      </c>
      <c r="Z751"/>
      <c r="AA751" s="2">
        <f t="shared" si="71"/>
        <v>44462</v>
      </c>
      <c r="AB751"/>
      <c r="AC751"/>
    </row>
    <row r="752" spans="21:29" ht="15">
      <c r="U752" s="234" t="s">
        <v>8024</v>
      </c>
      <c r="V752" t="str">
        <f t="shared" si="67"/>
        <v>24</v>
      </c>
      <c r="W752" t="str">
        <f t="shared" si="68"/>
        <v>09</v>
      </c>
      <c r="X752" t="str">
        <f t="shared" si="69"/>
        <v>21</v>
      </c>
      <c r="Y752" t="str">
        <f t="shared" si="70"/>
        <v>2021</v>
      </c>
      <c r="Z752"/>
      <c r="AA752" s="2">
        <f t="shared" si="71"/>
        <v>44463</v>
      </c>
      <c r="AB752"/>
      <c r="AC752"/>
    </row>
    <row r="753" spans="21:29" ht="15">
      <c r="U753" s="234" t="s">
        <v>8024</v>
      </c>
      <c r="V753" t="str">
        <f t="shared" si="67"/>
        <v>24</v>
      </c>
      <c r="W753" t="str">
        <f t="shared" si="68"/>
        <v>09</v>
      </c>
      <c r="X753" t="str">
        <f t="shared" si="69"/>
        <v>21</v>
      </c>
      <c r="Y753" t="str">
        <f t="shared" si="70"/>
        <v>2021</v>
      </c>
      <c r="Z753"/>
      <c r="AA753" s="2">
        <f t="shared" si="71"/>
        <v>44463</v>
      </c>
      <c r="AB753"/>
      <c r="AC753"/>
    </row>
    <row r="754" spans="21:29" ht="15">
      <c r="U754" s="234" t="s">
        <v>8027</v>
      </c>
      <c r="V754" t="str">
        <f t="shared" si="67"/>
        <v>25</v>
      </c>
      <c r="W754" t="str">
        <f t="shared" si="68"/>
        <v>09</v>
      </c>
      <c r="X754" t="str">
        <f t="shared" si="69"/>
        <v>21</v>
      </c>
      <c r="Y754" t="str">
        <f t="shared" si="70"/>
        <v>2021</v>
      </c>
      <c r="Z754"/>
      <c r="AA754" s="2">
        <f t="shared" si="71"/>
        <v>44464</v>
      </c>
      <c r="AB754"/>
      <c r="AC754"/>
    </row>
    <row r="755" spans="21:29" ht="15">
      <c r="U755" s="234" t="s">
        <v>8029</v>
      </c>
      <c r="V755" t="str">
        <f t="shared" si="67"/>
        <v>28</v>
      </c>
      <c r="W755" t="str">
        <f t="shared" si="68"/>
        <v>09</v>
      </c>
      <c r="X755" t="str">
        <f t="shared" si="69"/>
        <v>21</v>
      </c>
      <c r="Y755" t="str">
        <f t="shared" si="70"/>
        <v>2021</v>
      </c>
      <c r="Z755"/>
      <c r="AA755" s="2">
        <f t="shared" si="71"/>
        <v>44467</v>
      </c>
      <c r="AB755"/>
      <c r="AC755"/>
    </row>
    <row r="756" spans="21:29" ht="15">
      <c r="U756" s="234" t="s">
        <v>8031</v>
      </c>
      <c r="V756" t="str">
        <f t="shared" si="67"/>
        <v>29</v>
      </c>
      <c r="W756" t="str">
        <f t="shared" si="68"/>
        <v>09</v>
      </c>
      <c r="X756" t="str">
        <f t="shared" si="69"/>
        <v>21</v>
      </c>
      <c r="Y756" t="str">
        <f t="shared" si="70"/>
        <v>2021</v>
      </c>
      <c r="Z756"/>
      <c r="AA756" s="2">
        <f t="shared" si="71"/>
        <v>44468</v>
      </c>
      <c r="AB756"/>
      <c r="AC756"/>
    </row>
    <row r="757" spans="21:29" ht="15">
      <c r="U757" s="234" t="s">
        <v>8033</v>
      </c>
      <c r="V757" t="str">
        <f t="shared" si="67"/>
        <v>01</v>
      </c>
      <c r="W757" t="str">
        <f t="shared" si="68"/>
        <v>10</v>
      </c>
      <c r="X757" t="str">
        <f t="shared" si="69"/>
        <v>21</v>
      </c>
      <c r="Y757" t="str">
        <f t="shared" si="70"/>
        <v>2021</v>
      </c>
      <c r="Z757"/>
      <c r="AA757" s="2">
        <f t="shared" si="71"/>
        <v>44470</v>
      </c>
      <c r="AB757"/>
      <c r="AC757"/>
    </row>
    <row r="758" spans="21:29" ht="15">
      <c r="U758" s="234" t="s">
        <v>8033</v>
      </c>
      <c r="V758" t="str">
        <f t="shared" si="67"/>
        <v>01</v>
      </c>
      <c r="W758" t="str">
        <f t="shared" si="68"/>
        <v>10</v>
      </c>
      <c r="X758" t="str">
        <f t="shared" si="69"/>
        <v>21</v>
      </c>
      <c r="Y758" t="str">
        <f t="shared" si="70"/>
        <v>2021</v>
      </c>
      <c r="Z758"/>
      <c r="AA758" s="2">
        <f t="shared" si="71"/>
        <v>44470</v>
      </c>
      <c r="AB758"/>
      <c r="AC758"/>
    </row>
    <row r="759" spans="21:29" ht="15">
      <c r="U759" s="234" t="s">
        <v>8033</v>
      </c>
      <c r="V759" t="str">
        <f t="shared" si="67"/>
        <v>01</v>
      </c>
      <c r="W759" t="str">
        <f t="shared" si="68"/>
        <v>10</v>
      </c>
      <c r="X759" t="str">
        <f t="shared" si="69"/>
        <v>21</v>
      </c>
      <c r="Y759" t="str">
        <f t="shared" si="70"/>
        <v>2021</v>
      </c>
      <c r="Z759"/>
      <c r="AA759" s="2">
        <f t="shared" si="71"/>
        <v>44470</v>
      </c>
      <c r="AB759"/>
      <c r="AC759"/>
    </row>
    <row r="760" spans="21:29" ht="15">
      <c r="U760" s="234" t="s">
        <v>8037</v>
      </c>
      <c r="V760" t="str">
        <f t="shared" si="67"/>
        <v>02</v>
      </c>
      <c r="W760" t="str">
        <f t="shared" si="68"/>
        <v>10</v>
      </c>
      <c r="X760" t="str">
        <f t="shared" si="69"/>
        <v>21</v>
      </c>
      <c r="Y760" t="str">
        <f t="shared" si="70"/>
        <v>2021</v>
      </c>
      <c r="Z760"/>
      <c r="AA760" s="2">
        <f t="shared" si="71"/>
        <v>44471</v>
      </c>
      <c r="AB760"/>
      <c r="AC760"/>
    </row>
    <row r="761" spans="21:29" ht="15">
      <c r="U761" s="234" t="s">
        <v>8037</v>
      </c>
      <c r="V761" t="str">
        <f t="shared" si="67"/>
        <v>02</v>
      </c>
      <c r="W761" t="str">
        <f t="shared" si="68"/>
        <v>10</v>
      </c>
      <c r="X761" t="str">
        <f t="shared" si="69"/>
        <v>21</v>
      </c>
      <c r="Y761" t="str">
        <f t="shared" si="70"/>
        <v>2021</v>
      </c>
      <c r="Z761"/>
      <c r="AA761" s="2">
        <f t="shared" si="71"/>
        <v>44471</v>
      </c>
      <c r="AB761"/>
      <c r="AC761"/>
    </row>
    <row r="762" spans="21:29" ht="15">
      <c r="U762" s="234" t="s">
        <v>8037</v>
      </c>
      <c r="V762" t="str">
        <f t="shared" si="67"/>
        <v>02</v>
      </c>
      <c r="W762" t="str">
        <f t="shared" si="68"/>
        <v>10</v>
      </c>
      <c r="X762" t="str">
        <f t="shared" si="69"/>
        <v>21</v>
      </c>
      <c r="Y762" t="str">
        <f t="shared" si="70"/>
        <v>2021</v>
      </c>
      <c r="Z762"/>
      <c r="AA762" s="2">
        <f t="shared" si="71"/>
        <v>44471</v>
      </c>
      <c r="AB762"/>
      <c r="AC762"/>
    </row>
    <row r="763" spans="21:29" ht="15">
      <c r="U763" s="234" t="s">
        <v>8037</v>
      </c>
      <c r="V763" t="str">
        <f t="shared" si="67"/>
        <v>02</v>
      </c>
      <c r="W763" t="str">
        <f t="shared" si="68"/>
        <v>10</v>
      </c>
      <c r="X763" t="str">
        <f t="shared" si="69"/>
        <v>21</v>
      </c>
      <c r="Y763" t="str">
        <f t="shared" si="70"/>
        <v>2021</v>
      </c>
      <c r="Z763"/>
      <c r="AA763" s="2">
        <f t="shared" si="71"/>
        <v>44471</v>
      </c>
      <c r="AB763"/>
      <c r="AC763"/>
    </row>
    <row r="764" spans="21:29" ht="15">
      <c r="U764" s="234" t="s">
        <v>8037</v>
      </c>
      <c r="V764" t="str">
        <f t="shared" si="67"/>
        <v>02</v>
      </c>
      <c r="W764" t="str">
        <f t="shared" si="68"/>
        <v>10</v>
      </c>
      <c r="X764" t="str">
        <f t="shared" si="69"/>
        <v>21</v>
      </c>
      <c r="Y764" t="str">
        <f t="shared" si="70"/>
        <v>2021</v>
      </c>
      <c r="Z764"/>
      <c r="AA764" s="2">
        <f t="shared" si="71"/>
        <v>44471</v>
      </c>
      <c r="AB764"/>
      <c r="AC764"/>
    </row>
    <row r="765" spans="21:29" ht="15">
      <c r="U765" s="234" t="s">
        <v>8043</v>
      </c>
      <c r="V765" t="str">
        <f t="shared" si="67"/>
        <v>04</v>
      </c>
      <c r="W765" t="str">
        <f t="shared" si="68"/>
        <v>10</v>
      </c>
      <c r="X765" t="str">
        <f t="shared" si="69"/>
        <v>21</v>
      </c>
      <c r="Y765" t="str">
        <f t="shared" si="70"/>
        <v>2021</v>
      </c>
      <c r="Z765"/>
      <c r="AA765" s="2">
        <f t="shared" si="71"/>
        <v>44473</v>
      </c>
      <c r="AB765"/>
      <c r="AC765"/>
    </row>
    <row r="766" spans="21:29" ht="15">
      <c r="U766" s="234" t="s">
        <v>8043</v>
      </c>
      <c r="V766" t="str">
        <f t="shared" si="67"/>
        <v>04</v>
      </c>
      <c r="W766" t="str">
        <f t="shared" si="68"/>
        <v>10</v>
      </c>
      <c r="X766" t="str">
        <f t="shared" si="69"/>
        <v>21</v>
      </c>
      <c r="Y766" t="str">
        <f t="shared" si="70"/>
        <v>2021</v>
      </c>
      <c r="Z766"/>
      <c r="AA766" s="2">
        <f t="shared" si="71"/>
        <v>44473</v>
      </c>
      <c r="AB766"/>
      <c r="AC766"/>
    </row>
    <row r="767" spans="21:29" ht="15">
      <c r="U767" s="234" t="s">
        <v>8046</v>
      </c>
      <c r="V767" t="str">
        <f t="shared" si="67"/>
        <v>05</v>
      </c>
      <c r="W767" t="str">
        <f t="shared" si="68"/>
        <v>10</v>
      </c>
      <c r="X767" t="str">
        <f t="shared" si="69"/>
        <v>21</v>
      </c>
      <c r="Y767" t="str">
        <f t="shared" si="70"/>
        <v>2021</v>
      </c>
      <c r="Z767"/>
      <c r="AA767" s="2">
        <f t="shared" si="71"/>
        <v>44474</v>
      </c>
      <c r="AB767"/>
      <c r="AC767"/>
    </row>
    <row r="768" spans="21:29" ht="15">
      <c r="U768" s="234" t="s">
        <v>8046</v>
      </c>
      <c r="V768" t="str">
        <f t="shared" si="67"/>
        <v>05</v>
      </c>
      <c r="W768" t="str">
        <f t="shared" si="68"/>
        <v>10</v>
      </c>
      <c r="X768" t="str">
        <f t="shared" si="69"/>
        <v>21</v>
      </c>
      <c r="Y768" t="str">
        <f t="shared" si="70"/>
        <v>2021</v>
      </c>
      <c r="Z768"/>
      <c r="AA768" s="2">
        <f t="shared" si="71"/>
        <v>44474</v>
      </c>
      <c r="AB768"/>
      <c r="AC768"/>
    </row>
    <row r="769" spans="21:29" ht="15">
      <c r="U769" s="234" t="s">
        <v>8048</v>
      </c>
      <c r="V769" t="str">
        <f t="shared" si="67"/>
        <v>06</v>
      </c>
      <c r="W769" t="str">
        <f t="shared" si="68"/>
        <v>10</v>
      </c>
      <c r="X769" t="str">
        <f t="shared" si="69"/>
        <v>21</v>
      </c>
      <c r="Y769" t="str">
        <f t="shared" si="70"/>
        <v>2021</v>
      </c>
      <c r="Z769"/>
      <c r="AA769" s="2">
        <f t="shared" si="71"/>
        <v>44475</v>
      </c>
      <c r="AB769"/>
      <c r="AC769"/>
    </row>
    <row r="770" spans="21:29" ht="15">
      <c r="U770" s="234" t="s">
        <v>8050</v>
      </c>
      <c r="V770" t="str">
        <f t="shared" si="67"/>
        <v>07</v>
      </c>
      <c r="W770" t="str">
        <f t="shared" si="68"/>
        <v>10</v>
      </c>
      <c r="X770" t="str">
        <f t="shared" si="69"/>
        <v>21</v>
      </c>
      <c r="Y770" t="str">
        <f t="shared" si="70"/>
        <v>2021</v>
      </c>
      <c r="Z770"/>
      <c r="AA770" s="2">
        <f t="shared" si="71"/>
        <v>44476</v>
      </c>
      <c r="AB770"/>
      <c r="AC770"/>
    </row>
    <row r="771" spans="21:29" ht="15">
      <c r="U771" s="234" t="s">
        <v>8052</v>
      </c>
      <c r="V771" t="str">
        <f t="shared" ref="V771:V834" si="72">LEFT(U771,2)</f>
        <v>13</v>
      </c>
      <c r="W771" t="str">
        <f t="shared" ref="W771:W834" si="73">MID(U771,4,2)</f>
        <v>10</v>
      </c>
      <c r="X771" t="str">
        <f t="shared" ref="X771:X834" si="74">RIGHT(U771,2)</f>
        <v>21</v>
      </c>
      <c r="Y771" t="str">
        <f t="shared" ref="Y771:Y834" si="75">"20" &amp; X771</f>
        <v>2021</v>
      </c>
      <c r="Z771"/>
      <c r="AA771" s="2">
        <f t="shared" ref="AA771:AA834" si="76">DATE(Y771,W771,V771)</f>
        <v>44482</v>
      </c>
      <c r="AB771"/>
      <c r="AC771"/>
    </row>
    <row r="772" spans="21:29" ht="15">
      <c r="U772" s="234" t="s">
        <v>8052</v>
      </c>
      <c r="V772" t="str">
        <f t="shared" si="72"/>
        <v>13</v>
      </c>
      <c r="W772" t="str">
        <f t="shared" si="73"/>
        <v>10</v>
      </c>
      <c r="X772" t="str">
        <f t="shared" si="74"/>
        <v>21</v>
      </c>
      <c r="Y772" t="str">
        <f t="shared" si="75"/>
        <v>2021</v>
      </c>
      <c r="Z772"/>
      <c r="AA772" s="2">
        <f t="shared" si="76"/>
        <v>44482</v>
      </c>
      <c r="AB772"/>
      <c r="AC772"/>
    </row>
    <row r="773" spans="21:29" ht="15">
      <c r="U773" s="234" t="s">
        <v>8052</v>
      </c>
      <c r="V773" t="str">
        <f t="shared" si="72"/>
        <v>13</v>
      </c>
      <c r="W773" t="str">
        <f t="shared" si="73"/>
        <v>10</v>
      </c>
      <c r="X773" t="str">
        <f t="shared" si="74"/>
        <v>21</v>
      </c>
      <c r="Y773" t="str">
        <f t="shared" si="75"/>
        <v>2021</v>
      </c>
      <c r="Z773"/>
      <c r="AA773" s="2">
        <f t="shared" si="76"/>
        <v>44482</v>
      </c>
      <c r="AB773"/>
      <c r="AC773"/>
    </row>
    <row r="774" spans="21:29" ht="15">
      <c r="U774" s="234" t="s">
        <v>8056</v>
      </c>
      <c r="V774" t="str">
        <f t="shared" si="72"/>
        <v>14</v>
      </c>
      <c r="W774" t="str">
        <f t="shared" si="73"/>
        <v>10</v>
      </c>
      <c r="X774" t="str">
        <f t="shared" si="74"/>
        <v>21</v>
      </c>
      <c r="Y774" t="str">
        <f t="shared" si="75"/>
        <v>2021</v>
      </c>
      <c r="Z774"/>
      <c r="AA774" s="2">
        <f t="shared" si="76"/>
        <v>44483</v>
      </c>
      <c r="AB774"/>
      <c r="AC774"/>
    </row>
    <row r="775" spans="21:29" ht="15">
      <c r="U775" s="234" t="s">
        <v>8058</v>
      </c>
      <c r="V775" t="str">
        <f t="shared" si="72"/>
        <v>16</v>
      </c>
      <c r="W775" t="str">
        <f t="shared" si="73"/>
        <v>10</v>
      </c>
      <c r="X775" t="str">
        <f t="shared" si="74"/>
        <v>21</v>
      </c>
      <c r="Y775" t="str">
        <f t="shared" si="75"/>
        <v>2021</v>
      </c>
      <c r="Z775"/>
      <c r="AA775" s="2">
        <f t="shared" si="76"/>
        <v>44485</v>
      </c>
      <c r="AB775"/>
      <c r="AC775"/>
    </row>
    <row r="776" spans="21:29" ht="15">
      <c r="U776" s="234" t="s">
        <v>8060</v>
      </c>
      <c r="V776" t="str">
        <f t="shared" si="72"/>
        <v>17</v>
      </c>
      <c r="W776" t="str">
        <f t="shared" si="73"/>
        <v>10</v>
      </c>
      <c r="X776" t="str">
        <f t="shared" si="74"/>
        <v>21</v>
      </c>
      <c r="Y776" t="str">
        <f t="shared" si="75"/>
        <v>2021</v>
      </c>
      <c r="Z776"/>
      <c r="AA776" s="2">
        <f t="shared" si="76"/>
        <v>44486</v>
      </c>
      <c r="AB776"/>
      <c r="AC776"/>
    </row>
    <row r="777" spans="21:29" ht="15">
      <c r="U777" s="234" t="s">
        <v>8060</v>
      </c>
      <c r="V777" t="str">
        <f t="shared" si="72"/>
        <v>17</v>
      </c>
      <c r="W777" t="str">
        <f t="shared" si="73"/>
        <v>10</v>
      </c>
      <c r="X777" t="str">
        <f t="shared" si="74"/>
        <v>21</v>
      </c>
      <c r="Y777" t="str">
        <f t="shared" si="75"/>
        <v>2021</v>
      </c>
      <c r="Z777"/>
      <c r="AA777" s="2">
        <f t="shared" si="76"/>
        <v>44486</v>
      </c>
      <c r="AB777"/>
      <c r="AC777"/>
    </row>
    <row r="778" spans="21:29" ht="15">
      <c r="U778" s="234" t="s">
        <v>8063</v>
      </c>
      <c r="V778" t="str">
        <f t="shared" si="72"/>
        <v>19</v>
      </c>
      <c r="W778" t="str">
        <f t="shared" si="73"/>
        <v>10</v>
      </c>
      <c r="X778" t="str">
        <f t="shared" si="74"/>
        <v>21</v>
      </c>
      <c r="Y778" t="str">
        <f t="shared" si="75"/>
        <v>2021</v>
      </c>
      <c r="Z778"/>
      <c r="AA778" s="2">
        <f t="shared" si="76"/>
        <v>44488</v>
      </c>
      <c r="AB778"/>
      <c r="AC778"/>
    </row>
    <row r="779" spans="21:29" ht="15">
      <c r="U779" s="234" t="s">
        <v>8065</v>
      </c>
      <c r="V779" t="str">
        <f t="shared" si="72"/>
        <v>20</v>
      </c>
      <c r="W779" t="str">
        <f t="shared" si="73"/>
        <v>10</v>
      </c>
      <c r="X779" t="str">
        <f t="shared" si="74"/>
        <v>21</v>
      </c>
      <c r="Y779" t="str">
        <f t="shared" si="75"/>
        <v>2021</v>
      </c>
      <c r="Z779"/>
      <c r="AA779" s="2">
        <f t="shared" si="76"/>
        <v>44489</v>
      </c>
      <c r="AB779"/>
      <c r="AC779"/>
    </row>
    <row r="780" spans="21:29" ht="15">
      <c r="U780" s="234" t="s">
        <v>8067</v>
      </c>
      <c r="V780" t="str">
        <f t="shared" si="72"/>
        <v>21</v>
      </c>
      <c r="W780" t="str">
        <f t="shared" si="73"/>
        <v>10</v>
      </c>
      <c r="X780" t="str">
        <f t="shared" si="74"/>
        <v>21</v>
      </c>
      <c r="Y780" t="str">
        <f t="shared" si="75"/>
        <v>2021</v>
      </c>
      <c r="Z780"/>
      <c r="AA780" s="2">
        <f t="shared" si="76"/>
        <v>44490</v>
      </c>
      <c r="AB780"/>
      <c r="AC780"/>
    </row>
    <row r="781" spans="21:29" ht="15">
      <c r="U781" s="234" t="s">
        <v>8067</v>
      </c>
      <c r="V781" t="str">
        <f t="shared" si="72"/>
        <v>21</v>
      </c>
      <c r="W781" t="str">
        <f t="shared" si="73"/>
        <v>10</v>
      </c>
      <c r="X781" t="str">
        <f t="shared" si="74"/>
        <v>21</v>
      </c>
      <c r="Y781" t="str">
        <f t="shared" si="75"/>
        <v>2021</v>
      </c>
      <c r="Z781"/>
      <c r="AA781" s="2">
        <f t="shared" si="76"/>
        <v>44490</v>
      </c>
      <c r="AB781"/>
      <c r="AC781"/>
    </row>
    <row r="782" spans="21:29" ht="15">
      <c r="U782" s="234" t="s">
        <v>8070</v>
      </c>
      <c r="V782" t="str">
        <f t="shared" si="72"/>
        <v>22</v>
      </c>
      <c r="W782" t="str">
        <f t="shared" si="73"/>
        <v>10</v>
      </c>
      <c r="X782" t="str">
        <f t="shared" si="74"/>
        <v>21</v>
      </c>
      <c r="Y782" t="str">
        <f t="shared" si="75"/>
        <v>2021</v>
      </c>
      <c r="Z782"/>
      <c r="AA782" s="2">
        <f t="shared" si="76"/>
        <v>44491</v>
      </c>
      <c r="AB782"/>
      <c r="AC782"/>
    </row>
    <row r="783" spans="21:29" ht="15">
      <c r="U783" s="234" t="s">
        <v>8072</v>
      </c>
      <c r="V783" t="str">
        <f t="shared" si="72"/>
        <v>24</v>
      </c>
      <c r="W783" t="str">
        <f t="shared" si="73"/>
        <v>10</v>
      </c>
      <c r="X783" t="str">
        <f t="shared" si="74"/>
        <v>21</v>
      </c>
      <c r="Y783" t="str">
        <f t="shared" si="75"/>
        <v>2021</v>
      </c>
      <c r="Z783"/>
      <c r="AA783" s="2">
        <f t="shared" si="76"/>
        <v>44493</v>
      </c>
      <c r="AB783"/>
      <c r="AC783"/>
    </row>
    <row r="784" spans="21:29" ht="15">
      <c r="U784" s="234" t="s">
        <v>8074</v>
      </c>
      <c r="V784" t="str">
        <f t="shared" si="72"/>
        <v>26</v>
      </c>
      <c r="W784" t="str">
        <f t="shared" si="73"/>
        <v>10</v>
      </c>
      <c r="X784" t="str">
        <f t="shared" si="74"/>
        <v>21</v>
      </c>
      <c r="Y784" t="str">
        <f t="shared" si="75"/>
        <v>2021</v>
      </c>
      <c r="Z784"/>
      <c r="AA784" s="2">
        <f t="shared" si="76"/>
        <v>44495</v>
      </c>
      <c r="AB784"/>
      <c r="AC784"/>
    </row>
    <row r="785" spans="21:29" ht="15">
      <c r="U785" s="234" t="s">
        <v>8074</v>
      </c>
      <c r="V785" t="str">
        <f t="shared" si="72"/>
        <v>26</v>
      </c>
      <c r="W785" t="str">
        <f t="shared" si="73"/>
        <v>10</v>
      </c>
      <c r="X785" t="str">
        <f t="shared" si="74"/>
        <v>21</v>
      </c>
      <c r="Y785" t="str">
        <f t="shared" si="75"/>
        <v>2021</v>
      </c>
      <c r="Z785"/>
      <c r="AA785" s="2">
        <f t="shared" si="76"/>
        <v>44495</v>
      </c>
      <c r="AB785"/>
      <c r="AC785"/>
    </row>
    <row r="786" spans="21:29" ht="15">
      <c r="U786" s="234" t="s">
        <v>8074</v>
      </c>
      <c r="V786" t="str">
        <f t="shared" si="72"/>
        <v>26</v>
      </c>
      <c r="W786" t="str">
        <f t="shared" si="73"/>
        <v>10</v>
      </c>
      <c r="X786" t="str">
        <f t="shared" si="74"/>
        <v>21</v>
      </c>
      <c r="Y786" t="str">
        <f t="shared" si="75"/>
        <v>2021</v>
      </c>
      <c r="Z786"/>
      <c r="AA786" s="2">
        <f t="shared" si="76"/>
        <v>44495</v>
      </c>
      <c r="AB786"/>
      <c r="AC786"/>
    </row>
    <row r="787" spans="21:29" ht="15">
      <c r="U787" s="234" t="s">
        <v>8078</v>
      </c>
      <c r="V787" t="str">
        <f t="shared" si="72"/>
        <v>28</v>
      </c>
      <c r="W787" t="str">
        <f t="shared" si="73"/>
        <v>10</v>
      </c>
      <c r="X787" t="str">
        <f t="shared" si="74"/>
        <v>21</v>
      </c>
      <c r="Y787" t="str">
        <f t="shared" si="75"/>
        <v>2021</v>
      </c>
      <c r="Z787"/>
      <c r="AA787" s="2">
        <f t="shared" si="76"/>
        <v>44497</v>
      </c>
      <c r="AB787"/>
      <c r="AC787"/>
    </row>
    <row r="788" spans="21:29" ht="15">
      <c r="U788" s="234" t="s">
        <v>8078</v>
      </c>
      <c r="V788" t="str">
        <f t="shared" si="72"/>
        <v>28</v>
      </c>
      <c r="W788" t="str">
        <f t="shared" si="73"/>
        <v>10</v>
      </c>
      <c r="X788" t="str">
        <f t="shared" si="74"/>
        <v>21</v>
      </c>
      <c r="Y788" t="str">
        <f t="shared" si="75"/>
        <v>2021</v>
      </c>
      <c r="Z788"/>
      <c r="AA788" s="2">
        <f t="shared" si="76"/>
        <v>44497</v>
      </c>
      <c r="AB788"/>
      <c r="AC788"/>
    </row>
    <row r="789" spans="21:29" ht="15">
      <c r="U789" s="234" t="s">
        <v>8081</v>
      </c>
      <c r="V789" t="str">
        <f t="shared" si="72"/>
        <v>29</v>
      </c>
      <c r="W789" t="str">
        <f t="shared" si="73"/>
        <v>10</v>
      </c>
      <c r="X789" t="str">
        <f t="shared" si="74"/>
        <v>21</v>
      </c>
      <c r="Y789" t="str">
        <f t="shared" si="75"/>
        <v>2021</v>
      </c>
      <c r="Z789"/>
      <c r="AA789" s="2">
        <f t="shared" si="76"/>
        <v>44498</v>
      </c>
      <c r="AB789"/>
      <c r="AC789"/>
    </row>
    <row r="790" spans="21:29" ht="15">
      <c r="U790" s="235" t="s">
        <v>8083</v>
      </c>
      <c r="V790" t="str">
        <f t="shared" si="72"/>
        <v>04</v>
      </c>
      <c r="W790" t="str">
        <f t="shared" si="73"/>
        <v>10</v>
      </c>
      <c r="X790" t="str">
        <f t="shared" si="74"/>
        <v>21</v>
      </c>
      <c r="Y790" t="str">
        <f t="shared" si="75"/>
        <v>2021</v>
      </c>
      <c r="Z790"/>
      <c r="AA790" s="2">
        <f t="shared" si="76"/>
        <v>44473</v>
      </c>
      <c r="AB790"/>
      <c r="AC790"/>
    </row>
    <row r="791" spans="21:29" ht="15">
      <c r="U791" s="235" t="s">
        <v>8083</v>
      </c>
      <c r="V791" t="str">
        <f t="shared" si="72"/>
        <v>04</v>
      </c>
      <c r="W791" t="str">
        <f t="shared" si="73"/>
        <v>10</v>
      </c>
      <c r="X791" t="str">
        <f t="shared" si="74"/>
        <v>21</v>
      </c>
      <c r="Y791" t="str">
        <f t="shared" si="75"/>
        <v>2021</v>
      </c>
      <c r="Z791"/>
      <c r="AA791" s="2">
        <f t="shared" si="76"/>
        <v>44473</v>
      </c>
      <c r="AB791"/>
      <c r="AC791"/>
    </row>
    <row r="792" spans="21:29" ht="15">
      <c r="U792" s="235" t="s">
        <v>8083</v>
      </c>
      <c r="V792" t="str">
        <f t="shared" si="72"/>
        <v>04</v>
      </c>
      <c r="W792" t="str">
        <f t="shared" si="73"/>
        <v>10</v>
      </c>
      <c r="X792" t="str">
        <f t="shared" si="74"/>
        <v>21</v>
      </c>
      <c r="Y792" t="str">
        <f t="shared" si="75"/>
        <v>2021</v>
      </c>
      <c r="Z792"/>
      <c r="AA792" s="2">
        <f t="shared" si="76"/>
        <v>44473</v>
      </c>
      <c r="AB792"/>
      <c r="AC792"/>
    </row>
    <row r="793" spans="21:29" ht="15">
      <c r="U793" s="235" t="s">
        <v>8085</v>
      </c>
      <c r="V793" t="str">
        <f t="shared" si="72"/>
        <v>07</v>
      </c>
      <c r="W793" t="str">
        <f t="shared" si="73"/>
        <v>10</v>
      </c>
      <c r="X793" t="str">
        <f t="shared" si="74"/>
        <v>21</v>
      </c>
      <c r="Y793" t="str">
        <f t="shared" si="75"/>
        <v>2021</v>
      </c>
      <c r="Z793"/>
      <c r="AA793" s="2">
        <f t="shared" si="76"/>
        <v>44476</v>
      </c>
      <c r="AB793"/>
      <c r="AC793"/>
    </row>
    <row r="794" spans="21:29" ht="15">
      <c r="U794" s="235" t="s">
        <v>8086</v>
      </c>
      <c r="V794" t="str">
        <f t="shared" si="72"/>
        <v>21</v>
      </c>
      <c r="W794" t="str">
        <f t="shared" si="73"/>
        <v>10</v>
      </c>
      <c r="X794" t="str">
        <f t="shared" si="74"/>
        <v>21</v>
      </c>
      <c r="Y794" t="str">
        <f t="shared" si="75"/>
        <v>2021</v>
      </c>
      <c r="Z794"/>
      <c r="AA794" s="2">
        <f t="shared" si="76"/>
        <v>44490</v>
      </c>
      <c r="AB794"/>
      <c r="AC794"/>
    </row>
    <row r="795" spans="21:29" ht="15">
      <c r="U795" s="235" t="s">
        <v>8086</v>
      </c>
      <c r="V795" t="str">
        <f t="shared" si="72"/>
        <v>21</v>
      </c>
      <c r="W795" t="str">
        <f t="shared" si="73"/>
        <v>10</v>
      </c>
      <c r="X795" t="str">
        <f t="shared" si="74"/>
        <v>21</v>
      </c>
      <c r="Y795" t="str">
        <f t="shared" si="75"/>
        <v>2021</v>
      </c>
      <c r="Z795"/>
      <c r="AA795" s="2">
        <f t="shared" si="76"/>
        <v>44490</v>
      </c>
      <c r="AB795"/>
      <c r="AC795"/>
    </row>
    <row r="796" spans="21:29" ht="15">
      <c r="U796" s="235" t="s">
        <v>8089</v>
      </c>
      <c r="V796" t="str">
        <f t="shared" si="72"/>
        <v>28</v>
      </c>
      <c r="W796" t="str">
        <f t="shared" si="73"/>
        <v>10</v>
      </c>
      <c r="X796" t="str">
        <f t="shared" si="74"/>
        <v>21</v>
      </c>
      <c r="Y796" t="str">
        <f t="shared" si="75"/>
        <v>2021</v>
      </c>
      <c r="Z796"/>
      <c r="AA796" s="2">
        <f t="shared" si="76"/>
        <v>44497</v>
      </c>
      <c r="AB796"/>
      <c r="AC796"/>
    </row>
    <row r="797" spans="21:29" ht="15">
      <c r="U797" t="s">
        <v>8081</v>
      </c>
      <c r="V797" t="str">
        <f t="shared" si="72"/>
        <v>29</v>
      </c>
      <c r="W797" t="str">
        <f t="shared" si="73"/>
        <v>10</v>
      </c>
      <c r="X797" t="str">
        <f t="shared" si="74"/>
        <v>21</v>
      </c>
      <c r="Y797" t="str">
        <f t="shared" si="75"/>
        <v>2021</v>
      </c>
      <c r="Z797"/>
      <c r="AA797" s="2">
        <f t="shared" si="76"/>
        <v>44498</v>
      </c>
      <c r="AB797"/>
      <c r="AC797"/>
    </row>
    <row r="798" spans="21:29" ht="15">
      <c r="U798" t="s">
        <v>9657</v>
      </c>
      <c r="V798" t="str">
        <f t="shared" si="72"/>
        <v>01</v>
      </c>
      <c r="W798" t="str">
        <f t="shared" si="73"/>
        <v>11</v>
      </c>
      <c r="X798" t="str">
        <f t="shared" si="74"/>
        <v>21</v>
      </c>
      <c r="Y798" t="str">
        <f t="shared" si="75"/>
        <v>2021</v>
      </c>
      <c r="Z798"/>
      <c r="AA798" s="2">
        <f t="shared" si="76"/>
        <v>44501</v>
      </c>
      <c r="AB798"/>
      <c r="AC798"/>
    </row>
    <row r="799" spans="21:29" ht="15">
      <c r="U799" t="s">
        <v>9657</v>
      </c>
      <c r="V799" t="str">
        <f t="shared" si="72"/>
        <v>01</v>
      </c>
      <c r="W799" t="str">
        <f t="shared" si="73"/>
        <v>11</v>
      </c>
      <c r="X799" t="str">
        <f t="shared" si="74"/>
        <v>21</v>
      </c>
      <c r="Y799" t="str">
        <f t="shared" si="75"/>
        <v>2021</v>
      </c>
      <c r="Z799"/>
      <c r="AA799" s="2">
        <f t="shared" si="76"/>
        <v>44501</v>
      </c>
      <c r="AB799"/>
      <c r="AC799"/>
    </row>
    <row r="800" spans="21:29" ht="15">
      <c r="U800" t="s">
        <v>9657</v>
      </c>
      <c r="V800" t="str">
        <f t="shared" si="72"/>
        <v>01</v>
      </c>
      <c r="W800" t="str">
        <f t="shared" si="73"/>
        <v>11</v>
      </c>
      <c r="X800" t="str">
        <f t="shared" si="74"/>
        <v>21</v>
      </c>
      <c r="Y800" t="str">
        <f t="shared" si="75"/>
        <v>2021</v>
      </c>
      <c r="Z800"/>
      <c r="AA800" s="2">
        <f t="shared" si="76"/>
        <v>44501</v>
      </c>
      <c r="AB800"/>
      <c r="AC800"/>
    </row>
    <row r="801" spans="21:29" ht="15">
      <c r="U801" t="s">
        <v>9658</v>
      </c>
      <c r="V801" t="str">
        <f t="shared" si="72"/>
        <v>02</v>
      </c>
      <c r="W801" t="str">
        <f t="shared" si="73"/>
        <v>11</v>
      </c>
      <c r="X801" t="str">
        <f t="shared" si="74"/>
        <v>21</v>
      </c>
      <c r="Y801" t="str">
        <f t="shared" si="75"/>
        <v>2021</v>
      </c>
      <c r="Z801"/>
      <c r="AA801" s="2">
        <f t="shared" si="76"/>
        <v>44502</v>
      </c>
      <c r="AB801"/>
      <c r="AC801"/>
    </row>
    <row r="802" spans="21:29" ht="15">
      <c r="U802" t="s">
        <v>9658</v>
      </c>
      <c r="V802" t="str">
        <f t="shared" si="72"/>
        <v>02</v>
      </c>
      <c r="W802" t="str">
        <f t="shared" si="73"/>
        <v>11</v>
      </c>
      <c r="X802" t="str">
        <f t="shared" si="74"/>
        <v>21</v>
      </c>
      <c r="Y802" t="str">
        <f t="shared" si="75"/>
        <v>2021</v>
      </c>
      <c r="Z802"/>
      <c r="AA802" s="2">
        <f t="shared" si="76"/>
        <v>44502</v>
      </c>
      <c r="AB802"/>
      <c r="AC802"/>
    </row>
    <row r="803" spans="21:29" ht="15">
      <c r="U803" t="s">
        <v>9658</v>
      </c>
      <c r="V803" t="str">
        <f t="shared" si="72"/>
        <v>02</v>
      </c>
      <c r="W803" t="str">
        <f t="shared" si="73"/>
        <v>11</v>
      </c>
      <c r="X803" t="str">
        <f t="shared" si="74"/>
        <v>21</v>
      </c>
      <c r="Y803" t="str">
        <f t="shared" si="75"/>
        <v>2021</v>
      </c>
      <c r="Z803"/>
      <c r="AA803" s="2">
        <f t="shared" si="76"/>
        <v>44502</v>
      </c>
      <c r="AB803"/>
      <c r="AC803"/>
    </row>
    <row r="804" spans="21:29" ht="15">
      <c r="U804" t="s">
        <v>9659</v>
      </c>
      <c r="V804" t="str">
        <f t="shared" si="72"/>
        <v>04</v>
      </c>
      <c r="W804" t="str">
        <f t="shared" si="73"/>
        <v>11</v>
      </c>
      <c r="X804" t="str">
        <f t="shared" si="74"/>
        <v>21</v>
      </c>
      <c r="Y804" t="str">
        <f t="shared" si="75"/>
        <v>2021</v>
      </c>
      <c r="Z804"/>
      <c r="AA804" s="2">
        <f t="shared" si="76"/>
        <v>44504</v>
      </c>
      <c r="AB804"/>
      <c r="AC804"/>
    </row>
    <row r="805" spans="21:29" ht="15">
      <c r="U805" t="s">
        <v>9660</v>
      </c>
      <c r="V805" t="str">
        <f t="shared" si="72"/>
        <v>05</v>
      </c>
      <c r="W805" t="str">
        <f t="shared" si="73"/>
        <v>11</v>
      </c>
      <c r="X805" t="str">
        <f t="shared" si="74"/>
        <v>21</v>
      </c>
      <c r="Y805" t="str">
        <f t="shared" si="75"/>
        <v>2021</v>
      </c>
      <c r="Z805"/>
      <c r="AA805" s="2">
        <f t="shared" si="76"/>
        <v>44505</v>
      </c>
      <c r="AB805"/>
      <c r="AC805"/>
    </row>
    <row r="806" spans="21:29" ht="15">
      <c r="U806" t="s">
        <v>9660</v>
      </c>
      <c r="V806" t="str">
        <f t="shared" si="72"/>
        <v>05</v>
      </c>
      <c r="W806" t="str">
        <f t="shared" si="73"/>
        <v>11</v>
      </c>
      <c r="X806" t="str">
        <f t="shared" si="74"/>
        <v>21</v>
      </c>
      <c r="Y806" t="str">
        <f t="shared" si="75"/>
        <v>2021</v>
      </c>
      <c r="Z806"/>
      <c r="AA806" s="2">
        <f t="shared" si="76"/>
        <v>44505</v>
      </c>
      <c r="AB806"/>
      <c r="AC806"/>
    </row>
    <row r="807" spans="21:29" ht="15">
      <c r="U807" t="s">
        <v>9661</v>
      </c>
      <c r="V807" t="str">
        <f t="shared" si="72"/>
        <v>06</v>
      </c>
      <c r="W807" t="str">
        <f t="shared" si="73"/>
        <v>11</v>
      </c>
      <c r="X807" t="str">
        <f t="shared" si="74"/>
        <v>21</v>
      </c>
      <c r="Y807" t="str">
        <f t="shared" si="75"/>
        <v>2021</v>
      </c>
      <c r="Z807"/>
      <c r="AA807" s="2">
        <f t="shared" si="76"/>
        <v>44506</v>
      </c>
      <c r="AB807"/>
      <c r="AC807"/>
    </row>
    <row r="808" spans="21:29" ht="15">
      <c r="U808" t="s">
        <v>9662</v>
      </c>
      <c r="V808" t="str">
        <f t="shared" si="72"/>
        <v>07</v>
      </c>
      <c r="W808" t="str">
        <f t="shared" si="73"/>
        <v>11</v>
      </c>
      <c r="X808" t="str">
        <f t="shared" si="74"/>
        <v>21</v>
      </c>
      <c r="Y808" t="str">
        <f t="shared" si="75"/>
        <v>2021</v>
      </c>
      <c r="Z808"/>
      <c r="AA808" s="2">
        <f t="shared" si="76"/>
        <v>44507</v>
      </c>
      <c r="AB808"/>
      <c r="AC808"/>
    </row>
    <row r="809" spans="21:29" ht="15">
      <c r="U809" t="s">
        <v>9662</v>
      </c>
      <c r="V809" t="str">
        <f t="shared" si="72"/>
        <v>07</v>
      </c>
      <c r="W809" t="str">
        <f t="shared" si="73"/>
        <v>11</v>
      </c>
      <c r="X809" t="str">
        <f t="shared" si="74"/>
        <v>21</v>
      </c>
      <c r="Y809" t="str">
        <f t="shared" si="75"/>
        <v>2021</v>
      </c>
      <c r="Z809"/>
      <c r="AA809" s="2">
        <f t="shared" si="76"/>
        <v>44507</v>
      </c>
      <c r="AB809"/>
      <c r="AC809"/>
    </row>
    <row r="810" spans="21:29" ht="15">
      <c r="U810" t="s">
        <v>9662</v>
      </c>
      <c r="V810" t="str">
        <f t="shared" si="72"/>
        <v>07</v>
      </c>
      <c r="W810" t="str">
        <f t="shared" si="73"/>
        <v>11</v>
      </c>
      <c r="X810" t="str">
        <f t="shared" si="74"/>
        <v>21</v>
      </c>
      <c r="Y810" t="str">
        <f t="shared" si="75"/>
        <v>2021</v>
      </c>
      <c r="Z810"/>
      <c r="AA810" s="2">
        <f t="shared" si="76"/>
        <v>44507</v>
      </c>
      <c r="AB810"/>
      <c r="AC810"/>
    </row>
    <row r="811" spans="21:29" ht="15">
      <c r="U811" t="s">
        <v>9663</v>
      </c>
      <c r="V811" t="str">
        <f t="shared" si="72"/>
        <v>08</v>
      </c>
      <c r="W811" t="str">
        <f t="shared" si="73"/>
        <v>11</v>
      </c>
      <c r="X811" t="str">
        <f t="shared" si="74"/>
        <v>21</v>
      </c>
      <c r="Y811" t="str">
        <f t="shared" si="75"/>
        <v>2021</v>
      </c>
      <c r="Z811"/>
      <c r="AA811" s="2">
        <f t="shared" si="76"/>
        <v>44508</v>
      </c>
      <c r="AB811"/>
      <c r="AC811"/>
    </row>
    <row r="812" spans="21:29" ht="15">
      <c r="U812" t="s">
        <v>9663</v>
      </c>
      <c r="V812" t="str">
        <f t="shared" si="72"/>
        <v>08</v>
      </c>
      <c r="W812" t="str">
        <f t="shared" si="73"/>
        <v>11</v>
      </c>
      <c r="X812" t="str">
        <f t="shared" si="74"/>
        <v>21</v>
      </c>
      <c r="Y812" t="str">
        <f t="shared" si="75"/>
        <v>2021</v>
      </c>
      <c r="Z812"/>
      <c r="AA812" s="2">
        <f t="shared" si="76"/>
        <v>44508</v>
      </c>
      <c r="AB812"/>
      <c r="AC812"/>
    </row>
    <row r="813" spans="21:29" ht="15">
      <c r="U813" t="s">
        <v>9663</v>
      </c>
      <c r="V813" t="str">
        <f t="shared" si="72"/>
        <v>08</v>
      </c>
      <c r="W813" t="str">
        <f t="shared" si="73"/>
        <v>11</v>
      </c>
      <c r="X813" t="str">
        <f t="shared" si="74"/>
        <v>21</v>
      </c>
      <c r="Y813" t="str">
        <f t="shared" si="75"/>
        <v>2021</v>
      </c>
      <c r="Z813"/>
      <c r="AA813" s="2">
        <f t="shared" si="76"/>
        <v>44508</v>
      </c>
      <c r="AB813"/>
      <c r="AC813"/>
    </row>
    <row r="814" spans="21:29" ht="15">
      <c r="U814" t="s">
        <v>9664</v>
      </c>
      <c r="V814" t="str">
        <f t="shared" si="72"/>
        <v>09</v>
      </c>
      <c r="W814" t="str">
        <f t="shared" si="73"/>
        <v>11</v>
      </c>
      <c r="X814" t="str">
        <f t="shared" si="74"/>
        <v>21</v>
      </c>
      <c r="Y814" t="str">
        <f t="shared" si="75"/>
        <v>2021</v>
      </c>
      <c r="Z814"/>
      <c r="AA814" s="2">
        <f t="shared" si="76"/>
        <v>44509</v>
      </c>
      <c r="AB814"/>
      <c r="AC814"/>
    </row>
    <row r="815" spans="21:29" ht="15">
      <c r="U815" t="s">
        <v>9665</v>
      </c>
      <c r="V815" t="str">
        <f t="shared" si="72"/>
        <v>10</v>
      </c>
      <c r="W815" t="str">
        <f t="shared" si="73"/>
        <v>11</v>
      </c>
      <c r="X815" t="str">
        <f t="shared" si="74"/>
        <v>21</v>
      </c>
      <c r="Y815" t="str">
        <f t="shared" si="75"/>
        <v>2021</v>
      </c>
      <c r="Z815"/>
      <c r="AA815" s="2">
        <f t="shared" si="76"/>
        <v>44510</v>
      </c>
      <c r="AB815"/>
      <c r="AC815"/>
    </row>
    <row r="816" spans="21:29" ht="15">
      <c r="U816" t="s">
        <v>9665</v>
      </c>
      <c r="V816" t="str">
        <f t="shared" si="72"/>
        <v>10</v>
      </c>
      <c r="W816" t="str">
        <f t="shared" si="73"/>
        <v>11</v>
      </c>
      <c r="X816" t="str">
        <f t="shared" si="74"/>
        <v>21</v>
      </c>
      <c r="Y816" t="str">
        <f t="shared" si="75"/>
        <v>2021</v>
      </c>
      <c r="Z816"/>
      <c r="AA816" s="2">
        <f t="shared" si="76"/>
        <v>44510</v>
      </c>
      <c r="AB816"/>
      <c r="AC816"/>
    </row>
    <row r="817" spans="21:29" ht="15">
      <c r="U817" t="s">
        <v>9665</v>
      </c>
      <c r="V817" t="str">
        <f t="shared" si="72"/>
        <v>10</v>
      </c>
      <c r="W817" t="str">
        <f t="shared" si="73"/>
        <v>11</v>
      </c>
      <c r="X817" t="str">
        <f t="shared" si="74"/>
        <v>21</v>
      </c>
      <c r="Y817" t="str">
        <f t="shared" si="75"/>
        <v>2021</v>
      </c>
      <c r="Z817"/>
      <c r="AA817" s="2">
        <f t="shared" si="76"/>
        <v>44510</v>
      </c>
      <c r="AB817"/>
      <c r="AC817"/>
    </row>
    <row r="818" spans="21:29" ht="15">
      <c r="U818" t="s">
        <v>9666</v>
      </c>
      <c r="V818" t="str">
        <f t="shared" si="72"/>
        <v>11</v>
      </c>
      <c r="W818" t="str">
        <f t="shared" si="73"/>
        <v>11</v>
      </c>
      <c r="X818" t="str">
        <f t="shared" si="74"/>
        <v>21</v>
      </c>
      <c r="Y818" t="str">
        <f t="shared" si="75"/>
        <v>2021</v>
      </c>
      <c r="Z818"/>
      <c r="AA818" s="2">
        <f t="shared" si="76"/>
        <v>44511</v>
      </c>
      <c r="AB818"/>
      <c r="AC818"/>
    </row>
    <row r="819" spans="21:29" ht="15">
      <c r="U819" t="s">
        <v>9667</v>
      </c>
      <c r="V819" t="str">
        <f t="shared" si="72"/>
        <v>12</v>
      </c>
      <c r="W819" t="str">
        <f t="shared" si="73"/>
        <v>11</v>
      </c>
      <c r="X819" t="str">
        <f t="shared" si="74"/>
        <v>21</v>
      </c>
      <c r="Y819" t="str">
        <f t="shared" si="75"/>
        <v>2021</v>
      </c>
      <c r="Z819"/>
      <c r="AA819" s="2">
        <f t="shared" si="76"/>
        <v>44512</v>
      </c>
      <c r="AB819"/>
      <c r="AC819"/>
    </row>
    <row r="820" spans="21:29" ht="15">
      <c r="U820" t="s">
        <v>9667</v>
      </c>
      <c r="V820" t="str">
        <f t="shared" si="72"/>
        <v>12</v>
      </c>
      <c r="W820" t="str">
        <f t="shared" si="73"/>
        <v>11</v>
      </c>
      <c r="X820" t="str">
        <f t="shared" si="74"/>
        <v>21</v>
      </c>
      <c r="Y820" t="str">
        <f t="shared" si="75"/>
        <v>2021</v>
      </c>
      <c r="Z820"/>
      <c r="AA820" s="2">
        <f t="shared" si="76"/>
        <v>44512</v>
      </c>
      <c r="AB820"/>
      <c r="AC820"/>
    </row>
    <row r="821" spans="21:29" ht="15">
      <c r="U821" t="s">
        <v>9668</v>
      </c>
      <c r="V821" t="str">
        <f t="shared" si="72"/>
        <v>13</v>
      </c>
      <c r="W821" t="str">
        <f t="shared" si="73"/>
        <v>11</v>
      </c>
      <c r="X821" t="str">
        <f t="shared" si="74"/>
        <v>21</v>
      </c>
      <c r="Y821" t="str">
        <f t="shared" si="75"/>
        <v>2021</v>
      </c>
      <c r="Z821"/>
      <c r="AA821" s="2">
        <f t="shared" si="76"/>
        <v>44513</v>
      </c>
      <c r="AB821"/>
      <c r="AC821"/>
    </row>
    <row r="822" spans="21:29" ht="15">
      <c r="U822" t="s">
        <v>9669</v>
      </c>
      <c r="V822" t="str">
        <f t="shared" si="72"/>
        <v>14</v>
      </c>
      <c r="W822" t="str">
        <f t="shared" si="73"/>
        <v>11</v>
      </c>
      <c r="X822" t="str">
        <f t="shared" si="74"/>
        <v>21</v>
      </c>
      <c r="Y822" t="str">
        <f t="shared" si="75"/>
        <v>2021</v>
      </c>
      <c r="Z822"/>
      <c r="AA822" s="2">
        <f t="shared" si="76"/>
        <v>44514</v>
      </c>
      <c r="AB822"/>
      <c r="AC822"/>
    </row>
    <row r="823" spans="21:29" ht="15">
      <c r="U823" t="s">
        <v>9670</v>
      </c>
      <c r="V823" t="str">
        <f t="shared" si="72"/>
        <v>16</v>
      </c>
      <c r="W823" t="str">
        <f t="shared" si="73"/>
        <v>11</v>
      </c>
      <c r="X823" t="str">
        <f t="shared" si="74"/>
        <v>21</v>
      </c>
      <c r="Y823" t="str">
        <f t="shared" si="75"/>
        <v>2021</v>
      </c>
      <c r="Z823"/>
      <c r="AA823" s="2">
        <f t="shared" si="76"/>
        <v>44516</v>
      </c>
      <c r="AB823"/>
      <c r="AC823"/>
    </row>
    <row r="824" spans="21:29" ht="15">
      <c r="U824" t="s">
        <v>9671</v>
      </c>
      <c r="V824" t="str">
        <f t="shared" si="72"/>
        <v>17</v>
      </c>
      <c r="W824" t="str">
        <f t="shared" si="73"/>
        <v>11</v>
      </c>
      <c r="X824" t="str">
        <f t="shared" si="74"/>
        <v>21</v>
      </c>
      <c r="Y824" t="str">
        <f t="shared" si="75"/>
        <v>2021</v>
      </c>
      <c r="Z824"/>
      <c r="AA824" s="2">
        <f t="shared" si="76"/>
        <v>44517</v>
      </c>
      <c r="AB824"/>
      <c r="AC824"/>
    </row>
    <row r="825" spans="21:29" ht="15">
      <c r="U825" t="s">
        <v>9671</v>
      </c>
      <c r="V825" t="str">
        <f t="shared" si="72"/>
        <v>17</v>
      </c>
      <c r="W825" t="str">
        <f t="shared" si="73"/>
        <v>11</v>
      </c>
      <c r="X825" t="str">
        <f t="shared" si="74"/>
        <v>21</v>
      </c>
      <c r="Y825" t="str">
        <f t="shared" si="75"/>
        <v>2021</v>
      </c>
      <c r="Z825"/>
      <c r="AA825" s="2">
        <f t="shared" si="76"/>
        <v>44517</v>
      </c>
      <c r="AB825"/>
      <c r="AC825"/>
    </row>
    <row r="826" spans="21:29" ht="15">
      <c r="U826" t="s">
        <v>9672</v>
      </c>
      <c r="V826" t="str">
        <f t="shared" si="72"/>
        <v>18</v>
      </c>
      <c r="W826" t="str">
        <f t="shared" si="73"/>
        <v>11</v>
      </c>
      <c r="X826" t="str">
        <f t="shared" si="74"/>
        <v>21</v>
      </c>
      <c r="Y826" t="str">
        <f t="shared" si="75"/>
        <v>2021</v>
      </c>
      <c r="Z826"/>
      <c r="AA826" s="2">
        <f t="shared" si="76"/>
        <v>44518</v>
      </c>
      <c r="AB826"/>
      <c r="AC826"/>
    </row>
    <row r="827" spans="21:29" ht="15">
      <c r="U827" t="s">
        <v>9673</v>
      </c>
      <c r="V827" t="str">
        <f t="shared" si="72"/>
        <v>19</v>
      </c>
      <c r="W827" t="str">
        <f t="shared" si="73"/>
        <v>11</v>
      </c>
      <c r="X827" t="str">
        <f t="shared" si="74"/>
        <v>21</v>
      </c>
      <c r="Y827" t="str">
        <f t="shared" si="75"/>
        <v>2021</v>
      </c>
      <c r="Z827"/>
      <c r="AA827" s="2">
        <f t="shared" si="76"/>
        <v>44519</v>
      </c>
      <c r="AB827"/>
      <c r="AC827"/>
    </row>
    <row r="828" spans="21:29" ht="15">
      <c r="U828" t="s">
        <v>9674</v>
      </c>
      <c r="V828" t="str">
        <f t="shared" si="72"/>
        <v>20</v>
      </c>
      <c r="W828" t="str">
        <f t="shared" si="73"/>
        <v>11</v>
      </c>
      <c r="X828" t="str">
        <f t="shared" si="74"/>
        <v>21</v>
      </c>
      <c r="Y828" t="str">
        <f t="shared" si="75"/>
        <v>2021</v>
      </c>
      <c r="Z828"/>
      <c r="AA828" s="2">
        <f t="shared" si="76"/>
        <v>44520</v>
      </c>
      <c r="AB828"/>
      <c r="AC828"/>
    </row>
    <row r="829" spans="21:29" ht="15">
      <c r="U829" t="s">
        <v>9675</v>
      </c>
      <c r="V829" t="str">
        <f t="shared" si="72"/>
        <v>21</v>
      </c>
      <c r="W829" t="str">
        <f t="shared" si="73"/>
        <v>11</v>
      </c>
      <c r="X829" t="str">
        <f t="shared" si="74"/>
        <v>21</v>
      </c>
      <c r="Y829" t="str">
        <f t="shared" si="75"/>
        <v>2021</v>
      </c>
      <c r="Z829"/>
      <c r="AA829" s="2">
        <f t="shared" si="76"/>
        <v>44521</v>
      </c>
      <c r="AB829"/>
      <c r="AC829"/>
    </row>
    <row r="830" spans="21:29" ht="15">
      <c r="U830" t="s">
        <v>9675</v>
      </c>
      <c r="V830" t="str">
        <f t="shared" si="72"/>
        <v>21</v>
      </c>
      <c r="W830" t="str">
        <f t="shared" si="73"/>
        <v>11</v>
      </c>
      <c r="X830" t="str">
        <f t="shared" si="74"/>
        <v>21</v>
      </c>
      <c r="Y830" t="str">
        <f t="shared" si="75"/>
        <v>2021</v>
      </c>
      <c r="Z830"/>
      <c r="AA830" s="2">
        <f t="shared" si="76"/>
        <v>44521</v>
      </c>
      <c r="AB830"/>
      <c r="AC830"/>
    </row>
    <row r="831" spans="21:29" ht="15">
      <c r="U831" t="s">
        <v>9675</v>
      </c>
      <c r="V831" t="str">
        <f t="shared" si="72"/>
        <v>21</v>
      </c>
      <c r="W831" t="str">
        <f t="shared" si="73"/>
        <v>11</v>
      </c>
      <c r="X831" t="str">
        <f t="shared" si="74"/>
        <v>21</v>
      </c>
      <c r="Y831" t="str">
        <f t="shared" si="75"/>
        <v>2021</v>
      </c>
      <c r="Z831"/>
      <c r="AA831" s="2">
        <f t="shared" si="76"/>
        <v>44521</v>
      </c>
      <c r="AB831"/>
      <c r="AC831"/>
    </row>
    <row r="832" spans="21:29" ht="15">
      <c r="U832" t="s">
        <v>9676</v>
      </c>
      <c r="V832" t="str">
        <f t="shared" si="72"/>
        <v>22</v>
      </c>
      <c r="W832" t="str">
        <f t="shared" si="73"/>
        <v>11</v>
      </c>
      <c r="X832" t="str">
        <f t="shared" si="74"/>
        <v>21</v>
      </c>
      <c r="Y832" t="str">
        <f t="shared" si="75"/>
        <v>2021</v>
      </c>
      <c r="Z832"/>
      <c r="AA832" s="2">
        <f t="shared" si="76"/>
        <v>44522</v>
      </c>
      <c r="AB832"/>
      <c r="AC832"/>
    </row>
    <row r="833" spans="21:29" ht="15">
      <c r="U833" t="s">
        <v>9677</v>
      </c>
      <c r="V833" t="str">
        <f t="shared" si="72"/>
        <v>23</v>
      </c>
      <c r="W833" t="str">
        <f t="shared" si="73"/>
        <v>11</v>
      </c>
      <c r="X833" t="str">
        <f t="shared" si="74"/>
        <v>21</v>
      </c>
      <c r="Y833" t="str">
        <f t="shared" si="75"/>
        <v>2021</v>
      </c>
      <c r="Z833"/>
      <c r="AA833" s="2">
        <f t="shared" si="76"/>
        <v>44523</v>
      </c>
      <c r="AB833"/>
      <c r="AC833"/>
    </row>
    <row r="834" spans="21:29" ht="15">
      <c r="U834" t="s">
        <v>9678</v>
      </c>
      <c r="V834" t="str">
        <f t="shared" si="72"/>
        <v>25</v>
      </c>
      <c r="W834" t="str">
        <f t="shared" si="73"/>
        <v>11</v>
      </c>
      <c r="X834" t="str">
        <f t="shared" si="74"/>
        <v>21</v>
      </c>
      <c r="Y834" t="str">
        <f t="shared" si="75"/>
        <v>2021</v>
      </c>
      <c r="Z834"/>
      <c r="AA834" s="2">
        <f t="shared" si="76"/>
        <v>44525</v>
      </c>
      <c r="AB834"/>
      <c r="AC834"/>
    </row>
    <row r="835" spans="21:29" ht="15">
      <c r="U835" t="s">
        <v>9678</v>
      </c>
      <c r="V835" t="str">
        <f t="shared" ref="V835:V898" si="77">LEFT(U835,2)</f>
        <v>25</v>
      </c>
      <c r="W835" t="str">
        <f t="shared" ref="W835:W898" si="78">MID(U835,4,2)</f>
        <v>11</v>
      </c>
      <c r="X835" t="str">
        <f t="shared" ref="X835:X898" si="79">RIGHT(U835,2)</f>
        <v>21</v>
      </c>
      <c r="Y835" t="str">
        <f t="shared" ref="Y835:Y898" si="80">"20" &amp; X835</f>
        <v>2021</v>
      </c>
      <c r="Z835"/>
      <c r="AA835" s="2">
        <f t="shared" ref="AA835:AA898" si="81">DATE(Y835,W835,V835)</f>
        <v>44525</v>
      </c>
      <c r="AB835"/>
      <c r="AC835"/>
    </row>
    <row r="836" spans="21:29" ht="15">
      <c r="U836" t="s">
        <v>9678</v>
      </c>
      <c r="V836" t="str">
        <f t="shared" si="77"/>
        <v>25</v>
      </c>
      <c r="W836" t="str">
        <f t="shared" si="78"/>
        <v>11</v>
      </c>
      <c r="X836" t="str">
        <f t="shared" si="79"/>
        <v>21</v>
      </c>
      <c r="Y836" t="str">
        <f t="shared" si="80"/>
        <v>2021</v>
      </c>
      <c r="Z836"/>
      <c r="AA836" s="2">
        <f t="shared" si="81"/>
        <v>44525</v>
      </c>
      <c r="AB836"/>
      <c r="AC836"/>
    </row>
    <row r="837" spans="21:29" ht="15">
      <c r="U837" t="s">
        <v>9679</v>
      </c>
      <c r="V837" t="str">
        <f t="shared" si="77"/>
        <v>26</v>
      </c>
      <c r="W837" t="str">
        <f t="shared" si="78"/>
        <v>11</v>
      </c>
      <c r="X837" t="str">
        <f t="shared" si="79"/>
        <v>21</v>
      </c>
      <c r="Y837" t="str">
        <f t="shared" si="80"/>
        <v>2021</v>
      </c>
      <c r="Z837"/>
      <c r="AA837" s="2">
        <f t="shared" si="81"/>
        <v>44526</v>
      </c>
      <c r="AB837"/>
      <c r="AC837"/>
    </row>
    <row r="838" spans="21:29" ht="15">
      <c r="U838" t="s">
        <v>9679</v>
      </c>
      <c r="V838" t="str">
        <f t="shared" si="77"/>
        <v>26</v>
      </c>
      <c r="W838" t="str">
        <f t="shared" si="78"/>
        <v>11</v>
      </c>
      <c r="X838" t="str">
        <f t="shared" si="79"/>
        <v>21</v>
      </c>
      <c r="Y838" t="str">
        <f t="shared" si="80"/>
        <v>2021</v>
      </c>
      <c r="Z838"/>
      <c r="AA838" s="2">
        <f t="shared" si="81"/>
        <v>44526</v>
      </c>
      <c r="AB838"/>
      <c r="AC838"/>
    </row>
    <row r="839" spans="21:29" ht="15">
      <c r="U839" t="s">
        <v>9679</v>
      </c>
      <c r="V839" t="str">
        <f t="shared" si="77"/>
        <v>26</v>
      </c>
      <c r="W839" t="str">
        <f t="shared" si="78"/>
        <v>11</v>
      </c>
      <c r="X839" t="str">
        <f t="shared" si="79"/>
        <v>21</v>
      </c>
      <c r="Y839" t="str">
        <f t="shared" si="80"/>
        <v>2021</v>
      </c>
      <c r="Z839"/>
      <c r="AA839" s="2">
        <f t="shared" si="81"/>
        <v>44526</v>
      </c>
      <c r="AB839"/>
      <c r="AC839"/>
    </row>
    <row r="840" spans="21:29" ht="15">
      <c r="U840" t="s">
        <v>9679</v>
      </c>
      <c r="V840" t="str">
        <f t="shared" si="77"/>
        <v>26</v>
      </c>
      <c r="W840" t="str">
        <f t="shared" si="78"/>
        <v>11</v>
      </c>
      <c r="X840" t="str">
        <f t="shared" si="79"/>
        <v>21</v>
      </c>
      <c r="Y840" t="str">
        <f t="shared" si="80"/>
        <v>2021</v>
      </c>
      <c r="Z840"/>
      <c r="AA840" s="2">
        <f t="shared" si="81"/>
        <v>44526</v>
      </c>
      <c r="AB840"/>
      <c r="AC840"/>
    </row>
    <row r="841" spans="21:29" ht="15">
      <c r="U841" t="s">
        <v>9679</v>
      </c>
      <c r="V841" t="str">
        <f t="shared" si="77"/>
        <v>26</v>
      </c>
      <c r="W841" t="str">
        <f t="shared" si="78"/>
        <v>11</v>
      </c>
      <c r="X841" t="str">
        <f t="shared" si="79"/>
        <v>21</v>
      </c>
      <c r="Y841" t="str">
        <f t="shared" si="80"/>
        <v>2021</v>
      </c>
      <c r="Z841"/>
      <c r="AA841" s="2">
        <f t="shared" si="81"/>
        <v>44526</v>
      </c>
      <c r="AB841"/>
      <c r="AC841"/>
    </row>
    <row r="842" spans="21:29" ht="15">
      <c r="U842" t="s">
        <v>9680</v>
      </c>
      <c r="V842" t="str">
        <f t="shared" si="77"/>
        <v>27</v>
      </c>
      <c r="W842" t="str">
        <f t="shared" si="78"/>
        <v>11</v>
      </c>
      <c r="X842" t="str">
        <f t="shared" si="79"/>
        <v>21</v>
      </c>
      <c r="Y842" t="str">
        <f t="shared" si="80"/>
        <v>2021</v>
      </c>
      <c r="Z842"/>
      <c r="AA842" s="2">
        <f t="shared" si="81"/>
        <v>44527</v>
      </c>
      <c r="AB842"/>
      <c r="AC842"/>
    </row>
    <row r="843" spans="21:29" ht="15">
      <c r="U843" t="s">
        <v>9681</v>
      </c>
      <c r="V843" t="str">
        <f t="shared" si="77"/>
        <v>28</v>
      </c>
      <c r="W843" t="str">
        <f t="shared" si="78"/>
        <v>11</v>
      </c>
      <c r="X843" t="str">
        <f t="shared" si="79"/>
        <v>21</v>
      </c>
      <c r="Y843" t="str">
        <f t="shared" si="80"/>
        <v>2021</v>
      </c>
      <c r="Z843"/>
      <c r="AA843" s="2">
        <f t="shared" si="81"/>
        <v>44528</v>
      </c>
      <c r="AB843"/>
      <c r="AC843"/>
    </row>
    <row r="844" spans="21:29" ht="15">
      <c r="U844" t="s">
        <v>9681</v>
      </c>
      <c r="V844" t="str">
        <f t="shared" si="77"/>
        <v>28</v>
      </c>
      <c r="W844" t="str">
        <f t="shared" si="78"/>
        <v>11</v>
      </c>
      <c r="X844" t="str">
        <f t="shared" si="79"/>
        <v>21</v>
      </c>
      <c r="Y844" t="str">
        <f t="shared" si="80"/>
        <v>2021</v>
      </c>
      <c r="Z844"/>
      <c r="AA844" s="2">
        <f t="shared" si="81"/>
        <v>44528</v>
      </c>
      <c r="AB844"/>
      <c r="AC844"/>
    </row>
    <row r="845" spans="21:29" ht="15">
      <c r="U845" t="s">
        <v>9682</v>
      </c>
      <c r="V845" t="str">
        <f t="shared" si="77"/>
        <v>01</v>
      </c>
      <c r="W845" t="str">
        <f t="shared" si="78"/>
        <v>12</v>
      </c>
      <c r="X845" t="str">
        <f t="shared" si="79"/>
        <v>21</v>
      </c>
      <c r="Y845" t="str">
        <f t="shared" si="80"/>
        <v>2021</v>
      </c>
      <c r="Z845"/>
      <c r="AA845" s="2">
        <f t="shared" si="81"/>
        <v>44531</v>
      </c>
      <c r="AB845"/>
      <c r="AC845"/>
    </row>
    <row r="846" spans="21:29" ht="15">
      <c r="U846" t="s">
        <v>9682</v>
      </c>
      <c r="V846" t="str">
        <f t="shared" si="77"/>
        <v>01</v>
      </c>
      <c r="W846" t="str">
        <f t="shared" si="78"/>
        <v>12</v>
      </c>
      <c r="X846" t="str">
        <f t="shared" si="79"/>
        <v>21</v>
      </c>
      <c r="Y846" t="str">
        <f t="shared" si="80"/>
        <v>2021</v>
      </c>
      <c r="Z846"/>
      <c r="AA846" s="2">
        <f t="shared" si="81"/>
        <v>44531</v>
      </c>
      <c r="AB846"/>
      <c r="AC846"/>
    </row>
    <row r="847" spans="21:29" ht="15">
      <c r="U847" t="s">
        <v>9682</v>
      </c>
      <c r="V847" t="str">
        <f t="shared" si="77"/>
        <v>01</v>
      </c>
      <c r="W847" t="str">
        <f t="shared" si="78"/>
        <v>12</v>
      </c>
      <c r="X847" t="str">
        <f t="shared" si="79"/>
        <v>21</v>
      </c>
      <c r="Y847" t="str">
        <f t="shared" si="80"/>
        <v>2021</v>
      </c>
      <c r="Z847"/>
      <c r="AA847" s="2">
        <f t="shared" si="81"/>
        <v>44531</v>
      </c>
      <c r="AB847"/>
      <c r="AC847"/>
    </row>
    <row r="848" spans="21:29" ht="15">
      <c r="U848" t="s">
        <v>9682</v>
      </c>
      <c r="V848" t="str">
        <f t="shared" si="77"/>
        <v>01</v>
      </c>
      <c r="W848" t="str">
        <f t="shared" si="78"/>
        <v>12</v>
      </c>
      <c r="X848" t="str">
        <f t="shared" si="79"/>
        <v>21</v>
      </c>
      <c r="Y848" t="str">
        <f t="shared" si="80"/>
        <v>2021</v>
      </c>
      <c r="Z848"/>
      <c r="AA848" s="2">
        <f t="shared" si="81"/>
        <v>44531</v>
      </c>
      <c r="AB848"/>
      <c r="AC848"/>
    </row>
    <row r="849" spans="21:29" ht="15">
      <c r="U849" t="s">
        <v>9682</v>
      </c>
      <c r="V849" t="str">
        <f t="shared" si="77"/>
        <v>01</v>
      </c>
      <c r="W849" t="str">
        <f t="shared" si="78"/>
        <v>12</v>
      </c>
      <c r="X849" t="str">
        <f t="shared" si="79"/>
        <v>21</v>
      </c>
      <c r="Y849" t="str">
        <f t="shared" si="80"/>
        <v>2021</v>
      </c>
      <c r="Z849"/>
      <c r="AA849" s="2">
        <f t="shared" si="81"/>
        <v>44531</v>
      </c>
      <c r="AB849"/>
      <c r="AC849"/>
    </row>
    <row r="850" spans="21:29" ht="15">
      <c r="U850" t="s">
        <v>9683</v>
      </c>
      <c r="V850" t="str">
        <f t="shared" si="77"/>
        <v>02</v>
      </c>
      <c r="W850" t="str">
        <f t="shared" si="78"/>
        <v>12</v>
      </c>
      <c r="X850" t="str">
        <f t="shared" si="79"/>
        <v>21</v>
      </c>
      <c r="Y850" t="str">
        <f t="shared" si="80"/>
        <v>2021</v>
      </c>
      <c r="Z850"/>
      <c r="AA850" s="2">
        <f t="shared" si="81"/>
        <v>44532</v>
      </c>
      <c r="AB850"/>
      <c r="AC850"/>
    </row>
    <row r="851" spans="21:29" ht="15">
      <c r="U851" t="s">
        <v>9683</v>
      </c>
      <c r="V851" t="str">
        <f t="shared" si="77"/>
        <v>02</v>
      </c>
      <c r="W851" t="str">
        <f t="shared" si="78"/>
        <v>12</v>
      </c>
      <c r="X851" t="str">
        <f t="shared" si="79"/>
        <v>21</v>
      </c>
      <c r="Y851" t="str">
        <f t="shared" si="80"/>
        <v>2021</v>
      </c>
      <c r="Z851"/>
      <c r="AA851" s="2">
        <f t="shared" si="81"/>
        <v>44532</v>
      </c>
      <c r="AB851"/>
      <c r="AC851"/>
    </row>
    <row r="852" spans="21:29" ht="15">
      <c r="U852" t="s">
        <v>9684</v>
      </c>
      <c r="V852" t="str">
        <f t="shared" si="77"/>
        <v>06</v>
      </c>
      <c r="W852" t="str">
        <f t="shared" si="78"/>
        <v>12</v>
      </c>
      <c r="X852" t="str">
        <f t="shared" si="79"/>
        <v>21</v>
      </c>
      <c r="Y852" t="str">
        <f t="shared" si="80"/>
        <v>2021</v>
      </c>
      <c r="Z852"/>
      <c r="AA852" s="2">
        <f t="shared" si="81"/>
        <v>44536</v>
      </c>
      <c r="AB852"/>
      <c r="AC852"/>
    </row>
    <row r="853" spans="21:29" ht="15">
      <c r="U853" t="s">
        <v>9685</v>
      </c>
      <c r="V853" t="str">
        <f t="shared" si="77"/>
        <v>07</v>
      </c>
      <c r="W853" t="str">
        <f t="shared" si="78"/>
        <v>12</v>
      </c>
      <c r="X853" t="str">
        <f t="shared" si="79"/>
        <v>21</v>
      </c>
      <c r="Y853" t="str">
        <f t="shared" si="80"/>
        <v>2021</v>
      </c>
      <c r="Z853"/>
      <c r="AA853" s="2">
        <f t="shared" si="81"/>
        <v>44537</v>
      </c>
      <c r="AB853"/>
      <c r="AC853"/>
    </row>
    <row r="854" spans="21:29" ht="15">
      <c r="U854" t="s">
        <v>9685</v>
      </c>
      <c r="V854" t="str">
        <f t="shared" si="77"/>
        <v>07</v>
      </c>
      <c r="W854" t="str">
        <f t="shared" si="78"/>
        <v>12</v>
      </c>
      <c r="X854" t="str">
        <f t="shared" si="79"/>
        <v>21</v>
      </c>
      <c r="Y854" t="str">
        <f t="shared" si="80"/>
        <v>2021</v>
      </c>
      <c r="Z854"/>
      <c r="AA854" s="2">
        <f t="shared" si="81"/>
        <v>44537</v>
      </c>
      <c r="AB854"/>
      <c r="AC854"/>
    </row>
    <row r="855" spans="21:29" ht="15">
      <c r="U855" t="s">
        <v>9685</v>
      </c>
      <c r="V855" t="str">
        <f t="shared" si="77"/>
        <v>07</v>
      </c>
      <c r="W855" t="str">
        <f t="shared" si="78"/>
        <v>12</v>
      </c>
      <c r="X855" t="str">
        <f t="shared" si="79"/>
        <v>21</v>
      </c>
      <c r="Y855" t="str">
        <f t="shared" si="80"/>
        <v>2021</v>
      </c>
      <c r="Z855"/>
      <c r="AA855" s="2">
        <f t="shared" si="81"/>
        <v>44537</v>
      </c>
      <c r="AB855"/>
      <c r="AC855"/>
    </row>
    <row r="856" spans="21:29" ht="15">
      <c r="U856" t="s">
        <v>9685</v>
      </c>
      <c r="V856" t="str">
        <f t="shared" si="77"/>
        <v>07</v>
      </c>
      <c r="W856" t="str">
        <f t="shared" si="78"/>
        <v>12</v>
      </c>
      <c r="X856" t="str">
        <f t="shared" si="79"/>
        <v>21</v>
      </c>
      <c r="Y856" t="str">
        <f t="shared" si="80"/>
        <v>2021</v>
      </c>
      <c r="Z856"/>
      <c r="AA856" s="2">
        <f t="shared" si="81"/>
        <v>44537</v>
      </c>
      <c r="AB856"/>
      <c r="AC856"/>
    </row>
    <row r="857" spans="21:29" ht="15">
      <c r="U857" t="s">
        <v>9686</v>
      </c>
      <c r="V857" t="str">
        <f t="shared" si="77"/>
        <v>08</v>
      </c>
      <c r="W857" t="str">
        <f t="shared" si="78"/>
        <v>12</v>
      </c>
      <c r="X857" t="str">
        <f t="shared" si="79"/>
        <v>21</v>
      </c>
      <c r="Y857" t="str">
        <f t="shared" si="80"/>
        <v>2021</v>
      </c>
      <c r="Z857"/>
      <c r="AA857" s="2">
        <f t="shared" si="81"/>
        <v>44538</v>
      </c>
      <c r="AB857"/>
      <c r="AC857"/>
    </row>
    <row r="858" spans="21:29" ht="15">
      <c r="U858" t="s">
        <v>9686</v>
      </c>
      <c r="V858" t="str">
        <f t="shared" si="77"/>
        <v>08</v>
      </c>
      <c r="W858" t="str">
        <f t="shared" si="78"/>
        <v>12</v>
      </c>
      <c r="X858" t="str">
        <f t="shared" si="79"/>
        <v>21</v>
      </c>
      <c r="Y858" t="str">
        <f t="shared" si="80"/>
        <v>2021</v>
      </c>
      <c r="Z858"/>
      <c r="AA858" s="2">
        <f t="shared" si="81"/>
        <v>44538</v>
      </c>
      <c r="AB858"/>
      <c r="AC858"/>
    </row>
    <row r="859" spans="21:29" ht="15">
      <c r="U859" t="s">
        <v>9687</v>
      </c>
      <c r="V859" t="str">
        <f t="shared" si="77"/>
        <v>09</v>
      </c>
      <c r="W859" t="str">
        <f t="shared" si="78"/>
        <v>12</v>
      </c>
      <c r="X859" t="str">
        <f t="shared" si="79"/>
        <v>21</v>
      </c>
      <c r="Y859" t="str">
        <f t="shared" si="80"/>
        <v>2021</v>
      </c>
      <c r="Z859"/>
      <c r="AA859" s="2">
        <f t="shared" si="81"/>
        <v>44539</v>
      </c>
      <c r="AB859"/>
      <c r="AC859"/>
    </row>
    <row r="860" spans="21:29" ht="15">
      <c r="U860" t="s">
        <v>9688</v>
      </c>
      <c r="V860" t="str">
        <f t="shared" si="77"/>
        <v>11</v>
      </c>
      <c r="W860" t="str">
        <f t="shared" si="78"/>
        <v>12</v>
      </c>
      <c r="X860" t="str">
        <f t="shared" si="79"/>
        <v>21</v>
      </c>
      <c r="Y860" t="str">
        <f t="shared" si="80"/>
        <v>2021</v>
      </c>
      <c r="Z860"/>
      <c r="AA860" s="2">
        <f t="shared" si="81"/>
        <v>44541</v>
      </c>
      <c r="AB860"/>
      <c r="AC860"/>
    </row>
    <row r="861" spans="21:29" ht="15">
      <c r="U861" t="s">
        <v>9688</v>
      </c>
      <c r="V861" t="str">
        <f t="shared" si="77"/>
        <v>11</v>
      </c>
      <c r="W861" t="str">
        <f t="shared" si="78"/>
        <v>12</v>
      </c>
      <c r="X861" t="str">
        <f t="shared" si="79"/>
        <v>21</v>
      </c>
      <c r="Y861" t="str">
        <f t="shared" si="80"/>
        <v>2021</v>
      </c>
      <c r="Z861"/>
      <c r="AA861" s="2">
        <f t="shared" si="81"/>
        <v>44541</v>
      </c>
      <c r="AB861"/>
      <c r="AC861"/>
    </row>
    <row r="862" spans="21:29" ht="15">
      <c r="U862" t="s">
        <v>9689</v>
      </c>
      <c r="V862" t="str">
        <f t="shared" si="77"/>
        <v>12</v>
      </c>
      <c r="W862" t="str">
        <f t="shared" si="78"/>
        <v>12</v>
      </c>
      <c r="X862" t="str">
        <f t="shared" si="79"/>
        <v>21</v>
      </c>
      <c r="Y862" t="str">
        <f t="shared" si="80"/>
        <v>2021</v>
      </c>
      <c r="Z862"/>
      <c r="AA862" s="2">
        <f t="shared" si="81"/>
        <v>44542</v>
      </c>
      <c r="AB862"/>
      <c r="AC862"/>
    </row>
    <row r="863" spans="21:29" ht="15">
      <c r="U863" t="s">
        <v>9689</v>
      </c>
      <c r="V863" t="str">
        <f t="shared" si="77"/>
        <v>12</v>
      </c>
      <c r="W863" t="str">
        <f t="shared" si="78"/>
        <v>12</v>
      </c>
      <c r="X863" t="str">
        <f t="shared" si="79"/>
        <v>21</v>
      </c>
      <c r="Y863" t="str">
        <f t="shared" si="80"/>
        <v>2021</v>
      </c>
      <c r="Z863"/>
      <c r="AA863" s="2">
        <f t="shared" si="81"/>
        <v>44542</v>
      </c>
      <c r="AB863"/>
      <c r="AC863"/>
    </row>
    <row r="864" spans="21:29" ht="15">
      <c r="U864" t="s">
        <v>9689</v>
      </c>
      <c r="V864" t="str">
        <f t="shared" si="77"/>
        <v>12</v>
      </c>
      <c r="W864" t="str">
        <f t="shared" si="78"/>
        <v>12</v>
      </c>
      <c r="X864" t="str">
        <f t="shared" si="79"/>
        <v>21</v>
      </c>
      <c r="Y864" t="str">
        <f t="shared" si="80"/>
        <v>2021</v>
      </c>
      <c r="Z864"/>
      <c r="AA864" s="2">
        <f t="shared" si="81"/>
        <v>44542</v>
      </c>
      <c r="AB864"/>
      <c r="AC864"/>
    </row>
    <row r="865" spans="21:29" ht="15">
      <c r="U865" t="s">
        <v>9690</v>
      </c>
      <c r="V865" t="str">
        <f t="shared" si="77"/>
        <v>14</v>
      </c>
      <c r="W865" t="str">
        <f t="shared" si="78"/>
        <v>12</v>
      </c>
      <c r="X865" t="str">
        <f t="shared" si="79"/>
        <v>21</v>
      </c>
      <c r="Y865" t="str">
        <f t="shared" si="80"/>
        <v>2021</v>
      </c>
      <c r="Z865"/>
      <c r="AA865" s="2">
        <f t="shared" si="81"/>
        <v>44544</v>
      </c>
      <c r="AB865"/>
      <c r="AC865"/>
    </row>
    <row r="866" spans="21:29" ht="15">
      <c r="U866" t="s">
        <v>9691</v>
      </c>
      <c r="V866" t="str">
        <f t="shared" si="77"/>
        <v>15</v>
      </c>
      <c r="W866" t="str">
        <f t="shared" si="78"/>
        <v>12</v>
      </c>
      <c r="X866" t="str">
        <f t="shared" si="79"/>
        <v>21</v>
      </c>
      <c r="Y866" t="str">
        <f t="shared" si="80"/>
        <v>2021</v>
      </c>
      <c r="Z866"/>
      <c r="AA866" s="2">
        <f t="shared" si="81"/>
        <v>44545</v>
      </c>
      <c r="AB866"/>
      <c r="AC866"/>
    </row>
    <row r="867" spans="21:29" ht="15">
      <c r="U867" t="s">
        <v>9691</v>
      </c>
      <c r="V867" t="str">
        <f t="shared" si="77"/>
        <v>15</v>
      </c>
      <c r="W867" t="str">
        <f t="shared" si="78"/>
        <v>12</v>
      </c>
      <c r="X867" t="str">
        <f t="shared" si="79"/>
        <v>21</v>
      </c>
      <c r="Y867" t="str">
        <f t="shared" si="80"/>
        <v>2021</v>
      </c>
      <c r="Z867"/>
      <c r="AA867" s="2">
        <f t="shared" si="81"/>
        <v>44545</v>
      </c>
      <c r="AB867"/>
      <c r="AC867"/>
    </row>
    <row r="868" spans="21:29" ht="15">
      <c r="U868" t="s">
        <v>9691</v>
      </c>
      <c r="V868" t="str">
        <f t="shared" si="77"/>
        <v>15</v>
      </c>
      <c r="W868" t="str">
        <f t="shared" si="78"/>
        <v>12</v>
      </c>
      <c r="X868" t="str">
        <f t="shared" si="79"/>
        <v>21</v>
      </c>
      <c r="Y868" t="str">
        <f t="shared" si="80"/>
        <v>2021</v>
      </c>
      <c r="Z868"/>
      <c r="AA868" s="2">
        <f t="shared" si="81"/>
        <v>44545</v>
      </c>
      <c r="AB868"/>
      <c r="AC868"/>
    </row>
    <row r="869" spans="21:29" ht="15">
      <c r="U869" t="s">
        <v>9692</v>
      </c>
      <c r="V869" t="str">
        <f t="shared" si="77"/>
        <v>16</v>
      </c>
      <c r="W869" t="str">
        <f t="shared" si="78"/>
        <v>12</v>
      </c>
      <c r="X869" t="str">
        <f t="shared" si="79"/>
        <v>21</v>
      </c>
      <c r="Y869" t="str">
        <f t="shared" si="80"/>
        <v>2021</v>
      </c>
      <c r="Z869"/>
      <c r="AA869" s="2">
        <f t="shared" si="81"/>
        <v>44546</v>
      </c>
      <c r="AB869"/>
      <c r="AC869"/>
    </row>
    <row r="870" spans="21:29" ht="15">
      <c r="U870" t="s">
        <v>9692</v>
      </c>
      <c r="V870" t="str">
        <f t="shared" si="77"/>
        <v>16</v>
      </c>
      <c r="W870" t="str">
        <f t="shared" si="78"/>
        <v>12</v>
      </c>
      <c r="X870" t="str">
        <f t="shared" si="79"/>
        <v>21</v>
      </c>
      <c r="Y870" t="str">
        <f t="shared" si="80"/>
        <v>2021</v>
      </c>
      <c r="Z870"/>
      <c r="AA870" s="2">
        <f t="shared" si="81"/>
        <v>44546</v>
      </c>
      <c r="AB870"/>
      <c r="AC870"/>
    </row>
    <row r="871" spans="21:29" ht="15">
      <c r="U871" t="s">
        <v>9692</v>
      </c>
      <c r="V871" t="str">
        <f t="shared" si="77"/>
        <v>16</v>
      </c>
      <c r="W871" t="str">
        <f t="shared" si="78"/>
        <v>12</v>
      </c>
      <c r="X871" t="str">
        <f t="shared" si="79"/>
        <v>21</v>
      </c>
      <c r="Y871" t="str">
        <f t="shared" si="80"/>
        <v>2021</v>
      </c>
      <c r="Z871"/>
      <c r="AA871" s="2">
        <f t="shared" si="81"/>
        <v>44546</v>
      </c>
      <c r="AB871"/>
      <c r="AC871"/>
    </row>
    <row r="872" spans="21:29" ht="15">
      <c r="U872" t="s">
        <v>9693</v>
      </c>
      <c r="V872" t="str">
        <f t="shared" si="77"/>
        <v>17</v>
      </c>
      <c r="W872" t="str">
        <f t="shared" si="78"/>
        <v>12</v>
      </c>
      <c r="X872" t="str">
        <f t="shared" si="79"/>
        <v>21</v>
      </c>
      <c r="Y872" t="str">
        <f t="shared" si="80"/>
        <v>2021</v>
      </c>
      <c r="Z872"/>
      <c r="AA872" s="2">
        <f t="shared" si="81"/>
        <v>44547</v>
      </c>
      <c r="AB872"/>
      <c r="AC872"/>
    </row>
    <row r="873" spans="21:29" ht="15">
      <c r="U873" t="s">
        <v>9694</v>
      </c>
      <c r="V873" t="str">
        <f t="shared" si="77"/>
        <v>18</v>
      </c>
      <c r="W873" t="str">
        <f t="shared" si="78"/>
        <v>12</v>
      </c>
      <c r="X873" t="str">
        <f t="shared" si="79"/>
        <v>21</v>
      </c>
      <c r="Y873" t="str">
        <f t="shared" si="80"/>
        <v>2021</v>
      </c>
      <c r="Z873"/>
      <c r="AA873" s="2">
        <f t="shared" si="81"/>
        <v>44548</v>
      </c>
      <c r="AB873"/>
      <c r="AC873"/>
    </row>
    <row r="874" spans="21:29" ht="15">
      <c r="U874" t="s">
        <v>9694</v>
      </c>
      <c r="V874" t="str">
        <f t="shared" si="77"/>
        <v>18</v>
      </c>
      <c r="W874" t="str">
        <f t="shared" si="78"/>
        <v>12</v>
      </c>
      <c r="X874" t="str">
        <f t="shared" si="79"/>
        <v>21</v>
      </c>
      <c r="Y874" t="str">
        <f t="shared" si="80"/>
        <v>2021</v>
      </c>
      <c r="Z874"/>
      <c r="AA874" s="2">
        <f t="shared" si="81"/>
        <v>44548</v>
      </c>
      <c r="AB874"/>
      <c r="AC874"/>
    </row>
    <row r="875" spans="21:29" ht="15">
      <c r="U875" t="s">
        <v>9694</v>
      </c>
      <c r="V875" t="str">
        <f t="shared" si="77"/>
        <v>18</v>
      </c>
      <c r="W875" t="str">
        <f t="shared" si="78"/>
        <v>12</v>
      </c>
      <c r="X875" t="str">
        <f t="shared" si="79"/>
        <v>21</v>
      </c>
      <c r="Y875" t="str">
        <f t="shared" si="80"/>
        <v>2021</v>
      </c>
      <c r="Z875"/>
      <c r="AA875" s="2">
        <f t="shared" si="81"/>
        <v>44548</v>
      </c>
      <c r="AB875"/>
      <c r="AC875"/>
    </row>
    <row r="876" spans="21:29" ht="15">
      <c r="U876" t="s">
        <v>9694</v>
      </c>
      <c r="V876" t="str">
        <f t="shared" si="77"/>
        <v>18</v>
      </c>
      <c r="W876" t="str">
        <f t="shared" si="78"/>
        <v>12</v>
      </c>
      <c r="X876" t="str">
        <f t="shared" si="79"/>
        <v>21</v>
      </c>
      <c r="Y876" t="str">
        <f t="shared" si="80"/>
        <v>2021</v>
      </c>
      <c r="Z876"/>
      <c r="AA876" s="2">
        <f t="shared" si="81"/>
        <v>44548</v>
      </c>
      <c r="AB876"/>
      <c r="AC876"/>
    </row>
    <row r="877" spans="21:29" ht="15">
      <c r="U877" t="s">
        <v>9695</v>
      </c>
      <c r="V877" t="str">
        <f t="shared" si="77"/>
        <v>20</v>
      </c>
      <c r="W877" t="str">
        <f t="shared" si="78"/>
        <v>12</v>
      </c>
      <c r="X877" t="str">
        <f t="shared" si="79"/>
        <v>21</v>
      </c>
      <c r="Y877" t="str">
        <f t="shared" si="80"/>
        <v>2021</v>
      </c>
      <c r="Z877"/>
      <c r="AA877" s="2">
        <f t="shared" si="81"/>
        <v>44550</v>
      </c>
      <c r="AB877"/>
      <c r="AC877"/>
    </row>
    <row r="878" spans="21:29" ht="15">
      <c r="U878" t="s">
        <v>9696</v>
      </c>
      <c r="V878" t="str">
        <f t="shared" si="77"/>
        <v>21</v>
      </c>
      <c r="W878" t="str">
        <f t="shared" si="78"/>
        <v>12</v>
      </c>
      <c r="X878" t="str">
        <f t="shared" si="79"/>
        <v>21</v>
      </c>
      <c r="Y878" t="str">
        <f t="shared" si="80"/>
        <v>2021</v>
      </c>
      <c r="Z878"/>
      <c r="AA878" s="2">
        <f t="shared" si="81"/>
        <v>44551</v>
      </c>
      <c r="AB878"/>
      <c r="AC878"/>
    </row>
    <row r="879" spans="21:29" ht="15">
      <c r="U879" t="s">
        <v>9697</v>
      </c>
      <c r="V879" t="str">
        <f t="shared" si="77"/>
        <v>22</v>
      </c>
      <c r="W879" t="str">
        <f t="shared" si="78"/>
        <v>12</v>
      </c>
      <c r="X879" t="str">
        <f t="shared" si="79"/>
        <v>21</v>
      </c>
      <c r="Y879" t="str">
        <f t="shared" si="80"/>
        <v>2021</v>
      </c>
      <c r="Z879"/>
      <c r="AA879" s="2">
        <f t="shared" si="81"/>
        <v>44552</v>
      </c>
      <c r="AB879"/>
      <c r="AC879"/>
    </row>
    <row r="880" spans="21:29" ht="15">
      <c r="U880" t="s">
        <v>9698</v>
      </c>
      <c r="V880" t="str">
        <f t="shared" si="77"/>
        <v>23</v>
      </c>
      <c r="W880" t="str">
        <f t="shared" si="78"/>
        <v>12</v>
      </c>
      <c r="X880" t="str">
        <f t="shared" si="79"/>
        <v>21</v>
      </c>
      <c r="Y880" t="str">
        <f t="shared" si="80"/>
        <v>2021</v>
      </c>
      <c r="Z880"/>
      <c r="AA880" s="2">
        <f t="shared" si="81"/>
        <v>44553</v>
      </c>
      <c r="AB880"/>
      <c r="AC880"/>
    </row>
    <row r="881" spans="21:29" ht="15">
      <c r="U881" t="s">
        <v>9698</v>
      </c>
      <c r="V881" t="str">
        <f t="shared" si="77"/>
        <v>23</v>
      </c>
      <c r="W881" t="str">
        <f t="shared" si="78"/>
        <v>12</v>
      </c>
      <c r="X881" t="str">
        <f t="shared" si="79"/>
        <v>21</v>
      </c>
      <c r="Y881" t="str">
        <f t="shared" si="80"/>
        <v>2021</v>
      </c>
      <c r="Z881"/>
      <c r="AA881" s="2">
        <f t="shared" si="81"/>
        <v>44553</v>
      </c>
      <c r="AB881"/>
      <c r="AC881"/>
    </row>
    <row r="882" spans="21:29" ht="15">
      <c r="U882" t="s">
        <v>9699</v>
      </c>
      <c r="V882" t="str">
        <f t="shared" si="77"/>
        <v>24</v>
      </c>
      <c r="W882" t="str">
        <f t="shared" si="78"/>
        <v>12</v>
      </c>
      <c r="X882" t="str">
        <f t="shared" si="79"/>
        <v>21</v>
      </c>
      <c r="Y882" t="str">
        <f t="shared" si="80"/>
        <v>2021</v>
      </c>
      <c r="Z882"/>
      <c r="AA882" s="2">
        <f t="shared" si="81"/>
        <v>44554</v>
      </c>
      <c r="AB882"/>
      <c r="AC882"/>
    </row>
    <row r="883" spans="21:29" ht="15">
      <c r="U883" t="s">
        <v>9699</v>
      </c>
      <c r="V883" t="str">
        <f t="shared" si="77"/>
        <v>24</v>
      </c>
      <c r="W883" t="str">
        <f t="shared" si="78"/>
        <v>12</v>
      </c>
      <c r="X883" t="str">
        <f t="shared" si="79"/>
        <v>21</v>
      </c>
      <c r="Y883" t="str">
        <f t="shared" si="80"/>
        <v>2021</v>
      </c>
      <c r="Z883"/>
      <c r="AA883" s="2">
        <f t="shared" si="81"/>
        <v>44554</v>
      </c>
      <c r="AB883"/>
      <c r="AC883"/>
    </row>
    <row r="884" spans="21:29" ht="15">
      <c r="U884" t="s">
        <v>9699</v>
      </c>
      <c r="V884" t="str">
        <f t="shared" si="77"/>
        <v>24</v>
      </c>
      <c r="W884" t="str">
        <f t="shared" si="78"/>
        <v>12</v>
      </c>
      <c r="X884" t="str">
        <f t="shared" si="79"/>
        <v>21</v>
      </c>
      <c r="Y884" t="str">
        <f t="shared" si="80"/>
        <v>2021</v>
      </c>
      <c r="Z884"/>
      <c r="AA884" s="2">
        <f t="shared" si="81"/>
        <v>44554</v>
      </c>
      <c r="AB884"/>
      <c r="AC884"/>
    </row>
    <row r="885" spans="21:29" ht="15">
      <c r="U885" t="s">
        <v>9700</v>
      </c>
      <c r="V885" t="str">
        <f t="shared" si="77"/>
        <v>25</v>
      </c>
      <c r="W885" t="str">
        <f t="shared" si="78"/>
        <v>12</v>
      </c>
      <c r="X885" t="str">
        <f t="shared" si="79"/>
        <v>21</v>
      </c>
      <c r="Y885" t="str">
        <f t="shared" si="80"/>
        <v>2021</v>
      </c>
      <c r="Z885"/>
      <c r="AA885" s="2">
        <f t="shared" si="81"/>
        <v>44555</v>
      </c>
      <c r="AB885"/>
      <c r="AC885"/>
    </row>
    <row r="886" spans="21:29" ht="15">
      <c r="U886" t="s">
        <v>9700</v>
      </c>
      <c r="V886" t="str">
        <f t="shared" si="77"/>
        <v>25</v>
      </c>
      <c r="W886" t="str">
        <f t="shared" si="78"/>
        <v>12</v>
      </c>
      <c r="X886" t="str">
        <f t="shared" si="79"/>
        <v>21</v>
      </c>
      <c r="Y886" t="str">
        <f t="shared" si="80"/>
        <v>2021</v>
      </c>
      <c r="Z886"/>
      <c r="AA886" s="2">
        <f t="shared" si="81"/>
        <v>44555</v>
      </c>
      <c r="AB886"/>
      <c r="AC886"/>
    </row>
    <row r="887" spans="21:29" ht="15">
      <c r="U887" t="s">
        <v>9701</v>
      </c>
      <c r="V887" t="str">
        <f t="shared" si="77"/>
        <v>26</v>
      </c>
      <c r="W887" t="str">
        <f t="shared" si="78"/>
        <v>12</v>
      </c>
      <c r="X887" t="str">
        <f t="shared" si="79"/>
        <v>21</v>
      </c>
      <c r="Y887" t="str">
        <f t="shared" si="80"/>
        <v>2021</v>
      </c>
      <c r="Z887"/>
      <c r="AA887" s="2">
        <f t="shared" si="81"/>
        <v>44556</v>
      </c>
      <c r="AB887"/>
      <c r="AC887"/>
    </row>
    <row r="888" spans="21:29" ht="15">
      <c r="U888" t="s">
        <v>9702</v>
      </c>
      <c r="V888" t="str">
        <f t="shared" si="77"/>
        <v>30</v>
      </c>
      <c r="W888" t="str">
        <f t="shared" si="78"/>
        <v>12</v>
      </c>
      <c r="X888" t="str">
        <f t="shared" si="79"/>
        <v>21</v>
      </c>
      <c r="Y888" t="str">
        <f t="shared" si="80"/>
        <v>2021</v>
      </c>
      <c r="Z888"/>
      <c r="AA888" s="2">
        <f t="shared" si="81"/>
        <v>44560</v>
      </c>
      <c r="AB888"/>
      <c r="AC888"/>
    </row>
    <row r="889" spans="21:29" ht="15">
      <c r="U889" t="s">
        <v>9703</v>
      </c>
      <c r="V889" t="str">
        <f t="shared" si="77"/>
        <v>01</v>
      </c>
      <c r="W889" t="str">
        <f t="shared" si="78"/>
        <v>01</v>
      </c>
      <c r="X889" t="str">
        <f t="shared" si="79"/>
        <v>22</v>
      </c>
      <c r="Y889" t="str">
        <f t="shared" si="80"/>
        <v>2022</v>
      </c>
      <c r="Z889"/>
      <c r="AA889" s="2">
        <f t="shared" si="81"/>
        <v>44562</v>
      </c>
      <c r="AB889"/>
      <c r="AC889"/>
    </row>
    <row r="890" spans="21:29" ht="15">
      <c r="U890" t="s">
        <v>9704</v>
      </c>
      <c r="V890" t="str">
        <f t="shared" si="77"/>
        <v>02</v>
      </c>
      <c r="W890" t="str">
        <f t="shared" si="78"/>
        <v>01</v>
      </c>
      <c r="X890" t="str">
        <f t="shared" si="79"/>
        <v>22</v>
      </c>
      <c r="Y890" t="str">
        <f t="shared" si="80"/>
        <v>2022</v>
      </c>
      <c r="Z890"/>
      <c r="AA890" s="2">
        <f t="shared" si="81"/>
        <v>44563</v>
      </c>
      <c r="AB890"/>
      <c r="AC890"/>
    </row>
    <row r="891" spans="21:29" ht="15">
      <c r="U891" t="s">
        <v>9705</v>
      </c>
      <c r="V891" t="str">
        <f t="shared" si="77"/>
        <v>03</v>
      </c>
      <c r="W891" t="str">
        <f t="shared" si="78"/>
        <v>01</v>
      </c>
      <c r="X891" t="str">
        <f t="shared" si="79"/>
        <v>22</v>
      </c>
      <c r="Y891" t="str">
        <f t="shared" si="80"/>
        <v>2022</v>
      </c>
      <c r="Z891"/>
      <c r="AA891" s="2">
        <f t="shared" si="81"/>
        <v>44564</v>
      </c>
      <c r="AB891"/>
      <c r="AC891"/>
    </row>
    <row r="892" spans="21:29" ht="15">
      <c r="U892" t="s">
        <v>9705</v>
      </c>
      <c r="V892" t="str">
        <f t="shared" si="77"/>
        <v>03</v>
      </c>
      <c r="W892" t="str">
        <f t="shared" si="78"/>
        <v>01</v>
      </c>
      <c r="X892" t="str">
        <f t="shared" si="79"/>
        <v>22</v>
      </c>
      <c r="Y892" t="str">
        <f t="shared" si="80"/>
        <v>2022</v>
      </c>
      <c r="Z892"/>
      <c r="AA892" s="2">
        <f t="shared" si="81"/>
        <v>44564</v>
      </c>
      <c r="AB892"/>
      <c r="AC892"/>
    </row>
    <row r="893" spans="21:29" ht="15">
      <c r="U893" t="s">
        <v>9705</v>
      </c>
      <c r="V893" t="str">
        <f t="shared" si="77"/>
        <v>03</v>
      </c>
      <c r="W893" t="str">
        <f t="shared" si="78"/>
        <v>01</v>
      </c>
      <c r="X893" t="str">
        <f t="shared" si="79"/>
        <v>22</v>
      </c>
      <c r="Y893" t="str">
        <f t="shared" si="80"/>
        <v>2022</v>
      </c>
      <c r="Z893"/>
      <c r="AA893" s="2">
        <f t="shared" si="81"/>
        <v>44564</v>
      </c>
      <c r="AB893"/>
      <c r="AC893"/>
    </row>
    <row r="894" spans="21:29" ht="15">
      <c r="U894" t="s">
        <v>9705</v>
      </c>
      <c r="V894" t="str">
        <f t="shared" si="77"/>
        <v>03</v>
      </c>
      <c r="W894" t="str">
        <f t="shared" si="78"/>
        <v>01</v>
      </c>
      <c r="X894" t="str">
        <f t="shared" si="79"/>
        <v>22</v>
      </c>
      <c r="Y894" t="str">
        <f t="shared" si="80"/>
        <v>2022</v>
      </c>
      <c r="Z894"/>
      <c r="AA894" s="2">
        <f t="shared" si="81"/>
        <v>44564</v>
      </c>
      <c r="AB894"/>
      <c r="AC894"/>
    </row>
    <row r="895" spans="21:29" ht="15">
      <c r="U895" t="s">
        <v>9705</v>
      </c>
      <c r="V895" t="str">
        <f t="shared" si="77"/>
        <v>03</v>
      </c>
      <c r="W895" t="str">
        <f t="shared" si="78"/>
        <v>01</v>
      </c>
      <c r="X895" t="str">
        <f t="shared" si="79"/>
        <v>22</v>
      </c>
      <c r="Y895" t="str">
        <f t="shared" si="80"/>
        <v>2022</v>
      </c>
      <c r="Z895"/>
      <c r="AA895" s="2">
        <f t="shared" si="81"/>
        <v>44564</v>
      </c>
      <c r="AB895"/>
      <c r="AC895"/>
    </row>
    <row r="896" spans="21:29" ht="15">
      <c r="U896" t="s">
        <v>9705</v>
      </c>
      <c r="V896" t="str">
        <f t="shared" si="77"/>
        <v>03</v>
      </c>
      <c r="W896" t="str">
        <f t="shared" si="78"/>
        <v>01</v>
      </c>
      <c r="X896" t="str">
        <f t="shared" si="79"/>
        <v>22</v>
      </c>
      <c r="Y896" t="str">
        <f t="shared" si="80"/>
        <v>2022</v>
      </c>
      <c r="Z896"/>
      <c r="AA896" s="2">
        <f t="shared" si="81"/>
        <v>44564</v>
      </c>
      <c r="AB896"/>
      <c r="AC896"/>
    </row>
    <row r="897" spans="21:29" ht="15">
      <c r="U897" t="s">
        <v>9706</v>
      </c>
      <c r="V897" t="str">
        <f t="shared" si="77"/>
        <v>04</v>
      </c>
      <c r="W897" t="str">
        <f t="shared" si="78"/>
        <v>01</v>
      </c>
      <c r="X897" t="str">
        <f t="shared" si="79"/>
        <v>22</v>
      </c>
      <c r="Y897" t="str">
        <f t="shared" si="80"/>
        <v>2022</v>
      </c>
      <c r="Z897"/>
      <c r="AA897" s="2">
        <f t="shared" si="81"/>
        <v>44565</v>
      </c>
      <c r="AB897"/>
      <c r="AC897"/>
    </row>
    <row r="898" spans="21:29" ht="15">
      <c r="U898" t="s">
        <v>9706</v>
      </c>
      <c r="V898" t="str">
        <f t="shared" si="77"/>
        <v>04</v>
      </c>
      <c r="W898" t="str">
        <f t="shared" si="78"/>
        <v>01</v>
      </c>
      <c r="X898" t="str">
        <f t="shared" si="79"/>
        <v>22</v>
      </c>
      <c r="Y898" t="str">
        <f t="shared" si="80"/>
        <v>2022</v>
      </c>
      <c r="Z898"/>
      <c r="AA898" s="2">
        <f t="shared" si="81"/>
        <v>44565</v>
      </c>
      <c r="AB898"/>
      <c r="AC898"/>
    </row>
    <row r="899" spans="21:29" ht="15">
      <c r="U899" t="s">
        <v>9707</v>
      </c>
      <c r="V899" t="str">
        <f t="shared" ref="V899:V962" si="82">LEFT(U899,2)</f>
        <v>05</v>
      </c>
      <c r="W899" t="str">
        <f t="shared" ref="W899:W962" si="83">MID(U899,4,2)</f>
        <v>01</v>
      </c>
      <c r="X899" t="str">
        <f t="shared" ref="X899:X962" si="84">RIGHT(U899,2)</f>
        <v>22</v>
      </c>
      <c r="Y899" t="str">
        <f t="shared" ref="Y899:Y962" si="85">"20" &amp; X899</f>
        <v>2022</v>
      </c>
      <c r="Z899"/>
      <c r="AA899" s="2">
        <f t="shared" ref="AA899:AA962" si="86">DATE(Y899,W899,V899)</f>
        <v>44566</v>
      </c>
      <c r="AB899"/>
      <c r="AC899"/>
    </row>
    <row r="900" spans="21:29" ht="15">
      <c r="U900" t="s">
        <v>9707</v>
      </c>
      <c r="V900" t="str">
        <f t="shared" si="82"/>
        <v>05</v>
      </c>
      <c r="W900" t="str">
        <f t="shared" si="83"/>
        <v>01</v>
      </c>
      <c r="X900" t="str">
        <f t="shared" si="84"/>
        <v>22</v>
      </c>
      <c r="Y900" t="str">
        <f t="shared" si="85"/>
        <v>2022</v>
      </c>
      <c r="Z900"/>
      <c r="AA900" s="2">
        <f t="shared" si="86"/>
        <v>44566</v>
      </c>
      <c r="AB900"/>
      <c r="AC900"/>
    </row>
    <row r="901" spans="21:29" ht="15">
      <c r="U901" t="s">
        <v>9708</v>
      </c>
      <c r="V901" t="str">
        <f t="shared" si="82"/>
        <v>06</v>
      </c>
      <c r="W901" t="str">
        <f t="shared" si="83"/>
        <v>01</v>
      </c>
      <c r="X901" t="str">
        <f t="shared" si="84"/>
        <v>22</v>
      </c>
      <c r="Y901" t="str">
        <f t="shared" si="85"/>
        <v>2022</v>
      </c>
      <c r="Z901"/>
      <c r="AA901" s="2">
        <f t="shared" si="86"/>
        <v>44567</v>
      </c>
      <c r="AB901"/>
      <c r="AC901"/>
    </row>
    <row r="902" spans="21:29" ht="15">
      <c r="U902" t="s">
        <v>9709</v>
      </c>
      <c r="V902" t="str">
        <f t="shared" si="82"/>
        <v>07</v>
      </c>
      <c r="W902" t="str">
        <f t="shared" si="83"/>
        <v>01</v>
      </c>
      <c r="X902" t="str">
        <f t="shared" si="84"/>
        <v>22</v>
      </c>
      <c r="Y902" t="str">
        <f t="shared" si="85"/>
        <v>2022</v>
      </c>
      <c r="Z902"/>
      <c r="AA902" s="2">
        <f t="shared" si="86"/>
        <v>44568</v>
      </c>
      <c r="AB902"/>
      <c r="AC902"/>
    </row>
    <row r="903" spans="21:29" ht="15">
      <c r="U903" t="s">
        <v>9709</v>
      </c>
      <c r="V903" t="str">
        <f t="shared" si="82"/>
        <v>07</v>
      </c>
      <c r="W903" t="str">
        <f t="shared" si="83"/>
        <v>01</v>
      </c>
      <c r="X903" t="str">
        <f t="shared" si="84"/>
        <v>22</v>
      </c>
      <c r="Y903" t="str">
        <f t="shared" si="85"/>
        <v>2022</v>
      </c>
      <c r="Z903"/>
      <c r="AA903" s="2">
        <f t="shared" si="86"/>
        <v>44568</v>
      </c>
      <c r="AB903"/>
      <c r="AC903"/>
    </row>
    <row r="904" spans="21:29" ht="15">
      <c r="U904" t="s">
        <v>9710</v>
      </c>
      <c r="V904" t="str">
        <f t="shared" si="82"/>
        <v>08</v>
      </c>
      <c r="W904" t="str">
        <f t="shared" si="83"/>
        <v>01</v>
      </c>
      <c r="X904" t="str">
        <f t="shared" si="84"/>
        <v>22</v>
      </c>
      <c r="Y904" t="str">
        <f t="shared" si="85"/>
        <v>2022</v>
      </c>
      <c r="Z904"/>
      <c r="AA904" s="2">
        <f t="shared" si="86"/>
        <v>44569</v>
      </c>
      <c r="AB904"/>
      <c r="AC904"/>
    </row>
    <row r="905" spans="21:29" ht="15">
      <c r="U905" t="s">
        <v>9710</v>
      </c>
      <c r="V905" t="str">
        <f t="shared" si="82"/>
        <v>08</v>
      </c>
      <c r="W905" t="str">
        <f t="shared" si="83"/>
        <v>01</v>
      </c>
      <c r="X905" t="str">
        <f t="shared" si="84"/>
        <v>22</v>
      </c>
      <c r="Y905" t="str">
        <f t="shared" si="85"/>
        <v>2022</v>
      </c>
      <c r="Z905"/>
      <c r="AA905" s="2">
        <f t="shared" si="86"/>
        <v>44569</v>
      </c>
      <c r="AB905"/>
      <c r="AC905"/>
    </row>
    <row r="906" spans="21:29" ht="15">
      <c r="U906" t="s">
        <v>9711</v>
      </c>
      <c r="V906" t="str">
        <f t="shared" si="82"/>
        <v>10</v>
      </c>
      <c r="W906" t="str">
        <f t="shared" si="83"/>
        <v>01</v>
      </c>
      <c r="X906" t="str">
        <f t="shared" si="84"/>
        <v>22</v>
      </c>
      <c r="Y906" t="str">
        <f t="shared" si="85"/>
        <v>2022</v>
      </c>
      <c r="Z906"/>
      <c r="AA906" s="2">
        <f t="shared" si="86"/>
        <v>44571</v>
      </c>
      <c r="AB906"/>
      <c r="AC906"/>
    </row>
    <row r="907" spans="21:29" ht="15">
      <c r="U907" t="s">
        <v>9712</v>
      </c>
      <c r="V907" t="str">
        <f t="shared" si="82"/>
        <v>13</v>
      </c>
      <c r="W907" t="str">
        <f t="shared" si="83"/>
        <v>01</v>
      </c>
      <c r="X907" t="str">
        <f t="shared" si="84"/>
        <v>22</v>
      </c>
      <c r="Y907" t="str">
        <f t="shared" si="85"/>
        <v>2022</v>
      </c>
      <c r="Z907"/>
      <c r="AA907" s="2">
        <f t="shared" si="86"/>
        <v>44574</v>
      </c>
      <c r="AB907"/>
      <c r="AC907"/>
    </row>
    <row r="908" spans="21:29" ht="15">
      <c r="U908" t="s">
        <v>9712</v>
      </c>
      <c r="V908" t="str">
        <f t="shared" si="82"/>
        <v>13</v>
      </c>
      <c r="W908" t="str">
        <f t="shared" si="83"/>
        <v>01</v>
      </c>
      <c r="X908" t="str">
        <f t="shared" si="84"/>
        <v>22</v>
      </c>
      <c r="Y908" t="str">
        <f t="shared" si="85"/>
        <v>2022</v>
      </c>
      <c r="Z908"/>
      <c r="AA908" s="2">
        <f t="shared" si="86"/>
        <v>44574</v>
      </c>
      <c r="AB908"/>
      <c r="AC908"/>
    </row>
    <row r="909" spans="21:29" ht="15">
      <c r="U909" t="s">
        <v>9712</v>
      </c>
      <c r="V909" t="str">
        <f t="shared" si="82"/>
        <v>13</v>
      </c>
      <c r="W909" t="str">
        <f t="shared" si="83"/>
        <v>01</v>
      </c>
      <c r="X909" t="str">
        <f t="shared" si="84"/>
        <v>22</v>
      </c>
      <c r="Y909" t="str">
        <f t="shared" si="85"/>
        <v>2022</v>
      </c>
      <c r="Z909"/>
      <c r="AA909" s="2">
        <f t="shared" si="86"/>
        <v>44574</v>
      </c>
      <c r="AB909"/>
      <c r="AC909"/>
    </row>
    <row r="910" spans="21:29" ht="15">
      <c r="U910" t="s">
        <v>9713</v>
      </c>
      <c r="V910" t="str">
        <f t="shared" si="82"/>
        <v>16</v>
      </c>
      <c r="W910" t="str">
        <f t="shared" si="83"/>
        <v>01</v>
      </c>
      <c r="X910" t="str">
        <f t="shared" si="84"/>
        <v>22</v>
      </c>
      <c r="Y910" t="str">
        <f t="shared" si="85"/>
        <v>2022</v>
      </c>
      <c r="Z910"/>
      <c r="AA910" s="2">
        <f t="shared" si="86"/>
        <v>44577</v>
      </c>
      <c r="AB910"/>
      <c r="AC910"/>
    </row>
    <row r="911" spans="21:29" ht="15">
      <c r="U911" t="s">
        <v>9714</v>
      </c>
      <c r="V911" t="str">
        <f t="shared" si="82"/>
        <v>17</v>
      </c>
      <c r="W911" t="str">
        <f t="shared" si="83"/>
        <v>01</v>
      </c>
      <c r="X911" t="str">
        <f t="shared" si="84"/>
        <v>22</v>
      </c>
      <c r="Y911" t="str">
        <f t="shared" si="85"/>
        <v>2022</v>
      </c>
      <c r="Z911"/>
      <c r="AA911" s="2">
        <f t="shared" si="86"/>
        <v>44578</v>
      </c>
      <c r="AB911"/>
      <c r="AC911"/>
    </row>
    <row r="912" spans="21:29" ht="15">
      <c r="U912" t="s">
        <v>9714</v>
      </c>
      <c r="V912" t="str">
        <f t="shared" si="82"/>
        <v>17</v>
      </c>
      <c r="W912" t="str">
        <f t="shared" si="83"/>
        <v>01</v>
      </c>
      <c r="X912" t="str">
        <f t="shared" si="84"/>
        <v>22</v>
      </c>
      <c r="Y912" t="str">
        <f t="shared" si="85"/>
        <v>2022</v>
      </c>
      <c r="Z912"/>
      <c r="AA912" s="2">
        <f t="shared" si="86"/>
        <v>44578</v>
      </c>
      <c r="AB912"/>
      <c r="AC912"/>
    </row>
    <row r="913" spans="21:29" ht="15">
      <c r="U913" t="s">
        <v>9714</v>
      </c>
      <c r="V913" t="str">
        <f t="shared" si="82"/>
        <v>17</v>
      </c>
      <c r="W913" t="str">
        <f t="shared" si="83"/>
        <v>01</v>
      </c>
      <c r="X913" t="str">
        <f t="shared" si="84"/>
        <v>22</v>
      </c>
      <c r="Y913" t="str">
        <f t="shared" si="85"/>
        <v>2022</v>
      </c>
      <c r="Z913"/>
      <c r="AA913" s="2">
        <f t="shared" si="86"/>
        <v>44578</v>
      </c>
      <c r="AB913"/>
      <c r="AC913"/>
    </row>
    <row r="914" spans="21:29" ht="15">
      <c r="U914" t="s">
        <v>9714</v>
      </c>
      <c r="V914" t="str">
        <f t="shared" si="82"/>
        <v>17</v>
      </c>
      <c r="W914" t="str">
        <f t="shared" si="83"/>
        <v>01</v>
      </c>
      <c r="X914" t="str">
        <f t="shared" si="84"/>
        <v>22</v>
      </c>
      <c r="Y914" t="str">
        <f t="shared" si="85"/>
        <v>2022</v>
      </c>
      <c r="Z914"/>
      <c r="AA914" s="2">
        <f t="shared" si="86"/>
        <v>44578</v>
      </c>
      <c r="AB914"/>
      <c r="AC914"/>
    </row>
    <row r="915" spans="21:29" ht="15">
      <c r="U915" t="s">
        <v>9715</v>
      </c>
      <c r="V915" t="str">
        <f t="shared" si="82"/>
        <v>18</v>
      </c>
      <c r="W915" t="str">
        <f t="shared" si="83"/>
        <v>01</v>
      </c>
      <c r="X915" t="str">
        <f t="shared" si="84"/>
        <v>22</v>
      </c>
      <c r="Y915" t="str">
        <f t="shared" si="85"/>
        <v>2022</v>
      </c>
      <c r="Z915"/>
      <c r="AA915" s="2">
        <f t="shared" si="86"/>
        <v>44579</v>
      </c>
      <c r="AB915"/>
      <c r="AC915"/>
    </row>
    <row r="916" spans="21:29" ht="15">
      <c r="U916" t="s">
        <v>9715</v>
      </c>
      <c r="V916" t="str">
        <f t="shared" si="82"/>
        <v>18</v>
      </c>
      <c r="W916" t="str">
        <f t="shared" si="83"/>
        <v>01</v>
      </c>
      <c r="X916" t="str">
        <f t="shared" si="84"/>
        <v>22</v>
      </c>
      <c r="Y916" t="str">
        <f t="shared" si="85"/>
        <v>2022</v>
      </c>
      <c r="Z916"/>
      <c r="AA916" s="2">
        <f t="shared" si="86"/>
        <v>44579</v>
      </c>
      <c r="AB916"/>
      <c r="AC916"/>
    </row>
    <row r="917" spans="21:29" ht="15">
      <c r="U917" t="s">
        <v>9716</v>
      </c>
      <c r="V917" t="str">
        <f t="shared" si="82"/>
        <v>19</v>
      </c>
      <c r="W917" t="str">
        <f t="shared" si="83"/>
        <v>01</v>
      </c>
      <c r="X917" t="str">
        <f t="shared" si="84"/>
        <v>22</v>
      </c>
      <c r="Y917" t="str">
        <f t="shared" si="85"/>
        <v>2022</v>
      </c>
      <c r="Z917"/>
      <c r="AA917" s="2">
        <f t="shared" si="86"/>
        <v>44580</v>
      </c>
      <c r="AB917"/>
      <c r="AC917"/>
    </row>
    <row r="918" spans="21:29" ht="15">
      <c r="U918" t="s">
        <v>9716</v>
      </c>
      <c r="V918" t="str">
        <f t="shared" si="82"/>
        <v>19</v>
      </c>
      <c r="W918" t="str">
        <f t="shared" si="83"/>
        <v>01</v>
      </c>
      <c r="X918" t="str">
        <f t="shared" si="84"/>
        <v>22</v>
      </c>
      <c r="Y918" t="str">
        <f t="shared" si="85"/>
        <v>2022</v>
      </c>
      <c r="Z918"/>
      <c r="AA918" s="2">
        <f t="shared" si="86"/>
        <v>44580</v>
      </c>
      <c r="AB918"/>
      <c r="AC918"/>
    </row>
    <row r="919" spans="21:29" ht="15">
      <c r="U919" t="s">
        <v>9717</v>
      </c>
      <c r="V919" t="str">
        <f t="shared" si="82"/>
        <v>20</v>
      </c>
      <c r="W919" t="str">
        <f t="shared" si="83"/>
        <v>01</v>
      </c>
      <c r="X919" t="str">
        <f t="shared" si="84"/>
        <v>22</v>
      </c>
      <c r="Y919" t="str">
        <f t="shared" si="85"/>
        <v>2022</v>
      </c>
      <c r="Z919"/>
      <c r="AA919" s="2">
        <f t="shared" si="86"/>
        <v>44581</v>
      </c>
      <c r="AB919"/>
      <c r="AC919"/>
    </row>
    <row r="920" spans="21:29" ht="15">
      <c r="U920" t="s">
        <v>9717</v>
      </c>
      <c r="V920" t="str">
        <f t="shared" si="82"/>
        <v>20</v>
      </c>
      <c r="W920" t="str">
        <f t="shared" si="83"/>
        <v>01</v>
      </c>
      <c r="X920" t="str">
        <f t="shared" si="84"/>
        <v>22</v>
      </c>
      <c r="Y920" t="str">
        <f t="shared" si="85"/>
        <v>2022</v>
      </c>
      <c r="Z920"/>
      <c r="AA920" s="2">
        <f t="shared" si="86"/>
        <v>44581</v>
      </c>
      <c r="AB920"/>
      <c r="AC920"/>
    </row>
    <row r="921" spans="21:29" ht="15">
      <c r="U921" t="s">
        <v>9718</v>
      </c>
      <c r="V921" t="str">
        <f t="shared" si="82"/>
        <v>21</v>
      </c>
      <c r="W921" t="str">
        <f t="shared" si="83"/>
        <v>01</v>
      </c>
      <c r="X921" t="str">
        <f t="shared" si="84"/>
        <v>22</v>
      </c>
      <c r="Y921" t="str">
        <f t="shared" si="85"/>
        <v>2022</v>
      </c>
      <c r="Z921"/>
      <c r="AA921" s="2">
        <f t="shared" si="86"/>
        <v>44582</v>
      </c>
      <c r="AB921"/>
      <c r="AC921"/>
    </row>
    <row r="922" spans="21:29" ht="15">
      <c r="U922" t="s">
        <v>9719</v>
      </c>
      <c r="V922" t="str">
        <f t="shared" si="82"/>
        <v>22</v>
      </c>
      <c r="W922" t="str">
        <f t="shared" si="83"/>
        <v>01</v>
      </c>
      <c r="X922" t="str">
        <f t="shared" si="84"/>
        <v>22</v>
      </c>
      <c r="Y922" t="str">
        <f t="shared" si="85"/>
        <v>2022</v>
      </c>
      <c r="Z922"/>
      <c r="AA922" s="2">
        <f t="shared" si="86"/>
        <v>44583</v>
      </c>
      <c r="AB922"/>
      <c r="AC922"/>
    </row>
    <row r="923" spans="21:29" ht="15">
      <c r="U923" t="s">
        <v>9720</v>
      </c>
      <c r="V923" t="str">
        <f t="shared" si="82"/>
        <v>25</v>
      </c>
      <c r="W923" t="str">
        <f t="shared" si="83"/>
        <v>01</v>
      </c>
      <c r="X923" t="str">
        <f t="shared" si="84"/>
        <v>22</v>
      </c>
      <c r="Y923" t="str">
        <f t="shared" si="85"/>
        <v>2022</v>
      </c>
      <c r="Z923"/>
      <c r="AA923" s="2">
        <f t="shared" si="86"/>
        <v>44586</v>
      </c>
      <c r="AB923"/>
      <c r="AC923"/>
    </row>
    <row r="924" spans="21:29" ht="15">
      <c r="U924" t="s">
        <v>9721</v>
      </c>
      <c r="V924" t="str">
        <f t="shared" si="82"/>
        <v>26</v>
      </c>
      <c r="W924" t="str">
        <f t="shared" si="83"/>
        <v>01</v>
      </c>
      <c r="X924" t="str">
        <f t="shared" si="84"/>
        <v>22</v>
      </c>
      <c r="Y924" t="str">
        <f t="shared" si="85"/>
        <v>2022</v>
      </c>
      <c r="Z924"/>
      <c r="AA924" s="2">
        <f t="shared" si="86"/>
        <v>44587</v>
      </c>
      <c r="AB924"/>
      <c r="AC924"/>
    </row>
    <row r="925" spans="21:29" ht="15">
      <c r="U925" t="s">
        <v>9721</v>
      </c>
      <c r="V925" t="str">
        <f t="shared" si="82"/>
        <v>26</v>
      </c>
      <c r="W925" t="str">
        <f t="shared" si="83"/>
        <v>01</v>
      </c>
      <c r="X925" t="str">
        <f t="shared" si="84"/>
        <v>22</v>
      </c>
      <c r="Y925" t="str">
        <f t="shared" si="85"/>
        <v>2022</v>
      </c>
      <c r="Z925"/>
      <c r="AA925" s="2">
        <f t="shared" si="86"/>
        <v>44587</v>
      </c>
      <c r="AB925"/>
      <c r="AC925"/>
    </row>
    <row r="926" spans="21:29" ht="15">
      <c r="U926" t="s">
        <v>9722</v>
      </c>
      <c r="V926" t="str">
        <f t="shared" si="82"/>
        <v>27</v>
      </c>
      <c r="W926" t="str">
        <f t="shared" si="83"/>
        <v>01</v>
      </c>
      <c r="X926" t="str">
        <f t="shared" si="84"/>
        <v>22</v>
      </c>
      <c r="Y926" t="str">
        <f t="shared" si="85"/>
        <v>2022</v>
      </c>
      <c r="Z926"/>
      <c r="AA926" s="2">
        <f t="shared" si="86"/>
        <v>44588</v>
      </c>
      <c r="AB926"/>
      <c r="AC926"/>
    </row>
    <row r="927" spans="21:29" ht="15">
      <c r="U927" t="s">
        <v>9722</v>
      </c>
      <c r="V927" t="str">
        <f t="shared" si="82"/>
        <v>27</v>
      </c>
      <c r="W927" t="str">
        <f t="shared" si="83"/>
        <v>01</v>
      </c>
      <c r="X927" t="str">
        <f t="shared" si="84"/>
        <v>22</v>
      </c>
      <c r="Y927" t="str">
        <f t="shared" si="85"/>
        <v>2022</v>
      </c>
      <c r="Z927"/>
      <c r="AA927" s="2">
        <f t="shared" si="86"/>
        <v>44588</v>
      </c>
      <c r="AB927"/>
      <c r="AC927"/>
    </row>
    <row r="928" spans="21:29" ht="15">
      <c r="U928" t="s">
        <v>9722</v>
      </c>
      <c r="V928" t="str">
        <f t="shared" si="82"/>
        <v>27</v>
      </c>
      <c r="W928" t="str">
        <f t="shared" si="83"/>
        <v>01</v>
      </c>
      <c r="X928" t="str">
        <f t="shared" si="84"/>
        <v>22</v>
      </c>
      <c r="Y928" t="str">
        <f t="shared" si="85"/>
        <v>2022</v>
      </c>
      <c r="Z928"/>
      <c r="AA928" s="2">
        <f t="shared" si="86"/>
        <v>44588</v>
      </c>
      <c r="AB928"/>
      <c r="AC928"/>
    </row>
    <row r="929" spans="21:29" ht="15">
      <c r="U929" t="s">
        <v>9722</v>
      </c>
      <c r="V929" t="str">
        <f t="shared" si="82"/>
        <v>27</v>
      </c>
      <c r="W929" t="str">
        <f t="shared" si="83"/>
        <v>01</v>
      </c>
      <c r="X929" t="str">
        <f t="shared" si="84"/>
        <v>22</v>
      </c>
      <c r="Y929" t="str">
        <f t="shared" si="85"/>
        <v>2022</v>
      </c>
      <c r="Z929"/>
      <c r="AA929" s="2">
        <f t="shared" si="86"/>
        <v>44588</v>
      </c>
      <c r="AB929"/>
      <c r="AC929"/>
    </row>
    <row r="930" spans="21:29" ht="15">
      <c r="U930" t="s">
        <v>9722</v>
      </c>
      <c r="V930" t="str">
        <f t="shared" si="82"/>
        <v>27</v>
      </c>
      <c r="W930" t="str">
        <f t="shared" si="83"/>
        <v>01</v>
      </c>
      <c r="X930" t="str">
        <f t="shared" si="84"/>
        <v>22</v>
      </c>
      <c r="Y930" t="str">
        <f t="shared" si="85"/>
        <v>2022</v>
      </c>
      <c r="Z930"/>
      <c r="AA930" s="2">
        <f t="shared" si="86"/>
        <v>44588</v>
      </c>
      <c r="AB930"/>
      <c r="AC930"/>
    </row>
    <row r="931" spans="21:29" ht="15">
      <c r="U931" t="s">
        <v>9723</v>
      </c>
      <c r="V931" t="str">
        <f t="shared" si="82"/>
        <v>28</v>
      </c>
      <c r="W931" t="str">
        <f t="shared" si="83"/>
        <v>01</v>
      </c>
      <c r="X931" t="str">
        <f t="shared" si="84"/>
        <v>22</v>
      </c>
      <c r="Y931" t="str">
        <f t="shared" si="85"/>
        <v>2022</v>
      </c>
      <c r="Z931"/>
      <c r="AA931" s="2">
        <f t="shared" si="86"/>
        <v>44589</v>
      </c>
      <c r="AB931"/>
      <c r="AC931"/>
    </row>
    <row r="932" spans="21:29" ht="15">
      <c r="U932" t="s">
        <v>9723</v>
      </c>
      <c r="V932" t="str">
        <f t="shared" si="82"/>
        <v>28</v>
      </c>
      <c r="W932" t="str">
        <f t="shared" si="83"/>
        <v>01</v>
      </c>
      <c r="X932" t="str">
        <f t="shared" si="84"/>
        <v>22</v>
      </c>
      <c r="Y932" t="str">
        <f t="shared" si="85"/>
        <v>2022</v>
      </c>
      <c r="Z932"/>
      <c r="AA932" s="2">
        <f t="shared" si="86"/>
        <v>44589</v>
      </c>
      <c r="AB932"/>
      <c r="AC932"/>
    </row>
    <row r="933" spans="21:29" ht="15">
      <c r="U933" t="s">
        <v>9723</v>
      </c>
      <c r="V933" t="str">
        <f t="shared" si="82"/>
        <v>28</v>
      </c>
      <c r="W933" t="str">
        <f t="shared" si="83"/>
        <v>01</v>
      </c>
      <c r="X933" t="str">
        <f t="shared" si="84"/>
        <v>22</v>
      </c>
      <c r="Y933" t="str">
        <f t="shared" si="85"/>
        <v>2022</v>
      </c>
      <c r="Z933"/>
      <c r="AA933" s="2">
        <f t="shared" si="86"/>
        <v>44589</v>
      </c>
      <c r="AB933"/>
      <c r="AC933"/>
    </row>
    <row r="934" spans="21:29" ht="15">
      <c r="U934" t="s">
        <v>9723</v>
      </c>
      <c r="V934" t="str">
        <f t="shared" si="82"/>
        <v>28</v>
      </c>
      <c r="W934" t="str">
        <f t="shared" si="83"/>
        <v>01</v>
      </c>
      <c r="X934" t="str">
        <f t="shared" si="84"/>
        <v>22</v>
      </c>
      <c r="Y934" t="str">
        <f t="shared" si="85"/>
        <v>2022</v>
      </c>
      <c r="Z934"/>
      <c r="AA934" s="2">
        <f t="shared" si="86"/>
        <v>44589</v>
      </c>
      <c r="AB934"/>
      <c r="AC934"/>
    </row>
    <row r="935" spans="21:29" ht="15">
      <c r="U935" t="s">
        <v>9724</v>
      </c>
      <c r="V935" t="str">
        <f t="shared" si="82"/>
        <v>29</v>
      </c>
      <c r="W935" t="str">
        <f t="shared" si="83"/>
        <v>01</v>
      </c>
      <c r="X935" t="str">
        <f t="shared" si="84"/>
        <v>22</v>
      </c>
      <c r="Y935" t="str">
        <f t="shared" si="85"/>
        <v>2022</v>
      </c>
      <c r="Z935"/>
      <c r="AA935" s="2">
        <f t="shared" si="86"/>
        <v>44590</v>
      </c>
      <c r="AB935"/>
      <c r="AC935"/>
    </row>
    <row r="936" spans="21:29" ht="15">
      <c r="U936" t="s">
        <v>9724</v>
      </c>
      <c r="V936" t="str">
        <f t="shared" si="82"/>
        <v>29</v>
      </c>
      <c r="W936" t="str">
        <f t="shared" si="83"/>
        <v>01</v>
      </c>
      <c r="X936" t="str">
        <f t="shared" si="84"/>
        <v>22</v>
      </c>
      <c r="Y936" t="str">
        <f t="shared" si="85"/>
        <v>2022</v>
      </c>
      <c r="Z936"/>
      <c r="AA936" s="2">
        <f t="shared" si="86"/>
        <v>44590</v>
      </c>
      <c r="AB936"/>
      <c r="AC936"/>
    </row>
    <row r="937" spans="21:29" ht="15">
      <c r="U937" t="s">
        <v>9725</v>
      </c>
      <c r="V937" t="str">
        <f t="shared" si="82"/>
        <v>30</v>
      </c>
      <c r="W937" t="str">
        <f t="shared" si="83"/>
        <v>01</v>
      </c>
      <c r="X937" t="str">
        <f t="shared" si="84"/>
        <v>22</v>
      </c>
      <c r="Y937" t="str">
        <f t="shared" si="85"/>
        <v>2022</v>
      </c>
      <c r="Z937"/>
      <c r="AA937" s="2">
        <f t="shared" si="86"/>
        <v>44591</v>
      </c>
      <c r="AB937"/>
      <c r="AC937"/>
    </row>
    <row r="938" spans="21:29" ht="15">
      <c r="U938" t="s">
        <v>9725</v>
      </c>
      <c r="V938" t="str">
        <f t="shared" si="82"/>
        <v>30</v>
      </c>
      <c r="W938" t="str">
        <f t="shared" si="83"/>
        <v>01</v>
      </c>
      <c r="X938" t="str">
        <f t="shared" si="84"/>
        <v>22</v>
      </c>
      <c r="Y938" t="str">
        <f t="shared" si="85"/>
        <v>2022</v>
      </c>
      <c r="Z938"/>
      <c r="AA938" s="2">
        <f t="shared" si="86"/>
        <v>44591</v>
      </c>
      <c r="AB938"/>
      <c r="AC938"/>
    </row>
    <row r="939" spans="21:29" ht="15">
      <c r="U939" t="s">
        <v>9726</v>
      </c>
      <c r="V939" t="str">
        <f t="shared" si="82"/>
        <v>31</v>
      </c>
      <c r="W939" t="str">
        <f t="shared" si="83"/>
        <v>01</v>
      </c>
      <c r="X939" t="str">
        <f t="shared" si="84"/>
        <v>22</v>
      </c>
      <c r="Y939" t="str">
        <f t="shared" si="85"/>
        <v>2022</v>
      </c>
      <c r="Z939"/>
      <c r="AA939" s="2">
        <f t="shared" si="86"/>
        <v>44592</v>
      </c>
      <c r="AB939"/>
      <c r="AC939"/>
    </row>
    <row r="940" spans="21:29" ht="15">
      <c r="U940" t="s">
        <v>9726</v>
      </c>
      <c r="V940" t="str">
        <f t="shared" si="82"/>
        <v>31</v>
      </c>
      <c r="W940" t="str">
        <f t="shared" si="83"/>
        <v>01</v>
      </c>
      <c r="X940" t="str">
        <f t="shared" si="84"/>
        <v>22</v>
      </c>
      <c r="Y940" t="str">
        <f t="shared" si="85"/>
        <v>2022</v>
      </c>
      <c r="Z940"/>
      <c r="AA940" s="2">
        <f t="shared" si="86"/>
        <v>44592</v>
      </c>
      <c r="AB940"/>
      <c r="AC940"/>
    </row>
    <row r="941" spans="21:29" ht="15">
      <c r="U941" t="s">
        <v>9727</v>
      </c>
      <c r="V941" t="str">
        <f t="shared" si="82"/>
        <v>01</v>
      </c>
      <c r="W941" t="str">
        <f t="shared" si="83"/>
        <v>02</v>
      </c>
      <c r="X941" t="str">
        <f t="shared" si="84"/>
        <v>22</v>
      </c>
      <c r="Y941" t="str">
        <f t="shared" si="85"/>
        <v>2022</v>
      </c>
      <c r="Z941"/>
      <c r="AA941" s="2">
        <f t="shared" si="86"/>
        <v>44593</v>
      </c>
      <c r="AB941"/>
      <c r="AC941"/>
    </row>
    <row r="942" spans="21:29" ht="15">
      <c r="U942" t="s">
        <v>9727</v>
      </c>
      <c r="V942" t="str">
        <f t="shared" si="82"/>
        <v>01</v>
      </c>
      <c r="W942" t="str">
        <f t="shared" si="83"/>
        <v>02</v>
      </c>
      <c r="X942" t="str">
        <f t="shared" si="84"/>
        <v>22</v>
      </c>
      <c r="Y942" t="str">
        <f t="shared" si="85"/>
        <v>2022</v>
      </c>
      <c r="Z942"/>
      <c r="AA942" s="2">
        <f t="shared" si="86"/>
        <v>44593</v>
      </c>
      <c r="AB942"/>
      <c r="AC942"/>
    </row>
    <row r="943" spans="21:29" ht="15">
      <c r="U943" t="s">
        <v>9727</v>
      </c>
      <c r="V943" t="str">
        <f t="shared" si="82"/>
        <v>01</v>
      </c>
      <c r="W943" t="str">
        <f t="shared" si="83"/>
        <v>02</v>
      </c>
      <c r="X943" t="str">
        <f t="shared" si="84"/>
        <v>22</v>
      </c>
      <c r="Y943" t="str">
        <f t="shared" si="85"/>
        <v>2022</v>
      </c>
      <c r="Z943"/>
      <c r="AA943" s="2">
        <f t="shared" si="86"/>
        <v>44593</v>
      </c>
      <c r="AB943"/>
      <c r="AC943"/>
    </row>
    <row r="944" spans="21:29" ht="15">
      <c r="U944" t="s">
        <v>9727</v>
      </c>
      <c r="V944" t="str">
        <f t="shared" si="82"/>
        <v>01</v>
      </c>
      <c r="W944" t="str">
        <f t="shared" si="83"/>
        <v>02</v>
      </c>
      <c r="X944" t="str">
        <f t="shared" si="84"/>
        <v>22</v>
      </c>
      <c r="Y944" t="str">
        <f t="shared" si="85"/>
        <v>2022</v>
      </c>
      <c r="Z944"/>
      <c r="AA944" s="2">
        <f t="shared" si="86"/>
        <v>44593</v>
      </c>
      <c r="AB944"/>
      <c r="AC944"/>
    </row>
    <row r="945" spans="21:29" ht="15">
      <c r="U945" t="s">
        <v>9727</v>
      </c>
      <c r="V945" t="str">
        <f t="shared" si="82"/>
        <v>01</v>
      </c>
      <c r="W945" t="str">
        <f t="shared" si="83"/>
        <v>02</v>
      </c>
      <c r="X945" t="str">
        <f t="shared" si="84"/>
        <v>22</v>
      </c>
      <c r="Y945" t="str">
        <f t="shared" si="85"/>
        <v>2022</v>
      </c>
      <c r="Z945"/>
      <c r="AA945" s="2">
        <f t="shared" si="86"/>
        <v>44593</v>
      </c>
      <c r="AB945"/>
      <c r="AC945"/>
    </row>
    <row r="946" spans="21:29" ht="15">
      <c r="U946" t="s">
        <v>9727</v>
      </c>
      <c r="V946" t="str">
        <f t="shared" si="82"/>
        <v>01</v>
      </c>
      <c r="W946" t="str">
        <f t="shared" si="83"/>
        <v>02</v>
      </c>
      <c r="X946" t="str">
        <f t="shared" si="84"/>
        <v>22</v>
      </c>
      <c r="Y946" t="str">
        <f t="shared" si="85"/>
        <v>2022</v>
      </c>
      <c r="Z946"/>
      <c r="AA946" s="2">
        <f t="shared" si="86"/>
        <v>44593</v>
      </c>
      <c r="AB946"/>
      <c r="AC946"/>
    </row>
    <row r="947" spans="21:29" ht="15">
      <c r="U947" t="s">
        <v>9727</v>
      </c>
      <c r="V947" t="str">
        <f t="shared" si="82"/>
        <v>01</v>
      </c>
      <c r="W947" t="str">
        <f t="shared" si="83"/>
        <v>02</v>
      </c>
      <c r="X947" t="str">
        <f t="shared" si="84"/>
        <v>22</v>
      </c>
      <c r="Y947" t="str">
        <f t="shared" si="85"/>
        <v>2022</v>
      </c>
      <c r="Z947"/>
      <c r="AA947" s="2">
        <f t="shared" si="86"/>
        <v>44593</v>
      </c>
      <c r="AB947"/>
      <c r="AC947"/>
    </row>
    <row r="948" spans="21:29" ht="15">
      <c r="U948" t="s">
        <v>9728</v>
      </c>
      <c r="V948" t="str">
        <f t="shared" si="82"/>
        <v>03</v>
      </c>
      <c r="W948" t="str">
        <f t="shared" si="83"/>
        <v>02</v>
      </c>
      <c r="X948" t="str">
        <f t="shared" si="84"/>
        <v>22</v>
      </c>
      <c r="Y948" t="str">
        <f t="shared" si="85"/>
        <v>2022</v>
      </c>
      <c r="Z948"/>
      <c r="AA948" s="2">
        <f t="shared" si="86"/>
        <v>44595</v>
      </c>
      <c r="AB948"/>
      <c r="AC948"/>
    </row>
    <row r="949" spans="21:29" ht="15">
      <c r="U949" t="s">
        <v>9728</v>
      </c>
      <c r="V949" t="str">
        <f t="shared" si="82"/>
        <v>03</v>
      </c>
      <c r="W949" t="str">
        <f t="shared" si="83"/>
        <v>02</v>
      </c>
      <c r="X949" t="str">
        <f t="shared" si="84"/>
        <v>22</v>
      </c>
      <c r="Y949" t="str">
        <f t="shared" si="85"/>
        <v>2022</v>
      </c>
      <c r="Z949"/>
      <c r="AA949" s="2">
        <f t="shared" si="86"/>
        <v>44595</v>
      </c>
      <c r="AB949"/>
      <c r="AC949"/>
    </row>
    <row r="950" spans="21:29" ht="15">
      <c r="U950" t="s">
        <v>9728</v>
      </c>
      <c r="V950" t="str">
        <f t="shared" si="82"/>
        <v>03</v>
      </c>
      <c r="W950" t="str">
        <f t="shared" si="83"/>
        <v>02</v>
      </c>
      <c r="X950" t="str">
        <f t="shared" si="84"/>
        <v>22</v>
      </c>
      <c r="Y950" t="str">
        <f t="shared" si="85"/>
        <v>2022</v>
      </c>
      <c r="Z950"/>
      <c r="AA950" s="2">
        <f t="shared" si="86"/>
        <v>44595</v>
      </c>
      <c r="AB950"/>
      <c r="AC950"/>
    </row>
    <row r="951" spans="21:29" ht="15">
      <c r="U951" t="s">
        <v>9728</v>
      </c>
      <c r="V951" t="str">
        <f t="shared" si="82"/>
        <v>03</v>
      </c>
      <c r="W951" t="str">
        <f t="shared" si="83"/>
        <v>02</v>
      </c>
      <c r="X951" t="str">
        <f t="shared" si="84"/>
        <v>22</v>
      </c>
      <c r="Y951" t="str">
        <f t="shared" si="85"/>
        <v>2022</v>
      </c>
      <c r="Z951"/>
      <c r="AA951" s="2">
        <f t="shared" si="86"/>
        <v>44595</v>
      </c>
      <c r="AB951"/>
      <c r="AC951"/>
    </row>
    <row r="952" spans="21:29" ht="15">
      <c r="U952" t="s">
        <v>9728</v>
      </c>
      <c r="V952" t="str">
        <f t="shared" si="82"/>
        <v>03</v>
      </c>
      <c r="W952" t="str">
        <f t="shared" si="83"/>
        <v>02</v>
      </c>
      <c r="X952" t="str">
        <f t="shared" si="84"/>
        <v>22</v>
      </c>
      <c r="Y952" t="str">
        <f t="shared" si="85"/>
        <v>2022</v>
      </c>
      <c r="Z952"/>
      <c r="AA952" s="2">
        <f t="shared" si="86"/>
        <v>44595</v>
      </c>
      <c r="AB952"/>
      <c r="AC952"/>
    </row>
    <row r="953" spans="21:29" ht="15">
      <c r="U953" t="s">
        <v>9729</v>
      </c>
      <c r="V953" t="str">
        <f t="shared" si="82"/>
        <v>05</v>
      </c>
      <c r="W953" t="str">
        <f t="shared" si="83"/>
        <v>02</v>
      </c>
      <c r="X953" t="str">
        <f t="shared" si="84"/>
        <v>22</v>
      </c>
      <c r="Y953" t="str">
        <f t="shared" si="85"/>
        <v>2022</v>
      </c>
      <c r="Z953"/>
      <c r="AA953" s="2">
        <f t="shared" si="86"/>
        <v>44597</v>
      </c>
      <c r="AB953"/>
      <c r="AC953"/>
    </row>
    <row r="954" spans="21:29" ht="15">
      <c r="U954" t="s">
        <v>9729</v>
      </c>
      <c r="V954" t="str">
        <f t="shared" si="82"/>
        <v>05</v>
      </c>
      <c r="W954" t="str">
        <f t="shared" si="83"/>
        <v>02</v>
      </c>
      <c r="X954" t="str">
        <f t="shared" si="84"/>
        <v>22</v>
      </c>
      <c r="Y954" t="str">
        <f t="shared" si="85"/>
        <v>2022</v>
      </c>
      <c r="Z954"/>
      <c r="AA954" s="2">
        <f t="shared" si="86"/>
        <v>44597</v>
      </c>
      <c r="AB954"/>
      <c r="AC954"/>
    </row>
    <row r="955" spans="21:29" ht="15">
      <c r="U955" t="s">
        <v>9729</v>
      </c>
      <c r="V955" t="str">
        <f t="shared" si="82"/>
        <v>05</v>
      </c>
      <c r="W955" t="str">
        <f t="shared" si="83"/>
        <v>02</v>
      </c>
      <c r="X955" t="str">
        <f t="shared" si="84"/>
        <v>22</v>
      </c>
      <c r="Y955" t="str">
        <f t="shared" si="85"/>
        <v>2022</v>
      </c>
      <c r="Z955"/>
      <c r="AA955" s="2">
        <f t="shared" si="86"/>
        <v>44597</v>
      </c>
      <c r="AB955"/>
      <c r="AC955"/>
    </row>
    <row r="956" spans="21:29" ht="15">
      <c r="U956" t="s">
        <v>9730</v>
      </c>
      <c r="V956" t="str">
        <f t="shared" si="82"/>
        <v>08</v>
      </c>
      <c r="W956" t="str">
        <f t="shared" si="83"/>
        <v>02</v>
      </c>
      <c r="X956" t="str">
        <f t="shared" si="84"/>
        <v>22</v>
      </c>
      <c r="Y956" t="str">
        <f t="shared" si="85"/>
        <v>2022</v>
      </c>
      <c r="Z956"/>
      <c r="AA956" s="2">
        <f t="shared" si="86"/>
        <v>44600</v>
      </c>
      <c r="AB956"/>
      <c r="AC956"/>
    </row>
    <row r="957" spans="21:29" ht="15">
      <c r="U957" t="s">
        <v>9730</v>
      </c>
      <c r="V957" t="str">
        <f t="shared" si="82"/>
        <v>08</v>
      </c>
      <c r="W957" t="str">
        <f t="shared" si="83"/>
        <v>02</v>
      </c>
      <c r="X957" t="str">
        <f t="shared" si="84"/>
        <v>22</v>
      </c>
      <c r="Y957" t="str">
        <f t="shared" si="85"/>
        <v>2022</v>
      </c>
      <c r="Z957"/>
      <c r="AA957" s="2">
        <f t="shared" si="86"/>
        <v>44600</v>
      </c>
      <c r="AB957"/>
      <c r="AC957"/>
    </row>
    <row r="958" spans="21:29" ht="15">
      <c r="U958" t="s">
        <v>9731</v>
      </c>
      <c r="V958" t="str">
        <f t="shared" si="82"/>
        <v>09</v>
      </c>
      <c r="W958" t="str">
        <f t="shared" si="83"/>
        <v>02</v>
      </c>
      <c r="X958" t="str">
        <f t="shared" si="84"/>
        <v>22</v>
      </c>
      <c r="Y958" t="str">
        <f t="shared" si="85"/>
        <v>2022</v>
      </c>
      <c r="Z958"/>
      <c r="AA958" s="2">
        <f t="shared" si="86"/>
        <v>44601</v>
      </c>
      <c r="AB958"/>
      <c r="AC958"/>
    </row>
    <row r="959" spans="21:29" ht="15">
      <c r="U959" t="s">
        <v>9731</v>
      </c>
      <c r="V959" t="str">
        <f t="shared" si="82"/>
        <v>09</v>
      </c>
      <c r="W959" t="str">
        <f t="shared" si="83"/>
        <v>02</v>
      </c>
      <c r="X959" t="str">
        <f t="shared" si="84"/>
        <v>22</v>
      </c>
      <c r="Y959" t="str">
        <f t="shared" si="85"/>
        <v>2022</v>
      </c>
      <c r="Z959"/>
      <c r="AA959" s="2">
        <f t="shared" si="86"/>
        <v>44601</v>
      </c>
      <c r="AB959"/>
      <c r="AC959"/>
    </row>
    <row r="960" spans="21:29" ht="15">
      <c r="U960" t="s">
        <v>9731</v>
      </c>
      <c r="V960" t="str">
        <f t="shared" si="82"/>
        <v>09</v>
      </c>
      <c r="W960" t="str">
        <f t="shared" si="83"/>
        <v>02</v>
      </c>
      <c r="X960" t="str">
        <f t="shared" si="84"/>
        <v>22</v>
      </c>
      <c r="Y960" t="str">
        <f t="shared" si="85"/>
        <v>2022</v>
      </c>
      <c r="Z960"/>
      <c r="AA960" s="2">
        <f t="shared" si="86"/>
        <v>44601</v>
      </c>
      <c r="AB960"/>
      <c r="AC960"/>
    </row>
    <row r="961" spans="21:29" ht="15">
      <c r="U961" t="s">
        <v>9731</v>
      </c>
      <c r="V961" t="str">
        <f t="shared" si="82"/>
        <v>09</v>
      </c>
      <c r="W961" t="str">
        <f t="shared" si="83"/>
        <v>02</v>
      </c>
      <c r="X961" t="str">
        <f t="shared" si="84"/>
        <v>22</v>
      </c>
      <c r="Y961" t="str">
        <f t="shared" si="85"/>
        <v>2022</v>
      </c>
      <c r="Z961"/>
      <c r="AA961" s="2">
        <f t="shared" si="86"/>
        <v>44601</v>
      </c>
      <c r="AB961"/>
      <c r="AC961"/>
    </row>
    <row r="962" spans="21:29" ht="15">
      <c r="U962" t="s">
        <v>9732</v>
      </c>
      <c r="V962" t="str">
        <f t="shared" si="82"/>
        <v>10</v>
      </c>
      <c r="W962" t="str">
        <f t="shared" si="83"/>
        <v>02</v>
      </c>
      <c r="X962" t="str">
        <f t="shared" si="84"/>
        <v>22</v>
      </c>
      <c r="Y962" t="str">
        <f t="shared" si="85"/>
        <v>2022</v>
      </c>
      <c r="Z962"/>
      <c r="AA962" s="2">
        <f t="shared" si="86"/>
        <v>44602</v>
      </c>
      <c r="AB962"/>
      <c r="AC962"/>
    </row>
    <row r="963" spans="21:29" ht="15">
      <c r="U963" t="s">
        <v>9732</v>
      </c>
      <c r="V963" t="str">
        <f t="shared" ref="V963:V1026" si="87">LEFT(U963,2)</f>
        <v>10</v>
      </c>
      <c r="W963" t="str">
        <f t="shared" ref="W963:W1026" si="88">MID(U963,4,2)</f>
        <v>02</v>
      </c>
      <c r="X963" t="str">
        <f t="shared" ref="X963:X1026" si="89">RIGHT(U963,2)</f>
        <v>22</v>
      </c>
      <c r="Y963" t="str">
        <f t="shared" ref="Y963:Y1026" si="90">"20" &amp; X963</f>
        <v>2022</v>
      </c>
      <c r="Z963"/>
      <c r="AA963" s="2">
        <f t="shared" ref="AA963:AA1026" si="91">DATE(Y963,W963,V963)</f>
        <v>44602</v>
      </c>
      <c r="AB963"/>
      <c r="AC963"/>
    </row>
    <row r="964" spans="21:29" ht="15">
      <c r="U964" t="s">
        <v>9733</v>
      </c>
      <c r="V964" t="str">
        <f t="shared" si="87"/>
        <v>11</v>
      </c>
      <c r="W964" t="str">
        <f t="shared" si="88"/>
        <v>02</v>
      </c>
      <c r="X964" t="str">
        <f t="shared" si="89"/>
        <v>22</v>
      </c>
      <c r="Y964" t="str">
        <f t="shared" si="90"/>
        <v>2022</v>
      </c>
      <c r="Z964"/>
      <c r="AA964" s="2">
        <f t="shared" si="91"/>
        <v>44603</v>
      </c>
      <c r="AB964"/>
      <c r="AC964"/>
    </row>
    <row r="965" spans="21:29" ht="15">
      <c r="U965" t="s">
        <v>9733</v>
      </c>
      <c r="V965" t="str">
        <f t="shared" si="87"/>
        <v>11</v>
      </c>
      <c r="W965" t="str">
        <f t="shared" si="88"/>
        <v>02</v>
      </c>
      <c r="X965" t="str">
        <f t="shared" si="89"/>
        <v>22</v>
      </c>
      <c r="Y965" t="str">
        <f t="shared" si="90"/>
        <v>2022</v>
      </c>
      <c r="Z965"/>
      <c r="AA965" s="2">
        <f t="shared" si="91"/>
        <v>44603</v>
      </c>
      <c r="AB965"/>
      <c r="AC965"/>
    </row>
    <row r="966" spans="21:29" ht="15">
      <c r="U966" t="s">
        <v>9734</v>
      </c>
      <c r="V966" t="str">
        <f t="shared" si="87"/>
        <v>13</v>
      </c>
      <c r="W966" t="str">
        <f t="shared" si="88"/>
        <v>02</v>
      </c>
      <c r="X966" t="str">
        <f t="shared" si="89"/>
        <v>22</v>
      </c>
      <c r="Y966" t="str">
        <f t="shared" si="90"/>
        <v>2022</v>
      </c>
      <c r="Z966"/>
      <c r="AA966" s="2">
        <f t="shared" si="91"/>
        <v>44605</v>
      </c>
      <c r="AB966"/>
      <c r="AC966"/>
    </row>
    <row r="967" spans="21:29" ht="15">
      <c r="U967" t="s">
        <v>9735</v>
      </c>
      <c r="V967" t="str">
        <f t="shared" si="87"/>
        <v>14</v>
      </c>
      <c r="W967" t="str">
        <f t="shared" si="88"/>
        <v>02</v>
      </c>
      <c r="X967" t="str">
        <f t="shared" si="89"/>
        <v>22</v>
      </c>
      <c r="Y967" t="str">
        <f t="shared" si="90"/>
        <v>2022</v>
      </c>
      <c r="Z967"/>
      <c r="AA967" s="2">
        <f t="shared" si="91"/>
        <v>44606</v>
      </c>
      <c r="AB967"/>
      <c r="AC967"/>
    </row>
    <row r="968" spans="21:29" ht="15">
      <c r="U968" t="s">
        <v>9735</v>
      </c>
      <c r="V968" t="str">
        <f t="shared" si="87"/>
        <v>14</v>
      </c>
      <c r="W968" t="str">
        <f t="shared" si="88"/>
        <v>02</v>
      </c>
      <c r="X968" t="str">
        <f t="shared" si="89"/>
        <v>22</v>
      </c>
      <c r="Y968" t="str">
        <f t="shared" si="90"/>
        <v>2022</v>
      </c>
      <c r="Z968"/>
      <c r="AA968" s="2">
        <f t="shared" si="91"/>
        <v>44606</v>
      </c>
      <c r="AB968"/>
      <c r="AC968"/>
    </row>
    <row r="969" spans="21:29" ht="15">
      <c r="U969" t="s">
        <v>9736</v>
      </c>
      <c r="V969" t="str">
        <f t="shared" si="87"/>
        <v>15</v>
      </c>
      <c r="W969" t="str">
        <f t="shared" si="88"/>
        <v>02</v>
      </c>
      <c r="X969" t="str">
        <f t="shared" si="89"/>
        <v>22</v>
      </c>
      <c r="Y969" t="str">
        <f t="shared" si="90"/>
        <v>2022</v>
      </c>
      <c r="Z969"/>
      <c r="AA969" s="2">
        <f t="shared" si="91"/>
        <v>44607</v>
      </c>
      <c r="AB969"/>
      <c r="AC969"/>
    </row>
    <row r="970" spans="21:29" ht="15">
      <c r="U970" t="s">
        <v>9736</v>
      </c>
      <c r="V970" t="str">
        <f t="shared" si="87"/>
        <v>15</v>
      </c>
      <c r="W970" t="str">
        <f t="shared" si="88"/>
        <v>02</v>
      </c>
      <c r="X970" t="str">
        <f t="shared" si="89"/>
        <v>22</v>
      </c>
      <c r="Y970" t="str">
        <f t="shared" si="90"/>
        <v>2022</v>
      </c>
      <c r="Z970"/>
      <c r="AA970" s="2">
        <f t="shared" si="91"/>
        <v>44607</v>
      </c>
      <c r="AB970"/>
      <c r="AC970"/>
    </row>
    <row r="971" spans="21:29" ht="15">
      <c r="U971" t="s">
        <v>9736</v>
      </c>
      <c r="V971" t="str">
        <f t="shared" si="87"/>
        <v>15</v>
      </c>
      <c r="W971" t="str">
        <f t="shared" si="88"/>
        <v>02</v>
      </c>
      <c r="X971" t="str">
        <f t="shared" si="89"/>
        <v>22</v>
      </c>
      <c r="Y971" t="str">
        <f t="shared" si="90"/>
        <v>2022</v>
      </c>
      <c r="Z971"/>
      <c r="AA971" s="2">
        <f t="shared" si="91"/>
        <v>44607</v>
      </c>
      <c r="AB971"/>
      <c r="AC971"/>
    </row>
    <row r="972" spans="21:29" ht="15">
      <c r="U972" t="s">
        <v>9736</v>
      </c>
      <c r="V972" t="str">
        <f t="shared" si="87"/>
        <v>15</v>
      </c>
      <c r="W972" t="str">
        <f t="shared" si="88"/>
        <v>02</v>
      </c>
      <c r="X972" t="str">
        <f t="shared" si="89"/>
        <v>22</v>
      </c>
      <c r="Y972" t="str">
        <f t="shared" si="90"/>
        <v>2022</v>
      </c>
      <c r="Z972"/>
      <c r="AA972" s="2">
        <f t="shared" si="91"/>
        <v>44607</v>
      </c>
      <c r="AB972"/>
      <c r="AC972"/>
    </row>
    <row r="973" spans="21:29" ht="15">
      <c r="U973" t="s">
        <v>9736</v>
      </c>
      <c r="V973" t="str">
        <f t="shared" si="87"/>
        <v>15</v>
      </c>
      <c r="W973" t="str">
        <f t="shared" si="88"/>
        <v>02</v>
      </c>
      <c r="X973" t="str">
        <f t="shared" si="89"/>
        <v>22</v>
      </c>
      <c r="Y973" t="str">
        <f t="shared" si="90"/>
        <v>2022</v>
      </c>
      <c r="Z973"/>
      <c r="AA973" s="2">
        <f t="shared" si="91"/>
        <v>44607</v>
      </c>
      <c r="AB973"/>
      <c r="AC973"/>
    </row>
    <row r="974" spans="21:29" ht="15">
      <c r="U974" t="s">
        <v>9737</v>
      </c>
      <c r="V974" t="str">
        <f t="shared" si="87"/>
        <v>16</v>
      </c>
      <c r="W974" t="str">
        <f t="shared" si="88"/>
        <v>02</v>
      </c>
      <c r="X974" t="str">
        <f t="shared" si="89"/>
        <v>22</v>
      </c>
      <c r="Y974" t="str">
        <f t="shared" si="90"/>
        <v>2022</v>
      </c>
      <c r="Z974"/>
      <c r="AA974" s="2">
        <f t="shared" si="91"/>
        <v>44608</v>
      </c>
      <c r="AB974"/>
      <c r="AC974"/>
    </row>
    <row r="975" spans="21:29" ht="15">
      <c r="U975" t="s">
        <v>9737</v>
      </c>
      <c r="V975" t="str">
        <f t="shared" si="87"/>
        <v>16</v>
      </c>
      <c r="W975" t="str">
        <f t="shared" si="88"/>
        <v>02</v>
      </c>
      <c r="X975" t="str">
        <f t="shared" si="89"/>
        <v>22</v>
      </c>
      <c r="Y975" t="str">
        <f t="shared" si="90"/>
        <v>2022</v>
      </c>
      <c r="Z975"/>
      <c r="AA975" s="2">
        <f t="shared" si="91"/>
        <v>44608</v>
      </c>
      <c r="AB975"/>
      <c r="AC975"/>
    </row>
    <row r="976" spans="21:29" ht="15">
      <c r="U976" t="s">
        <v>9738</v>
      </c>
      <c r="V976" t="str">
        <f t="shared" si="87"/>
        <v>17</v>
      </c>
      <c r="W976" t="str">
        <f t="shared" si="88"/>
        <v>02</v>
      </c>
      <c r="X976" t="str">
        <f t="shared" si="89"/>
        <v>22</v>
      </c>
      <c r="Y976" t="str">
        <f t="shared" si="90"/>
        <v>2022</v>
      </c>
      <c r="Z976"/>
      <c r="AA976" s="2">
        <f t="shared" si="91"/>
        <v>44609</v>
      </c>
      <c r="AB976"/>
      <c r="AC976"/>
    </row>
    <row r="977" spans="21:29" ht="15">
      <c r="U977" t="s">
        <v>9738</v>
      </c>
      <c r="V977" t="str">
        <f t="shared" si="87"/>
        <v>17</v>
      </c>
      <c r="W977" t="str">
        <f t="shared" si="88"/>
        <v>02</v>
      </c>
      <c r="X977" t="str">
        <f t="shared" si="89"/>
        <v>22</v>
      </c>
      <c r="Y977" t="str">
        <f t="shared" si="90"/>
        <v>2022</v>
      </c>
      <c r="Z977"/>
      <c r="AA977" s="2">
        <f t="shared" si="91"/>
        <v>44609</v>
      </c>
      <c r="AB977"/>
      <c r="AC977"/>
    </row>
    <row r="978" spans="21:29" ht="15">
      <c r="U978" t="s">
        <v>9738</v>
      </c>
      <c r="V978" t="str">
        <f t="shared" si="87"/>
        <v>17</v>
      </c>
      <c r="W978" t="str">
        <f t="shared" si="88"/>
        <v>02</v>
      </c>
      <c r="X978" t="str">
        <f t="shared" si="89"/>
        <v>22</v>
      </c>
      <c r="Y978" t="str">
        <f t="shared" si="90"/>
        <v>2022</v>
      </c>
      <c r="Z978"/>
      <c r="AA978" s="2">
        <f t="shared" si="91"/>
        <v>44609</v>
      </c>
      <c r="AB978"/>
      <c r="AC978"/>
    </row>
    <row r="979" spans="21:29" ht="15">
      <c r="U979" t="s">
        <v>9739</v>
      </c>
      <c r="V979" t="str">
        <f t="shared" si="87"/>
        <v>19</v>
      </c>
      <c r="W979" t="str">
        <f t="shared" si="88"/>
        <v>02</v>
      </c>
      <c r="X979" t="str">
        <f t="shared" si="89"/>
        <v>22</v>
      </c>
      <c r="Y979" t="str">
        <f t="shared" si="90"/>
        <v>2022</v>
      </c>
      <c r="Z979"/>
      <c r="AA979" s="2">
        <f t="shared" si="91"/>
        <v>44611</v>
      </c>
      <c r="AB979"/>
      <c r="AC979"/>
    </row>
    <row r="980" spans="21:29" ht="15">
      <c r="U980" t="s">
        <v>9740</v>
      </c>
      <c r="V980" t="str">
        <f t="shared" si="87"/>
        <v>20</v>
      </c>
      <c r="W980" t="str">
        <f t="shared" si="88"/>
        <v>02</v>
      </c>
      <c r="X980" t="str">
        <f t="shared" si="89"/>
        <v>22</v>
      </c>
      <c r="Y980" t="str">
        <f t="shared" si="90"/>
        <v>2022</v>
      </c>
      <c r="Z980"/>
      <c r="AA980" s="2">
        <f t="shared" si="91"/>
        <v>44612</v>
      </c>
      <c r="AB980"/>
      <c r="AC980"/>
    </row>
    <row r="981" spans="21:29" ht="15">
      <c r="U981" t="s">
        <v>9740</v>
      </c>
      <c r="V981" t="str">
        <f t="shared" si="87"/>
        <v>20</v>
      </c>
      <c r="W981" t="str">
        <f t="shared" si="88"/>
        <v>02</v>
      </c>
      <c r="X981" t="str">
        <f t="shared" si="89"/>
        <v>22</v>
      </c>
      <c r="Y981" t="str">
        <f t="shared" si="90"/>
        <v>2022</v>
      </c>
      <c r="Z981"/>
      <c r="AA981" s="2">
        <f t="shared" si="91"/>
        <v>44612</v>
      </c>
      <c r="AB981"/>
      <c r="AC981"/>
    </row>
    <row r="982" spans="21:29" ht="15">
      <c r="U982" t="s">
        <v>9740</v>
      </c>
      <c r="V982" t="str">
        <f t="shared" si="87"/>
        <v>20</v>
      </c>
      <c r="W982" t="str">
        <f t="shared" si="88"/>
        <v>02</v>
      </c>
      <c r="X982" t="str">
        <f t="shared" si="89"/>
        <v>22</v>
      </c>
      <c r="Y982" t="str">
        <f t="shared" si="90"/>
        <v>2022</v>
      </c>
      <c r="Z982"/>
      <c r="AA982" s="2">
        <f t="shared" si="91"/>
        <v>44612</v>
      </c>
      <c r="AB982"/>
      <c r="AC982"/>
    </row>
    <row r="983" spans="21:29" ht="15">
      <c r="U983" t="s">
        <v>9741</v>
      </c>
      <c r="V983" t="str">
        <f t="shared" si="87"/>
        <v>21</v>
      </c>
      <c r="W983" t="str">
        <f t="shared" si="88"/>
        <v>02</v>
      </c>
      <c r="X983" t="str">
        <f t="shared" si="89"/>
        <v>22</v>
      </c>
      <c r="Y983" t="str">
        <f t="shared" si="90"/>
        <v>2022</v>
      </c>
      <c r="Z983"/>
      <c r="AA983" s="2">
        <f t="shared" si="91"/>
        <v>44613</v>
      </c>
      <c r="AB983"/>
      <c r="AC983"/>
    </row>
    <row r="984" spans="21:29" ht="15">
      <c r="U984" t="s">
        <v>9742</v>
      </c>
      <c r="V984" t="str">
        <f t="shared" si="87"/>
        <v>22</v>
      </c>
      <c r="W984" t="str">
        <f t="shared" si="88"/>
        <v>02</v>
      </c>
      <c r="X984" t="str">
        <f t="shared" si="89"/>
        <v>22</v>
      </c>
      <c r="Y984" t="str">
        <f t="shared" si="90"/>
        <v>2022</v>
      </c>
      <c r="Z984"/>
      <c r="AA984" s="2">
        <f t="shared" si="91"/>
        <v>44614</v>
      </c>
      <c r="AB984"/>
      <c r="AC984"/>
    </row>
    <row r="985" spans="21:29" ht="15">
      <c r="U985" t="s">
        <v>9742</v>
      </c>
      <c r="V985" t="str">
        <f t="shared" si="87"/>
        <v>22</v>
      </c>
      <c r="W985" t="str">
        <f t="shared" si="88"/>
        <v>02</v>
      </c>
      <c r="X985" t="str">
        <f t="shared" si="89"/>
        <v>22</v>
      </c>
      <c r="Y985" t="str">
        <f t="shared" si="90"/>
        <v>2022</v>
      </c>
      <c r="Z985"/>
      <c r="AA985" s="2">
        <f t="shared" si="91"/>
        <v>44614</v>
      </c>
      <c r="AB985"/>
      <c r="AC985"/>
    </row>
    <row r="986" spans="21:29" ht="15">
      <c r="U986" t="s">
        <v>9742</v>
      </c>
      <c r="V986" t="str">
        <f t="shared" si="87"/>
        <v>22</v>
      </c>
      <c r="W986" t="str">
        <f t="shared" si="88"/>
        <v>02</v>
      </c>
      <c r="X986" t="str">
        <f t="shared" si="89"/>
        <v>22</v>
      </c>
      <c r="Y986" t="str">
        <f t="shared" si="90"/>
        <v>2022</v>
      </c>
      <c r="Z986"/>
      <c r="AA986" s="2">
        <f t="shared" si="91"/>
        <v>44614</v>
      </c>
      <c r="AB986"/>
      <c r="AC986"/>
    </row>
    <row r="987" spans="21:29" ht="15">
      <c r="U987" t="s">
        <v>9743</v>
      </c>
      <c r="V987" t="str">
        <f t="shared" si="87"/>
        <v>23</v>
      </c>
      <c r="W987" t="str">
        <f t="shared" si="88"/>
        <v>02</v>
      </c>
      <c r="X987" t="str">
        <f t="shared" si="89"/>
        <v>22</v>
      </c>
      <c r="Y987" t="str">
        <f t="shared" si="90"/>
        <v>2022</v>
      </c>
      <c r="Z987"/>
      <c r="AA987" s="2">
        <f t="shared" si="91"/>
        <v>44615</v>
      </c>
      <c r="AB987"/>
      <c r="AC987"/>
    </row>
    <row r="988" spans="21:29" ht="15">
      <c r="U988" t="s">
        <v>9744</v>
      </c>
      <c r="V988" t="str">
        <f t="shared" si="87"/>
        <v>24</v>
      </c>
      <c r="W988" t="str">
        <f t="shared" si="88"/>
        <v>02</v>
      </c>
      <c r="X988" t="str">
        <f t="shared" si="89"/>
        <v>22</v>
      </c>
      <c r="Y988" t="str">
        <f t="shared" si="90"/>
        <v>2022</v>
      </c>
      <c r="Z988"/>
      <c r="AA988" s="2">
        <f t="shared" si="91"/>
        <v>44616</v>
      </c>
      <c r="AB988"/>
      <c r="AC988"/>
    </row>
    <row r="989" spans="21:29" ht="15">
      <c r="U989" t="s">
        <v>9744</v>
      </c>
      <c r="V989" t="str">
        <f t="shared" si="87"/>
        <v>24</v>
      </c>
      <c r="W989" t="str">
        <f t="shared" si="88"/>
        <v>02</v>
      </c>
      <c r="X989" t="str">
        <f t="shared" si="89"/>
        <v>22</v>
      </c>
      <c r="Y989" t="str">
        <f t="shared" si="90"/>
        <v>2022</v>
      </c>
      <c r="Z989"/>
      <c r="AA989" s="2">
        <f t="shared" si="91"/>
        <v>44616</v>
      </c>
      <c r="AB989"/>
      <c r="AC989"/>
    </row>
    <row r="990" spans="21:29" ht="15">
      <c r="U990" t="s">
        <v>9745</v>
      </c>
      <c r="V990" t="str">
        <f t="shared" si="87"/>
        <v>25</v>
      </c>
      <c r="W990" t="str">
        <f t="shared" si="88"/>
        <v>02</v>
      </c>
      <c r="X990" t="str">
        <f t="shared" si="89"/>
        <v>22</v>
      </c>
      <c r="Y990" t="str">
        <f t="shared" si="90"/>
        <v>2022</v>
      </c>
      <c r="Z990"/>
      <c r="AA990" s="2">
        <f t="shared" si="91"/>
        <v>44617</v>
      </c>
      <c r="AB990"/>
      <c r="AC990"/>
    </row>
    <row r="991" spans="21:29" ht="15">
      <c r="U991" t="s">
        <v>9745</v>
      </c>
      <c r="V991" t="str">
        <f t="shared" si="87"/>
        <v>25</v>
      </c>
      <c r="W991" t="str">
        <f t="shared" si="88"/>
        <v>02</v>
      </c>
      <c r="X991" t="str">
        <f t="shared" si="89"/>
        <v>22</v>
      </c>
      <c r="Y991" t="str">
        <f t="shared" si="90"/>
        <v>2022</v>
      </c>
      <c r="Z991"/>
      <c r="AA991" s="2">
        <f t="shared" si="91"/>
        <v>44617</v>
      </c>
      <c r="AB991"/>
      <c r="AC991"/>
    </row>
    <row r="992" spans="21:29" ht="15">
      <c r="U992" t="s">
        <v>9745</v>
      </c>
      <c r="V992" t="str">
        <f t="shared" si="87"/>
        <v>25</v>
      </c>
      <c r="W992" t="str">
        <f t="shared" si="88"/>
        <v>02</v>
      </c>
      <c r="X992" t="str">
        <f t="shared" si="89"/>
        <v>22</v>
      </c>
      <c r="Y992" t="str">
        <f t="shared" si="90"/>
        <v>2022</v>
      </c>
      <c r="Z992"/>
      <c r="AA992" s="2">
        <f t="shared" si="91"/>
        <v>44617</v>
      </c>
      <c r="AB992"/>
      <c r="AC992"/>
    </row>
    <row r="993" spans="21:29" ht="15">
      <c r="U993" t="s">
        <v>9746</v>
      </c>
      <c r="V993" t="str">
        <f t="shared" si="87"/>
        <v>26</v>
      </c>
      <c r="W993" t="str">
        <f t="shared" si="88"/>
        <v>02</v>
      </c>
      <c r="X993" t="str">
        <f t="shared" si="89"/>
        <v>22</v>
      </c>
      <c r="Y993" t="str">
        <f t="shared" si="90"/>
        <v>2022</v>
      </c>
      <c r="Z993"/>
      <c r="AA993" s="2">
        <f t="shared" si="91"/>
        <v>44618</v>
      </c>
      <c r="AB993"/>
      <c r="AC993"/>
    </row>
    <row r="994" spans="21:29" ht="15">
      <c r="U994" t="s">
        <v>9746</v>
      </c>
      <c r="V994" t="str">
        <f t="shared" si="87"/>
        <v>26</v>
      </c>
      <c r="W994" t="str">
        <f t="shared" si="88"/>
        <v>02</v>
      </c>
      <c r="X994" t="str">
        <f t="shared" si="89"/>
        <v>22</v>
      </c>
      <c r="Y994" t="str">
        <f t="shared" si="90"/>
        <v>2022</v>
      </c>
      <c r="Z994"/>
      <c r="AA994" s="2">
        <f t="shared" si="91"/>
        <v>44618</v>
      </c>
      <c r="AB994"/>
      <c r="AC994"/>
    </row>
    <row r="995" spans="21:29" ht="15">
      <c r="U995" t="s">
        <v>9747</v>
      </c>
      <c r="V995" t="str">
        <f t="shared" si="87"/>
        <v>27</v>
      </c>
      <c r="W995" t="str">
        <f t="shared" si="88"/>
        <v>02</v>
      </c>
      <c r="X995" t="str">
        <f t="shared" si="89"/>
        <v>22</v>
      </c>
      <c r="Y995" t="str">
        <f t="shared" si="90"/>
        <v>2022</v>
      </c>
      <c r="Z995"/>
      <c r="AA995" s="2">
        <f t="shared" si="91"/>
        <v>44619</v>
      </c>
      <c r="AB995"/>
      <c r="AC995"/>
    </row>
    <row r="996" spans="21:29" ht="15">
      <c r="U996" t="s">
        <v>9747</v>
      </c>
      <c r="V996" t="str">
        <f t="shared" si="87"/>
        <v>27</v>
      </c>
      <c r="W996" t="str">
        <f t="shared" si="88"/>
        <v>02</v>
      </c>
      <c r="X996" t="str">
        <f t="shared" si="89"/>
        <v>22</v>
      </c>
      <c r="Y996" t="str">
        <f t="shared" si="90"/>
        <v>2022</v>
      </c>
      <c r="Z996"/>
      <c r="AA996" s="2">
        <f t="shared" si="91"/>
        <v>44619</v>
      </c>
      <c r="AB996"/>
      <c r="AC996"/>
    </row>
    <row r="997" spans="21:29" ht="15">
      <c r="U997" t="s">
        <v>9748</v>
      </c>
      <c r="V997" t="str">
        <f t="shared" si="87"/>
        <v>02</v>
      </c>
      <c r="W997" t="str">
        <f t="shared" si="88"/>
        <v>03</v>
      </c>
      <c r="X997" t="str">
        <f t="shared" si="89"/>
        <v>22</v>
      </c>
      <c r="Y997" t="str">
        <f t="shared" si="90"/>
        <v>2022</v>
      </c>
      <c r="Z997"/>
      <c r="AA997" s="2">
        <f t="shared" si="91"/>
        <v>44622</v>
      </c>
      <c r="AB997"/>
      <c r="AC997"/>
    </row>
    <row r="998" spans="21:29" ht="15">
      <c r="U998" t="s">
        <v>9748</v>
      </c>
      <c r="V998" t="str">
        <f t="shared" si="87"/>
        <v>02</v>
      </c>
      <c r="W998" t="str">
        <f t="shared" si="88"/>
        <v>03</v>
      </c>
      <c r="X998" t="str">
        <f t="shared" si="89"/>
        <v>22</v>
      </c>
      <c r="Y998" t="str">
        <f t="shared" si="90"/>
        <v>2022</v>
      </c>
      <c r="Z998"/>
      <c r="AA998" s="2">
        <f t="shared" si="91"/>
        <v>44622</v>
      </c>
      <c r="AB998"/>
      <c r="AC998"/>
    </row>
    <row r="999" spans="21:29" ht="15">
      <c r="U999" t="s">
        <v>9748</v>
      </c>
      <c r="V999" t="str">
        <f t="shared" si="87"/>
        <v>02</v>
      </c>
      <c r="W999" t="str">
        <f t="shared" si="88"/>
        <v>03</v>
      </c>
      <c r="X999" t="str">
        <f t="shared" si="89"/>
        <v>22</v>
      </c>
      <c r="Y999" t="str">
        <f t="shared" si="90"/>
        <v>2022</v>
      </c>
      <c r="Z999"/>
      <c r="AA999" s="2">
        <f t="shared" si="91"/>
        <v>44622</v>
      </c>
      <c r="AB999"/>
      <c r="AC999"/>
    </row>
    <row r="1000" spans="21:29" ht="15">
      <c r="U1000" t="s">
        <v>9749</v>
      </c>
      <c r="V1000" t="str">
        <f t="shared" si="87"/>
        <v>03</v>
      </c>
      <c r="W1000" t="str">
        <f t="shared" si="88"/>
        <v>03</v>
      </c>
      <c r="X1000" t="str">
        <f t="shared" si="89"/>
        <v>22</v>
      </c>
      <c r="Y1000" t="str">
        <f t="shared" si="90"/>
        <v>2022</v>
      </c>
      <c r="Z1000"/>
      <c r="AA1000" s="2">
        <f t="shared" si="91"/>
        <v>44623</v>
      </c>
      <c r="AB1000"/>
      <c r="AC1000"/>
    </row>
    <row r="1001" spans="21:29" ht="15">
      <c r="U1001" t="s">
        <v>9749</v>
      </c>
      <c r="V1001" t="str">
        <f t="shared" si="87"/>
        <v>03</v>
      </c>
      <c r="W1001" t="str">
        <f t="shared" si="88"/>
        <v>03</v>
      </c>
      <c r="X1001" t="str">
        <f t="shared" si="89"/>
        <v>22</v>
      </c>
      <c r="Y1001" t="str">
        <f t="shared" si="90"/>
        <v>2022</v>
      </c>
      <c r="Z1001"/>
      <c r="AA1001" s="2">
        <f t="shared" si="91"/>
        <v>44623</v>
      </c>
      <c r="AB1001"/>
      <c r="AC1001"/>
    </row>
    <row r="1002" spans="21:29" ht="15">
      <c r="U1002" t="s">
        <v>9750</v>
      </c>
      <c r="V1002" t="str">
        <f t="shared" si="87"/>
        <v>05</v>
      </c>
      <c r="W1002" t="str">
        <f t="shared" si="88"/>
        <v>03</v>
      </c>
      <c r="X1002" t="str">
        <f t="shared" si="89"/>
        <v>22</v>
      </c>
      <c r="Y1002" t="str">
        <f t="shared" si="90"/>
        <v>2022</v>
      </c>
      <c r="Z1002"/>
      <c r="AA1002" s="2">
        <f t="shared" si="91"/>
        <v>44625</v>
      </c>
      <c r="AB1002"/>
      <c r="AC1002"/>
    </row>
    <row r="1003" spans="21:29" ht="15">
      <c r="U1003" t="s">
        <v>9751</v>
      </c>
      <c r="V1003" t="str">
        <f t="shared" si="87"/>
        <v>06</v>
      </c>
      <c r="W1003" t="str">
        <f t="shared" si="88"/>
        <v>03</v>
      </c>
      <c r="X1003" t="str">
        <f t="shared" si="89"/>
        <v>22</v>
      </c>
      <c r="Y1003" t="str">
        <f t="shared" si="90"/>
        <v>2022</v>
      </c>
      <c r="Z1003"/>
      <c r="AA1003" s="2">
        <f t="shared" si="91"/>
        <v>44626</v>
      </c>
      <c r="AB1003"/>
      <c r="AC1003"/>
    </row>
    <row r="1004" spans="21:29" ht="15">
      <c r="U1004" t="s">
        <v>9751</v>
      </c>
      <c r="V1004" t="str">
        <f t="shared" si="87"/>
        <v>06</v>
      </c>
      <c r="W1004" t="str">
        <f t="shared" si="88"/>
        <v>03</v>
      </c>
      <c r="X1004" t="str">
        <f t="shared" si="89"/>
        <v>22</v>
      </c>
      <c r="Y1004" t="str">
        <f t="shared" si="90"/>
        <v>2022</v>
      </c>
      <c r="Z1004"/>
      <c r="AA1004" s="2">
        <f t="shared" si="91"/>
        <v>44626</v>
      </c>
      <c r="AB1004"/>
      <c r="AC1004"/>
    </row>
    <row r="1005" spans="21:29" ht="15">
      <c r="U1005" t="s">
        <v>9751</v>
      </c>
      <c r="V1005" t="str">
        <f t="shared" si="87"/>
        <v>06</v>
      </c>
      <c r="W1005" t="str">
        <f t="shared" si="88"/>
        <v>03</v>
      </c>
      <c r="X1005" t="str">
        <f t="shared" si="89"/>
        <v>22</v>
      </c>
      <c r="Y1005" t="str">
        <f t="shared" si="90"/>
        <v>2022</v>
      </c>
      <c r="Z1005"/>
      <c r="AA1005" s="2">
        <f t="shared" si="91"/>
        <v>44626</v>
      </c>
      <c r="AB1005"/>
      <c r="AC1005"/>
    </row>
    <row r="1006" spans="21:29" ht="15">
      <c r="U1006" t="s">
        <v>9752</v>
      </c>
      <c r="V1006" t="str">
        <f t="shared" si="87"/>
        <v>08</v>
      </c>
      <c r="W1006" t="str">
        <f t="shared" si="88"/>
        <v>03</v>
      </c>
      <c r="X1006" t="str">
        <f t="shared" si="89"/>
        <v>22</v>
      </c>
      <c r="Y1006" t="str">
        <f t="shared" si="90"/>
        <v>2022</v>
      </c>
      <c r="Z1006"/>
      <c r="AA1006" s="2">
        <f t="shared" si="91"/>
        <v>44628</v>
      </c>
      <c r="AB1006"/>
      <c r="AC1006"/>
    </row>
    <row r="1007" spans="21:29" ht="15">
      <c r="U1007" t="s">
        <v>9752</v>
      </c>
      <c r="V1007" t="str">
        <f t="shared" si="87"/>
        <v>08</v>
      </c>
      <c r="W1007" t="str">
        <f t="shared" si="88"/>
        <v>03</v>
      </c>
      <c r="X1007" t="str">
        <f t="shared" si="89"/>
        <v>22</v>
      </c>
      <c r="Y1007" t="str">
        <f t="shared" si="90"/>
        <v>2022</v>
      </c>
      <c r="Z1007"/>
      <c r="AA1007" s="2">
        <f t="shared" si="91"/>
        <v>44628</v>
      </c>
      <c r="AB1007"/>
      <c r="AC1007"/>
    </row>
    <row r="1008" spans="21:29" ht="15">
      <c r="U1008" t="s">
        <v>9752</v>
      </c>
      <c r="V1008" t="str">
        <f t="shared" si="87"/>
        <v>08</v>
      </c>
      <c r="W1008" t="str">
        <f t="shared" si="88"/>
        <v>03</v>
      </c>
      <c r="X1008" t="str">
        <f t="shared" si="89"/>
        <v>22</v>
      </c>
      <c r="Y1008" t="str">
        <f t="shared" si="90"/>
        <v>2022</v>
      </c>
      <c r="Z1008"/>
      <c r="AA1008" s="2">
        <f t="shared" si="91"/>
        <v>44628</v>
      </c>
      <c r="AB1008"/>
      <c r="AC1008"/>
    </row>
    <row r="1009" spans="21:29" ht="15">
      <c r="U1009" t="s">
        <v>9753</v>
      </c>
      <c r="V1009" t="str">
        <f t="shared" si="87"/>
        <v>10</v>
      </c>
      <c r="W1009" t="str">
        <f t="shared" si="88"/>
        <v>03</v>
      </c>
      <c r="X1009" t="str">
        <f t="shared" si="89"/>
        <v>22</v>
      </c>
      <c r="Y1009" t="str">
        <f t="shared" si="90"/>
        <v>2022</v>
      </c>
      <c r="Z1009"/>
      <c r="AA1009" s="2">
        <f t="shared" si="91"/>
        <v>44630</v>
      </c>
      <c r="AB1009"/>
      <c r="AC1009"/>
    </row>
    <row r="1010" spans="21:29" ht="15">
      <c r="U1010" t="s">
        <v>9753</v>
      </c>
      <c r="V1010" t="str">
        <f t="shared" si="87"/>
        <v>10</v>
      </c>
      <c r="W1010" t="str">
        <f t="shared" si="88"/>
        <v>03</v>
      </c>
      <c r="X1010" t="str">
        <f t="shared" si="89"/>
        <v>22</v>
      </c>
      <c r="Y1010" t="str">
        <f t="shared" si="90"/>
        <v>2022</v>
      </c>
      <c r="Z1010"/>
      <c r="AA1010" s="2">
        <f t="shared" si="91"/>
        <v>44630</v>
      </c>
      <c r="AB1010"/>
      <c r="AC1010"/>
    </row>
    <row r="1011" spans="21:29" ht="15">
      <c r="U1011" t="s">
        <v>9754</v>
      </c>
      <c r="V1011" t="str">
        <f t="shared" si="87"/>
        <v>12</v>
      </c>
      <c r="W1011" t="str">
        <f t="shared" si="88"/>
        <v>03</v>
      </c>
      <c r="X1011" t="str">
        <f t="shared" si="89"/>
        <v>22</v>
      </c>
      <c r="Y1011" t="str">
        <f t="shared" si="90"/>
        <v>2022</v>
      </c>
      <c r="Z1011"/>
      <c r="AA1011" s="2">
        <f t="shared" si="91"/>
        <v>44632</v>
      </c>
      <c r="AB1011"/>
      <c r="AC1011"/>
    </row>
    <row r="1012" spans="21:29" ht="15">
      <c r="U1012" t="s">
        <v>9754</v>
      </c>
      <c r="V1012" t="str">
        <f t="shared" si="87"/>
        <v>12</v>
      </c>
      <c r="W1012" t="str">
        <f t="shared" si="88"/>
        <v>03</v>
      </c>
      <c r="X1012" t="str">
        <f t="shared" si="89"/>
        <v>22</v>
      </c>
      <c r="Y1012" t="str">
        <f t="shared" si="90"/>
        <v>2022</v>
      </c>
      <c r="Z1012"/>
      <c r="AA1012" s="2">
        <f t="shared" si="91"/>
        <v>44632</v>
      </c>
      <c r="AB1012"/>
      <c r="AC1012"/>
    </row>
    <row r="1013" spans="21:29" ht="15">
      <c r="U1013" t="s">
        <v>9755</v>
      </c>
      <c r="V1013" t="str">
        <f t="shared" si="87"/>
        <v>13</v>
      </c>
      <c r="W1013" t="str">
        <f t="shared" si="88"/>
        <v>03</v>
      </c>
      <c r="X1013" t="str">
        <f t="shared" si="89"/>
        <v>22</v>
      </c>
      <c r="Y1013" t="str">
        <f t="shared" si="90"/>
        <v>2022</v>
      </c>
      <c r="Z1013"/>
      <c r="AA1013" s="2">
        <f t="shared" si="91"/>
        <v>44633</v>
      </c>
      <c r="AB1013"/>
      <c r="AC1013"/>
    </row>
    <row r="1014" spans="21:29" ht="15">
      <c r="U1014" t="s">
        <v>9756</v>
      </c>
      <c r="V1014" t="str">
        <f t="shared" si="87"/>
        <v>15</v>
      </c>
      <c r="W1014" t="str">
        <f t="shared" si="88"/>
        <v>03</v>
      </c>
      <c r="X1014" t="str">
        <f t="shared" si="89"/>
        <v>22</v>
      </c>
      <c r="Y1014" t="str">
        <f t="shared" si="90"/>
        <v>2022</v>
      </c>
      <c r="Z1014"/>
      <c r="AA1014" s="2">
        <f t="shared" si="91"/>
        <v>44635</v>
      </c>
      <c r="AB1014"/>
      <c r="AC1014"/>
    </row>
    <row r="1015" spans="21:29" ht="15">
      <c r="U1015" t="s">
        <v>9756</v>
      </c>
      <c r="V1015" t="str">
        <f t="shared" si="87"/>
        <v>15</v>
      </c>
      <c r="W1015" t="str">
        <f t="shared" si="88"/>
        <v>03</v>
      </c>
      <c r="X1015" t="str">
        <f t="shared" si="89"/>
        <v>22</v>
      </c>
      <c r="Y1015" t="str">
        <f t="shared" si="90"/>
        <v>2022</v>
      </c>
      <c r="Z1015"/>
      <c r="AA1015" s="2">
        <f t="shared" si="91"/>
        <v>44635</v>
      </c>
      <c r="AB1015"/>
      <c r="AC1015"/>
    </row>
    <row r="1016" spans="21:29" ht="15">
      <c r="U1016" t="s">
        <v>9756</v>
      </c>
      <c r="V1016" t="str">
        <f t="shared" si="87"/>
        <v>15</v>
      </c>
      <c r="W1016" t="str">
        <f t="shared" si="88"/>
        <v>03</v>
      </c>
      <c r="X1016" t="str">
        <f t="shared" si="89"/>
        <v>22</v>
      </c>
      <c r="Y1016" t="str">
        <f t="shared" si="90"/>
        <v>2022</v>
      </c>
      <c r="Z1016"/>
      <c r="AA1016" s="2">
        <f t="shared" si="91"/>
        <v>44635</v>
      </c>
      <c r="AB1016"/>
      <c r="AC1016"/>
    </row>
    <row r="1017" spans="21:29" ht="15">
      <c r="U1017" t="s">
        <v>9757</v>
      </c>
      <c r="V1017" t="str">
        <f t="shared" si="87"/>
        <v>16</v>
      </c>
      <c r="W1017" t="str">
        <f t="shared" si="88"/>
        <v>03</v>
      </c>
      <c r="X1017" t="str">
        <f t="shared" si="89"/>
        <v>22</v>
      </c>
      <c r="Y1017" t="str">
        <f t="shared" si="90"/>
        <v>2022</v>
      </c>
      <c r="Z1017"/>
      <c r="AA1017" s="2">
        <f t="shared" si="91"/>
        <v>44636</v>
      </c>
      <c r="AB1017"/>
      <c r="AC1017"/>
    </row>
    <row r="1018" spans="21:29" ht="15">
      <c r="U1018" t="s">
        <v>9757</v>
      </c>
      <c r="V1018" t="str">
        <f t="shared" si="87"/>
        <v>16</v>
      </c>
      <c r="W1018" t="str">
        <f t="shared" si="88"/>
        <v>03</v>
      </c>
      <c r="X1018" t="str">
        <f t="shared" si="89"/>
        <v>22</v>
      </c>
      <c r="Y1018" t="str">
        <f t="shared" si="90"/>
        <v>2022</v>
      </c>
      <c r="Z1018"/>
      <c r="AA1018" s="2">
        <f t="shared" si="91"/>
        <v>44636</v>
      </c>
      <c r="AB1018"/>
      <c r="AC1018"/>
    </row>
    <row r="1019" spans="21:29" ht="15">
      <c r="U1019" t="s">
        <v>9757</v>
      </c>
      <c r="V1019" t="str">
        <f t="shared" si="87"/>
        <v>16</v>
      </c>
      <c r="W1019" t="str">
        <f t="shared" si="88"/>
        <v>03</v>
      </c>
      <c r="X1019" t="str">
        <f t="shared" si="89"/>
        <v>22</v>
      </c>
      <c r="Y1019" t="str">
        <f t="shared" si="90"/>
        <v>2022</v>
      </c>
      <c r="Z1019"/>
      <c r="AA1019" s="2">
        <f t="shared" si="91"/>
        <v>44636</v>
      </c>
      <c r="AB1019"/>
      <c r="AC1019"/>
    </row>
    <row r="1020" spans="21:29" ht="15">
      <c r="U1020" t="s">
        <v>9757</v>
      </c>
      <c r="V1020" t="str">
        <f t="shared" si="87"/>
        <v>16</v>
      </c>
      <c r="W1020" t="str">
        <f t="shared" si="88"/>
        <v>03</v>
      </c>
      <c r="X1020" t="str">
        <f t="shared" si="89"/>
        <v>22</v>
      </c>
      <c r="Y1020" t="str">
        <f t="shared" si="90"/>
        <v>2022</v>
      </c>
      <c r="Z1020"/>
      <c r="AA1020" s="2">
        <f t="shared" si="91"/>
        <v>44636</v>
      </c>
      <c r="AB1020"/>
      <c r="AC1020"/>
    </row>
    <row r="1021" spans="21:29" ht="15">
      <c r="U1021" t="s">
        <v>9758</v>
      </c>
      <c r="V1021" t="str">
        <f t="shared" si="87"/>
        <v>17</v>
      </c>
      <c r="W1021" t="str">
        <f t="shared" si="88"/>
        <v>03</v>
      </c>
      <c r="X1021" t="str">
        <f t="shared" si="89"/>
        <v>22</v>
      </c>
      <c r="Y1021" t="str">
        <f t="shared" si="90"/>
        <v>2022</v>
      </c>
      <c r="Z1021"/>
      <c r="AA1021" s="2">
        <f t="shared" si="91"/>
        <v>44637</v>
      </c>
      <c r="AB1021"/>
      <c r="AC1021"/>
    </row>
    <row r="1022" spans="21:29" ht="15">
      <c r="U1022" t="s">
        <v>9759</v>
      </c>
      <c r="V1022" t="str">
        <f t="shared" si="87"/>
        <v>19</v>
      </c>
      <c r="W1022" t="str">
        <f t="shared" si="88"/>
        <v>03</v>
      </c>
      <c r="X1022" t="str">
        <f t="shared" si="89"/>
        <v>22</v>
      </c>
      <c r="Y1022" t="str">
        <f t="shared" si="90"/>
        <v>2022</v>
      </c>
      <c r="Z1022"/>
      <c r="AA1022" s="2">
        <f t="shared" si="91"/>
        <v>44639</v>
      </c>
      <c r="AB1022"/>
      <c r="AC1022"/>
    </row>
    <row r="1023" spans="21:29" ht="15">
      <c r="U1023" t="s">
        <v>9759</v>
      </c>
      <c r="V1023" t="str">
        <f t="shared" si="87"/>
        <v>19</v>
      </c>
      <c r="W1023" t="str">
        <f t="shared" si="88"/>
        <v>03</v>
      </c>
      <c r="X1023" t="str">
        <f t="shared" si="89"/>
        <v>22</v>
      </c>
      <c r="Y1023" t="str">
        <f t="shared" si="90"/>
        <v>2022</v>
      </c>
      <c r="Z1023"/>
      <c r="AA1023" s="2">
        <f t="shared" si="91"/>
        <v>44639</v>
      </c>
      <c r="AB1023"/>
      <c r="AC1023"/>
    </row>
    <row r="1024" spans="21:29" ht="15">
      <c r="U1024" t="s">
        <v>9759</v>
      </c>
      <c r="V1024" t="str">
        <f t="shared" si="87"/>
        <v>19</v>
      </c>
      <c r="W1024" t="str">
        <f t="shared" si="88"/>
        <v>03</v>
      </c>
      <c r="X1024" t="str">
        <f t="shared" si="89"/>
        <v>22</v>
      </c>
      <c r="Y1024" t="str">
        <f t="shared" si="90"/>
        <v>2022</v>
      </c>
      <c r="Z1024"/>
      <c r="AA1024" s="2">
        <f t="shared" si="91"/>
        <v>44639</v>
      </c>
      <c r="AB1024"/>
      <c r="AC1024"/>
    </row>
    <row r="1025" spans="21:29" ht="15">
      <c r="U1025" t="s">
        <v>9760</v>
      </c>
      <c r="V1025" t="str">
        <f t="shared" si="87"/>
        <v>21</v>
      </c>
      <c r="W1025" t="str">
        <f t="shared" si="88"/>
        <v>03</v>
      </c>
      <c r="X1025" t="str">
        <f t="shared" si="89"/>
        <v>22</v>
      </c>
      <c r="Y1025" t="str">
        <f t="shared" si="90"/>
        <v>2022</v>
      </c>
      <c r="Z1025"/>
      <c r="AA1025" s="2">
        <f t="shared" si="91"/>
        <v>44641</v>
      </c>
      <c r="AB1025"/>
      <c r="AC1025"/>
    </row>
    <row r="1026" spans="21:29" ht="15">
      <c r="U1026" t="s">
        <v>9760</v>
      </c>
      <c r="V1026" t="str">
        <f t="shared" si="87"/>
        <v>21</v>
      </c>
      <c r="W1026" t="str">
        <f t="shared" si="88"/>
        <v>03</v>
      </c>
      <c r="X1026" t="str">
        <f t="shared" si="89"/>
        <v>22</v>
      </c>
      <c r="Y1026" t="str">
        <f t="shared" si="90"/>
        <v>2022</v>
      </c>
      <c r="Z1026"/>
      <c r="AA1026" s="2">
        <f t="shared" si="91"/>
        <v>44641</v>
      </c>
      <c r="AB1026"/>
      <c r="AC1026"/>
    </row>
    <row r="1027" spans="21:29" ht="15">
      <c r="U1027" t="s">
        <v>9760</v>
      </c>
      <c r="V1027" t="str">
        <f t="shared" ref="V1027:V1090" si="92">LEFT(U1027,2)</f>
        <v>21</v>
      </c>
      <c r="W1027" t="str">
        <f t="shared" ref="W1027:W1090" si="93">MID(U1027,4,2)</f>
        <v>03</v>
      </c>
      <c r="X1027" t="str">
        <f t="shared" ref="X1027:X1090" si="94">RIGHT(U1027,2)</f>
        <v>22</v>
      </c>
      <c r="Y1027" t="str">
        <f t="shared" ref="Y1027:Y1090" si="95">"20" &amp; X1027</f>
        <v>2022</v>
      </c>
      <c r="Z1027"/>
      <c r="AA1027" s="2">
        <f t="shared" ref="AA1027:AA1090" si="96">DATE(Y1027,W1027,V1027)</f>
        <v>44641</v>
      </c>
      <c r="AB1027"/>
      <c r="AC1027"/>
    </row>
    <row r="1028" spans="21:29" ht="15">
      <c r="U1028" t="s">
        <v>9761</v>
      </c>
      <c r="V1028" t="str">
        <f t="shared" si="92"/>
        <v>22</v>
      </c>
      <c r="W1028" t="str">
        <f t="shared" si="93"/>
        <v>03</v>
      </c>
      <c r="X1028" t="str">
        <f t="shared" si="94"/>
        <v>22</v>
      </c>
      <c r="Y1028" t="str">
        <f t="shared" si="95"/>
        <v>2022</v>
      </c>
      <c r="Z1028"/>
      <c r="AA1028" s="2">
        <f t="shared" si="96"/>
        <v>44642</v>
      </c>
      <c r="AB1028"/>
      <c r="AC1028"/>
    </row>
    <row r="1029" spans="21:29" ht="15">
      <c r="U1029" t="s">
        <v>9761</v>
      </c>
      <c r="V1029" t="str">
        <f t="shared" si="92"/>
        <v>22</v>
      </c>
      <c r="W1029" t="str">
        <f t="shared" si="93"/>
        <v>03</v>
      </c>
      <c r="X1029" t="str">
        <f t="shared" si="94"/>
        <v>22</v>
      </c>
      <c r="Y1029" t="str">
        <f t="shared" si="95"/>
        <v>2022</v>
      </c>
      <c r="Z1029"/>
      <c r="AA1029" s="2">
        <f t="shared" si="96"/>
        <v>44642</v>
      </c>
      <c r="AB1029"/>
      <c r="AC1029"/>
    </row>
    <row r="1030" spans="21:29" ht="15">
      <c r="U1030" t="s">
        <v>9762</v>
      </c>
      <c r="V1030" t="str">
        <f t="shared" si="92"/>
        <v>24</v>
      </c>
      <c r="W1030" t="str">
        <f t="shared" si="93"/>
        <v>03</v>
      </c>
      <c r="X1030" t="str">
        <f t="shared" si="94"/>
        <v>22</v>
      </c>
      <c r="Y1030" t="str">
        <f t="shared" si="95"/>
        <v>2022</v>
      </c>
      <c r="Z1030"/>
      <c r="AA1030" s="2">
        <f t="shared" si="96"/>
        <v>44644</v>
      </c>
      <c r="AB1030"/>
      <c r="AC1030"/>
    </row>
    <row r="1031" spans="21:29" ht="15">
      <c r="U1031" t="s">
        <v>9762</v>
      </c>
      <c r="V1031" t="str">
        <f t="shared" si="92"/>
        <v>24</v>
      </c>
      <c r="W1031" t="str">
        <f t="shared" si="93"/>
        <v>03</v>
      </c>
      <c r="X1031" t="str">
        <f t="shared" si="94"/>
        <v>22</v>
      </c>
      <c r="Y1031" t="str">
        <f t="shared" si="95"/>
        <v>2022</v>
      </c>
      <c r="Z1031"/>
      <c r="AA1031" s="2">
        <f t="shared" si="96"/>
        <v>44644</v>
      </c>
      <c r="AB1031"/>
      <c r="AC1031"/>
    </row>
    <row r="1032" spans="21:29" ht="15">
      <c r="U1032" t="s">
        <v>9763</v>
      </c>
      <c r="V1032" t="str">
        <f t="shared" si="92"/>
        <v>25</v>
      </c>
      <c r="W1032" t="str">
        <f t="shared" si="93"/>
        <v>03</v>
      </c>
      <c r="X1032" t="str">
        <f t="shared" si="94"/>
        <v>22</v>
      </c>
      <c r="Y1032" t="str">
        <f t="shared" si="95"/>
        <v>2022</v>
      </c>
      <c r="Z1032"/>
      <c r="AA1032" s="2">
        <f t="shared" si="96"/>
        <v>44645</v>
      </c>
      <c r="AB1032"/>
      <c r="AC1032"/>
    </row>
    <row r="1033" spans="21:29" ht="15">
      <c r="U1033" t="s">
        <v>9764</v>
      </c>
      <c r="V1033" t="str">
        <f t="shared" si="92"/>
        <v>26</v>
      </c>
      <c r="W1033" t="str">
        <f t="shared" si="93"/>
        <v>03</v>
      </c>
      <c r="X1033" t="str">
        <f t="shared" si="94"/>
        <v>22</v>
      </c>
      <c r="Y1033" t="str">
        <f t="shared" si="95"/>
        <v>2022</v>
      </c>
      <c r="Z1033"/>
      <c r="AA1033" s="2">
        <f t="shared" si="96"/>
        <v>44646</v>
      </c>
      <c r="AB1033"/>
      <c r="AC1033"/>
    </row>
    <row r="1034" spans="21:29" ht="15">
      <c r="U1034" t="s">
        <v>9764</v>
      </c>
      <c r="V1034" t="str">
        <f t="shared" si="92"/>
        <v>26</v>
      </c>
      <c r="W1034" t="str">
        <f t="shared" si="93"/>
        <v>03</v>
      </c>
      <c r="X1034" t="str">
        <f t="shared" si="94"/>
        <v>22</v>
      </c>
      <c r="Y1034" t="str">
        <f t="shared" si="95"/>
        <v>2022</v>
      </c>
      <c r="Z1034"/>
      <c r="AA1034" s="2">
        <f t="shared" si="96"/>
        <v>44646</v>
      </c>
      <c r="AB1034"/>
      <c r="AC1034"/>
    </row>
    <row r="1035" spans="21:29" ht="15">
      <c r="U1035" t="s">
        <v>9764</v>
      </c>
      <c r="V1035" t="str">
        <f t="shared" si="92"/>
        <v>26</v>
      </c>
      <c r="W1035" t="str">
        <f t="shared" si="93"/>
        <v>03</v>
      </c>
      <c r="X1035" t="str">
        <f t="shared" si="94"/>
        <v>22</v>
      </c>
      <c r="Y1035" t="str">
        <f t="shared" si="95"/>
        <v>2022</v>
      </c>
      <c r="Z1035"/>
      <c r="AA1035" s="2">
        <f t="shared" si="96"/>
        <v>44646</v>
      </c>
      <c r="AB1035"/>
      <c r="AC1035"/>
    </row>
    <row r="1036" spans="21:29" ht="15">
      <c r="U1036" t="s">
        <v>9764</v>
      </c>
      <c r="V1036" t="str">
        <f t="shared" si="92"/>
        <v>26</v>
      </c>
      <c r="W1036" t="str">
        <f t="shared" si="93"/>
        <v>03</v>
      </c>
      <c r="X1036" t="str">
        <f t="shared" si="94"/>
        <v>22</v>
      </c>
      <c r="Y1036" t="str">
        <f t="shared" si="95"/>
        <v>2022</v>
      </c>
      <c r="Z1036"/>
      <c r="AA1036" s="2">
        <f t="shared" si="96"/>
        <v>44646</v>
      </c>
      <c r="AB1036"/>
      <c r="AC1036"/>
    </row>
    <row r="1037" spans="21:29" ht="15">
      <c r="U1037" t="s">
        <v>9765</v>
      </c>
      <c r="V1037" t="str">
        <f t="shared" si="92"/>
        <v>28</v>
      </c>
      <c r="W1037" t="str">
        <f t="shared" si="93"/>
        <v>03</v>
      </c>
      <c r="X1037" t="str">
        <f t="shared" si="94"/>
        <v>22</v>
      </c>
      <c r="Y1037" t="str">
        <f t="shared" si="95"/>
        <v>2022</v>
      </c>
      <c r="Z1037"/>
      <c r="AA1037" s="2">
        <f t="shared" si="96"/>
        <v>44648</v>
      </c>
      <c r="AB1037"/>
      <c r="AC1037"/>
    </row>
    <row r="1038" spans="21:29" ht="15">
      <c r="U1038" t="s">
        <v>9765</v>
      </c>
      <c r="V1038" t="str">
        <f t="shared" si="92"/>
        <v>28</v>
      </c>
      <c r="W1038" t="str">
        <f t="shared" si="93"/>
        <v>03</v>
      </c>
      <c r="X1038" t="str">
        <f t="shared" si="94"/>
        <v>22</v>
      </c>
      <c r="Y1038" t="str">
        <f t="shared" si="95"/>
        <v>2022</v>
      </c>
      <c r="Z1038"/>
      <c r="AA1038" s="2">
        <f t="shared" si="96"/>
        <v>44648</v>
      </c>
      <c r="AB1038"/>
      <c r="AC1038"/>
    </row>
    <row r="1039" spans="21:29" ht="15">
      <c r="U1039" t="s">
        <v>9766</v>
      </c>
      <c r="V1039" t="str">
        <f t="shared" si="92"/>
        <v>30</v>
      </c>
      <c r="W1039" t="str">
        <f t="shared" si="93"/>
        <v>03</v>
      </c>
      <c r="X1039" t="str">
        <f t="shared" si="94"/>
        <v>22</v>
      </c>
      <c r="Y1039" t="str">
        <f t="shared" si="95"/>
        <v>2022</v>
      </c>
      <c r="Z1039"/>
      <c r="AA1039" s="2">
        <f t="shared" si="96"/>
        <v>44650</v>
      </c>
      <c r="AB1039"/>
      <c r="AC1039"/>
    </row>
    <row r="1040" spans="21:29" ht="15">
      <c r="U1040" t="s">
        <v>9766</v>
      </c>
      <c r="V1040" t="str">
        <f t="shared" si="92"/>
        <v>30</v>
      </c>
      <c r="W1040" t="str">
        <f t="shared" si="93"/>
        <v>03</v>
      </c>
      <c r="X1040" t="str">
        <f t="shared" si="94"/>
        <v>22</v>
      </c>
      <c r="Y1040" t="str">
        <f t="shared" si="95"/>
        <v>2022</v>
      </c>
      <c r="Z1040"/>
      <c r="AA1040" s="2">
        <f t="shared" si="96"/>
        <v>44650</v>
      </c>
      <c r="AB1040"/>
      <c r="AC1040"/>
    </row>
    <row r="1041" spans="21:29" ht="15">
      <c r="U1041" t="s">
        <v>9767</v>
      </c>
      <c r="V1041" t="str">
        <f t="shared" si="92"/>
        <v>31</v>
      </c>
      <c r="W1041" t="str">
        <f t="shared" si="93"/>
        <v>03</v>
      </c>
      <c r="X1041" t="str">
        <f t="shared" si="94"/>
        <v>22</v>
      </c>
      <c r="Y1041" t="str">
        <f t="shared" si="95"/>
        <v>2022</v>
      </c>
      <c r="Z1041"/>
      <c r="AA1041" s="2">
        <f t="shared" si="96"/>
        <v>44651</v>
      </c>
      <c r="AB1041"/>
      <c r="AC1041"/>
    </row>
    <row r="1042" spans="21:29" ht="15">
      <c r="U1042" t="s">
        <v>9767</v>
      </c>
      <c r="V1042" t="str">
        <f t="shared" si="92"/>
        <v>31</v>
      </c>
      <c r="W1042" t="str">
        <f t="shared" si="93"/>
        <v>03</v>
      </c>
      <c r="X1042" t="str">
        <f t="shared" si="94"/>
        <v>22</v>
      </c>
      <c r="Y1042" t="str">
        <f t="shared" si="95"/>
        <v>2022</v>
      </c>
      <c r="Z1042"/>
      <c r="AA1042" s="2">
        <f t="shared" si="96"/>
        <v>44651</v>
      </c>
      <c r="AB1042"/>
      <c r="AC1042"/>
    </row>
    <row r="1043" spans="21:29" ht="15">
      <c r="U1043" t="s">
        <v>9768</v>
      </c>
      <c r="V1043" t="str">
        <f t="shared" si="92"/>
        <v>01</v>
      </c>
      <c r="W1043" t="str">
        <f t="shared" si="93"/>
        <v>04</v>
      </c>
      <c r="X1043" t="str">
        <f t="shared" si="94"/>
        <v>22</v>
      </c>
      <c r="Y1043" t="str">
        <f t="shared" si="95"/>
        <v>2022</v>
      </c>
      <c r="Z1043"/>
      <c r="AA1043" s="2">
        <f t="shared" si="96"/>
        <v>44652</v>
      </c>
      <c r="AB1043"/>
      <c r="AC1043"/>
    </row>
    <row r="1044" spans="21:29" ht="15">
      <c r="U1044" s="232" t="s">
        <v>9769</v>
      </c>
      <c r="V1044" t="str">
        <f>LEFT(U1044,1)</f>
        <v>2</v>
      </c>
      <c r="W1044" t="str">
        <f t="shared" si="93"/>
        <v>10</v>
      </c>
      <c r="X1044" t="str">
        <f t="shared" si="94"/>
        <v>21</v>
      </c>
      <c r="Y1044" t="str">
        <f t="shared" si="95"/>
        <v>2021</v>
      </c>
      <c r="Z1044"/>
      <c r="AA1044" s="2">
        <f t="shared" si="96"/>
        <v>44471</v>
      </c>
      <c r="AB1044"/>
      <c r="AC1044"/>
    </row>
    <row r="1045" spans="21:29" ht="15">
      <c r="U1045" s="232" t="s">
        <v>9769</v>
      </c>
      <c r="V1045" t="str">
        <f t="shared" si="92"/>
        <v>21</v>
      </c>
      <c r="W1045" t="str">
        <f t="shared" si="93"/>
        <v>10</v>
      </c>
      <c r="X1045" t="str">
        <f t="shared" si="94"/>
        <v>21</v>
      </c>
      <c r="Y1045" t="str">
        <f t="shared" si="95"/>
        <v>2021</v>
      </c>
      <c r="Z1045"/>
      <c r="AA1045" s="2">
        <f t="shared" si="96"/>
        <v>44490</v>
      </c>
      <c r="AB1045"/>
      <c r="AC1045"/>
    </row>
    <row r="1046" spans="21:29" ht="15">
      <c r="U1046" s="232" t="s">
        <v>9770</v>
      </c>
      <c r="V1046" t="str">
        <f t="shared" si="92"/>
        <v>28</v>
      </c>
      <c r="W1046" t="str">
        <f t="shared" si="93"/>
        <v>10</v>
      </c>
      <c r="X1046" t="str">
        <f t="shared" si="94"/>
        <v>21</v>
      </c>
      <c r="Y1046" t="str">
        <f t="shared" si="95"/>
        <v>2021</v>
      </c>
      <c r="Z1046"/>
      <c r="AA1046" s="2">
        <f t="shared" si="96"/>
        <v>44497</v>
      </c>
      <c r="AB1046"/>
      <c r="AC1046"/>
    </row>
    <row r="1047" spans="21:29" ht="15">
      <c r="U1047" t="s">
        <v>9771</v>
      </c>
      <c r="V1047" t="str">
        <f t="shared" si="92"/>
        <v>20</v>
      </c>
      <c r="W1047" t="str">
        <f t="shared" si="93"/>
        <v>11</v>
      </c>
      <c r="X1047" t="str">
        <f t="shared" si="94"/>
        <v>21</v>
      </c>
      <c r="Y1047" t="str">
        <f t="shared" si="95"/>
        <v>2021</v>
      </c>
      <c r="Z1047"/>
      <c r="AA1047" s="2">
        <f t="shared" si="96"/>
        <v>44520</v>
      </c>
      <c r="AB1047"/>
      <c r="AC1047"/>
    </row>
    <row r="1048" spans="21:29" ht="15">
      <c r="U1048" t="s">
        <v>9772</v>
      </c>
      <c r="V1048" t="str">
        <f t="shared" si="92"/>
        <v>22</v>
      </c>
      <c r="W1048" t="str">
        <f t="shared" si="93"/>
        <v>11</v>
      </c>
      <c r="X1048" t="str">
        <f t="shared" si="94"/>
        <v>21</v>
      </c>
      <c r="Y1048" t="str">
        <f t="shared" si="95"/>
        <v>2021</v>
      </c>
      <c r="Z1048"/>
      <c r="AA1048" s="2">
        <f t="shared" si="96"/>
        <v>44522</v>
      </c>
      <c r="AB1048"/>
      <c r="AC1048"/>
    </row>
    <row r="1049" spans="21:29" ht="15">
      <c r="U1049" t="s">
        <v>9773</v>
      </c>
      <c r="V1049" t="str">
        <f t="shared" si="92"/>
        <v>26</v>
      </c>
      <c r="W1049" t="str">
        <f t="shared" si="93"/>
        <v>11</v>
      </c>
      <c r="X1049" t="str">
        <f t="shared" si="94"/>
        <v>21</v>
      </c>
      <c r="Y1049" t="str">
        <f t="shared" si="95"/>
        <v>2021</v>
      </c>
      <c r="Z1049"/>
      <c r="AA1049" s="2">
        <f t="shared" si="96"/>
        <v>44526</v>
      </c>
      <c r="AB1049"/>
      <c r="AC1049"/>
    </row>
    <row r="1050" spans="21:29" ht="15">
      <c r="U1050" t="s">
        <v>9774</v>
      </c>
      <c r="V1050" t="str">
        <f t="shared" si="92"/>
        <v>29</v>
      </c>
      <c r="W1050" t="str">
        <f t="shared" si="93"/>
        <v>11</v>
      </c>
      <c r="X1050" t="str">
        <f t="shared" si="94"/>
        <v>21</v>
      </c>
      <c r="Y1050" t="str">
        <f t="shared" si="95"/>
        <v>2021</v>
      </c>
      <c r="Z1050"/>
      <c r="AA1050" s="2">
        <f t="shared" si="96"/>
        <v>44529</v>
      </c>
      <c r="AB1050"/>
      <c r="AC1050"/>
    </row>
    <row r="1051" spans="21:29" ht="15">
      <c r="U1051" t="s">
        <v>9774</v>
      </c>
      <c r="V1051" t="str">
        <f t="shared" si="92"/>
        <v>29</v>
      </c>
      <c r="W1051" t="str">
        <f t="shared" si="93"/>
        <v>11</v>
      </c>
      <c r="X1051" t="str">
        <f t="shared" si="94"/>
        <v>21</v>
      </c>
      <c r="Y1051" t="str">
        <f t="shared" si="95"/>
        <v>2021</v>
      </c>
      <c r="Z1051"/>
      <c r="AA1051" s="2">
        <f t="shared" si="96"/>
        <v>44529</v>
      </c>
      <c r="AB1051"/>
      <c r="AC1051"/>
    </row>
    <row r="1052" spans="21:29" ht="15">
      <c r="U1052" t="s">
        <v>9775</v>
      </c>
      <c r="V1052" t="str">
        <f t="shared" si="92"/>
        <v>21</v>
      </c>
      <c r="W1052" t="str">
        <f t="shared" si="93"/>
        <v>12</v>
      </c>
      <c r="X1052" t="str">
        <f t="shared" si="94"/>
        <v>21</v>
      </c>
      <c r="Y1052" t="str">
        <f t="shared" si="95"/>
        <v>2021</v>
      </c>
      <c r="Z1052"/>
      <c r="AA1052" s="2">
        <f t="shared" si="96"/>
        <v>44551</v>
      </c>
      <c r="AB1052"/>
      <c r="AC1052"/>
    </row>
    <row r="1053" spans="21:29" ht="15">
      <c r="U1053" t="s">
        <v>9776</v>
      </c>
      <c r="V1053" t="str">
        <f t="shared" si="92"/>
        <v>28</v>
      </c>
      <c r="W1053" t="str">
        <f t="shared" si="93"/>
        <v>12</v>
      </c>
      <c r="X1053" t="str">
        <f t="shared" si="94"/>
        <v>21</v>
      </c>
      <c r="Y1053" t="str">
        <f t="shared" si="95"/>
        <v>2021</v>
      </c>
      <c r="Z1053"/>
      <c r="AA1053" s="2">
        <f t="shared" si="96"/>
        <v>44558</v>
      </c>
      <c r="AB1053"/>
      <c r="AC1053"/>
    </row>
    <row r="1054" spans="21:29" ht="15">
      <c r="U1054" t="s">
        <v>9777</v>
      </c>
      <c r="V1054" t="str">
        <f t="shared" si="92"/>
        <v>31</v>
      </c>
      <c r="W1054" t="str">
        <f t="shared" si="93"/>
        <v>12</v>
      </c>
      <c r="X1054" t="str">
        <f t="shared" si="94"/>
        <v>21</v>
      </c>
      <c r="Y1054" t="str">
        <f t="shared" si="95"/>
        <v>2021</v>
      </c>
      <c r="Z1054"/>
      <c r="AA1054" s="2">
        <f t="shared" si="96"/>
        <v>44561</v>
      </c>
      <c r="AB1054"/>
      <c r="AC1054"/>
    </row>
    <row r="1055" spans="21:29" ht="15">
      <c r="U1055" s="225" t="s">
        <v>9778</v>
      </c>
      <c r="V1055" t="str">
        <f t="shared" si="92"/>
        <v>02</v>
      </c>
      <c r="W1055" t="str">
        <f t="shared" si="93"/>
        <v>04</v>
      </c>
      <c r="X1055" t="str">
        <f t="shared" si="94"/>
        <v>22</v>
      </c>
      <c r="Y1055" t="str">
        <f t="shared" si="95"/>
        <v>2022</v>
      </c>
      <c r="Z1055"/>
      <c r="AA1055" s="2">
        <f t="shared" si="96"/>
        <v>44653</v>
      </c>
      <c r="AB1055"/>
      <c r="AC1055"/>
    </row>
    <row r="1056" spans="21:29" ht="15">
      <c r="U1056" s="225" t="s">
        <v>9779</v>
      </c>
      <c r="V1056" t="str">
        <f t="shared" si="92"/>
        <v>04</v>
      </c>
      <c r="W1056" t="str">
        <f t="shared" si="93"/>
        <v>04</v>
      </c>
      <c r="X1056" t="str">
        <f t="shared" si="94"/>
        <v>22</v>
      </c>
      <c r="Y1056" t="str">
        <f t="shared" si="95"/>
        <v>2022</v>
      </c>
      <c r="Z1056"/>
      <c r="AA1056" s="2">
        <f t="shared" si="96"/>
        <v>44655</v>
      </c>
      <c r="AB1056"/>
      <c r="AC1056"/>
    </row>
    <row r="1057" spans="21:29" ht="15">
      <c r="U1057" s="225" t="s">
        <v>9779</v>
      </c>
      <c r="V1057" t="str">
        <f t="shared" si="92"/>
        <v>04</v>
      </c>
      <c r="W1057" t="str">
        <f t="shared" si="93"/>
        <v>04</v>
      </c>
      <c r="X1057" t="str">
        <f t="shared" si="94"/>
        <v>22</v>
      </c>
      <c r="Y1057" t="str">
        <f t="shared" si="95"/>
        <v>2022</v>
      </c>
      <c r="Z1057"/>
      <c r="AA1057" s="2">
        <f t="shared" si="96"/>
        <v>44655</v>
      </c>
      <c r="AB1057"/>
      <c r="AC1057"/>
    </row>
    <row r="1058" spans="21:29" ht="15">
      <c r="U1058" s="225" t="s">
        <v>9779</v>
      </c>
      <c r="V1058" t="str">
        <f t="shared" si="92"/>
        <v>04</v>
      </c>
      <c r="W1058" t="str">
        <f t="shared" si="93"/>
        <v>04</v>
      </c>
      <c r="X1058" t="str">
        <f t="shared" si="94"/>
        <v>22</v>
      </c>
      <c r="Y1058" t="str">
        <f t="shared" si="95"/>
        <v>2022</v>
      </c>
      <c r="Z1058"/>
      <c r="AA1058" s="2">
        <f t="shared" si="96"/>
        <v>44655</v>
      </c>
      <c r="AB1058"/>
      <c r="AC1058"/>
    </row>
    <row r="1059" spans="21:29" ht="15">
      <c r="U1059" s="225" t="s">
        <v>9780</v>
      </c>
      <c r="V1059" t="str">
        <f t="shared" si="92"/>
        <v>08</v>
      </c>
      <c r="W1059" t="str">
        <f t="shared" si="93"/>
        <v>04</v>
      </c>
      <c r="X1059" t="str">
        <f t="shared" si="94"/>
        <v>22</v>
      </c>
      <c r="Y1059" t="str">
        <f t="shared" si="95"/>
        <v>2022</v>
      </c>
      <c r="Z1059"/>
      <c r="AA1059" s="2">
        <f t="shared" si="96"/>
        <v>44659</v>
      </c>
      <c r="AB1059"/>
      <c r="AC1059"/>
    </row>
    <row r="1060" spans="21:29" ht="15">
      <c r="U1060" s="225" t="s">
        <v>9781</v>
      </c>
      <c r="V1060" t="str">
        <f t="shared" si="92"/>
        <v>21</v>
      </c>
      <c r="W1060" t="str">
        <f t="shared" si="93"/>
        <v>04</v>
      </c>
      <c r="X1060" t="str">
        <f t="shared" si="94"/>
        <v>22</v>
      </c>
      <c r="Y1060" t="str">
        <f t="shared" si="95"/>
        <v>2022</v>
      </c>
      <c r="Z1060"/>
      <c r="AA1060" s="2">
        <f t="shared" si="96"/>
        <v>44672</v>
      </c>
      <c r="AB1060"/>
      <c r="AC1060"/>
    </row>
    <row r="1061" spans="21:29" ht="15">
      <c r="U1061" s="225" t="s">
        <v>9781</v>
      </c>
      <c r="V1061" t="str">
        <f t="shared" si="92"/>
        <v>21</v>
      </c>
      <c r="W1061" t="str">
        <f t="shared" si="93"/>
        <v>04</v>
      </c>
      <c r="X1061" t="str">
        <f t="shared" si="94"/>
        <v>22</v>
      </c>
      <c r="Y1061" t="str">
        <f t="shared" si="95"/>
        <v>2022</v>
      </c>
      <c r="Z1061"/>
      <c r="AA1061" s="2">
        <f t="shared" si="96"/>
        <v>44672</v>
      </c>
      <c r="AB1061"/>
      <c r="AC1061"/>
    </row>
    <row r="1062" spans="21:29" ht="15">
      <c r="U1062" s="225" t="s">
        <v>9781</v>
      </c>
      <c r="V1062" t="str">
        <f t="shared" si="92"/>
        <v>21</v>
      </c>
      <c r="W1062" t="str">
        <f t="shared" si="93"/>
        <v>04</v>
      </c>
      <c r="X1062" t="str">
        <f t="shared" si="94"/>
        <v>22</v>
      </c>
      <c r="Y1062" t="str">
        <f t="shared" si="95"/>
        <v>2022</v>
      </c>
      <c r="Z1062"/>
      <c r="AA1062" s="2">
        <f t="shared" si="96"/>
        <v>44672</v>
      </c>
      <c r="AB1062"/>
      <c r="AC1062"/>
    </row>
    <row r="1063" spans="21:29" ht="15">
      <c r="U1063" s="225" t="s">
        <v>9781</v>
      </c>
      <c r="V1063" t="str">
        <f t="shared" si="92"/>
        <v>21</v>
      </c>
      <c r="W1063" t="str">
        <f t="shared" si="93"/>
        <v>04</v>
      </c>
      <c r="X1063" t="str">
        <f t="shared" si="94"/>
        <v>22</v>
      </c>
      <c r="Y1063" t="str">
        <f t="shared" si="95"/>
        <v>2022</v>
      </c>
      <c r="Z1063"/>
      <c r="AA1063" s="2">
        <f t="shared" si="96"/>
        <v>44672</v>
      </c>
      <c r="AB1063"/>
      <c r="AC1063"/>
    </row>
    <row r="1064" spans="21:29" ht="15">
      <c r="U1064" s="225" t="s">
        <v>9782</v>
      </c>
      <c r="V1064" t="str">
        <f t="shared" si="92"/>
        <v>22</v>
      </c>
      <c r="W1064" t="str">
        <f t="shared" si="93"/>
        <v>04</v>
      </c>
      <c r="X1064" t="str">
        <f t="shared" si="94"/>
        <v>22</v>
      </c>
      <c r="Y1064" t="str">
        <f t="shared" si="95"/>
        <v>2022</v>
      </c>
      <c r="Z1064"/>
      <c r="AA1064" s="2">
        <f t="shared" si="96"/>
        <v>44673</v>
      </c>
      <c r="AB1064"/>
      <c r="AC1064"/>
    </row>
    <row r="1065" spans="21:29" ht="15">
      <c r="U1065" s="225" t="s">
        <v>9782</v>
      </c>
      <c r="V1065" t="str">
        <f t="shared" si="92"/>
        <v>22</v>
      </c>
      <c r="W1065" t="str">
        <f t="shared" si="93"/>
        <v>04</v>
      </c>
      <c r="X1065" t="str">
        <f t="shared" si="94"/>
        <v>22</v>
      </c>
      <c r="Y1065" t="str">
        <f t="shared" si="95"/>
        <v>2022</v>
      </c>
      <c r="Z1065"/>
      <c r="AA1065" s="2">
        <f t="shared" si="96"/>
        <v>44673</v>
      </c>
      <c r="AB1065"/>
      <c r="AC1065"/>
    </row>
    <row r="1066" spans="21:29" ht="15">
      <c r="U1066" s="225" t="s">
        <v>9783</v>
      </c>
      <c r="V1066" t="str">
        <f t="shared" si="92"/>
        <v>27</v>
      </c>
      <c r="W1066" t="str">
        <f t="shared" si="93"/>
        <v>04</v>
      </c>
      <c r="X1066" t="str">
        <f t="shared" si="94"/>
        <v>22</v>
      </c>
      <c r="Y1066" t="str">
        <f t="shared" si="95"/>
        <v>2022</v>
      </c>
      <c r="Z1066"/>
      <c r="AA1066" s="2">
        <f t="shared" si="96"/>
        <v>44678</v>
      </c>
      <c r="AB1066"/>
      <c r="AC1066"/>
    </row>
    <row r="1067" spans="21:29" ht="15">
      <c r="U1067" s="225" t="s">
        <v>9784</v>
      </c>
      <c r="V1067" t="str">
        <f t="shared" si="92"/>
        <v>28</v>
      </c>
      <c r="W1067" t="str">
        <f t="shared" si="93"/>
        <v>04</v>
      </c>
      <c r="X1067" t="str">
        <f t="shared" si="94"/>
        <v>22</v>
      </c>
      <c r="Y1067" t="str">
        <f t="shared" si="95"/>
        <v>2022</v>
      </c>
      <c r="Z1067"/>
      <c r="AA1067" s="2">
        <f t="shared" si="96"/>
        <v>44679</v>
      </c>
      <c r="AB1067"/>
      <c r="AC1067"/>
    </row>
    <row r="1068" spans="21:29" ht="15">
      <c r="U1068" s="225" t="s">
        <v>9784</v>
      </c>
      <c r="V1068" t="str">
        <f t="shared" si="92"/>
        <v>28</v>
      </c>
      <c r="W1068" t="str">
        <f t="shared" si="93"/>
        <v>04</v>
      </c>
      <c r="X1068" t="str">
        <f t="shared" si="94"/>
        <v>22</v>
      </c>
      <c r="Y1068" t="str">
        <f t="shared" si="95"/>
        <v>2022</v>
      </c>
      <c r="Z1068"/>
      <c r="AA1068" s="2">
        <f t="shared" si="96"/>
        <v>44679</v>
      </c>
      <c r="AB1068"/>
      <c r="AC1068"/>
    </row>
    <row r="1069" spans="21:29" ht="15">
      <c r="U1069" s="225" t="s">
        <v>9785</v>
      </c>
      <c r="V1069" t="str">
        <f t="shared" si="92"/>
        <v>02</v>
      </c>
      <c r="W1069" t="str">
        <f t="shared" si="93"/>
        <v>05</v>
      </c>
      <c r="X1069" t="str">
        <f t="shared" si="94"/>
        <v>22</v>
      </c>
      <c r="Y1069" t="str">
        <f t="shared" si="95"/>
        <v>2022</v>
      </c>
      <c r="Z1069"/>
      <c r="AA1069" s="2">
        <f t="shared" si="96"/>
        <v>44683</v>
      </c>
      <c r="AB1069"/>
      <c r="AC1069"/>
    </row>
    <row r="1070" spans="21:29" ht="15">
      <c r="U1070" s="225" t="s">
        <v>9786</v>
      </c>
      <c r="V1070" t="str">
        <f t="shared" si="92"/>
        <v>03</v>
      </c>
      <c r="W1070" t="str">
        <f t="shared" si="93"/>
        <v>05</v>
      </c>
      <c r="X1070" t="str">
        <f t="shared" si="94"/>
        <v>22</v>
      </c>
      <c r="Y1070" t="str">
        <f t="shared" si="95"/>
        <v>2022</v>
      </c>
      <c r="Z1070"/>
      <c r="AA1070" s="2">
        <f t="shared" si="96"/>
        <v>44684</v>
      </c>
      <c r="AB1070"/>
      <c r="AC1070"/>
    </row>
    <row r="1071" spans="21:29" ht="15">
      <c r="U1071" s="225" t="s">
        <v>9787</v>
      </c>
      <c r="V1071" t="str">
        <f t="shared" si="92"/>
        <v>04</v>
      </c>
      <c r="W1071" t="str">
        <f t="shared" si="93"/>
        <v>05</v>
      </c>
      <c r="X1071" t="str">
        <f t="shared" si="94"/>
        <v>22</v>
      </c>
      <c r="Y1071" t="str">
        <f t="shared" si="95"/>
        <v>2022</v>
      </c>
      <c r="Z1071"/>
      <c r="AA1071" s="2">
        <f t="shared" si="96"/>
        <v>44685</v>
      </c>
      <c r="AB1071"/>
      <c r="AC1071"/>
    </row>
    <row r="1072" spans="21:29" ht="15">
      <c r="U1072" s="225" t="s">
        <v>9788</v>
      </c>
      <c r="V1072" t="str">
        <f t="shared" si="92"/>
        <v>06</v>
      </c>
      <c r="W1072" t="str">
        <f t="shared" si="93"/>
        <v>05</v>
      </c>
      <c r="X1072" t="str">
        <f t="shared" si="94"/>
        <v>22</v>
      </c>
      <c r="Y1072" t="str">
        <f t="shared" si="95"/>
        <v>2022</v>
      </c>
      <c r="Z1072"/>
      <c r="AA1072" s="2">
        <f t="shared" si="96"/>
        <v>44687</v>
      </c>
      <c r="AB1072"/>
      <c r="AC1072"/>
    </row>
    <row r="1073" spans="21:29" ht="15">
      <c r="U1073" s="225" t="s">
        <v>9788</v>
      </c>
      <c r="V1073" t="str">
        <f t="shared" si="92"/>
        <v>06</v>
      </c>
      <c r="W1073" t="str">
        <f t="shared" si="93"/>
        <v>05</v>
      </c>
      <c r="X1073" t="str">
        <f t="shared" si="94"/>
        <v>22</v>
      </c>
      <c r="Y1073" t="str">
        <f t="shared" si="95"/>
        <v>2022</v>
      </c>
      <c r="Z1073"/>
      <c r="AA1073" s="2">
        <f t="shared" si="96"/>
        <v>44687</v>
      </c>
      <c r="AB1073"/>
      <c r="AC1073"/>
    </row>
    <row r="1074" spans="21:29" ht="15">
      <c r="U1074" s="225" t="s">
        <v>9789</v>
      </c>
      <c r="V1074" t="str">
        <f t="shared" si="92"/>
        <v>10</v>
      </c>
      <c r="W1074" t="str">
        <f t="shared" si="93"/>
        <v>05</v>
      </c>
      <c r="X1074" t="str">
        <f t="shared" si="94"/>
        <v>22</v>
      </c>
      <c r="Y1074" t="str">
        <f t="shared" si="95"/>
        <v>2022</v>
      </c>
      <c r="Z1074"/>
      <c r="AA1074" s="2">
        <f t="shared" si="96"/>
        <v>44691</v>
      </c>
      <c r="AB1074"/>
      <c r="AC1074"/>
    </row>
    <row r="1075" spans="21:29" ht="15">
      <c r="U1075" s="225" t="s">
        <v>9790</v>
      </c>
      <c r="V1075" t="str">
        <f t="shared" si="92"/>
        <v>21</v>
      </c>
      <c r="W1075" t="str">
        <f t="shared" si="93"/>
        <v>05</v>
      </c>
      <c r="X1075" t="str">
        <f t="shared" si="94"/>
        <v>22</v>
      </c>
      <c r="Y1075" t="str">
        <f t="shared" si="95"/>
        <v>2022</v>
      </c>
      <c r="Z1075"/>
      <c r="AA1075" s="2">
        <f t="shared" si="96"/>
        <v>44702</v>
      </c>
      <c r="AB1075"/>
      <c r="AC1075"/>
    </row>
    <row r="1076" spans="21:29" ht="15">
      <c r="U1076" s="225" t="s">
        <v>9791</v>
      </c>
      <c r="V1076" t="str">
        <f t="shared" si="92"/>
        <v>30</v>
      </c>
      <c r="W1076" t="str">
        <f t="shared" si="93"/>
        <v>05</v>
      </c>
      <c r="X1076" t="str">
        <f t="shared" si="94"/>
        <v>22</v>
      </c>
      <c r="Y1076" t="str">
        <f t="shared" si="95"/>
        <v>2022</v>
      </c>
      <c r="Z1076"/>
      <c r="AA1076" s="2">
        <f t="shared" si="96"/>
        <v>44711</v>
      </c>
      <c r="AB1076"/>
      <c r="AC1076"/>
    </row>
    <row r="1077" spans="21:29" ht="15">
      <c r="U1077" s="225" t="s">
        <v>9791</v>
      </c>
      <c r="V1077" t="str">
        <f t="shared" si="92"/>
        <v>30</v>
      </c>
      <c r="W1077" t="str">
        <f t="shared" si="93"/>
        <v>05</v>
      </c>
      <c r="X1077" t="str">
        <f t="shared" si="94"/>
        <v>22</v>
      </c>
      <c r="Y1077" t="str">
        <f t="shared" si="95"/>
        <v>2022</v>
      </c>
      <c r="Z1077"/>
      <c r="AA1077" s="2">
        <f t="shared" si="96"/>
        <v>44711</v>
      </c>
      <c r="AB1077"/>
      <c r="AC1077"/>
    </row>
    <row r="1078" spans="21:29" ht="15">
      <c r="U1078" s="225" t="s">
        <v>9792</v>
      </c>
      <c r="V1078" t="str">
        <f t="shared" si="92"/>
        <v>01</v>
      </c>
      <c r="W1078" t="str">
        <f t="shared" si="93"/>
        <v>06</v>
      </c>
      <c r="X1078" t="str">
        <f t="shared" si="94"/>
        <v>22</v>
      </c>
      <c r="Y1078" t="str">
        <f t="shared" si="95"/>
        <v>2022</v>
      </c>
      <c r="Z1078"/>
      <c r="AA1078" s="2">
        <f t="shared" si="96"/>
        <v>44713</v>
      </c>
      <c r="AB1078"/>
      <c r="AC1078"/>
    </row>
    <row r="1079" spans="21:29" ht="15">
      <c r="U1079" s="225" t="s">
        <v>9793</v>
      </c>
      <c r="V1079" t="str">
        <f t="shared" si="92"/>
        <v>03</v>
      </c>
      <c r="W1079" t="str">
        <f t="shared" si="93"/>
        <v>06</v>
      </c>
      <c r="X1079" t="str">
        <f t="shared" si="94"/>
        <v>22</v>
      </c>
      <c r="Y1079" t="str">
        <f t="shared" si="95"/>
        <v>2022</v>
      </c>
      <c r="Z1079"/>
      <c r="AA1079" s="2">
        <f t="shared" si="96"/>
        <v>44715</v>
      </c>
      <c r="AB1079"/>
      <c r="AC1079"/>
    </row>
    <row r="1080" spans="21:29" ht="15">
      <c r="U1080" s="225" t="s">
        <v>9794</v>
      </c>
      <c r="V1080" t="str">
        <f t="shared" si="92"/>
        <v>07</v>
      </c>
      <c r="W1080" t="str">
        <f t="shared" si="93"/>
        <v>06</v>
      </c>
      <c r="X1080" t="str">
        <f t="shared" si="94"/>
        <v>22</v>
      </c>
      <c r="Y1080" t="str">
        <f t="shared" si="95"/>
        <v>2022</v>
      </c>
      <c r="Z1080"/>
      <c r="AA1080" s="2">
        <f t="shared" si="96"/>
        <v>44719</v>
      </c>
      <c r="AB1080"/>
      <c r="AC1080"/>
    </row>
    <row r="1081" spans="21:29" ht="15">
      <c r="U1081" s="225" t="s">
        <v>9795</v>
      </c>
      <c r="V1081" t="str">
        <f t="shared" si="92"/>
        <v>21</v>
      </c>
      <c r="W1081" t="str">
        <f t="shared" si="93"/>
        <v>06</v>
      </c>
      <c r="X1081" t="str">
        <f t="shared" si="94"/>
        <v>22</v>
      </c>
      <c r="Y1081" t="str">
        <f t="shared" si="95"/>
        <v>2022</v>
      </c>
      <c r="Z1081"/>
      <c r="AA1081" s="2">
        <f t="shared" si="96"/>
        <v>44733</v>
      </c>
      <c r="AB1081"/>
      <c r="AC1081"/>
    </row>
    <row r="1082" spans="21:29" ht="15">
      <c r="U1082" s="225" t="s">
        <v>9796</v>
      </c>
      <c r="V1082" t="str">
        <f t="shared" si="92"/>
        <v>28</v>
      </c>
      <c r="W1082" t="str">
        <f t="shared" si="93"/>
        <v>06</v>
      </c>
      <c r="X1082" t="str">
        <f t="shared" si="94"/>
        <v>22</v>
      </c>
      <c r="Y1082" t="str">
        <f t="shared" si="95"/>
        <v>2022</v>
      </c>
      <c r="Z1082"/>
      <c r="AA1082" s="2">
        <f t="shared" si="96"/>
        <v>44740</v>
      </c>
      <c r="AB1082"/>
      <c r="AC1082"/>
    </row>
    <row r="1083" spans="21:29" ht="15">
      <c r="U1083" s="225" t="s">
        <v>9797</v>
      </c>
      <c r="V1083" t="str">
        <f t="shared" si="92"/>
        <v>30</v>
      </c>
      <c r="W1083" t="str">
        <f t="shared" si="93"/>
        <v>06</v>
      </c>
      <c r="X1083" t="str">
        <f t="shared" si="94"/>
        <v>22</v>
      </c>
      <c r="Y1083" t="str">
        <f t="shared" si="95"/>
        <v>2022</v>
      </c>
      <c r="Z1083"/>
      <c r="AA1083" s="2">
        <f t="shared" si="96"/>
        <v>44742</v>
      </c>
      <c r="AB1083"/>
      <c r="AC1083"/>
    </row>
    <row r="1084" spans="21:29" ht="15">
      <c r="U1084" s="225" t="s">
        <v>9798</v>
      </c>
      <c r="V1084" t="str">
        <f t="shared" si="92"/>
        <v>01</v>
      </c>
      <c r="W1084" t="str">
        <f t="shared" si="93"/>
        <v>07</v>
      </c>
      <c r="X1084" t="str">
        <f t="shared" si="94"/>
        <v>22</v>
      </c>
      <c r="Y1084" t="str">
        <f t="shared" si="95"/>
        <v>2022</v>
      </c>
      <c r="Z1084"/>
      <c r="AA1084" s="2">
        <f t="shared" si="96"/>
        <v>44743</v>
      </c>
      <c r="AB1084"/>
      <c r="AC1084"/>
    </row>
    <row r="1085" spans="21:29" ht="15">
      <c r="U1085" s="225" t="s">
        <v>9799</v>
      </c>
      <c r="V1085" t="str">
        <f t="shared" si="92"/>
        <v>07</v>
      </c>
      <c r="W1085" t="str">
        <f t="shared" si="93"/>
        <v>07</v>
      </c>
      <c r="X1085" t="str">
        <f t="shared" si="94"/>
        <v>22</v>
      </c>
      <c r="Y1085" t="str">
        <f t="shared" si="95"/>
        <v>2022</v>
      </c>
      <c r="Z1085"/>
      <c r="AA1085" s="2">
        <f t="shared" si="96"/>
        <v>44749</v>
      </c>
      <c r="AB1085"/>
      <c r="AC1085"/>
    </row>
    <row r="1086" spans="21:29" ht="15">
      <c r="U1086" s="225" t="s">
        <v>9800</v>
      </c>
      <c r="V1086" t="str">
        <f t="shared" si="92"/>
        <v>21</v>
      </c>
      <c r="W1086" t="str">
        <f t="shared" si="93"/>
        <v>07</v>
      </c>
      <c r="X1086" t="str">
        <f t="shared" si="94"/>
        <v>22</v>
      </c>
      <c r="Y1086" t="str">
        <f t="shared" si="95"/>
        <v>2022</v>
      </c>
      <c r="Z1086"/>
      <c r="AA1086" s="2">
        <f t="shared" si="96"/>
        <v>44763</v>
      </c>
      <c r="AB1086"/>
      <c r="AC1086"/>
    </row>
    <row r="1087" spans="21:29" ht="15">
      <c r="U1087" s="225" t="s">
        <v>9801</v>
      </c>
      <c r="V1087" t="str">
        <f t="shared" si="92"/>
        <v>25</v>
      </c>
      <c r="W1087" t="str">
        <f t="shared" si="93"/>
        <v>07</v>
      </c>
      <c r="X1087" t="str">
        <f t="shared" si="94"/>
        <v>22</v>
      </c>
      <c r="Y1087" t="str">
        <f t="shared" si="95"/>
        <v>2022</v>
      </c>
      <c r="Z1087"/>
      <c r="AA1087" s="2">
        <f t="shared" si="96"/>
        <v>44767</v>
      </c>
      <c r="AB1087"/>
      <c r="AC1087"/>
    </row>
    <row r="1088" spans="21:29" ht="15">
      <c r="U1088" s="225" t="s">
        <v>9802</v>
      </c>
      <c r="V1088" t="str">
        <f t="shared" si="92"/>
        <v>26</v>
      </c>
      <c r="W1088" t="str">
        <f t="shared" si="93"/>
        <v>07</v>
      </c>
      <c r="X1088" t="str">
        <f t="shared" si="94"/>
        <v>22</v>
      </c>
      <c r="Y1088" t="str">
        <f t="shared" si="95"/>
        <v>2022</v>
      </c>
      <c r="Z1088"/>
      <c r="AA1088" s="2">
        <f t="shared" si="96"/>
        <v>44768</v>
      </c>
      <c r="AB1088"/>
      <c r="AC1088"/>
    </row>
    <row r="1089" spans="21:29" ht="15">
      <c r="U1089" s="225" t="s">
        <v>9802</v>
      </c>
      <c r="V1089" t="str">
        <f t="shared" si="92"/>
        <v>26</v>
      </c>
      <c r="W1089" t="str">
        <f t="shared" si="93"/>
        <v>07</v>
      </c>
      <c r="X1089" t="str">
        <f t="shared" si="94"/>
        <v>22</v>
      </c>
      <c r="Y1089" t="str">
        <f t="shared" si="95"/>
        <v>2022</v>
      </c>
      <c r="Z1089"/>
      <c r="AA1089" s="2">
        <f t="shared" si="96"/>
        <v>44768</v>
      </c>
      <c r="AB1089"/>
      <c r="AC1089"/>
    </row>
    <row r="1090" spans="21:29" ht="15">
      <c r="U1090" s="225" t="s">
        <v>9803</v>
      </c>
      <c r="V1090" t="str">
        <f t="shared" si="92"/>
        <v>27</v>
      </c>
      <c r="W1090" t="str">
        <f t="shared" si="93"/>
        <v>07</v>
      </c>
      <c r="X1090" t="str">
        <f t="shared" si="94"/>
        <v>22</v>
      </c>
      <c r="Y1090" t="str">
        <f t="shared" si="95"/>
        <v>2022</v>
      </c>
      <c r="Z1090"/>
      <c r="AA1090" s="2">
        <f t="shared" si="96"/>
        <v>44769</v>
      </c>
      <c r="AB1090"/>
      <c r="AC1090"/>
    </row>
    <row r="1091" spans="21:29" ht="15">
      <c r="U1091" s="225" t="s">
        <v>9803</v>
      </c>
      <c r="V1091" t="str">
        <f t="shared" ref="V1091:V1154" si="97">LEFT(U1091,2)</f>
        <v>27</v>
      </c>
      <c r="W1091" t="str">
        <f t="shared" ref="W1091:W1154" si="98">MID(U1091,4,2)</f>
        <v>07</v>
      </c>
      <c r="X1091" t="str">
        <f t="shared" ref="X1091:X1154" si="99">RIGHT(U1091,2)</f>
        <v>22</v>
      </c>
      <c r="Y1091" t="str">
        <f t="shared" ref="Y1091:Y1154" si="100">"20" &amp; X1091</f>
        <v>2022</v>
      </c>
      <c r="Z1091"/>
      <c r="AA1091" s="2">
        <f t="shared" ref="AA1091:AA1154" si="101">DATE(Y1091,W1091,V1091)</f>
        <v>44769</v>
      </c>
      <c r="AB1091"/>
      <c r="AC1091"/>
    </row>
    <row r="1092" spans="21:29" ht="15">
      <c r="U1092" s="225" t="s">
        <v>9803</v>
      </c>
      <c r="V1092" t="str">
        <f t="shared" si="97"/>
        <v>27</v>
      </c>
      <c r="W1092" t="str">
        <f t="shared" si="98"/>
        <v>07</v>
      </c>
      <c r="X1092" t="str">
        <f t="shared" si="99"/>
        <v>22</v>
      </c>
      <c r="Y1092" t="str">
        <f t="shared" si="100"/>
        <v>2022</v>
      </c>
      <c r="Z1092"/>
      <c r="AA1092" s="2">
        <f t="shared" si="101"/>
        <v>44769</v>
      </c>
      <c r="AB1092"/>
      <c r="AC1092"/>
    </row>
    <row r="1093" spans="21:29" ht="15">
      <c r="U1093" s="225" t="s">
        <v>9804</v>
      </c>
      <c r="V1093" t="str">
        <f t="shared" si="97"/>
        <v>28</v>
      </c>
      <c r="W1093" t="str">
        <f t="shared" si="98"/>
        <v>07</v>
      </c>
      <c r="X1093" t="str">
        <f t="shared" si="99"/>
        <v>22</v>
      </c>
      <c r="Y1093" t="str">
        <f t="shared" si="100"/>
        <v>2022</v>
      </c>
      <c r="Z1093"/>
      <c r="AA1093" s="2">
        <f t="shared" si="101"/>
        <v>44770</v>
      </c>
      <c r="AB1093"/>
      <c r="AC1093"/>
    </row>
    <row r="1094" spans="21:29" ht="15">
      <c r="U1094" s="225" t="s">
        <v>9804</v>
      </c>
      <c r="V1094" t="str">
        <f t="shared" si="97"/>
        <v>28</v>
      </c>
      <c r="W1094" t="str">
        <f t="shared" si="98"/>
        <v>07</v>
      </c>
      <c r="X1094" t="str">
        <f t="shared" si="99"/>
        <v>22</v>
      </c>
      <c r="Y1094" t="str">
        <f t="shared" si="100"/>
        <v>2022</v>
      </c>
      <c r="Z1094"/>
      <c r="AA1094" s="2">
        <f t="shared" si="101"/>
        <v>44770</v>
      </c>
      <c r="AB1094"/>
      <c r="AC1094"/>
    </row>
    <row r="1095" spans="21:29" ht="15">
      <c r="U1095" s="225" t="s">
        <v>9805</v>
      </c>
      <c r="V1095" t="str">
        <f t="shared" si="97"/>
        <v>01</v>
      </c>
      <c r="W1095" t="str">
        <f t="shared" si="98"/>
        <v>08</v>
      </c>
      <c r="X1095" t="str">
        <f t="shared" si="99"/>
        <v>22</v>
      </c>
      <c r="Y1095" t="str">
        <f t="shared" si="100"/>
        <v>2022</v>
      </c>
      <c r="Z1095"/>
      <c r="AA1095" s="2">
        <f t="shared" si="101"/>
        <v>44774</v>
      </c>
      <c r="AB1095"/>
      <c r="AC1095"/>
    </row>
    <row r="1096" spans="21:29" ht="15">
      <c r="U1096" s="225" t="s">
        <v>9805</v>
      </c>
      <c r="V1096" t="str">
        <f t="shared" si="97"/>
        <v>01</v>
      </c>
      <c r="W1096" t="str">
        <f t="shared" si="98"/>
        <v>08</v>
      </c>
      <c r="X1096" t="str">
        <f t="shared" si="99"/>
        <v>22</v>
      </c>
      <c r="Y1096" t="str">
        <f t="shared" si="100"/>
        <v>2022</v>
      </c>
      <c r="Z1096"/>
      <c r="AA1096" s="2">
        <f t="shared" si="101"/>
        <v>44774</v>
      </c>
      <c r="AB1096"/>
      <c r="AC1096"/>
    </row>
    <row r="1097" spans="21:29" ht="15">
      <c r="U1097" s="225" t="s">
        <v>9805</v>
      </c>
      <c r="V1097" t="str">
        <f t="shared" si="97"/>
        <v>01</v>
      </c>
      <c r="W1097" t="str">
        <f t="shared" si="98"/>
        <v>08</v>
      </c>
      <c r="X1097" t="str">
        <f t="shared" si="99"/>
        <v>22</v>
      </c>
      <c r="Y1097" t="str">
        <f t="shared" si="100"/>
        <v>2022</v>
      </c>
      <c r="Z1097"/>
      <c r="AA1097" s="2">
        <f t="shared" si="101"/>
        <v>44774</v>
      </c>
      <c r="AB1097"/>
      <c r="AC1097"/>
    </row>
    <row r="1098" spans="21:29" ht="15">
      <c r="U1098" s="225" t="s">
        <v>9805</v>
      </c>
      <c r="V1098" t="str">
        <f t="shared" si="97"/>
        <v>01</v>
      </c>
      <c r="W1098" t="str">
        <f t="shared" si="98"/>
        <v>08</v>
      </c>
      <c r="X1098" t="str">
        <f t="shared" si="99"/>
        <v>22</v>
      </c>
      <c r="Y1098" t="str">
        <f t="shared" si="100"/>
        <v>2022</v>
      </c>
      <c r="Z1098"/>
      <c r="AA1098" s="2">
        <f t="shared" si="101"/>
        <v>44774</v>
      </c>
      <c r="AB1098"/>
      <c r="AC1098"/>
    </row>
    <row r="1099" spans="21:29" ht="15">
      <c r="U1099" s="225" t="s">
        <v>9806</v>
      </c>
      <c r="V1099" t="str">
        <f t="shared" si="97"/>
        <v>08</v>
      </c>
      <c r="W1099" t="str">
        <f t="shared" si="98"/>
        <v>08</v>
      </c>
      <c r="X1099" t="str">
        <f t="shared" si="99"/>
        <v>22</v>
      </c>
      <c r="Y1099" t="str">
        <f t="shared" si="100"/>
        <v>2022</v>
      </c>
      <c r="Z1099"/>
      <c r="AA1099" s="2">
        <f t="shared" si="101"/>
        <v>44781</v>
      </c>
      <c r="AB1099"/>
      <c r="AC1099"/>
    </row>
    <row r="1100" spans="21:29" ht="15">
      <c r="U1100" s="225" t="s">
        <v>9807</v>
      </c>
      <c r="V1100" t="str">
        <f t="shared" si="97"/>
        <v>22</v>
      </c>
      <c r="W1100" t="str">
        <f t="shared" si="98"/>
        <v>08</v>
      </c>
      <c r="X1100" t="str">
        <f t="shared" si="99"/>
        <v>22</v>
      </c>
      <c r="Y1100" t="str">
        <f t="shared" si="100"/>
        <v>2022</v>
      </c>
      <c r="Z1100"/>
      <c r="AA1100" s="2">
        <f t="shared" si="101"/>
        <v>44795</v>
      </c>
      <c r="AB1100"/>
      <c r="AC1100"/>
    </row>
    <row r="1101" spans="21:29" ht="15">
      <c r="U1101" s="225" t="s">
        <v>9808</v>
      </c>
      <c r="V1101" t="str">
        <f t="shared" si="97"/>
        <v>29</v>
      </c>
      <c r="W1101" t="str">
        <f t="shared" si="98"/>
        <v>08</v>
      </c>
      <c r="X1101" t="str">
        <f t="shared" si="99"/>
        <v>22</v>
      </c>
      <c r="Y1101" t="str">
        <f t="shared" si="100"/>
        <v>2022</v>
      </c>
      <c r="Z1101"/>
      <c r="AA1101" s="2">
        <f t="shared" si="101"/>
        <v>44802</v>
      </c>
      <c r="AB1101"/>
      <c r="AC1101"/>
    </row>
    <row r="1102" spans="21:29" ht="15">
      <c r="U1102" s="225" t="s">
        <v>9808</v>
      </c>
      <c r="V1102" t="str">
        <f t="shared" si="97"/>
        <v>29</v>
      </c>
      <c r="W1102" t="str">
        <f t="shared" si="98"/>
        <v>08</v>
      </c>
      <c r="X1102" t="str">
        <f t="shared" si="99"/>
        <v>22</v>
      </c>
      <c r="Y1102" t="str">
        <f t="shared" si="100"/>
        <v>2022</v>
      </c>
      <c r="Z1102"/>
      <c r="AA1102" s="2">
        <f t="shared" si="101"/>
        <v>44802</v>
      </c>
      <c r="AB1102"/>
      <c r="AC1102"/>
    </row>
    <row r="1103" spans="21:29" ht="15">
      <c r="U1103" s="225" t="s">
        <v>9809</v>
      </c>
      <c r="V1103" t="str">
        <f t="shared" si="97"/>
        <v>01</v>
      </c>
      <c r="W1103" t="str">
        <f t="shared" si="98"/>
        <v>09</v>
      </c>
      <c r="X1103" t="str">
        <f t="shared" si="99"/>
        <v>22</v>
      </c>
      <c r="Y1103" t="str">
        <f t="shared" si="100"/>
        <v>2022</v>
      </c>
      <c r="Z1103"/>
      <c r="AA1103" s="2">
        <f t="shared" si="101"/>
        <v>44805</v>
      </c>
      <c r="AB1103"/>
      <c r="AC1103"/>
    </row>
    <row r="1104" spans="21:29" ht="15">
      <c r="U1104" s="225" t="s">
        <v>9810</v>
      </c>
      <c r="V1104" t="str">
        <f t="shared" si="97"/>
        <v>09</v>
      </c>
      <c r="W1104" t="str">
        <f t="shared" si="98"/>
        <v>09</v>
      </c>
      <c r="X1104" t="str">
        <f t="shared" si="99"/>
        <v>22</v>
      </c>
      <c r="Y1104" t="str">
        <f t="shared" si="100"/>
        <v>2022</v>
      </c>
      <c r="Z1104"/>
      <c r="AA1104" s="2">
        <f t="shared" si="101"/>
        <v>44813</v>
      </c>
      <c r="AB1104"/>
      <c r="AC1104"/>
    </row>
    <row r="1105" spans="21:29" ht="15">
      <c r="U1105" s="225" t="s">
        <v>9811</v>
      </c>
      <c r="V1105" t="str">
        <f t="shared" si="97"/>
        <v>12</v>
      </c>
      <c r="W1105" t="str">
        <f t="shared" si="98"/>
        <v>09</v>
      </c>
      <c r="X1105" t="str">
        <f t="shared" si="99"/>
        <v>22</v>
      </c>
      <c r="Y1105" t="str">
        <f t="shared" si="100"/>
        <v>2022</v>
      </c>
      <c r="Z1105"/>
      <c r="AA1105" s="2">
        <f t="shared" si="101"/>
        <v>44816</v>
      </c>
      <c r="AB1105"/>
      <c r="AC1105"/>
    </row>
    <row r="1106" spans="21:29" ht="15">
      <c r="U1106" s="225" t="s">
        <v>9812</v>
      </c>
      <c r="V1106" t="str">
        <f t="shared" si="97"/>
        <v>21</v>
      </c>
      <c r="W1106" t="str">
        <f t="shared" si="98"/>
        <v>09</v>
      </c>
      <c r="X1106" t="str">
        <f t="shared" si="99"/>
        <v>22</v>
      </c>
      <c r="Y1106" t="str">
        <f t="shared" si="100"/>
        <v>2022</v>
      </c>
      <c r="Z1106"/>
      <c r="AA1106" s="2">
        <f t="shared" si="101"/>
        <v>44825</v>
      </c>
      <c r="AB1106"/>
      <c r="AC1106"/>
    </row>
    <row r="1107" spans="21:29" ht="15">
      <c r="U1107" s="225" t="s">
        <v>9813</v>
      </c>
      <c r="V1107" t="str">
        <f t="shared" si="97"/>
        <v>23</v>
      </c>
      <c r="W1107" t="str">
        <f t="shared" si="98"/>
        <v>09</v>
      </c>
      <c r="X1107" t="str">
        <f t="shared" si="99"/>
        <v>22</v>
      </c>
      <c r="Y1107" t="str">
        <f t="shared" si="100"/>
        <v>2022</v>
      </c>
      <c r="Z1107"/>
      <c r="AA1107" s="2">
        <f t="shared" si="101"/>
        <v>44827</v>
      </c>
      <c r="AB1107"/>
      <c r="AC1107"/>
    </row>
    <row r="1108" spans="21:29" ht="15">
      <c r="U1108" s="225" t="s">
        <v>9814</v>
      </c>
      <c r="V1108" t="str">
        <f t="shared" si="97"/>
        <v>28</v>
      </c>
      <c r="W1108" t="str">
        <f t="shared" si="98"/>
        <v>09</v>
      </c>
      <c r="X1108" t="str">
        <f t="shared" si="99"/>
        <v>22</v>
      </c>
      <c r="Y1108" t="str">
        <f t="shared" si="100"/>
        <v>2022</v>
      </c>
      <c r="Z1108"/>
      <c r="AA1108" s="2">
        <f t="shared" si="101"/>
        <v>44832</v>
      </c>
      <c r="AB1108"/>
      <c r="AC1108"/>
    </row>
    <row r="1109" spans="21:29" ht="15">
      <c r="U1109" s="225" t="s">
        <v>9815</v>
      </c>
      <c r="V1109" t="str">
        <f t="shared" si="97"/>
        <v>30</v>
      </c>
      <c r="W1109" t="str">
        <f t="shared" si="98"/>
        <v>09</v>
      </c>
      <c r="X1109" t="str">
        <f t="shared" si="99"/>
        <v>22</v>
      </c>
      <c r="Y1109" t="str">
        <f t="shared" si="100"/>
        <v>2022</v>
      </c>
      <c r="Z1109"/>
      <c r="AA1109" s="2">
        <f t="shared" si="101"/>
        <v>44834</v>
      </c>
      <c r="AB1109"/>
      <c r="AC1109"/>
    </row>
    <row r="1110" spans="21:29" ht="15">
      <c r="U1110" s="225" t="s">
        <v>9816</v>
      </c>
      <c r="V1110" t="str">
        <f t="shared" si="97"/>
        <v>01</v>
      </c>
      <c r="W1110" t="str">
        <f t="shared" si="98"/>
        <v>10</v>
      </c>
      <c r="X1110" t="str">
        <f t="shared" si="99"/>
        <v>22</v>
      </c>
      <c r="Y1110" t="str">
        <f t="shared" si="100"/>
        <v>2022</v>
      </c>
      <c r="Z1110"/>
      <c r="AA1110" s="2">
        <f t="shared" si="101"/>
        <v>44835</v>
      </c>
      <c r="AB1110"/>
      <c r="AC1110"/>
    </row>
    <row r="1111" spans="21:29" ht="15">
      <c r="U1111" s="225" t="s">
        <v>9817</v>
      </c>
      <c r="V1111" t="str">
        <f t="shared" si="97"/>
        <v>10</v>
      </c>
      <c r="W1111" t="str">
        <f t="shared" si="98"/>
        <v>10</v>
      </c>
      <c r="X1111" t="str">
        <f t="shared" si="99"/>
        <v>22</v>
      </c>
      <c r="Y1111" t="str">
        <f t="shared" si="100"/>
        <v>2022</v>
      </c>
      <c r="Z1111"/>
      <c r="AA1111" s="2">
        <f t="shared" si="101"/>
        <v>44844</v>
      </c>
      <c r="AB1111"/>
      <c r="AC1111"/>
    </row>
    <row r="1112" spans="21:29" ht="15">
      <c r="U1112" s="225" t="s">
        <v>9818</v>
      </c>
      <c r="V1112" t="str">
        <f t="shared" si="97"/>
        <v>21</v>
      </c>
      <c r="W1112" t="str">
        <f t="shared" si="98"/>
        <v>10</v>
      </c>
      <c r="X1112" t="str">
        <f t="shared" si="99"/>
        <v>22</v>
      </c>
      <c r="Y1112" t="str">
        <f t="shared" si="100"/>
        <v>2022</v>
      </c>
      <c r="Z1112"/>
      <c r="AA1112" s="2">
        <f t="shared" si="101"/>
        <v>44855</v>
      </c>
      <c r="AB1112"/>
      <c r="AC1112"/>
    </row>
    <row r="1113" spans="21:29" ht="15">
      <c r="U1113" s="225" t="s">
        <v>9819</v>
      </c>
      <c r="V1113" t="str">
        <f t="shared" si="97"/>
        <v>27</v>
      </c>
      <c r="W1113" t="str">
        <f t="shared" si="98"/>
        <v>10</v>
      </c>
      <c r="X1113" t="str">
        <f t="shared" si="99"/>
        <v>22</v>
      </c>
      <c r="Y1113" t="str">
        <f t="shared" si="100"/>
        <v>2022</v>
      </c>
      <c r="Z1113"/>
      <c r="AA1113" s="2">
        <f t="shared" si="101"/>
        <v>44861</v>
      </c>
      <c r="AB1113"/>
      <c r="AC1113"/>
    </row>
    <row r="1114" spans="21:29" ht="15">
      <c r="U1114" s="225" t="s">
        <v>9820</v>
      </c>
      <c r="V1114" t="str">
        <f t="shared" si="97"/>
        <v>28</v>
      </c>
      <c r="W1114" t="str">
        <f t="shared" si="98"/>
        <v>10</v>
      </c>
      <c r="X1114" t="str">
        <f t="shared" si="99"/>
        <v>22</v>
      </c>
      <c r="Y1114" t="str">
        <f t="shared" si="100"/>
        <v>2022</v>
      </c>
      <c r="Z1114"/>
      <c r="AA1114" s="2">
        <f t="shared" si="101"/>
        <v>44862</v>
      </c>
      <c r="AB1114"/>
      <c r="AC1114"/>
    </row>
    <row r="1115" spans="21:29" ht="15">
      <c r="U1115" s="225" t="s">
        <v>9821</v>
      </c>
      <c r="V1115" t="str">
        <f t="shared" si="97"/>
        <v>01</v>
      </c>
      <c r="W1115" t="str">
        <f t="shared" si="98"/>
        <v>11</v>
      </c>
      <c r="X1115" t="str">
        <f t="shared" si="99"/>
        <v>22</v>
      </c>
      <c r="Y1115" t="str">
        <f t="shared" si="100"/>
        <v>2022</v>
      </c>
      <c r="Z1115"/>
      <c r="AA1115" s="2">
        <f t="shared" si="101"/>
        <v>44866</v>
      </c>
      <c r="AB1115"/>
      <c r="AC1115"/>
    </row>
    <row r="1116" spans="21:29" ht="15">
      <c r="U1116" s="225" t="s">
        <v>9822</v>
      </c>
      <c r="V1116" t="str">
        <f t="shared" si="97"/>
        <v>07</v>
      </c>
      <c r="W1116" t="str">
        <f t="shared" si="98"/>
        <v>11</v>
      </c>
      <c r="X1116" t="str">
        <f t="shared" si="99"/>
        <v>22</v>
      </c>
      <c r="Y1116" t="str">
        <f t="shared" si="100"/>
        <v>2022</v>
      </c>
      <c r="Z1116"/>
      <c r="AA1116" s="2">
        <f t="shared" si="101"/>
        <v>44872</v>
      </c>
      <c r="AB1116"/>
      <c r="AC1116"/>
    </row>
    <row r="1117" spans="21:29" ht="15">
      <c r="U1117" s="225" t="s">
        <v>9822</v>
      </c>
      <c r="V1117" t="str">
        <f t="shared" si="97"/>
        <v>07</v>
      </c>
      <c r="W1117" t="str">
        <f t="shared" si="98"/>
        <v>11</v>
      </c>
      <c r="X1117" t="str">
        <f t="shared" si="99"/>
        <v>22</v>
      </c>
      <c r="Y1117" t="str">
        <f t="shared" si="100"/>
        <v>2022</v>
      </c>
      <c r="Z1117"/>
      <c r="AA1117" s="2">
        <f t="shared" si="101"/>
        <v>44872</v>
      </c>
      <c r="AB1117"/>
      <c r="AC1117"/>
    </row>
    <row r="1118" spans="21:29" ht="15">
      <c r="U1118" s="225" t="s">
        <v>9823</v>
      </c>
      <c r="V1118" t="str">
        <f t="shared" si="97"/>
        <v>10</v>
      </c>
      <c r="W1118" t="str">
        <f t="shared" si="98"/>
        <v>11</v>
      </c>
      <c r="X1118" t="str">
        <f t="shared" si="99"/>
        <v>22</v>
      </c>
      <c r="Y1118" t="str">
        <f t="shared" si="100"/>
        <v>2022</v>
      </c>
      <c r="Z1118"/>
      <c r="AA1118" s="2">
        <f t="shared" si="101"/>
        <v>44875</v>
      </c>
      <c r="AB1118"/>
      <c r="AC1118"/>
    </row>
    <row r="1119" spans="21:29" ht="15">
      <c r="U1119" s="225" t="s">
        <v>9823</v>
      </c>
      <c r="V1119" t="str">
        <f t="shared" si="97"/>
        <v>10</v>
      </c>
      <c r="W1119" t="str">
        <f t="shared" si="98"/>
        <v>11</v>
      </c>
      <c r="X1119" t="str">
        <f t="shared" si="99"/>
        <v>22</v>
      </c>
      <c r="Y1119" t="str">
        <f t="shared" si="100"/>
        <v>2022</v>
      </c>
      <c r="Z1119"/>
      <c r="AA1119" s="2">
        <f t="shared" si="101"/>
        <v>44875</v>
      </c>
      <c r="AB1119"/>
      <c r="AC1119"/>
    </row>
    <row r="1120" spans="21:29" ht="15">
      <c r="U1120" s="225" t="s">
        <v>9824</v>
      </c>
      <c r="V1120" t="str">
        <f t="shared" si="97"/>
        <v>21</v>
      </c>
      <c r="W1120" t="str">
        <f t="shared" si="98"/>
        <v>11</v>
      </c>
      <c r="X1120" t="str">
        <f t="shared" si="99"/>
        <v>22</v>
      </c>
      <c r="Y1120" t="str">
        <f t="shared" si="100"/>
        <v>2022</v>
      </c>
      <c r="Z1120"/>
      <c r="AA1120" s="2">
        <f t="shared" si="101"/>
        <v>44886</v>
      </c>
      <c r="AB1120"/>
      <c r="AC1120"/>
    </row>
    <row r="1121" spans="21:29" ht="15">
      <c r="U1121" s="225" t="s">
        <v>9825</v>
      </c>
      <c r="V1121" t="str">
        <f t="shared" si="97"/>
        <v>25</v>
      </c>
      <c r="W1121" t="str">
        <f t="shared" si="98"/>
        <v>11</v>
      </c>
      <c r="X1121" t="str">
        <f t="shared" si="99"/>
        <v>22</v>
      </c>
      <c r="Y1121" t="str">
        <f t="shared" si="100"/>
        <v>2022</v>
      </c>
      <c r="Z1121"/>
      <c r="AA1121" s="2">
        <f t="shared" si="101"/>
        <v>44890</v>
      </c>
      <c r="AB1121"/>
      <c r="AC1121"/>
    </row>
    <row r="1122" spans="21:29" ht="15">
      <c r="U1122" s="225" t="s">
        <v>9826</v>
      </c>
      <c r="V1122" t="str">
        <f t="shared" si="97"/>
        <v>28</v>
      </c>
      <c r="W1122" t="str">
        <f t="shared" si="98"/>
        <v>11</v>
      </c>
      <c r="X1122" t="str">
        <f t="shared" si="99"/>
        <v>22</v>
      </c>
      <c r="Y1122" t="str">
        <f t="shared" si="100"/>
        <v>2022</v>
      </c>
      <c r="Z1122"/>
      <c r="AA1122" s="2">
        <f t="shared" si="101"/>
        <v>44893</v>
      </c>
      <c r="AB1122"/>
      <c r="AC1122"/>
    </row>
    <row r="1123" spans="21:29" ht="15">
      <c r="U1123" s="238" t="s">
        <v>9768</v>
      </c>
      <c r="V1123" t="str">
        <f t="shared" si="97"/>
        <v>01</v>
      </c>
      <c r="W1123" t="str">
        <f t="shared" si="98"/>
        <v>04</v>
      </c>
      <c r="X1123" t="str">
        <f t="shared" si="99"/>
        <v>22</v>
      </c>
      <c r="Y1123" t="str">
        <f t="shared" si="100"/>
        <v>2022</v>
      </c>
      <c r="Z1123"/>
      <c r="AA1123" s="2">
        <f t="shared" si="101"/>
        <v>44652</v>
      </c>
      <c r="AB1123" t="s">
        <v>9827</v>
      </c>
      <c r="AC1123"/>
    </row>
    <row r="1124" spans="21:29" ht="15">
      <c r="U1124" s="238" t="s">
        <v>9768</v>
      </c>
      <c r="V1124" t="str">
        <f t="shared" si="97"/>
        <v>01</v>
      </c>
      <c r="W1124" t="str">
        <f t="shared" si="98"/>
        <v>04</v>
      </c>
      <c r="X1124" t="str">
        <f t="shared" si="99"/>
        <v>22</v>
      </c>
      <c r="Y1124" t="str">
        <f t="shared" si="100"/>
        <v>2022</v>
      </c>
      <c r="Z1124"/>
      <c r="AA1124" s="2">
        <f t="shared" si="101"/>
        <v>44652</v>
      </c>
      <c r="AB1124"/>
      <c r="AC1124"/>
    </row>
    <row r="1125" spans="21:29" ht="15">
      <c r="U1125" s="238" t="s">
        <v>9768</v>
      </c>
      <c r="V1125" t="str">
        <f t="shared" si="97"/>
        <v>01</v>
      </c>
      <c r="W1125" t="str">
        <f t="shared" si="98"/>
        <v>04</v>
      </c>
      <c r="X1125" t="str">
        <f t="shared" si="99"/>
        <v>22</v>
      </c>
      <c r="Y1125" t="str">
        <f t="shared" si="100"/>
        <v>2022</v>
      </c>
      <c r="Z1125"/>
      <c r="AA1125" s="2">
        <f t="shared" si="101"/>
        <v>44652</v>
      </c>
      <c r="AB1125"/>
      <c r="AC1125"/>
    </row>
    <row r="1126" spans="21:29" ht="15">
      <c r="U1126" s="238" t="s">
        <v>9768</v>
      </c>
      <c r="V1126" t="str">
        <f t="shared" si="97"/>
        <v>01</v>
      </c>
      <c r="W1126" t="str">
        <f t="shared" si="98"/>
        <v>04</v>
      </c>
      <c r="X1126" t="str">
        <f t="shared" si="99"/>
        <v>22</v>
      </c>
      <c r="Y1126" t="str">
        <f t="shared" si="100"/>
        <v>2022</v>
      </c>
      <c r="Z1126"/>
      <c r="AA1126" s="2">
        <f t="shared" si="101"/>
        <v>44652</v>
      </c>
      <c r="AB1126"/>
      <c r="AC1126"/>
    </row>
    <row r="1127" spans="21:29" ht="15">
      <c r="U1127" s="238" t="s">
        <v>9768</v>
      </c>
      <c r="V1127" t="str">
        <f t="shared" si="97"/>
        <v>01</v>
      </c>
      <c r="W1127" t="str">
        <f t="shared" si="98"/>
        <v>04</v>
      </c>
      <c r="X1127" t="str">
        <f t="shared" si="99"/>
        <v>22</v>
      </c>
      <c r="Y1127" t="str">
        <f t="shared" si="100"/>
        <v>2022</v>
      </c>
      <c r="Z1127"/>
      <c r="AA1127" s="2">
        <f t="shared" si="101"/>
        <v>44652</v>
      </c>
      <c r="AB1127"/>
      <c r="AC1127"/>
    </row>
    <row r="1128" spans="21:29" ht="15">
      <c r="U1128" s="238" t="s">
        <v>9768</v>
      </c>
      <c r="V1128" t="str">
        <f t="shared" si="97"/>
        <v>01</v>
      </c>
      <c r="W1128" t="str">
        <f t="shared" si="98"/>
        <v>04</v>
      </c>
      <c r="X1128" t="str">
        <f t="shared" si="99"/>
        <v>22</v>
      </c>
      <c r="Y1128" t="str">
        <f t="shared" si="100"/>
        <v>2022</v>
      </c>
      <c r="Z1128"/>
      <c r="AA1128" s="2">
        <f t="shared" si="101"/>
        <v>44652</v>
      </c>
      <c r="AB1128"/>
      <c r="AC1128"/>
    </row>
    <row r="1129" spans="21:29" ht="15">
      <c r="U1129" s="238" t="s">
        <v>9768</v>
      </c>
      <c r="V1129" t="str">
        <f t="shared" si="97"/>
        <v>01</v>
      </c>
      <c r="W1129" t="str">
        <f t="shared" si="98"/>
        <v>04</v>
      </c>
      <c r="X1129" t="str">
        <f t="shared" si="99"/>
        <v>22</v>
      </c>
      <c r="Y1129" t="str">
        <f t="shared" si="100"/>
        <v>2022</v>
      </c>
      <c r="Z1129"/>
      <c r="AA1129" s="2">
        <f t="shared" si="101"/>
        <v>44652</v>
      </c>
      <c r="AB1129"/>
      <c r="AC1129"/>
    </row>
    <row r="1130" spans="21:29" ht="15">
      <c r="U1130" s="238" t="s">
        <v>9828</v>
      </c>
      <c r="V1130" t="str">
        <f t="shared" si="97"/>
        <v>02</v>
      </c>
      <c r="W1130" t="str">
        <f t="shared" si="98"/>
        <v>04</v>
      </c>
      <c r="X1130" t="str">
        <f t="shared" si="99"/>
        <v>22</v>
      </c>
      <c r="Y1130" t="str">
        <f t="shared" si="100"/>
        <v>2022</v>
      </c>
      <c r="Z1130"/>
      <c r="AA1130" s="2">
        <f t="shared" si="101"/>
        <v>44653</v>
      </c>
      <c r="AB1130"/>
      <c r="AC1130"/>
    </row>
    <row r="1131" spans="21:29" ht="15">
      <c r="U1131" s="238" t="s">
        <v>9829</v>
      </c>
      <c r="V1131" t="str">
        <f t="shared" si="97"/>
        <v>03</v>
      </c>
      <c r="W1131" t="str">
        <f t="shared" si="98"/>
        <v>04</v>
      </c>
      <c r="X1131" t="str">
        <f t="shared" si="99"/>
        <v>22</v>
      </c>
      <c r="Y1131" t="str">
        <f t="shared" si="100"/>
        <v>2022</v>
      </c>
      <c r="Z1131"/>
      <c r="AA1131" s="2">
        <f t="shared" si="101"/>
        <v>44654</v>
      </c>
      <c r="AB1131"/>
      <c r="AC1131"/>
    </row>
    <row r="1132" spans="21:29" ht="15">
      <c r="U1132" s="238" t="s">
        <v>9830</v>
      </c>
      <c r="V1132" t="str">
        <f t="shared" si="97"/>
        <v>04</v>
      </c>
      <c r="W1132" t="str">
        <f t="shared" si="98"/>
        <v>04</v>
      </c>
      <c r="X1132" t="str">
        <f t="shared" si="99"/>
        <v>22</v>
      </c>
      <c r="Y1132" t="str">
        <f t="shared" si="100"/>
        <v>2022</v>
      </c>
      <c r="Z1132"/>
      <c r="AA1132" s="2">
        <f t="shared" si="101"/>
        <v>44655</v>
      </c>
      <c r="AB1132"/>
      <c r="AC1132"/>
    </row>
    <row r="1133" spans="21:29" ht="15">
      <c r="U1133" s="238" t="s">
        <v>9830</v>
      </c>
      <c r="V1133" t="str">
        <f t="shared" si="97"/>
        <v>04</v>
      </c>
      <c r="W1133" t="str">
        <f t="shared" si="98"/>
        <v>04</v>
      </c>
      <c r="X1133" t="str">
        <f t="shared" si="99"/>
        <v>22</v>
      </c>
      <c r="Y1133" t="str">
        <f t="shared" si="100"/>
        <v>2022</v>
      </c>
      <c r="Z1133"/>
      <c r="AA1133" s="2">
        <f t="shared" si="101"/>
        <v>44655</v>
      </c>
      <c r="AB1133"/>
      <c r="AC1133"/>
    </row>
    <row r="1134" spans="21:29" ht="15">
      <c r="U1134" s="238" t="s">
        <v>9830</v>
      </c>
      <c r="V1134" t="str">
        <f t="shared" si="97"/>
        <v>04</v>
      </c>
      <c r="W1134" t="str">
        <f t="shared" si="98"/>
        <v>04</v>
      </c>
      <c r="X1134" t="str">
        <f t="shared" si="99"/>
        <v>22</v>
      </c>
      <c r="Y1134" t="str">
        <f t="shared" si="100"/>
        <v>2022</v>
      </c>
      <c r="Z1134"/>
      <c r="AA1134" s="2">
        <f t="shared" si="101"/>
        <v>44655</v>
      </c>
      <c r="AB1134"/>
      <c r="AC1134"/>
    </row>
    <row r="1135" spans="21:29" ht="15">
      <c r="U1135" s="238" t="s">
        <v>9831</v>
      </c>
      <c r="V1135" t="str">
        <f t="shared" si="97"/>
        <v>05</v>
      </c>
      <c r="W1135" t="str">
        <f t="shared" si="98"/>
        <v>04</v>
      </c>
      <c r="X1135" t="str">
        <f t="shared" si="99"/>
        <v>22</v>
      </c>
      <c r="Y1135" t="str">
        <f t="shared" si="100"/>
        <v>2022</v>
      </c>
      <c r="Z1135"/>
      <c r="AA1135" s="2">
        <f t="shared" si="101"/>
        <v>44656</v>
      </c>
      <c r="AB1135"/>
      <c r="AC1135"/>
    </row>
    <row r="1136" spans="21:29" ht="15">
      <c r="U1136" s="238" t="s">
        <v>9831</v>
      </c>
      <c r="V1136" t="str">
        <f t="shared" si="97"/>
        <v>05</v>
      </c>
      <c r="W1136" t="str">
        <f t="shared" si="98"/>
        <v>04</v>
      </c>
      <c r="X1136" t="str">
        <f t="shared" si="99"/>
        <v>22</v>
      </c>
      <c r="Y1136" t="str">
        <f t="shared" si="100"/>
        <v>2022</v>
      </c>
      <c r="Z1136"/>
      <c r="AA1136" s="2">
        <f t="shared" si="101"/>
        <v>44656</v>
      </c>
      <c r="AB1136"/>
      <c r="AC1136"/>
    </row>
    <row r="1137" spans="21:29" ht="15">
      <c r="U1137" s="238" t="s">
        <v>9832</v>
      </c>
      <c r="V1137" t="str">
        <f t="shared" si="97"/>
        <v>06</v>
      </c>
      <c r="W1137" t="str">
        <f t="shared" si="98"/>
        <v>04</v>
      </c>
      <c r="X1137" t="str">
        <f t="shared" si="99"/>
        <v>22</v>
      </c>
      <c r="Y1137" t="str">
        <f t="shared" si="100"/>
        <v>2022</v>
      </c>
      <c r="Z1137"/>
      <c r="AA1137" s="2">
        <f t="shared" si="101"/>
        <v>44657</v>
      </c>
      <c r="AB1137"/>
      <c r="AC1137"/>
    </row>
    <row r="1138" spans="21:29" ht="15">
      <c r="U1138" s="238" t="s">
        <v>9833</v>
      </c>
      <c r="V1138" t="str">
        <f t="shared" si="97"/>
        <v>07</v>
      </c>
      <c r="W1138" t="str">
        <f t="shared" si="98"/>
        <v>04</v>
      </c>
      <c r="X1138" t="str">
        <f t="shared" si="99"/>
        <v>22</v>
      </c>
      <c r="Y1138" t="str">
        <f t="shared" si="100"/>
        <v>2022</v>
      </c>
      <c r="Z1138"/>
      <c r="AA1138" s="2">
        <f t="shared" si="101"/>
        <v>44658</v>
      </c>
      <c r="AB1138"/>
      <c r="AC1138"/>
    </row>
    <row r="1139" spans="21:29" ht="15">
      <c r="U1139" s="238" t="s">
        <v>9833</v>
      </c>
      <c r="V1139" t="str">
        <f t="shared" si="97"/>
        <v>07</v>
      </c>
      <c r="W1139" t="str">
        <f t="shared" si="98"/>
        <v>04</v>
      </c>
      <c r="X1139" t="str">
        <f t="shared" si="99"/>
        <v>22</v>
      </c>
      <c r="Y1139" t="str">
        <f t="shared" si="100"/>
        <v>2022</v>
      </c>
      <c r="Z1139"/>
      <c r="AA1139" s="2">
        <f t="shared" si="101"/>
        <v>44658</v>
      </c>
      <c r="AB1139"/>
      <c r="AC1139"/>
    </row>
    <row r="1140" spans="21:29" ht="15">
      <c r="U1140" s="238" t="s">
        <v>9833</v>
      </c>
      <c r="V1140" t="str">
        <f t="shared" si="97"/>
        <v>07</v>
      </c>
      <c r="W1140" t="str">
        <f t="shared" si="98"/>
        <v>04</v>
      </c>
      <c r="X1140" t="str">
        <f t="shared" si="99"/>
        <v>22</v>
      </c>
      <c r="Y1140" t="str">
        <f t="shared" si="100"/>
        <v>2022</v>
      </c>
      <c r="Z1140"/>
      <c r="AA1140" s="2">
        <f t="shared" si="101"/>
        <v>44658</v>
      </c>
      <c r="AB1140"/>
      <c r="AC1140"/>
    </row>
    <row r="1141" spans="21:29" ht="15">
      <c r="U1141" s="238" t="s">
        <v>9833</v>
      </c>
      <c r="V1141" t="str">
        <f t="shared" si="97"/>
        <v>07</v>
      </c>
      <c r="W1141" t="str">
        <f t="shared" si="98"/>
        <v>04</v>
      </c>
      <c r="X1141" t="str">
        <f t="shared" si="99"/>
        <v>22</v>
      </c>
      <c r="Y1141" t="str">
        <f t="shared" si="100"/>
        <v>2022</v>
      </c>
      <c r="Z1141"/>
      <c r="AA1141" s="2">
        <f t="shared" si="101"/>
        <v>44658</v>
      </c>
      <c r="AB1141"/>
      <c r="AC1141"/>
    </row>
    <row r="1142" spans="21:29" ht="15">
      <c r="U1142" s="238" t="s">
        <v>9834</v>
      </c>
      <c r="V1142" t="str">
        <f t="shared" si="97"/>
        <v>08</v>
      </c>
      <c r="W1142" t="str">
        <f t="shared" si="98"/>
        <v>04</v>
      </c>
      <c r="X1142" t="str">
        <f t="shared" si="99"/>
        <v>22</v>
      </c>
      <c r="Y1142" t="str">
        <f t="shared" si="100"/>
        <v>2022</v>
      </c>
      <c r="Z1142"/>
      <c r="AA1142" s="2">
        <f t="shared" si="101"/>
        <v>44659</v>
      </c>
      <c r="AB1142"/>
      <c r="AC1142"/>
    </row>
    <row r="1143" spans="21:29" ht="15">
      <c r="U1143" s="238" t="s">
        <v>9835</v>
      </c>
      <c r="V1143" t="str">
        <f t="shared" si="97"/>
        <v>12</v>
      </c>
      <c r="W1143" t="str">
        <f t="shared" si="98"/>
        <v>04</v>
      </c>
      <c r="X1143" t="str">
        <f t="shared" si="99"/>
        <v>22</v>
      </c>
      <c r="Y1143" t="str">
        <f t="shared" si="100"/>
        <v>2022</v>
      </c>
      <c r="Z1143"/>
      <c r="AA1143" s="2">
        <f t="shared" si="101"/>
        <v>44663</v>
      </c>
      <c r="AB1143"/>
      <c r="AC1143"/>
    </row>
    <row r="1144" spans="21:29" ht="15">
      <c r="U1144" s="238" t="s">
        <v>9835</v>
      </c>
      <c r="V1144" t="str">
        <f t="shared" si="97"/>
        <v>12</v>
      </c>
      <c r="W1144" t="str">
        <f t="shared" si="98"/>
        <v>04</v>
      </c>
      <c r="X1144" t="str">
        <f t="shared" si="99"/>
        <v>22</v>
      </c>
      <c r="Y1144" t="str">
        <f t="shared" si="100"/>
        <v>2022</v>
      </c>
      <c r="Z1144"/>
      <c r="AA1144" s="2">
        <f t="shared" si="101"/>
        <v>44663</v>
      </c>
      <c r="AB1144"/>
      <c r="AC1144"/>
    </row>
    <row r="1145" spans="21:29" ht="15">
      <c r="U1145" s="238" t="s">
        <v>9836</v>
      </c>
      <c r="V1145" t="str">
        <f t="shared" si="97"/>
        <v>13</v>
      </c>
      <c r="W1145" t="str">
        <f t="shared" si="98"/>
        <v>04</v>
      </c>
      <c r="X1145" t="str">
        <f t="shared" si="99"/>
        <v>22</v>
      </c>
      <c r="Y1145" t="str">
        <f t="shared" si="100"/>
        <v>2022</v>
      </c>
      <c r="Z1145"/>
      <c r="AA1145" s="2">
        <f t="shared" si="101"/>
        <v>44664</v>
      </c>
      <c r="AB1145"/>
      <c r="AC1145"/>
    </row>
    <row r="1146" spans="21:29" ht="15">
      <c r="U1146" s="238" t="s">
        <v>9836</v>
      </c>
      <c r="V1146" t="str">
        <f t="shared" si="97"/>
        <v>13</v>
      </c>
      <c r="W1146" t="str">
        <f t="shared" si="98"/>
        <v>04</v>
      </c>
      <c r="X1146" t="str">
        <f t="shared" si="99"/>
        <v>22</v>
      </c>
      <c r="Y1146" t="str">
        <f t="shared" si="100"/>
        <v>2022</v>
      </c>
      <c r="Z1146"/>
      <c r="AA1146" s="2">
        <f t="shared" si="101"/>
        <v>44664</v>
      </c>
      <c r="AB1146"/>
      <c r="AC1146"/>
    </row>
    <row r="1147" spans="21:29" ht="15">
      <c r="U1147" s="238" t="s">
        <v>9836</v>
      </c>
      <c r="V1147" t="str">
        <f t="shared" si="97"/>
        <v>13</v>
      </c>
      <c r="W1147" t="str">
        <f t="shared" si="98"/>
        <v>04</v>
      </c>
      <c r="X1147" t="str">
        <f t="shared" si="99"/>
        <v>22</v>
      </c>
      <c r="Y1147" t="str">
        <f t="shared" si="100"/>
        <v>2022</v>
      </c>
      <c r="Z1147"/>
      <c r="AA1147" s="2">
        <f t="shared" si="101"/>
        <v>44664</v>
      </c>
      <c r="AB1147"/>
      <c r="AC1147"/>
    </row>
    <row r="1148" spans="21:29" ht="15">
      <c r="U1148" s="238" t="s">
        <v>9837</v>
      </c>
      <c r="V1148" t="str">
        <f t="shared" si="97"/>
        <v>14</v>
      </c>
      <c r="W1148" t="str">
        <f t="shared" si="98"/>
        <v>04</v>
      </c>
      <c r="X1148" t="str">
        <f t="shared" si="99"/>
        <v>22</v>
      </c>
      <c r="Y1148" t="str">
        <f t="shared" si="100"/>
        <v>2022</v>
      </c>
      <c r="Z1148"/>
      <c r="AA1148" s="2">
        <f t="shared" si="101"/>
        <v>44665</v>
      </c>
      <c r="AB1148"/>
      <c r="AC1148"/>
    </row>
    <row r="1149" spans="21:29" ht="15">
      <c r="U1149" s="238" t="s">
        <v>9837</v>
      </c>
      <c r="V1149" t="str">
        <f t="shared" si="97"/>
        <v>14</v>
      </c>
      <c r="W1149" t="str">
        <f t="shared" si="98"/>
        <v>04</v>
      </c>
      <c r="X1149" t="str">
        <f t="shared" si="99"/>
        <v>22</v>
      </c>
      <c r="Y1149" t="str">
        <f t="shared" si="100"/>
        <v>2022</v>
      </c>
      <c r="Z1149"/>
      <c r="AA1149" s="2">
        <f t="shared" si="101"/>
        <v>44665</v>
      </c>
      <c r="AB1149"/>
      <c r="AC1149"/>
    </row>
    <row r="1150" spans="21:29" ht="15">
      <c r="U1150" s="238" t="s">
        <v>9838</v>
      </c>
      <c r="V1150" t="str">
        <f t="shared" si="97"/>
        <v>15</v>
      </c>
      <c r="W1150" t="str">
        <f t="shared" si="98"/>
        <v>04</v>
      </c>
      <c r="X1150" t="str">
        <f t="shared" si="99"/>
        <v>22</v>
      </c>
      <c r="Y1150" t="str">
        <f t="shared" si="100"/>
        <v>2022</v>
      </c>
      <c r="Z1150"/>
      <c r="AA1150" s="2">
        <f t="shared" si="101"/>
        <v>44666</v>
      </c>
      <c r="AB1150"/>
      <c r="AC1150"/>
    </row>
    <row r="1151" spans="21:29" ht="15">
      <c r="U1151" s="238" t="s">
        <v>9839</v>
      </c>
      <c r="V1151" t="str">
        <f t="shared" si="97"/>
        <v>18</v>
      </c>
      <c r="W1151" t="str">
        <f t="shared" si="98"/>
        <v>04</v>
      </c>
      <c r="X1151" t="str">
        <f t="shared" si="99"/>
        <v>22</v>
      </c>
      <c r="Y1151" t="str">
        <f t="shared" si="100"/>
        <v>2022</v>
      </c>
      <c r="Z1151"/>
      <c r="AA1151" s="2">
        <f t="shared" si="101"/>
        <v>44669</v>
      </c>
      <c r="AB1151"/>
      <c r="AC1151"/>
    </row>
    <row r="1152" spans="21:29" ht="15">
      <c r="U1152" s="238" t="s">
        <v>9839</v>
      </c>
      <c r="V1152" t="str">
        <f t="shared" si="97"/>
        <v>18</v>
      </c>
      <c r="W1152" t="str">
        <f t="shared" si="98"/>
        <v>04</v>
      </c>
      <c r="X1152" t="str">
        <f t="shared" si="99"/>
        <v>22</v>
      </c>
      <c r="Y1152" t="str">
        <f t="shared" si="100"/>
        <v>2022</v>
      </c>
      <c r="Z1152"/>
      <c r="AA1152" s="2">
        <f t="shared" si="101"/>
        <v>44669</v>
      </c>
      <c r="AB1152"/>
      <c r="AC1152"/>
    </row>
    <row r="1153" spans="21:29" ht="15">
      <c r="U1153" s="238" t="s">
        <v>9839</v>
      </c>
      <c r="V1153" t="str">
        <f t="shared" si="97"/>
        <v>18</v>
      </c>
      <c r="W1153" t="str">
        <f t="shared" si="98"/>
        <v>04</v>
      </c>
      <c r="X1153" t="str">
        <f t="shared" si="99"/>
        <v>22</v>
      </c>
      <c r="Y1153" t="str">
        <f t="shared" si="100"/>
        <v>2022</v>
      </c>
      <c r="Z1153"/>
      <c r="AA1153" s="2">
        <f t="shared" si="101"/>
        <v>44669</v>
      </c>
      <c r="AB1153"/>
      <c r="AC1153"/>
    </row>
    <row r="1154" spans="21:29" ht="15">
      <c r="U1154" s="238" t="s">
        <v>9840</v>
      </c>
      <c r="V1154" t="str">
        <f t="shared" si="97"/>
        <v>19</v>
      </c>
      <c r="W1154" t="str">
        <f t="shared" si="98"/>
        <v>04</v>
      </c>
      <c r="X1154" t="str">
        <f t="shared" si="99"/>
        <v>22</v>
      </c>
      <c r="Y1154" t="str">
        <f t="shared" si="100"/>
        <v>2022</v>
      </c>
      <c r="Z1154"/>
      <c r="AA1154" s="2">
        <f t="shared" si="101"/>
        <v>44670</v>
      </c>
      <c r="AB1154"/>
      <c r="AC1154"/>
    </row>
    <row r="1155" spans="21:29" ht="15">
      <c r="U1155" s="238" t="s">
        <v>9841</v>
      </c>
      <c r="V1155" t="str">
        <f t="shared" ref="V1155:V1218" si="102">LEFT(U1155,2)</f>
        <v>21</v>
      </c>
      <c r="W1155" t="str">
        <f t="shared" ref="W1155:W1218" si="103">MID(U1155,4,2)</f>
        <v>04</v>
      </c>
      <c r="X1155" t="str">
        <f t="shared" ref="X1155:X1218" si="104">RIGHT(U1155,2)</f>
        <v>22</v>
      </c>
      <c r="Y1155" t="str">
        <f t="shared" ref="Y1155:Y1218" si="105">"20" &amp; X1155</f>
        <v>2022</v>
      </c>
      <c r="Z1155"/>
      <c r="AA1155" s="2">
        <f t="shared" ref="AA1155:AA1219" si="106">DATE(Y1155,W1155,V1155)</f>
        <v>44672</v>
      </c>
      <c r="AB1155"/>
      <c r="AC1155"/>
    </row>
    <row r="1156" spans="21:29" ht="15">
      <c r="U1156" s="238" t="s">
        <v>9841</v>
      </c>
      <c r="V1156" t="str">
        <f t="shared" si="102"/>
        <v>21</v>
      </c>
      <c r="W1156" t="str">
        <f t="shared" si="103"/>
        <v>04</v>
      </c>
      <c r="X1156" t="str">
        <f t="shared" si="104"/>
        <v>22</v>
      </c>
      <c r="Y1156" t="str">
        <f t="shared" si="105"/>
        <v>2022</v>
      </c>
      <c r="Z1156"/>
      <c r="AA1156" s="2">
        <f t="shared" si="106"/>
        <v>44672</v>
      </c>
      <c r="AB1156"/>
      <c r="AC1156"/>
    </row>
    <row r="1157" spans="21:29" ht="15">
      <c r="U1157" s="238" t="s">
        <v>9842</v>
      </c>
      <c r="V1157" t="str">
        <f t="shared" si="102"/>
        <v>22</v>
      </c>
      <c r="W1157" t="str">
        <f t="shared" si="103"/>
        <v>04</v>
      </c>
      <c r="X1157" t="str">
        <f t="shared" si="104"/>
        <v>22</v>
      </c>
      <c r="Y1157" t="str">
        <f t="shared" si="105"/>
        <v>2022</v>
      </c>
      <c r="Z1157"/>
      <c r="AA1157" s="2">
        <f t="shared" si="106"/>
        <v>44673</v>
      </c>
      <c r="AB1157"/>
      <c r="AC1157"/>
    </row>
    <row r="1158" spans="21:29" ht="15">
      <c r="U1158" s="238" t="s">
        <v>9843</v>
      </c>
      <c r="V1158" t="str">
        <f t="shared" si="102"/>
        <v>23</v>
      </c>
      <c r="W1158" t="str">
        <f t="shared" si="103"/>
        <v>04</v>
      </c>
      <c r="X1158" t="str">
        <f t="shared" si="104"/>
        <v>22</v>
      </c>
      <c r="Y1158" t="str">
        <f t="shared" si="105"/>
        <v>2022</v>
      </c>
      <c r="Z1158"/>
      <c r="AA1158" s="2">
        <f t="shared" si="106"/>
        <v>44674</v>
      </c>
      <c r="AB1158"/>
      <c r="AC1158"/>
    </row>
    <row r="1159" spans="21:29" ht="15">
      <c r="U1159" s="238" t="s">
        <v>9843</v>
      </c>
      <c r="V1159" t="str">
        <f t="shared" si="102"/>
        <v>23</v>
      </c>
      <c r="W1159" t="str">
        <f t="shared" si="103"/>
        <v>04</v>
      </c>
      <c r="X1159" t="str">
        <f t="shared" si="104"/>
        <v>22</v>
      </c>
      <c r="Y1159" t="str">
        <f t="shared" si="105"/>
        <v>2022</v>
      </c>
      <c r="Z1159"/>
      <c r="AA1159" s="2">
        <f t="shared" si="106"/>
        <v>44674</v>
      </c>
      <c r="AB1159"/>
      <c r="AC1159"/>
    </row>
    <row r="1160" spans="21:29" ht="15">
      <c r="U1160" s="238" t="s">
        <v>9844</v>
      </c>
      <c r="V1160" t="str">
        <f t="shared" si="102"/>
        <v>24</v>
      </c>
      <c r="W1160" t="str">
        <f t="shared" si="103"/>
        <v>04</v>
      </c>
      <c r="X1160" t="str">
        <f t="shared" si="104"/>
        <v>22</v>
      </c>
      <c r="Y1160" t="str">
        <f t="shared" si="105"/>
        <v>2022</v>
      </c>
      <c r="Z1160"/>
      <c r="AA1160" s="2">
        <f t="shared" si="106"/>
        <v>44675</v>
      </c>
      <c r="AB1160"/>
      <c r="AC1160"/>
    </row>
    <row r="1161" spans="21:29" ht="15">
      <c r="U1161" s="238" t="s">
        <v>9845</v>
      </c>
      <c r="V1161" t="str">
        <f t="shared" si="102"/>
        <v>26</v>
      </c>
      <c r="W1161" t="str">
        <f t="shared" si="103"/>
        <v>04</v>
      </c>
      <c r="X1161" t="str">
        <f t="shared" si="104"/>
        <v>22</v>
      </c>
      <c r="Y1161" t="str">
        <f t="shared" si="105"/>
        <v>2022</v>
      </c>
      <c r="Z1161"/>
      <c r="AA1161" s="2">
        <f t="shared" si="106"/>
        <v>44677</v>
      </c>
      <c r="AB1161"/>
      <c r="AC1161"/>
    </row>
    <row r="1162" spans="21:29" ht="15">
      <c r="U1162" s="238" t="s">
        <v>9845</v>
      </c>
      <c r="V1162" t="str">
        <f t="shared" si="102"/>
        <v>26</v>
      </c>
      <c r="W1162" t="str">
        <f t="shared" si="103"/>
        <v>04</v>
      </c>
      <c r="X1162" t="str">
        <f t="shared" si="104"/>
        <v>22</v>
      </c>
      <c r="Y1162" t="str">
        <f t="shared" si="105"/>
        <v>2022</v>
      </c>
      <c r="Z1162"/>
      <c r="AA1162" s="2">
        <f t="shared" si="106"/>
        <v>44677</v>
      </c>
      <c r="AB1162"/>
      <c r="AC1162"/>
    </row>
    <row r="1163" spans="21:29" ht="15">
      <c r="U1163" s="238" t="s">
        <v>9846</v>
      </c>
      <c r="V1163" t="str">
        <f t="shared" si="102"/>
        <v>27</v>
      </c>
      <c r="W1163" t="str">
        <f t="shared" si="103"/>
        <v>04</v>
      </c>
      <c r="X1163" t="str">
        <f t="shared" si="104"/>
        <v>22</v>
      </c>
      <c r="Y1163" t="str">
        <f t="shared" si="105"/>
        <v>2022</v>
      </c>
      <c r="Z1163"/>
      <c r="AA1163" s="2">
        <f t="shared" si="106"/>
        <v>44678</v>
      </c>
      <c r="AB1163"/>
      <c r="AC1163"/>
    </row>
    <row r="1164" spans="21:29" ht="15">
      <c r="U1164" s="238" t="s">
        <v>9847</v>
      </c>
      <c r="V1164" t="str">
        <f t="shared" si="102"/>
        <v>28</v>
      </c>
      <c r="W1164" t="str">
        <f t="shared" si="103"/>
        <v>04</v>
      </c>
      <c r="X1164" t="str">
        <f t="shared" si="104"/>
        <v>22</v>
      </c>
      <c r="Y1164" t="str">
        <f t="shared" si="105"/>
        <v>2022</v>
      </c>
      <c r="Z1164"/>
      <c r="AA1164" s="2">
        <f t="shared" si="106"/>
        <v>44679</v>
      </c>
      <c r="AB1164"/>
      <c r="AC1164"/>
    </row>
    <row r="1165" spans="21:29" ht="15">
      <c r="U1165" s="238" t="s">
        <v>9847</v>
      </c>
      <c r="V1165" t="str">
        <f t="shared" si="102"/>
        <v>28</v>
      </c>
      <c r="W1165" t="str">
        <f t="shared" si="103"/>
        <v>04</v>
      </c>
      <c r="X1165" t="str">
        <f t="shared" si="104"/>
        <v>22</v>
      </c>
      <c r="Y1165" t="str">
        <f t="shared" si="105"/>
        <v>2022</v>
      </c>
      <c r="Z1165"/>
      <c r="AA1165" s="2">
        <f t="shared" si="106"/>
        <v>44679</v>
      </c>
      <c r="AB1165"/>
      <c r="AC1165"/>
    </row>
    <row r="1166" spans="21:29" ht="15">
      <c r="U1166" s="238" t="s">
        <v>9848</v>
      </c>
      <c r="V1166" t="str">
        <f t="shared" si="102"/>
        <v>30</v>
      </c>
      <c r="W1166" t="str">
        <f t="shared" si="103"/>
        <v>04</v>
      </c>
      <c r="X1166" t="str">
        <f t="shared" si="104"/>
        <v>22</v>
      </c>
      <c r="Y1166" t="str">
        <f t="shared" si="105"/>
        <v>2022</v>
      </c>
      <c r="Z1166"/>
      <c r="AA1166" s="2">
        <f t="shared" si="106"/>
        <v>44681</v>
      </c>
      <c r="AB1166"/>
      <c r="AC1166"/>
    </row>
    <row r="1167" spans="21:29" ht="15">
      <c r="U1167" s="238" t="s">
        <v>9849</v>
      </c>
      <c r="V1167" t="str">
        <f t="shared" si="102"/>
        <v>02</v>
      </c>
      <c r="W1167" t="str">
        <f t="shared" si="103"/>
        <v>05</v>
      </c>
      <c r="X1167" t="str">
        <f t="shared" si="104"/>
        <v>22</v>
      </c>
      <c r="Y1167" t="str">
        <f t="shared" si="105"/>
        <v>2022</v>
      </c>
      <c r="Z1167"/>
      <c r="AA1167" s="2">
        <f t="shared" si="106"/>
        <v>44683</v>
      </c>
      <c r="AB1167"/>
      <c r="AC1167"/>
    </row>
    <row r="1168" spans="21:29" ht="15">
      <c r="U1168" s="238" t="s">
        <v>9849</v>
      </c>
      <c r="V1168" t="str">
        <f t="shared" si="102"/>
        <v>02</v>
      </c>
      <c r="W1168" t="str">
        <f t="shared" si="103"/>
        <v>05</v>
      </c>
      <c r="X1168" t="str">
        <f t="shared" si="104"/>
        <v>22</v>
      </c>
      <c r="Y1168" t="str">
        <f t="shared" si="105"/>
        <v>2022</v>
      </c>
      <c r="Z1168"/>
      <c r="AA1168" s="2">
        <f t="shared" si="106"/>
        <v>44683</v>
      </c>
      <c r="AB1168"/>
      <c r="AC1168"/>
    </row>
    <row r="1169" spans="21:29" ht="15">
      <c r="U1169" s="238" t="s">
        <v>9849</v>
      </c>
      <c r="V1169" t="str">
        <f t="shared" si="102"/>
        <v>02</v>
      </c>
      <c r="W1169" t="str">
        <f t="shared" si="103"/>
        <v>05</v>
      </c>
      <c r="X1169" t="str">
        <f t="shared" si="104"/>
        <v>22</v>
      </c>
      <c r="Y1169" t="str">
        <f t="shared" si="105"/>
        <v>2022</v>
      </c>
      <c r="Z1169"/>
      <c r="AA1169" s="2">
        <f t="shared" si="106"/>
        <v>44683</v>
      </c>
      <c r="AB1169"/>
      <c r="AC1169"/>
    </row>
    <row r="1170" spans="21:29" ht="15">
      <c r="U1170" s="238" t="s">
        <v>9850</v>
      </c>
      <c r="V1170" t="str">
        <f t="shared" si="102"/>
        <v>03</v>
      </c>
      <c r="W1170" t="str">
        <f t="shared" si="103"/>
        <v>05</v>
      </c>
      <c r="X1170" t="str">
        <f t="shared" si="104"/>
        <v>22</v>
      </c>
      <c r="Y1170" t="str">
        <f t="shared" si="105"/>
        <v>2022</v>
      </c>
      <c r="Z1170"/>
      <c r="AA1170" s="2">
        <f t="shared" si="106"/>
        <v>44684</v>
      </c>
      <c r="AB1170"/>
      <c r="AC1170"/>
    </row>
    <row r="1171" spans="21:29" ht="15">
      <c r="U1171" s="238" t="s">
        <v>9850</v>
      </c>
      <c r="V1171" t="str">
        <f t="shared" si="102"/>
        <v>03</v>
      </c>
      <c r="W1171" t="str">
        <f t="shared" si="103"/>
        <v>05</v>
      </c>
      <c r="X1171" t="str">
        <f t="shared" si="104"/>
        <v>22</v>
      </c>
      <c r="Y1171" t="str">
        <f t="shared" si="105"/>
        <v>2022</v>
      </c>
      <c r="Z1171"/>
      <c r="AA1171" s="2">
        <f t="shared" si="106"/>
        <v>44684</v>
      </c>
      <c r="AB1171"/>
      <c r="AC1171"/>
    </row>
    <row r="1172" spans="21:29" ht="15">
      <c r="U1172" s="238" t="s">
        <v>9850</v>
      </c>
      <c r="V1172" t="str">
        <f t="shared" si="102"/>
        <v>03</v>
      </c>
      <c r="W1172" t="str">
        <f t="shared" si="103"/>
        <v>05</v>
      </c>
      <c r="X1172" t="str">
        <f t="shared" si="104"/>
        <v>22</v>
      </c>
      <c r="Y1172" t="str">
        <f t="shared" si="105"/>
        <v>2022</v>
      </c>
      <c r="Z1172"/>
      <c r="AA1172" s="2">
        <f t="shared" si="106"/>
        <v>44684</v>
      </c>
      <c r="AB1172"/>
      <c r="AC1172"/>
    </row>
    <row r="1173" spans="21:29" ht="15">
      <c r="U1173" s="238" t="s">
        <v>9851</v>
      </c>
      <c r="V1173" t="str">
        <f t="shared" si="102"/>
        <v>06</v>
      </c>
      <c r="W1173" t="str">
        <f t="shared" si="103"/>
        <v>05</v>
      </c>
      <c r="X1173" t="str">
        <f t="shared" si="104"/>
        <v>22</v>
      </c>
      <c r="Y1173" t="str">
        <f t="shared" si="105"/>
        <v>2022</v>
      </c>
      <c r="Z1173"/>
      <c r="AA1173" s="2">
        <f t="shared" si="106"/>
        <v>44687</v>
      </c>
      <c r="AB1173"/>
      <c r="AC1173"/>
    </row>
    <row r="1174" spans="21:29" ht="15">
      <c r="U1174" s="238" t="s">
        <v>9851</v>
      </c>
      <c r="V1174" t="str">
        <f t="shared" si="102"/>
        <v>06</v>
      </c>
      <c r="W1174" t="str">
        <f t="shared" si="103"/>
        <v>05</v>
      </c>
      <c r="X1174" t="str">
        <f t="shared" si="104"/>
        <v>22</v>
      </c>
      <c r="Y1174" t="str">
        <f t="shared" si="105"/>
        <v>2022</v>
      </c>
      <c r="Z1174"/>
      <c r="AA1174" s="2">
        <f t="shared" si="106"/>
        <v>44687</v>
      </c>
      <c r="AB1174"/>
      <c r="AC1174"/>
    </row>
    <row r="1175" spans="21:29" ht="15">
      <c r="U1175" s="238" t="s">
        <v>9852</v>
      </c>
      <c r="V1175" t="str">
        <f t="shared" si="102"/>
        <v>07</v>
      </c>
      <c r="W1175" t="str">
        <f t="shared" si="103"/>
        <v>05</v>
      </c>
      <c r="X1175" t="str">
        <f t="shared" si="104"/>
        <v>22</v>
      </c>
      <c r="Y1175" t="str">
        <f t="shared" si="105"/>
        <v>2022</v>
      </c>
      <c r="Z1175"/>
      <c r="AA1175" s="2">
        <f t="shared" si="106"/>
        <v>44688</v>
      </c>
      <c r="AB1175"/>
      <c r="AC1175"/>
    </row>
    <row r="1176" spans="21:29" ht="15">
      <c r="U1176" s="238" t="s">
        <v>9852</v>
      </c>
      <c r="V1176" t="str">
        <f t="shared" si="102"/>
        <v>07</v>
      </c>
      <c r="W1176" t="str">
        <f t="shared" si="103"/>
        <v>05</v>
      </c>
      <c r="X1176" t="str">
        <f t="shared" si="104"/>
        <v>22</v>
      </c>
      <c r="Y1176" t="str">
        <f t="shared" si="105"/>
        <v>2022</v>
      </c>
      <c r="Z1176"/>
      <c r="AA1176" s="2">
        <f t="shared" si="106"/>
        <v>44688</v>
      </c>
      <c r="AB1176"/>
      <c r="AC1176"/>
    </row>
    <row r="1177" spans="21:29" ht="15">
      <c r="U1177" s="238" t="s">
        <v>9852</v>
      </c>
      <c r="V1177" t="str">
        <f t="shared" si="102"/>
        <v>07</v>
      </c>
      <c r="W1177" t="str">
        <f t="shared" si="103"/>
        <v>05</v>
      </c>
      <c r="X1177" t="str">
        <f t="shared" si="104"/>
        <v>22</v>
      </c>
      <c r="Y1177" t="str">
        <f t="shared" si="105"/>
        <v>2022</v>
      </c>
      <c r="Z1177"/>
      <c r="AA1177" s="2">
        <f t="shared" si="106"/>
        <v>44688</v>
      </c>
      <c r="AB1177"/>
      <c r="AC1177"/>
    </row>
    <row r="1178" spans="21:29" ht="15">
      <c r="U1178" s="238" t="s">
        <v>9853</v>
      </c>
      <c r="V1178" t="str">
        <f t="shared" si="102"/>
        <v>08</v>
      </c>
      <c r="W1178" t="str">
        <f t="shared" si="103"/>
        <v>05</v>
      </c>
      <c r="X1178" t="str">
        <f t="shared" si="104"/>
        <v>22</v>
      </c>
      <c r="Y1178" t="str">
        <f t="shared" si="105"/>
        <v>2022</v>
      </c>
      <c r="Z1178"/>
      <c r="AA1178" s="2">
        <f t="shared" si="106"/>
        <v>44689</v>
      </c>
      <c r="AB1178"/>
      <c r="AC1178"/>
    </row>
    <row r="1179" spans="21:29" ht="15">
      <c r="U1179" s="238" t="s">
        <v>9854</v>
      </c>
      <c r="V1179" t="str">
        <f t="shared" si="102"/>
        <v>09</v>
      </c>
      <c r="W1179" t="str">
        <f t="shared" si="103"/>
        <v>05</v>
      </c>
      <c r="X1179" t="str">
        <f t="shared" si="104"/>
        <v>22</v>
      </c>
      <c r="Y1179" t="str">
        <f t="shared" si="105"/>
        <v>2022</v>
      </c>
      <c r="Z1179"/>
      <c r="AA1179" s="2">
        <f t="shared" si="106"/>
        <v>44690</v>
      </c>
      <c r="AB1179"/>
      <c r="AC1179"/>
    </row>
    <row r="1180" spans="21:29" ht="15">
      <c r="U1180" s="238" t="s">
        <v>9855</v>
      </c>
      <c r="V1180" t="str">
        <f t="shared" si="102"/>
        <v>11</v>
      </c>
      <c r="W1180" t="str">
        <f t="shared" si="103"/>
        <v>05</v>
      </c>
      <c r="X1180" t="str">
        <f t="shared" si="104"/>
        <v>22</v>
      </c>
      <c r="Y1180" t="str">
        <f t="shared" si="105"/>
        <v>2022</v>
      </c>
      <c r="Z1180"/>
      <c r="AA1180" s="2">
        <f t="shared" si="106"/>
        <v>44692</v>
      </c>
      <c r="AB1180"/>
      <c r="AC1180"/>
    </row>
    <row r="1181" spans="21:29" ht="15">
      <c r="U1181" s="238" t="s">
        <v>9855</v>
      </c>
      <c r="V1181" t="str">
        <f t="shared" si="102"/>
        <v>11</v>
      </c>
      <c r="W1181" t="str">
        <f t="shared" si="103"/>
        <v>05</v>
      </c>
      <c r="X1181" t="str">
        <f t="shared" si="104"/>
        <v>22</v>
      </c>
      <c r="Y1181" t="str">
        <f t="shared" si="105"/>
        <v>2022</v>
      </c>
      <c r="Z1181"/>
      <c r="AA1181" s="2">
        <f t="shared" si="106"/>
        <v>44692</v>
      </c>
      <c r="AB1181"/>
      <c r="AC1181"/>
    </row>
    <row r="1182" spans="21:29" ht="15">
      <c r="U1182" s="238" t="s">
        <v>9855</v>
      </c>
      <c r="V1182" t="str">
        <f t="shared" si="102"/>
        <v>11</v>
      </c>
      <c r="W1182" t="str">
        <f t="shared" si="103"/>
        <v>05</v>
      </c>
      <c r="X1182" t="str">
        <f t="shared" si="104"/>
        <v>22</v>
      </c>
      <c r="Y1182" t="str">
        <f t="shared" si="105"/>
        <v>2022</v>
      </c>
      <c r="Z1182"/>
      <c r="AA1182" s="2">
        <f t="shared" si="106"/>
        <v>44692</v>
      </c>
      <c r="AB1182"/>
      <c r="AC1182"/>
    </row>
    <row r="1183" spans="21:29" ht="15">
      <c r="U1183" s="238" t="s">
        <v>9855</v>
      </c>
      <c r="V1183" t="str">
        <f t="shared" si="102"/>
        <v>11</v>
      </c>
      <c r="W1183" t="str">
        <f t="shared" si="103"/>
        <v>05</v>
      </c>
      <c r="X1183" t="str">
        <f t="shared" si="104"/>
        <v>22</v>
      </c>
      <c r="Y1183" t="str">
        <f t="shared" si="105"/>
        <v>2022</v>
      </c>
      <c r="Z1183"/>
      <c r="AA1183" s="2">
        <f t="shared" si="106"/>
        <v>44692</v>
      </c>
      <c r="AB1183"/>
      <c r="AC1183"/>
    </row>
    <row r="1184" spans="21:29" ht="15">
      <c r="U1184" s="238" t="s">
        <v>9856</v>
      </c>
      <c r="V1184" t="str">
        <f t="shared" si="102"/>
        <v>12</v>
      </c>
      <c r="W1184" t="str">
        <f t="shared" si="103"/>
        <v>05</v>
      </c>
      <c r="X1184" t="str">
        <f t="shared" si="104"/>
        <v>22</v>
      </c>
      <c r="Y1184" t="str">
        <f t="shared" si="105"/>
        <v>2022</v>
      </c>
      <c r="Z1184"/>
      <c r="AA1184" s="2">
        <f t="shared" si="106"/>
        <v>44693</v>
      </c>
      <c r="AB1184"/>
      <c r="AC1184"/>
    </row>
    <row r="1185" spans="21:29" ht="15">
      <c r="U1185" s="238" t="s">
        <v>9856</v>
      </c>
      <c r="V1185" t="str">
        <f t="shared" si="102"/>
        <v>12</v>
      </c>
      <c r="W1185" t="str">
        <f t="shared" si="103"/>
        <v>05</v>
      </c>
      <c r="X1185" t="str">
        <f t="shared" si="104"/>
        <v>22</v>
      </c>
      <c r="Y1185" t="str">
        <f t="shared" si="105"/>
        <v>2022</v>
      </c>
      <c r="Z1185"/>
      <c r="AA1185" s="2">
        <f t="shared" si="106"/>
        <v>44693</v>
      </c>
      <c r="AB1185"/>
      <c r="AC1185"/>
    </row>
    <row r="1186" spans="21:29" ht="15">
      <c r="U1186" s="238" t="s">
        <v>9857</v>
      </c>
      <c r="V1186" t="str">
        <f t="shared" si="102"/>
        <v>16</v>
      </c>
      <c r="W1186" t="str">
        <f t="shared" si="103"/>
        <v>05</v>
      </c>
      <c r="X1186" t="str">
        <f t="shared" si="104"/>
        <v>22</v>
      </c>
      <c r="Y1186" t="str">
        <f t="shared" si="105"/>
        <v>2022</v>
      </c>
      <c r="Z1186"/>
      <c r="AA1186" s="2">
        <f t="shared" si="106"/>
        <v>44697</v>
      </c>
      <c r="AB1186"/>
      <c r="AC1186"/>
    </row>
    <row r="1187" spans="21:29" ht="15">
      <c r="U1187" s="238" t="s">
        <v>9857</v>
      </c>
      <c r="V1187" t="str">
        <f t="shared" si="102"/>
        <v>16</v>
      </c>
      <c r="W1187" t="str">
        <f t="shared" si="103"/>
        <v>05</v>
      </c>
      <c r="X1187" t="str">
        <f t="shared" si="104"/>
        <v>22</v>
      </c>
      <c r="Y1187" t="str">
        <f t="shared" si="105"/>
        <v>2022</v>
      </c>
      <c r="Z1187"/>
      <c r="AA1187" s="2">
        <f t="shared" si="106"/>
        <v>44697</v>
      </c>
      <c r="AB1187"/>
      <c r="AC1187"/>
    </row>
    <row r="1188" spans="21:29" ht="15">
      <c r="U1188" s="238" t="s">
        <v>9857</v>
      </c>
      <c r="V1188" t="str">
        <f t="shared" si="102"/>
        <v>16</v>
      </c>
      <c r="W1188" t="str">
        <f t="shared" si="103"/>
        <v>05</v>
      </c>
      <c r="X1188" t="str">
        <f t="shared" si="104"/>
        <v>22</v>
      </c>
      <c r="Y1188" t="str">
        <f t="shared" si="105"/>
        <v>2022</v>
      </c>
      <c r="Z1188"/>
      <c r="AA1188" s="2">
        <f t="shared" si="106"/>
        <v>44697</v>
      </c>
      <c r="AB1188"/>
      <c r="AC1188"/>
    </row>
    <row r="1189" spans="21:29" ht="15">
      <c r="U1189" s="238" t="s">
        <v>9857</v>
      </c>
      <c r="V1189" t="str">
        <f t="shared" si="102"/>
        <v>16</v>
      </c>
      <c r="W1189" t="str">
        <f t="shared" si="103"/>
        <v>05</v>
      </c>
      <c r="X1189" t="str">
        <f t="shared" si="104"/>
        <v>22</v>
      </c>
      <c r="Y1189" t="str">
        <f t="shared" si="105"/>
        <v>2022</v>
      </c>
      <c r="Z1189"/>
      <c r="AA1189" s="2">
        <f t="shared" si="106"/>
        <v>44697</v>
      </c>
      <c r="AB1189"/>
      <c r="AC1189"/>
    </row>
    <row r="1190" spans="21:29" ht="15">
      <c r="U1190" s="238" t="s">
        <v>9858</v>
      </c>
      <c r="V1190" t="str">
        <f t="shared" si="102"/>
        <v>17</v>
      </c>
      <c r="W1190" t="str">
        <f t="shared" si="103"/>
        <v>05</v>
      </c>
      <c r="X1190" t="str">
        <f t="shared" si="104"/>
        <v>22</v>
      </c>
      <c r="Y1190" t="str">
        <f t="shared" si="105"/>
        <v>2022</v>
      </c>
      <c r="Z1190"/>
      <c r="AA1190" s="2">
        <f t="shared" si="106"/>
        <v>44698</v>
      </c>
      <c r="AB1190"/>
      <c r="AC1190"/>
    </row>
    <row r="1191" spans="21:29" ht="15">
      <c r="U1191" s="238" t="s">
        <v>9859</v>
      </c>
      <c r="V1191" t="str">
        <f t="shared" si="102"/>
        <v>18</v>
      </c>
      <c r="W1191" t="str">
        <f t="shared" si="103"/>
        <v>05</v>
      </c>
      <c r="X1191" t="str">
        <f t="shared" si="104"/>
        <v>22</v>
      </c>
      <c r="Y1191" t="str">
        <f t="shared" si="105"/>
        <v>2022</v>
      </c>
      <c r="Z1191"/>
      <c r="AA1191" s="2">
        <f t="shared" si="106"/>
        <v>44699</v>
      </c>
      <c r="AB1191"/>
      <c r="AC1191"/>
    </row>
    <row r="1192" spans="21:29" ht="15">
      <c r="U1192" s="238" t="s">
        <v>9860</v>
      </c>
      <c r="V1192" t="str">
        <f t="shared" si="102"/>
        <v>20</v>
      </c>
      <c r="W1192" t="str">
        <f t="shared" si="103"/>
        <v>05</v>
      </c>
      <c r="X1192" t="str">
        <f t="shared" si="104"/>
        <v>22</v>
      </c>
      <c r="Y1192" t="str">
        <f t="shared" si="105"/>
        <v>2022</v>
      </c>
      <c r="Z1192"/>
      <c r="AA1192" s="2">
        <f t="shared" si="106"/>
        <v>44701</v>
      </c>
      <c r="AB1192"/>
      <c r="AC1192"/>
    </row>
    <row r="1193" spans="21:29" ht="15">
      <c r="U1193" s="238" t="s">
        <v>9860</v>
      </c>
      <c r="V1193" t="str">
        <f t="shared" si="102"/>
        <v>20</v>
      </c>
      <c r="W1193" t="str">
        <f t="shared" si="103"/>
        <v>05</v>
      </c>
      <c r="X1193" t="str">
        <f t="shared" si="104"/>
        <v>22</v>
      </c>
      <c r="Y1193" t="str">
        <f t="shared" si="105"/>
        <v>2022</v>
      </c>
      <c r="Z1193"/>
      <c r="AA1193" s="2">
        <f t="shared" si="106"/>
        <v>44701</v>
      </c>
      <c r="AB1193"/>
      <c r="AC1193"/>
    </row>
    <row r="1194" spans="21:29" ht="15">
      <c r="U1194" s="238" t="s">
        <v>9860</v>
      </c>
      <c r="V1194" t="str">
        <f t="shared" si="102"/>
        <v>20</v>
      </c>
      <c r="W1194" t="str">
        <f t="shared" si="103"/>
        <v>05</v>
      </c>
      <c r="X1194" t="str">
        <f t="shared" si="104"/>
        <v>22</v>
      </c>
      <c r="Y1194" t="str">
        <f t="shared" si="105"/>
        <v>2022</v>
      </c>
      <c r="Z1194"/>
      <c r="AA1194" s="2">
        <f t="shared" si="106"/>
        <v>44701</v>
      </c>
      <c r="AB1194"/>
      <c r="AC1194"/>
    </row>
    <row r="1195" spans="21:29" ht="15">
      <c r="U1195" s="238" t="s">
        <v>9861</v>
      </c>
      <c r="V1195" t="str">
        <f t="shared" si="102"/>
        <v>21</v>
      </c>
      <c r="W1195" t="str">
        <f t="shared" si="103"/>
        <v>05</v>
      </c>
      <c r="X1195" t="str">
        <f t="shared" si="104"/>
        <v>22</v>
      </c>
      <c r="Y1195" t="str">
        <f t="shared" si="105"/>
        <v>2022</v>
      </c>
      <c r="Z1195"/>
      <c r="AA1195" s="2">
        <f t="shared" si="106"/>
        <v>44702</v>
      </c>
      <c r="AB1195"/>
      <c r="AC1195"/>
    </row>
    <row r="1196" spans="21:29" ht="15">
      <c r="U1196" s="238" t="s">
        <v>9862</v>
      </c>
      <c r="V1196" t="str">
        <f t="shared" si="102"/>
        <v>22</v>
      </c>
      <c r="W1196" t="str">
        <f t="shared" si="103"/>
        <v>05</v>
      </c>
      <c r="X1196" t="str">
        <f t="shared" si="104"/>
        <v>22</v>
      </c>
      <c r="Y1196" t="str">
        <f t="shared" si="105"/>
        <v>2022</v>
      </c>
      <c r="Z1196"/>
      <c r="AA1196" s="2">
        <f t="shared" si="106"/>
        <v>44703</v>
      </c>
      <c r="AB1196"/>
      <c r="AC1196"/>
    </row>
    <row r="1197" spans="21:29" ht="15">
      <c r="U1197" s="238" t="s">
        <v>9863</v>
      </c>
      <c r="V1197" t="str">
        <f t="shared" si="102"/>
        <v>23</v>
      </c>
      <c r="W1197" t="str">
        <f t="shared" si="103"/>
        <v>05</v>
      </c>
      <c r="X1197" t="str">
        <f t="shared" si="104"/>
        <v>22</v>
      </c>
      <c r="Y1197" t="str">
        <f t="shared" si="105"/>
        <v>2022</v>
      </c>
      <c r="Z1197"/>
      <c r="AA1197" s="2">
        <f t="shared" si="106"/>
        <v>44704</v>
      </c>
      <c r="AB1197"/>
      <c r="AC1197"/>
    </row>
    <row r="1198" spans="21:29" ht="15">
      <c r="U1198" s="238" t="s">
        <v>9864</v>
      </c>
      <c r="V1198" t="str">
        <f t="shared" si="102"/>
        <v>24</v>
      </c>
      <c r="W1198" t="str">
        <f t="shared" si="103"/>
        <v>05</v>
      </c>
      <c r="X1198" t="str">
        <f t="shared" si="104"/>
        <v>22</v>
      </c>
      <c r="Y1198" t="str">
        <f t="shared" si="105"/>
        <v>2022</v>
      </c>
      <c r="Z1198"/>
      <c r="AA1198" s="2">
        <f t="shared" si="106"/>
        <v>44705</v>
      </c>
      <c r="AB1198"/>
      <c r="AC1198"/>
    </row>
    <row r="1199" spans="21:29" ht="15">
      <c r="U1199" s="238" t="s">
        <v>9864</v>
      </c>
      <c r="V1199" t="str">
        <f t="shared" si="102"/>
        <v>24</v>
      </c>
      <c r="W1199" t="str">
        <f t="shared" si="103"/>
        <v>05</v>
      </c>
      <c r="X1199" t="str">
        <f t="shared" si="104"/>
        <v>22</v>
      </c>
      <c r="Y1199" t="str">
        <f t="shared" si="105"/>
        <v>2022</v>
      </c>
      <c r="Z1199"/>
      <c r="AA1199" s="2">
        <f t="shared" si="106"/>
        <v>44705</v>
      </c>
      <c r="AB1199"/>
      <c r="AC1199"/>
    </row>
    <row r="1200" spans="21:29" ht="15">
      <c r="U1200" s="238" t="s">
        <v>9865</v>
      </c>
      <c r="V1200" t="str">
        <f t="shared" si="102"/>
        <v>25</v>
      </c>
      <c r="W1200" t="str">
        <f t="shared" si="103"/>
        <v>05</v>
      </c>
      <c r="X1200" t="str">
        <f t="shared" si="104"/>
        <v>22</v>
      </c>
      <c r="Y1200" t="str">
        <f t="shared" si="105"/>
        <v>2022</v>
      </c>
      <c r="Z1200"/>
      <c r="AA1200" s="2">
        <f t="shared" si="106"/>
        <v>44706</v>
      </c>
      <c r="AB1200"/>
      <c r="AC1200"/>
    </row>
    <row r="1201" spans="21:29" ht="15">
      <c r="U1201" s="238" t="s">
        <v>9866</v>
      </c>
      <c r="V1201" t="str">
        <f t="shared" si="102"/>
        <v>26</v>
      </c>
      <c r="W1201" t="str">
        <f t="shared" si="103"/>
        <v>05</v>
      </c>
      <c r="X1201" t="str">
        <f t="shared" si="104"/>
        <v>22</v>
      </c>
      <c r="Y1201" t="str">
        <f t="shared" si="105"/>
        <v>2022</v>
      </c>
      <c r="Z1201"/>
      <c r="AA1201" s="2">
        <f t="shared" si="106"/>
        <v>44707</v>
      </c>
      <c r="AB1201"/>
      <c r="AC1201"/>
    </row>
    <row r="1202" spans="21:29" ht="15">
      <c r="U1202" s="238" t="s">
        <v>9866</v>
      </c>
      <c r="V1202" t="str">
        <f t="shared" si="102"/>
        <v>26</v>
      </c>
      <c r="W1202" t="str">
        <f t="shared" si="103"/>
        <v>05</v>
      </c>
      <c r="X1202" t="str">
        <f t="shared" si="104"/>
        <v>22</v>
      </c>
      <c r="Y1202" t="str">
        <f t="shared" si="105"/>
        <v>2022</v>
      </c>
      <c r="Z1202"/>
      <c r="AA1202" s="2">
        <f t="shared" si="106"/>
        <v>44707</v>
      </c>
      <c r="AB1202"/>
      <c r="AC1202"/>
    </row>
    <row r="1203" spans="21:29" ht="15">
      <c r="U1203" s="238" t="s">
        <v>9866</v>
      </c>
      <c r="V1203" t="str">
        <f t="shared" si="102"/>
        <v>26</v>
      </c>
      <c r="W1203" t="str">
        <f t="shared" si="103"/>
        <v>05</v>
      </c>
      <c r="X1203" t="str">
        <f t="shared" si="104"/>
        <v>22</v>
      </c>
      <c r="Y1203" t="str">
        <f t="shared" si="105"/>
        <v>2022</v>
      </c>
      <c r="Z1203"/>
      <c r="AA1203" s="2">
        <f t="shared" si="106"/>
        <v>44707</v>
      </c>
      <c r="AB1203"/>
      <c r="AC1203"/>
    </row>
    <row r="1204" spans="21:29" ht="15">
      <c r="U1204" s="238" t="s">
        <v>9867</v>
      </c>
      <c r="V1204" t="str">
        <f t="shared" si="102"/>
        <v>28</v>
      </c>
      <c r="W1204" t="str">
        <f t="shared" si="103"/>
        <v>05</v>
      </c>
      <c r="X1204" t="str">
        <f t="shared" si="104"/>
        <v>22</v>
      </c>
      <c r="Y1204" t="str">
        <f t="shared" si="105"/>
        <v>2022</v>
      </c>
      <c r="Z1204"/>
      <c r="AA1204" s="2">
        <f t="shared" si="106"/>
        <v>44709</v>
      </c>
      <c r="AB1204"/>
      <c r="AC1204"/>
    </row>
    <row r="1205" spans="21:29" ht="15">
      <c r="U1205" s="238" t="s">
        <v>9867</v>
      </c>
      <c r="V1205" t="str">
        <f t="shared" si="102"/>
        <v>28</v>
      </c>
      <c r="W1205" t="str">
        <f t="shared" si="103"/>
        <v>05</v>
      </c>
      <c r="X1205" t="str">
        <f t="shared" si="104"/>
        <v>22</v>
      </c>
      <c r="Y1205" t="str">
        <f t="shared" si="105"/>
        <v>2022</v>
      </c>
      <c r="Z1205"/>
      <c r="AA1205" s="2">
        <f t="shared" si="106"/>
        <v>44709</v>
      </c>
      <c r="AB1205"/>
      <c r="AC1205"/>
    </row>
    <row r="1206" spans="21:29" ht="15">
      <c r="U1206" s="238" t="s">
        <v>9867</v>
      </c>
      <c r="V1206" t="str">
        <f t="shared" si="102"/>
        <v>28</v>
      </c>
      <c r="W1206" t="str">
        <f t="shared" si="103"/>
        <v>05</v>
      </c>
      <c r="X1206" t="str">
        <f t="shared" si="104"/>
        <v>22</v>
      </c>
      <c r="Y1206" t="str">
        <f t="shared" si="105"/>
        <v>2022</v>
      </c>
      <c r="Z1206"/>
      <c r="AA1206" s="2">
        <f t="shared" si="106"/>
        <v>44709</v>
      </c>
      <c r="AB1206"/>
      <c r="AC1206"/>
    </row>
    <row r="1207" spans="21:29" ht="15">
      <c r="U1207" s="238" t="s">
        <v>9867</v>
      </c>
      <c r="V1207" t="str">
        <f t="shared" si="102"/>
        <v>28</v>
      </c>
      <c r="W1207" t="str">
        <f t="shared" si="103"/>
        <v>05</v>
      </c>
      <c r="X1207" t="str">
        <f t="shared" si="104"/>
        <v>22</v>
      </c>
      <c r="Y1207" t="str">
        <f t="shared" si="105"/>
        <v>2022</v>
      </c>
      <c r="Z1207"/>
      <c r="AA1207" s="2">
        <f t="shared" si="106"/>
        <v>44709</v>
      </c>
      <c r="AB1207"/>
      <c r="AC1207"/>
    </row>
    <row r="1208" spans="21:29" ht="15">
      <c r="U1208" s="238" t="s">
        <v>9867</v>
      </c>
      <c r="V1208" t="str">
        <f t="shared" si="102"/>
        <v>28</v>
      </c>
      <c r="W1208" t="str">
        <f t="shared" si="103"/>
        <v>05</v>
      </c>
      <c r="X1208" t="str">
        <f t="shared" si="104"/>
        <v>22</v>
      </c>
      <c r="Y1208" t="str">
        <f t="shared" si="105"/>
        <v>2022</v>
      </c>
      <c r="Z1208"/>
      <c r="AA1208" s="2">
        <f t="shared" si="106"/>
        <v>44709</v>
      </c>
      <c r="AB1208"/>
      <c r="AC1208"/>
    </row>
    <row r="1209" spans="21:29" ht="15">
      <c r="U1209" s="238" t="s">
        <v>9867</v>
      </c>
      <c r="V1209" t="str">
        <f t="shared" si="102"/>
        <v>28</v>
      </c>
      <c r="W1209" t="str">
        <f t="shared" si="103"/>
        <v>05</v>
      </c>
      <c r="X1209" t="str">
        <f t="shared" si="104"/>
        <v>22</v>
      </c>
      <c r="Y1209" t="str">
        <f t="shared" si="105"/>
        <v>2022</v>
      </c>
      <c r="Z1209"/>
      <c r="AA1209" s="2">
        <f t="shared" si="106"/>
        <v>44709</v>
      </c>
      <c r="AB1209"/>
      <c r="AC1209"/>
    </row>
    <row r="1210" spans="21:29" ht="15">
      <c r="U1210" s="238" t="s">
        <v>9867</v>
      </c>
      <c r="V1210" t="str">
        <f t="shared" si="102"/>
        <v>28</v>
      </c>
      <c r="W1210" t="str">
        <f t="shared" si="103"/>
        <v>05</v>
      </c>
      <c r="X1210" t="str">
        <f t="shared" si="104"/>
        <v>22</v>
      </c>
      <c r="Y1210" t="str">
        <f t="shared" si="105"/>
        <v>2022</v>
      </c>
      <c r="Z1210"/>
      <c r="AA1210" s="2">
        <f t="shared" si="106"/>
        <v>44709</v>
      </c>
      <c r="AB1210"/>
      <c r="AC1210"/>
    </row>
    <row r="1211" spans="21:29" ht="15">
      <c r="U1211" s="238" t="s">
        <v>9868</v>
      </c>
      <c r="V1211" t="str">
        <f t="shared" si="102"/>
        <v>29</v>
      </c>
      <c r="W1211" t="str">
        <f t="shared" si="103"/>
        <v>05</v>
      </c>
      <c r="X1211" t="str">
        <f t="shared" si="104"/>
        <v>22</v>
      </c>
      <c r="Y1211" t="str">
        <f t="shared" si="105"/>
        <v>2022</v>
      </c>
      <c r="Z1211"/>
      <c r="AA1211" s="2">
        <f t="shared" si="106"/>
        <v>44710</v>
      </c>
      <c r="AB1211"/>
      <c r="AC1211"/>
    </row>
    <row r="1212" spans="21:29" ht="15">
      <c r="U1212" s="238" t="s">
        <v>9869</v>
      </c>
      <c r="V1212" t="str">
        <f t="shared" si="102"/>
        <v>30</v>
      </c>
      <c r="W1212" t="str">
        <f t="shared" si="103"/>
        <v>05</v>
      </c>
      <c r="X1212" t="str">
        <f t="shared" si="104"/>
        <v>22</v>
      </c>
      <c r="Y1212" t="str">
        <f t="shared" si="105"/>
        <v>2022</v>
      </c>
      <c r="Z1212"/>
      <c r="AA1212" s="2">
        <f t="shared" si="106"/>
        <v>44711</v>
      </c>
      <c r="AB1212"/>
      <c r="AC1212"/>
    </row>
    <row r="1213" spans="21:29" ht="15">
      <c r="U1213" s="238" t="s">
        <v>9869</v>
      </c>
      <c r="V1213" t="str">
        <f t="shared" si="102"/>
        <v>30</v>
      </c>
      <c r="W1213" t="str">
        <f t="shared" si="103"/>
        <v>05</v>
      </c>
      <c r="X1213" t="str">
        <f t="shared" si="104"/>
        <v>22</v>
      </c>
      <c r="Y1213" t="str">
        <f t="shared" si="105"/>
        <v>2022</v>
      </c>
      <c r="Z1213"/>
      <c r="AA1213" s="2">
        <f t="shared" si="106"/>
        <v>44711</v>
      </c>
      <c r="AB1213"/>
      <c r="AC1213"/>
    </row>
    <row r="1214" spans="21:29" ht="15">
      <c r="U1214" s="238" t="s">
        <v>9869</v>
      </c>
      <c r="V1214" t="str">
        <f t="shared" si="102"/>
        <v>30</v>
      </c>
      <c r="W1214" t="str">
        <f t="shared" si="103"/>
        <v>05</v>
      </c>
      <c r="X1214" t="str">
        <f t="shared" si="104"/>
        <v>22</v>
      </c>
      <c r="Y1214" t="str">
        <f t="shared" si="105"/>
        <v>2022</v>
      </c>
      <c r="Z1214"/>
      <c r="AA1214" s="2">
        <f t="shared" si="106"/>
        <v>44711</v>
      </c>
      <c r="AB1214"/>
      <c r="AC1214"/>
    </row>
    <row r="1215" spans="21:29" ht="15">
      <c r="U1215" s="238" t="s">
        <v>9870</v>
      </c>
      <c r="V1215" t="str">
        <f t="shared" si="102"/>
        <v>01</v>
      </c>
      <c r="W1215" t="str">
        <f t="shared" si="103"/>
        <v>06</v>
      </c>
      <c r="X1215" t="str">
        <f t="shared" si="104"/>
        <v>22</v>
      </c>
      <c r="Y1215" t="str">
        <f t="shared" si="105"/>
        <v>2022</v>
      </c>
      <c r="Z1215"/>
      <c r="AA1215" s="2">
        <f t="shared" si="106"/>
        <v>44713</v>
      </c>
      <c r="AB1215"/>
      <c r="AC1215"/>
    </row>
    <row r="1216" spans="21:29" ht="15">
      <c r="U1216" s="238" t="s">
        <v>9870</v>
      </c>
      <c r="V1216" t="str">
        <f t="shared" si="102"/>
        <v>01</v>
      </c>
      <c r="W1216" t="str">
        <f t="shared" si="103"/>
        <v>06</v>
      </c>
      <c r="X1216" t="str">
        <f t="shared" si="104"/>
        <v>22</v>
      </c>
      <c r="Y1216" t="str">
        <f t="shared" si="105"/>
        <v>2022</v>
      </c>
      <c r="Z1216"/>
      <c r="AA1216" s="2">
        <f t="shared" si="106"/>
        <v>44713</v>
      </c>
      <c r="AB1216"/>
      <c r="AC1216"/>
    </row>
    <row r="1217" spans="21:29" ht="15">
      <c r="U1217" s="238" t="s">
        <v>9870</v>
      </c>
      <c r="V1217" t="str">
        <f t="shared" si="102"/>
        <v>01</v>
      </c>
      <c r="W1217" t="str">
        <f t="shared" si="103"/>
        <v>06</v>
      </c>
      <c r="X1217" t="str">
        <f t="shared" si="104"/>
        <v>22</v>
      </c>
      <c r="Y1217" t="str">
        <f t="shared" si="105"/>
        <v>2022</v>
      </c>
      <c r="Z1217"/>
      <c r="AA1217" s="2">
        <f t="shared" si="106"/>
        <v>44713</v>
      </c>
      <c r="AB1217"/>
      <c r="AC1217"/>
    </row>
    <row r="1218" spans="21:29" ht="15">
      <c r="U1218" s="238" t="s">
        <v>9870</v>
      </c>
      <c r="V1218" t="str">
        <f t="shared" si="102"/>
        <v>01</v>
      </c>
      <c r="W1218" t="str">
        <f t="shared" si="103"/>
        <v>06</v>
      </c>
      <c r="X1218" t="str">
        <f t="shared" si="104"/>
        <v>22</v>
      </c>
      <c r="Y1218" t="str">
        <f t="shared" si="105"/>
        <v>2022</v>
      </c>
      <c r="Z1218"/>
      <c r="AA1218" s="2">
        <f t="shared" si="106"/>
        <v>44713</v>
      </c>
      <c r="AB1218"/>
      <c r="AC1218"/>
    </row>
    <row r="1219" spans="21:29" ht="15">
      <c r="U1219" s="238" t="s">
        <v>9870</v>
      </c>
      <c r="V1219" t="str">
        <f t="shared" ref="V1219:V1282" si="107">LEFT(U1219,2)</f>
        <v>01</v>
      </c>
      <c r="W1219" t="str">
        <f t="shared" ref="W1219:W1282" si="108">MID(U1219,4,2)</f>
        <v>06</v>
      </c>
      <c r="X1219" t="str">
        <f t="shared" ref="X1219:X1282" si="109">RIGHT(U1219,2)</f>
        <v>22</v>
      </c>
      <c r="Y1219" t="str">
        <f t="shared" ref="Y1219:Y1282" si="110">"20" &amp; X1219</f>
        <v>2022</v>
      </c>
      <c r="Z1219"/>
      <c r="AA1219" s="2">
        <f t="shared" si="106"/>
        <v>44713</v>
      </c>
      <c r="AB1219"/>
      <c r="AC1219"/>
    </row>
    <row r="1220" spans="21:29" ht="15">
      <c r="U1220" s="238" t="s">
        <v>9870</v>
      </c>
      <c r="V1220" t="str">
        <f t="shared" si="107"/>
        <v>01</v>
      </c>
      <c r="W1220" t="str">
        <f t="shared" si="108"/>
        <v>06</v>
      </c>
      <c r="X1220" t="str">
        <f t="shared" si="109"/>
        <v>22</v>
      </c>
      <c r="Y1220" t="str">
        <f t="shared" si="110"/>
        <v>2022</v>
      </c>
      <c r="Z1220"/>
      <c r="AA1220" s="2">
        <f t="shared" ref="AA1220:AA1283" si="111">DATE(Y1220,W1220,V1220)</f>
        <v>44713</v>
      </c>
      <c r="AB1220"/>
      <c r="AC1220"/>
    </row>
    <row r="1221" spans="21:29" ht="15">
      <c r="U1221" s="238" t="s">
        <v>9871</v>
      </c>
      <c r="V1221" t="str">
        <f t="shared" si="107"/>
        <v>02</v>
      </c>
      <c r="W1221" t="str">
        <f t="shared" si="108"/>
        <v>06</v>
      </c>
      <c r="X1221" t="str">
        <f t="shared" si="109"/>
        <v>22</v>
      </c>
      <c r="Y1221" t="str">
        <f t="shared" si="110"/>
        <v>2022</v>
      </c>
      <c r="Z1221"/>
      <c r="AA1221" s="2">
        <f t="shared" si="111"/>
        <v>44714</v>
      </c>
      <c r="AB1221"/>
      <c r="AC1221"/>
    </row>
    <row r="1222" spans="21:29" ht="15">
      <c r="U1222" s="238" t="s">
        <v>9871</v>
      </c>
      <c r="V1222" t="str">
        <f t="shared" si="107"/>
        <v>02</v>
      </c>
      <c r="W1222" t="str">
        <f t="shared" si="108"/>
        <v>06</v>
      </c>
      <c r="X1222" t="str">
        <f t="shared" si="109"/>
        <v>22</v>
      </c>
      <c r="Y1222" t="str">
        <f t="shared" si="110"/>
        <v>2022</v>
      </c>
      <c r="Z1222"/>
      <c r="AA1222" s="2">
        <f t="shared" si="111"/>
        <v>44714</v>
      </c>
      <c r="AB1222"/>
      <c r="AC1222"/>
    </row>
    <row r="1223" spans="21:29" ht="15">
      <c r="U1223" s="238" t="s">
        <v>9871</v>
      </c>
      <c r="V1223" t="str">
        <f t="shared" si="107"/>
        <v>02</v>
      </c>
      <c r="W1223" t="str">
        <f t="shared" si="108"/>
        <v>06</v>
      </c>
      <c r="X1223" t="str">
        <f t="shared" si="109"/>
        <v>22</v>
      </c>
      <c r="Y1223" t="str">
        <f t="shared" si="110"/>
        <v>2022</v>
      </c>
      <c r="Z1223"/>
      <c r="AA1223" s="2">
        <f t="shared" si="111"/>
        <v>44714</v>
      </c>
      <c r="AB1223"/>
      <c r="AC1223"/>
    </row>
    <row r="1224" spans="21:29" ht="15">
      <c r="U1224" s="238" t="s">
        <v>9872</v>
      </c>
      <c r="V1224" t="str">
        <f t="shared" si="107"/>
        <v>04</v>
      </c>
      <c r="W1224" t="str">
        <f t="shared" si="108"/>
        <v>06</v>
      </c>
      <c r="X1224" t="str">
        <f t="shared" si="109"/>
        <v>22</v>
      </c>
      <c r="Y1224" t="str">
        <f t="shared" si="110"/>
        <v>2022</v>
      </c>
      <c r="Z1224"/>
      <c r="AA1224" s="2">
        <f t="shared" si="111"/>
        <v>44716</v>
      </c>
      <c r="AB1224"/>
      <c r="AC1224"/>
    </row>
    <row r="1225" spans="21:29" ht="15">
      <c r="U1225" s="238" t="s">
        <v>9872</v>
      </c>
      <c r="V1225" t="str">
        <f t="shared" si="107"/>
        <v>04</v>
      </c>
      <c r="W1225" t="str">
        <f t="shared" si="108"/>
        <v>06</v>
      </c>
      <c r="X1225" t="str">
        <f t="shared" si="109"/>
        <v>22</v>
      </c>
      <c r="Y1225" t="str">
        <f t="shared" si="110"/>
        <v>2022</v>
      </c>
      <c r="Z1225"/>
      <c r="AA1225" s="2">
        <f t="shared" si="111"/>
        <v>44716</v>
      </c>
      <c r="AB1225"/>
      <c r="AC1225"/>
    </row>
    <row r="1226" spans="21:29" ht="15">
      <c r="U1226" s="238" t="s">
        <v>9873</v>
      </c>
      <c r="V1226" t="str">
        <f t="shared" si="107"/>
        <v>05</v>
      </c>
      <c r="W1226" t="str">
        <f t="shared" si="108"/>
        <v>06</v>
      </c>
      <c r="X1226" t="str">
        <f t="shared" si="109"/>
        <v>22</v>
      </c>
      <c r="Y1226" t="str">
        <f t="shared" si="110"/>
        <v>2022</v>
      </c>
      <c r="Z1226"/>
      <c r="AA1226" s="2">
        <f t="shared" si="111"/>
        <v>44717</v>
      </c>
      <c r="AB1226"/>
      <c r="AC1226"/>
    </row>
    <row r="1227" spans="21:29" ht="15">
      <c r="U1227" s="238" t="s">
        <v>9873</v>
      </c>
      <c r="V1227" t="str">
        <f t="shared" si="107"/>
        <v>05</v>
      </c>
      <c r="W1227" t="str">
        <f t="shared" si="108"/>
        <v>06</v>
      </c>
      <c r="X1227" t="str">
        <f t="shared" si="109"/>
        <v>22</v>
      </c>
      <c r="Y1227" t="str">
        <f t="shared" si="110"/>
        <v>2022</v>
      </c>
      <c r="Z1227"/>
      <c r="AA1227" s="2">
        <f t="shared" si="111"/>
        <v>44717</v>
      </c>
      <c r="AB1227"/>
      <c r="AC1227"/>
    </row>
    <row r="1228" spans="21:29" ht="15">
      <c r="U1228" s="238" t="s">
        <v>9873</v>
      </c>
      <c r="V1228" t="str">
        <f t="shared" si="107"/>
        <v>05</v>
      </c>
      <c r="W1228" t="str">
        <f t="shared" si="108"/>
        <v>06</v>
      </c>
      <c r="X1228" t="str">
        <f t="shared" si="109"/>
        <v>22</v>
      </c>
      <c r="Y1228" t="str">
        <f t="shared" si="110"/>
        <v>2022</v>
      </c>
      <c r="Z1228"/>
      <c r="AA1228" s="2">
        <f t="shared" si="111"/>
        <v>44717</v>
      </c>
      <c r="AB1228"/>
      <c r="AC1228"/>
    </row>
    <row r="1229" spans="21:29" ht="15">
      <c r="U1229" s="238" t="s">
        <v>9874</v>
      </c>
      <c r="V1229" t="str">
        <f t="shared" si="107"/>
        <v>06</v>
      </c>
      <c r="W1229" t="str">
        <f t="shared" si="108"/>
        <v>06</v>
      </c>
      <c r="X1229" t="str">
        <f t="shared" si="109"/>
        <v>22</v>
      </c>
      <c r="Y1229" t="str">
        <f t="shared" si="110"/>
        <v>2022</v>
      </c>
      <c r="Z1229"/>
      <c r="AA1229" s="2">
        <f t="shared" si="111"/>
        <v>44718</v>
      </c>
      <c r="AB1229"/>
      <c r="AC1229"/>
    </row>
    <row r="1230" spans="21:29" ht="15">
      <c r="U1230" s="238" t="s">
        <v>9874</v>
      </c>
      <c r="V1230" t="str">
        <f t="shared" si="107"/>
        <v>06</v>
      </c>
      <c r="W1230" t="str">
        <f t="shared" si="108"/>
        <v>06</v>
      </c>
      <c r="X1230" t="str">
        <f t="shared" si="109"/>
        <v>22</v>
      </c>
      <c r="Y1230" t="str">
        <f t="shared" si="110"/>
        <v>2022</v>
      </c>
      <c r="Z1230"/>
      <c r="AA1230" s="2">
        <f t="shared" si="111"/>
        <v>44718</v>
      </c>
      <c r="AB1230"/>
      <c r="AC1230"/>
    </row>
    <row r="1231" spans="21:29" ht="15">
      <c r="U1231" s="238" t="s">
        <v>9875</v>
      </c>
      <c r="V1231" t="str">
        <f t="shared" si="107"/>
        <v>07</v>
      </c>
      <c r="W1231" t="str">
        <f t="shared" si="108"/>
        <v>06</v>
      </c>
      <c r="X1231" t="str">
        <f t="shared" si="109"/>
        <v>22</v>
      </c>
      <c r="Y1231" t="str">
        <f t="shared" si="110"/>
        <v>2022</v>
      </c>
      <c r="Z1231"/>
      <c r="AA1231" s="2">
        <f t="shared" si="111"/>
        <v>44719</v>
      </c>
      <c r="AB1231"/>
      <c r="AC1231"/>
    </row>
    <row r="1232" spans="21:29" ht="15">
      <c r="U1232" s="238" t="s">
        <v>9876</v>
      </c>
      <c r="V1232" t="str">
        <f t="shared" si="107"/>
        <v>10</v>
      </c>
      <c r="W1232" t="str">
        <f t="shared" si="108"/>
        <v>06</v>
      </c>
      <c r="X1232" t="str">
        <f t="shared" si="109"/>
        <v>22</v>
      </c>
      <c r="Y1232" t="str">
        <f t="shared" si="110"/>
        <v>2022</v>
      </c>
      <c r="Z1232"/>
      <c r="AA1232" s="2">
        <f t="shared" si="111"/>
        <v>44722</v>
      </c>
      <c r="AB1232"/>
      <c r="AC1232"/>
    </row>
    <row r="1233" spans="21:29" ht="15">
      <c r="U1233" s="238" t="s">
        <v>9877</v>
      </c>
      <c r="V1233" t="str">
        <f t="shared" si="107"/>
        <v>11</v>
      </c>
      <c r="W1233" t="str">
        <f t="shared" si="108"/>
        <v>06</v>
      </c>
      <c r="X1233" t="str">
        <f t="shared" si="109"/>
        <v>22</v>
      </c>
      <c r="Y1233" t="str">
        <f t="shared" si="110"/>
        <v>2022</v>
      </c>
      <c r="Z1233"/>
      <c r="AA1233" s="2">
        <f t="shared" si="111"/>
        <v>44723</v>
      </c>
      <c r="AB1233"/>
      <c r="AC1233"/>
    </row>
    <row r="1234" spans="21:29" ht="15">
      <c r="U1234" s="238" t="s">
        <v>9877</v>
      </c>
      <c r="V1234" t="str">
        <f t="shared" si="107"/>
        <v>11</v>
      </c>
      <c r="W1234" t="str">
        <f t="shared" si="108"/>
        <v>06</v>
      </c>
      <c r="X1234" t="str">
        <f t="shared" si="109"/>
        <v>22</v>
      </c>
      <c r="Y1234" t="str">
        <f t="shared" si="110"/>
        <v>2022</v>
      </c>
      <c r="Z1234"/>
      <c r="AA1234" s="2">
        <f t="shared" si="111"/>
        <v>44723</v>
      </c>
      <c r="AB1234"/>
      <c r="AC1234"/>
    </row>
    <row r="1235" spans="21:29" ht="15">
      <c r="U1235" s="238" t="s">
        <v>9877</v>
      </c>
      <c r="V1235" t="str">
        <f t="shared" si="107"/>
        <v>11</v>
      </c>
      <c r="W1235" t="str">
        <f t="shared" si="108"/>
        <v>06</v>
      </c>
      <c r="X1235" t="str">
        <f t="shared" si="109"/>
        <v>22</v>
      </c>
      <c r="Y1235" t="str">
        <f t="shared" si="110"/>
        <v>2022</v>
      </c>
      <c r="Z1235"/>
      <c r="AA1235" s="2">
        <f t="shared" si="111"/>
        <v>44723</v>
      </c>
      <c r="AB1235"/>
      <c r="AC1235"/>
    </row>
    <row r="1236" spans="21:29" ht="15">
      <c r="U1236" s="238" t="s">
        <v>9878</v>
      </c>
      <c r="V1236" t="str">
        <f t="shared" si="107"/>
        <v>12</v>
      </c>
      <c r="W1236" t="str">
        <f t="shared" si="108"/>
        <v>06</v>
      </c>
      <c r="X1236" t="str">
        <f t="shared" si="109"/>
        <v>22</v>
      </c>
      <c r="Y1236" t="str">
        <f t="shared" si="110"/>
        <v>2022</v>
      </c>
      <c r="Z1236"/>
      <c r="AA1236" s="2">
        <f t="shared" si="111"/>
        <v>44724</v>
      </c>
      <c r="AB1236"/>
      <c r="AC1236"/>
    </row>
    <row r="1237" spans="21:29" ht="15">
      <c r="U1237" s="238" t="s">
        <v>9878</v>
      </c>
      <c r="V1237" t="str">
        <f t="shared" si="107"/>
        <v>12</v>
      </c>
      <c r="W1237" t="str">
        <f t="shared" si="108"/>
        <v>06</v>
      </c>
      <c r="X1237" t="str">
        <f t="shared" si="109"/>
        <v>22</v>
      </c>
      <c r="Y1237" t="str">
        <f t="shared" si="110"/>
        <v>2022</v>
      </c>
      <c r="Z1237"/>
      <c r="AA1237" s="2">
        <f t="shared" si="111"/>
        <v>44724</v>
      </c>
      <c r="AB1237"/>
      <c r="AC1237"/>
    </row>
    <row r="1238" spans="21:29" ht="15">
      <c r="U1238" s="238" t="s">
        <v>9879</v>
      </c>
      <c r="V1238" t="str">
        <f t="shared" si="107"/>
        <v>13</v>
      </c>
      <c r="W1238" t="str">
        <f t="shared" si="108"/>
        <v>06</v>
      </c>
      <c r="X1238" t="str">
        <f t="shared" si="109"/>
        <v>22</v>
      </c>
      <c r="Y1238" t="str">
        <f t="shared" si="110"/>
        <v>2022</v>
      </c>
      <c r="Z1238"/>
      <c r="AA1238" s="2">
        <f t="shared" si="111"/>
        <v>44725</v>
      </c>
      <c r="AB1238"/>
      <c r="AC1238"/>
    </row>
    <row r="1239" spans="21:29" ht="15">
      <c r="U1239" s="238" t="s">
        <v>9879</v>
      </c>
      <c r="V1239" t="str">
        <f t="shared" si="107"/>
        <v>13</v>
      </c>
      <c r="W1239" t="str">
        <f t="shared" si="108"/>
        <v>06</v>
      </c>
      <c r="X1239" t="str">
        <f t="shared" si="109"/>
        <v>22</v>
      </c>
      <c r="Y1239" t="str">
        <f t="shared" si="110"/>
        <v>2022</v>
      </c>
      <c r="Z1239"/>
      <c r="AA1239" s="2">
        <f t="shared" si="111"/>
        <v>44725</v>
      </c>
      <c r="AB1239"/>
      <c r="AC1239"/>
    </row>
    <row r="1240" spans="21:29" ht="15">
      <c r="U1240" s="238" t="s">
        <v>9880</v>
      </c>
      <c r="V1240" t="str">
        <f t="shared" si="107"/>
        <v>14</v>
      </c>
      <c r="W1240" t="str">
        <f t="shared" si="108"/>
        <v>06</v>
      </c>
      <c r="X1240" t="str">
        <f t="shared" si="109"/>
        <v>22</v>
      </c>
      <c r="Y1240" t="str">
        <f t="shared" si="110"/>
        <v>2022</v>
      </c>
      <c r="Z1240"/>
      <c r="AA1240" s="2">
        <f t="shared" si="111"/>
        <v>44726</v>
      </c>
      <c r="AB1240"/>
      <c r="AC1240"/>
    </row>
    <row r="1241" spans="21:29" ht="15">
      <c r="U1241" s="238" t="s">
        <v>9880</v>
      </c>
      <c r="V1241" t="str">
        <f t="shared" si="107"/>
        <v>14</v>
      </c>
      <c r="W1241" t="str">
        <f t="shared" si="108"/>
        <v>06</v>
      </c>
      <c r="X1241" t="str">
        <f t="shared" si="109"/>
        <v>22</v>
      </c>
      <c r="Y1241" t="str">
        <f t="shared" si="110"/>
        <v>2022</v>
      </c>
      <c r="Z1241"/>
      <c r="AA1241" s="2">
        <f t="shared" si="111"/>
        <v>44726</v>
      </c>
      <c r="AB1241"/>
      <c r="AC1241"/>
    </row>
    <row r="1242" spans="21:29" ht="15">
      <c r="U1242" s="238" t="s">
        <v>9881</v>
      </c>
      <c r="V1242" t="str">
        <f t="shared" si="107"/>
        <v>15</v>
      </c>
      <c r="W1242" t="str">
        <f t="shared" si="108"/>
        <v>06</v>
      </c>
      <c r="X1242" t="str">
        <f t="shared" si="109"/>
        <v>22</v>
      </c>
      <c r="Y1242" t="str">
        <f t="shared" si="110"/>
        <v>2022</v>
      </c>
      <c r="Z1242"/>
      <c r="AA1242" s="2">
        <f t="shared" si="111"/>
        <v>44727</v>
      </c>
      <c r="AB1242"/>
      <c r="AC1242"/>
    </row>
    <row r="1243" spans="21:29" ht="15">
      <c r="U1243" s="238" t="s">
        <v>9882</v>
      </c>
      <c r="V1243" t="str">
        <f t="shared" si="107"/>
        <v>16</v>
      </c>
      <c r="W1243" t="str">
        <f t="shared" si="108"/>
        <v>06</v>
      </c>
      <c r="X1243" t="str">
        <f t="shared" si="109"/>
        <v>22</v>
      </c>
      <c r="Y1243" t="str">
        <f t="shared" si="110"/>
        <v>2022</v>
      </c>
      <c r="Z1243"/>
      <c r="AA1243" s="2">
        <f t="shared" si="111"/>
        <v>44728</v>
      </c>
      <c r="AB1243"/>
      <c r="AC1243"/>
    </row>
    <row r="1244" spans="21:29" ht="15">
      <c r="U1244" s="238" t="s">
        <v>9883</v>
      </c>
      <c r="V1244" t="str">
        <f t="shared" si="107"/>
        <v>17</v>
      </c>
      <c r="W1244" t="str">
        <f t="shared" si="108"/>
        <v>06</v>
      </c>
      <c r="X1244" t="str">
        <f t="shared" si="109"/>
        <v>22</v>
      </c>
      <c r="Y1244" t="str">
        <f t="shared" si="110"/>
        <v>2022</v>
      </c>
      <c r="Z1244"/>
      <c r="AA1244" s="2">
        <f t="shared" si="111"/>
        <v>44729</v>
      </c>
      <c r="AB1244"/>
      <c r="AC1244"/>
    </row>
    <row r="1245" spans="21:29" ht="15">
      <c r="U1245" s="238" t="s">
        <v>9884</v>
      </c>
      <c r="V1245" t="str">
        <f t="shared" si="107"/>
        <v>18</v>
      </c>
      <c r="W1245" t="str">
        <f t="shared" si="108"/>
        <v>06</v>
      </c>
      <c r="X1245" t="str">
        <f t="shared" si="109"/>
        <v>22</v>
      </c>
      <c r="Y1245" t="str">
        <f t="shared" si="110"/>
        <v>2022</v>
      </c>
      <c r="Z1245"/>
      <c r="AA1245" s="2">
        <f t="shared" si="111"/>
        <v>44730</v>
      </c>
      <c r="AB1245"/>
      <c r="AC1245"/>
    </row>
    <row r="1246" spans="21:29" ht="15">
      <c r="U1246" s="238" t="s">
        <v>9885</v>
      </c>
      <c r="V1246" t="str">
        <f t="shared" si="107"/>
        <v>19</v>
      </c>
      <c r="W1246" t="str">
        <f t="shared" si="108"/>
        <v>06</v>
      </c>
      <c r="X1246" t="str">
        <f t="shared" si="109"/>
        <v>22</v>
      </c>
      <c r="Y1246" t="str">
        <f t="shared" si="110"/>
        <v>2022</v>
      </c>
      <c r="Z1246"/>
      <c r="AA1246" s="2">
        <f t="shared" si="111"/>
        <v>44731</v>
      </c>
      <c r="AB1246"/>
      <c r="AC1246"/>
    </row>
    <row r="1247" spans="21:29" ht="15">
      <c r="U1247" s="238" t="s">
        <v>9885</v>
      </c>
      <c r="V1247" t="str">
        <f t="shared" si="107"/>
        <v>19</v>
      </c>
      <c r="W1247" t="str">
        <f t="shared" si="108"/>
        <v>06</v>
      </c>
      <c r="X1247" t="str">
        <f t="shared" si="109"/>
        <v>22</v>
      </c>
      <c r="Y1247" t="str">
        <f t="shared" si="110"/>
        <v>2022</v>
      </c>
      <c r="Z1247"/>
      <c r="AA1247" s="2">
        <f t="shared" si="111"/>
        <v>44731</v>
      </c>
      <c r="AB1247"/>
      <c r="AC1247"/>
    </row>
    <row r="1248" spans="21:29" ht="15">
      <c r="U1248" s="238" t="s">
        <v>9886</v>
      </c>
      <c r="V1248" t="str">
        <f t="shared" si="107"/>
        <v>21</v>
      </c>
      <c r="W1248" t="str">
        <f t="shared" si="108"/>
        <v>06</v>
      </c>
      <c r="X1248" t="str">
        <f t="shared" si="109"/>
        <v>22</v>
      </c>
      <c r="Y1248" t="str">
        <f t="shared" si="110"/>
        <v>2022</v>
      </c>
      <c r="Z1248"/>
      <c r="AA1248" s="2">
        <f t="shared" si="111"/>
        <v>44733</v>
      </c>
      <c r="AB1248"/>
      <c r="AC1248"/>
    </row>
    <row r="1249" spans="21:29" ht="15">
      <c r="U1249" s="238" t="s">
        <v>9886</v>
      </c>
      <c r="V1249" t="str">
        <f t="shared" si="107"/>
        <v>21</v>
      </c>
      <c r="W1249" t="str">
        <f t="shared" si="108"/>
        <v>06</v>
      </c>
      <c r="X1249" t="str">
        <f t="shared" si="109"/>
        <v>22</v>
      </c>
      <c r="Y1249" t="str">
        <f t="shared" si="110"/>
        <v>2022</v>
      </c>
      <c r="Z1249"/>
      <c r="AA1249" s="2">
        <f t="shared" si="111"/>
        <v>44733</v>
      </c>
      <c r="AB1249"/>
      <c r="AC1249"/>
    </row>
    <row r="1250" spans="21:29" ht="15">
      <c r="U1250" s="238" t="s">
        <v>9887</v>
      </c>
      <c r="V1250" t="str">
        <f t="shared" si="107"/>
        <v>22</v>
      </c>
      <c r="W1250" t="str">
        <f t="shared" si="108"/>
        <v>06</v>
      </c>
      <c r="X1250" t="str">
        <f t="shared" si="109"/>
        <v>22</v>
      </c>
      <c r="Y1250" t="str">
        <f t="shared" si="110"/>
        <v>2022</v>
      </c>
      <c r="Z1250"/>
      <c r="AA1250" s="2">
        <f t="shared" si="111"/>
        <v>44734</v>
      </c>
      <c r="AB1250"/>
      <c r="AC1250"/>
    </row>
    <row r="1251" spans="21:29" ht="15">
      <c r="U1251" s="238" t="s">
        <v>9887</v>
      </c>
      <c r="V1251" t="str">
        <f t="shared" si="107"/>
        <v>22</v>
      </c>
      <c r="W1251" t="str">
        <f t="shared" si="108"/>
        <v>06</v>
      </c>
      <c r="X1251" t="str">
        <f t="shared" si="109"/>
        <v>22</v>
      </c>
      <c r="Y1251" t="str">
        <f t="shared" si="110"/>
        <v>2022</v>
      </c>
      <c r="Z1251"/>
      <c r="AA1251" s="2">
        <f t="shared" si="111"/>
        <v>44734</v>
      </c>
      <c r="AB1251"/>
      <c r="AC1251"/>
    </row>
    <row r="1252" spans="21:29" ht="15">
      <c r="U1252" s="238" t="s">
        <v>9888</v>
      </c>
      <c r="V1252" t="str">
        <f t="shared" si="107"/>
        <v>23</v>
      </c>
      <c r="W1252" t="str">
        <f t="shared" si="108"/>
        <v>06</v>
      </c>
      <c r="X1252" t="str">
        <f t="shared" si="109"/>
        <v>22</v>
      </c>
      <c r="Y1252" t="str">
        <f t="shared" si="110"/>
        <v>2022</v>
      </c>
      <c r="Z1252"/>
      <c r="AA1252" s="2">
        <f t="shared" si="111"/>
        <v>44735</v>
      </c>
      <c r="AB1252"/>
      <c r="AC1252"/>
    </row>
    <row r="1253" spans="21:29" ht="15">
      <c r="U1253" s="238" t="s">
        <v>9888</v>
      </c>
      <c r="V1253" t="str">
        <f t="shared" si="107"/>
        <v>23</v>
      </c>
      <c r="W1253" t="str">
        <f t="shared" si="108"/>
        <v>06</v>
      </c>
      <c r="X1253" t="str">
        <f t="shared" si="109"/>
        <v>22</v>
      </c>
      <c r="Y1253" t="str">
        <f t="shared" si="110"/>
        <v>2022</v>
      </c>
      <c r="Z1253"/>
      <c r="AA1253" s="2">
        <f t="shared" si="111"/>
        <v>44735</v>
      </c>
      <c r="AB1253"/>
      <c r="AC1253"/>
    </row>
    <row r="1254" spans="21:29" ht="15">
      <c r="U1254" s="238" t="s">
        <v>9889</v>
      </c>
      <c r="V1254" t="str">
        <f t="shared" si="107"/>
        <v>25</v>
      </c>
      <c r="W1254" t="str">
        <f t="shared" si="108"/>
        <v>06</v>
      </c>
      <c r="X1254" t="str">
        <f t="shared" si="109"/>
        <v>22</v>
      </c>
      <c r="Y1254" t="str">
        <f t="shared" si="110"/>
        <v>2022</v>
      </c>
      <c r="Z1254"/>
      <c r="AA1254" s="2">
        <f t="shared" si="111"/>
        <v>44737</v>
      </c>
      <c r="AB1254"/>
      <c r="AC1254"/>
    </row>
    <row r="1255" spans="21:29" ht="15">
      <c r="U1255" s="238" t="s">
        <v>9889</v>
      </c>
      <c r="V1255" t="str">
        <f t="shared" si="107"/>
        <v>25</v>
      </c>
      <c r="W1255" t="str">
        <f t="shared" si="108"/>
        <v>06</v>
      </c>
      <c r="X1255" t="str">
        <f t="shared" si="109"/>
        <v>22</v>
      </c>
      <c r="Y1255" t="str">
        <f t="shared" si="110"/>
        <v>2022</v>
      </c>
      <c r="Z1255"/>
      <c r="AA1255" s="2">
        <f t="shared" si="111"/>
        <v>44737</v>
      </c>
      <c r="AB1255"/>
      <c r="AC1255"/>
    </row>
    <row r="1256" spans="21:29" ht="15">
      <c r="U1256" s="238" t="s">
        <v>9889</v>
      </c>
      <c r="V1256" t="str">
        <f t="shared" si="107"/>
        <v>25</v>
      </c>
      <c r="W1256" t="str">
        <f t="shared" si="108"/>
        <v>06</v>
      </c>
      <c r="X1256" t="str">
        <f t="shared" si="109"/>
        <v>22</v>
      </c>
      <c r="Y1256" t="str">
        <f t="shared" si="110"/>
        <v>2022</v>
      </c>
      <c r="Z1256"/>
      <c r="AA1256" s="2">
        <f t="shared" si="111"/>
        <v>44737</v>
      </c>
      <c r="AB1256"/>
      <c r="AC1256"/>
    </row>
    <row r="1257" spans="21:29" ht="15">
      <c r="U1257" s="238" t="s">
        <v>9890</v>
      </c>
      <c r="V1257" t="str">
        <f t="shared" si="107"/>
        <v>26</v>
      </c>
      <c r="W1257" t="str">
        <f t="shared" si="108"/>
        <v>06</v>
      </c>
      <c r="X1257" t="str">
        <f t="shared" si="109"/>
        <v>22</v>
      </c>
      <c r="Y1257" t="str">
        <f t="shared" si="110"/>
        <v>2022</v>
      </c>
      <c r="Z1257"/>
      <c r="AA1257" s="2">
        <f t="shared" si="111"/>
        <v>44738</v>
      </c>
      <c r="AB1257"/>
      <c r="AC1257"/>
    </row>
    <row r="1258" spans="21:29" ht="15">
      <c r="U1258" s="238" t="s">
        <v>9890</v>
      </c>
      <c r="V1258" t="str">
        <f t="shared" si="107"/>
        <v>26</v>
      </c>
      <c r="W1258" t="str">
        <f t="shared" si="108"/>
        <v>06</v>
      </c>
      <c r="X1258" t="str">
        <f t="shared" si="109"/>
        <v>22</v>
      </c>
      <c r="Y1258" t="str">
        <f t="shared" si="110"/>
        <v>2022</v>
      </c>
      <c r="Z1258"/>
      <c r="AA1258" s="2">
        <f t="shared" si="111"/>
        <v>44738</v>
      </c>
      <c r="AB1258"/>
      <c r="AC1258"/>
    </row>
    <row r="1259" spans="21:29" ht="15">
      <c r="U1259" s="238" t="s">
        <v>9890</v>
      </c>
      <c r="V1259" t="str">
        <f t="shared" si="107"/>
        <v>26</v>
      </c>
      <c r="W1259" t="str">
        <f t="shared" si="108"/>
        <v>06</v>
      </c>
      <c r="X1259" t="str">
        <f t="shared" si="109"/>
        <v>22</v>
      </c>
      <c r="Y1259" t="str">
        <f t="shared" si="110"/>
        <v>2022</v>
      </c>
      <c r="Z1259"/>
      <c r="AA1259" s="2">
        <f t="shared" si="111"/>
        <v>44738</v>
      </c>
      <c r="AB1259"/>
      <c r="AC1259"/>
    </row>
    <row r="1260" spans="21:29" ht="15">
      <c r="U1260" s="238" t="s">
        <v>9891</v>
      </c>
      <c r="V1260" t="str">
        <f t="shared" si="107"/>
        <v>27</v>
      </c>
      <c r="W1260" t="str">
        <f t="shared" si="108"/>
        <v>06</v>
      </c>
      <c r="X1260" t="str">
        <f t="shared" si="109"/>
        <v>22</v>
      </c>
      <c r="Y1260" t="str">
        <f t="shared" si="110"/>
        <v>2022</v>
      </c>
      <c r="Z1260"/>
      <c r="AA1260" s="2">
        <f t="shared" si="111"/>
        <v>44739</v>
      </c>
      <c r="AB1260"/>
      <c r="AC1260"/>
    </row>
    <row r="1261" spans="21:29" ht="15">
      <c r="U1261" s="238" t="s">
        <v>9892</v>
      </c>
      <c r="V1261" t="str">
        <f t="shared" si="107"/>
        <v>28</v>
      </c>
      <c r="W1261" t="str">
        <f t="shared" si="108"/>
        <v>06</v>
      </c>
      <c r="X1261" t="str">
        <f t="shared" si="109"/>
        <v>22</v>
      </c>
      <c r="Y1261" t="str">
        <f t="shared" si="110"/>
        <v>2022</v>
      </c>
      <c r="Z1261"/>
      <c r="AA1261" s="2">
        <f t="shared" si="111"/>
        <v>44740</v>
      </c>
      <c r="AB1261"/>
      <c r="AC1261"/>
    </row>
    <row r="1262" spans="21:29" ht="15">
      <c r="U1262" s="238" t="s">
        <v>9892</v>
      </c>
      <c r="V1262" t="str">
        <f t="shared" si="107"/>
        <v>28</v>
      </c>
      <c r="W1262" t="str">
        <f t="shared" si="108"/>
        <v>06</v>
      </c>
      <c r="X1262" t="str">
        <f t="shared" si="109"/>
        <v>22</v>
      </c>
      <c r="Y1262" t="str">
        <f t="shared" si="110"/>
        <v>2022</v>
      </c>
      <c r="Z1262"/>
      <c r="AA1262" s="2">
        <f t="shared" si="111"/>
        <v>44740</v>
      </c>
      <c r="AB1262"/>
      <c r="AC1262"/>
    </row>
    <row r="1263" spans="21:29" ht="15">
      <c r="U1263" s="238" t="s">
        <v>9892</v>
      </c>
      <c r="V1263" t="str">
        <f t="shared" si="107"/>
        <v>28</v>
      </c>
      <c r="W1263" t="str">
        <f t="shared" si="108"/>
        <v>06</v>
      </c>
      <c r="X1263" t="str">
        <f t="shared" si="109"/>
        <v>22</v>
      </c>
      <c r="Y1263" t="str">
        <f t="shared" si="110"/>
        <v>2022</v>
      </c>
      <c r="Z1263"/>
      <c r="AA1263" s="2">
        <f t="shared" si="111"/>
        <v>44740</v>
      </c>
      <c r="AB1263"/>
      <c r="AC1263"/>
    </row>
    <row r="1264" spans="21:29" ht="15">
      <c r="U1264" s="238" t="s">
        <v>9893</v>
      </c>
      <c r="V1264" t="str">
        <f t="shared" si="107"/>
        <v>29</v>
      </c>
      <c r="W1264" t="str">
        <f t="shared" si="108"/>
        <v>06</v>
      </c>
      <c r="X1264" t="str">
        <f t="shared" si="109"/>
        <v>22</v>
      </c>
      <c r="Y1264" t="str">
        <f t="shared" si="110"/>
        <v>2022</v>
      </c>
      <c r="Z1264"/>
      <c r="AA1264" s="2">
        <f t="shared" si="111"/>
        <v>44741</v>
      </c>
      <c r="AB1264"/>
      <c r="AC1264"/>
    </row>
    <row r="1265" spans="21:29" ht="15">
      <c r="U1265" s="238" t="s">
        <v>9893</v>
      </c>
      <c r="V1265" t="str">
        <f t="shared" si="107"/>
        <v>29</v>
      </c>
      <c r="W1265" t="str">
        <f t="shared" si="108"/>
        <v>06</v>
      </c>
      <c r="X1265" t="str">
        <f t="shared" si="109"/>
        <v>22</v>
      </c>
      <c r="Y1265" t="str">
        <f t="shared" si="110"/>
        <v>2022</v>
      </c>
      <c r="Z1265"/>
      <c r="AA1265" s="2">
        <f t="shared" si="111"/>
        <v>44741</v>
      </c>
      <c r="AB1265"/>
      <c r="AC1265"/>
    </row>
    <row r="1266" spans="21:29" ht="15">
      <c r="U1266" s="238" t="s">
        <v>9894</v>
      </c>
      <c r="V1266" t="str">
        <f t="shared" si="107"/>
        <v>30</v>
      </c>
      <c r="W1266" t="str">
        <f t="shared" si="108"/>
        <v>06</v>
      </c>
      <c r="X1266" t="str">
        <f t="shared" si="109"/>
        <v>22</v>
      </c>
      <c r="Y1266" t="str">
        <f t="shared" si="110"/>
        <v>2022</v>
      </c>
      <c r="Z1266"/>
      <c r="AA1266" s="2">
        <f t="shared" si="111"/>
        <v>44742</v>
      </c>
      <c r="AB1266"/>
      <c r="AC1266"/>
    </row>
    <row r="1267" spans="21:29" ht="15">
      <c r="U1267" s="238" t="s">
        <v>9894</v>
      </c>
      <c r="V1267" t="str">
        <f t="shared" si="107"/>
        <v>30</v>
      </c>
      <c r="W1267" t="str">
        <f t="shared" si="108"/>
        <v>06</v>
      </c>
      <c r="X1267" t="str">
        <f t="shared" si="109"/>
        <v>22</v>
      </c>
      <c r="Y1267" t="str">
        <f t="shared" si="110"/>
        <v>2022</v>
      </c>
      <c r="Z1267"/>
      <c r="AA1267" s="2">
        <f t="shared" si="111"/>
        <v>44742</v>
      </c>
      <c r="AB1267"/>
      <c r="AC1267"/>
    </row>
    <row r="1268" spans="21:29" ht="15">
      <c r="U1268" s="238" t="s">
        <v>9894</v>
      </c>
      <c r="V1268" t="str">
        <f t="shared" si="107"/>
        <v>30</v>
      </c>
      <c r="W1268" t="str">
        <f t="shared" si="108"/>
        <v>06</v>
      </c>
      <c r="X1268" t="str">
        <f t="shared" si="109"/>
        <v>22</v>
      </c>
      <c r="Y1268" t="str">
        <f t="shared" si="110"/>
        <v>2022</v>
      </c>
      <c r="Z1268"/>
      <c r="AA1268" s="2">
        <f t="shared" si="111"/>
        <v>44742</v>
      </c>
      <c r="AB1268"/>
      <c r="AC1268"/>
    </row>
    <row r="1269" spans="21:29" ht="15">
      <c r="U1269" s="238" t="s">
        <v>9895</v>
      </c>
      <c r="V1269" t="str">
        <f t="shared" si="107"/>
        <v>01</v>
      </c>
      <c r="W1269" t="str">
        <f t="shared" si="108"/>
        <v>07</v>
      </c>
      <c r="X1269" t="str">
        <f t="shared" si="109"/>
        <v>22</v>
      </c>
      <c r="Y1269" t="str">
        <f t="shared" si="110"/>
        <v>2022</v>
      </c>
      <c r="Z1269"/>
      <c r="AA1269" s="2">
        <f t="shared" si="111"/>
        <v>44743</v>
      </c>
      <c r="AB1269"/>
      <c r="AC1269"/>
    </row>
    <row r="1270" spans="21:29" ht="15">
      <c r="U1270" s="238" t="s">
        <v>9895</v>
      </c>
      <c r="V1270" t="str">
        <f t="shared" si="107"/>
        <v>01</v>
      </c>
      <c r="W1270" t="str">
        <f t="shared" si="108"/>
        <v>07</v>
      </c>
      <c r="X1270" t="str">
        <f t="shared" si="109"/>
        <v>22</v>
      </c>
      <c r="Y1270" t="str">
        <f t="shared" si="110"/>
        <v>2022</v>
      </c>
      <c r="Z1270"/>
      <c r="AA1270" s="2">
        <f t="shared" si="111"/>
        <v>44743</v>
      </c>
      <c r="AB1270"/>
      <c r="AC1270"/>
    </row>
    <row r="1271" spans="21:29" ht="15">
      <c r="U1271" s="238" t="s">
        <v>9895</v>
      </c>
      <c r="V1271" t="str">
        <f t="shared" si="107"/>
        <v>01</v>
      </c>
      <c r="W1271" t="str">
        <f t="shared" si="108"/>
        <v>07</v>
      </c>
      <c r="X1271" t="str">
        <f t="shared" si="109"/>
        <v>22</v>
      </c>
      <c r="Y1271" t="str">
        <f t="shared" si="110"/>
        <v>2022</v>
      </c>
      <c r="Z1271"/>
      <c r="AA1271" s="2">
        <f t="shared" si="111"/>
        <v>44743</v>
      </c>
      <c r="AB1271"/>
      <c r="AC1271"/>
    </row>
    <row r="1272" spans="21:29" ht="15">
      <c r="U1272" s="238" t="s">
        <v>9895</v>
      </c>
      <c r="V1272" t="str">
        <f t="shared" si="107"/>
        <v>01</v>
      </c>
      <c r="W1272" t="str">
        <f t="shared" si="108"/>
        <v>07</v>
      </c>
      <c r="X1272" t="str">
        <f t="shared" si="109"/>
        <v>22</v>
      </c>
      <c r="Y1272" t="str">
        <f t="shared" si="110"/>
        <v>2022</v>
      </c>
      <c r="Z1272"/>
      <c r="AA1272" s="2">
        <f t="shared" si="111"/>
        <v>44743</v>
      </c>
      <c r="AB1272"/>
      <c r="AC1272"/>
    </row>
    <row r="1273" spans="21:29" ht="15">
      <c r="U1273" s="238" t="s">
        <v>9895</v>
      </c>
      <c r="V1273" t="str">
        <f t="shared" si="107"/>
        <v>01</v>
      </c>
      <c r="W1273" t="str">
        <f t="shared" si="108"/>
        <v>07</v>
      </c>
      <c r="X1273" t="str">
        <f t="shared" si="109"/>
        <v>22</v>
      </c>
      <c r="Y1273" t="str">
        <f t="shared" si="110"/>
        <v>2022</v>
      </c>
      <c r="Z1273"/>
      <c r="AA1273" s="2">
        <f t="shared" si="111"/>
        <v>44743</v>
      </c>
      <c r="AB1273"/>
      <c r="AC1273"/>
    </row>
    <row r="1274" spans="21:29" ht="15">
      <c r="U1274" s="238" t="s">
        <v>9895</v>
      </c>
      <c r="V1274" t="str">
        <f t="shared" si="107"/>
        <v>01</v>
      </c>
      <c r="W1274" t="str">
        <f t="shared" si="108"/>
        <v>07</v>
      </c>
      <c r="X1274" t="str">
        <f t="shared" si="109"/>
        <v>22</v>
      </c>
      <c r="Y1274" t="str">
        <f t="shared" si="110"/>
        <v>2022</v>
      </c>
      <c r="Z1274"/>
      <c r="AA1274" s="2">
        <f t="shared" si="111"/>
        <v>44743</v>
      </c>
      <c r="AB1274"/>
      <c r="AC1274"/>
    </row>
    <row r="1275" spans="21:29" ht="15">
      <c r="U1275" s="238" t="s">
        <v>9895</v>
      </c>
      <c r="V1275" t="str">
        <f t="shared" si="107"/>
        <v>01</v>
      </c>
      <c r="W1275" t="str">
        <f t="shared" si="108"/>
        <v>07</v>
      </c>
      <c r="X1275" t="str">
        <f t="shared" si="109"/>
        <v>22</v>
      </c>
      <c r="Y1275" t="str">
        <f t="shared" si="110"/>
        <v>2022</v>
      </c>
      <c r="Z1275"/>
      <c r="AA1275" s="2">
        <f t="shared" si="111"/>
        <v>44743</v>
      </c>
      <c r="AB1275"/>
      <c r="AC1275"/>
    </row>
    <row r="1276" spans="21:29" ht="15">
      <c r="U1276" s="238" t="s">
        <v>9895</v>
      </c>
      <c r="V1276" t="str">
        <f t="shared" si="107"/>
        <v>01</v>
      </c>
      <c r="W1276" t="str">
        <f t="shared" si="108"/>
        <v>07</v>
      </c>
      <c r="X1276" t="str">
        <f t="shared" si="109"/>
        <v>22</v>
      </c>
      <c r="Y1276" t="str">
        <f t="shared" si="110"/>
        <v>2022</v>
      </c>
      <c r="Z1276"/>
      <c r="AA1276" s="2">
        <f t="shared" si="111"/>
        <v>44743</v>
      </c>
      <c r="AB1276"/>
      <c r="AC1276"/>
    </row>
    <row r="1277" spans="21:29" ht="15">
      <c r="U1277" s="238" t="s">
        <v>9896</v>
      </c>
      <c r="V1277" t="str">
        <f t="shared" si="107"/>
        <v>02</v>
      </c>
      <c r="W1277" t="str">
        <f t="shared" si="108"/>
        <v>07</v>
      </c>
      <c r="X1277" t="str">
        <f t="shared" si="109"/>
        <v>22</v>
      </c>
      <c r="Y1277" t="str">
        <f t="shared" si="110"/>
        <v>2022</v>
      </c>
      <c r="Z1277"/>
      <c r="AA1277" s="2">
        <f t="shared" si="111"/>
        <v>44744</v>
      </c>
      <c r="AB1277"/>
      <c r="AC1277"/>
    </row>
    <row r="1278" spans="21:29" ht="15">
      <c r="U1278" s="238" t="s">
        <v>9896</v>
      </c>
      <c r="V1278" t="str">
        <f t="shared" si="107"/>
        <v>02</v>
      </c>
      <c r="W1278" t="str">
        <f t="shared" si="108"/>
        <v>07</v>
      </c>
      <c r="X1278" t="str">
        <f t="shared" si="109"/>
        <v>22</v>
      </c>
      <c r="Y1278" t="str">
        <f t="shared" si="110"/>
        <v>2022</v>
      </c>
      <c r="Z1278"/>
      <c r="AA1278" s="2">
        <f t="shared" si="111"/>
        <v>44744</v>
      </c>
      <c r="AB1278"/>
      <c r="AC1278"/>
    </row>
    <row r="1279" spans="21:29" ht="15">
      <c r="U1279" s="238" t="s">
        <v>9897</v>
      </c>
      <c r="V1279" t="str">
        <f t="shared" si="107"/>
        <v>03</v>
      </c>
      <c r="W1279" t="str">
        <f t="shared" si="108"/>
        <v>07</v>
      </c>
      <c r="X1279" t="str">
        <f t="shared" si="109"/>
        <v>22</v>
      </c>
      <c r="Y1279" t="str">
        <f t="shared" si="110"/>
        <v>2022</v>
      </c>
      <c r="Z1279"/>
      <c r="AA1279" s="2">
        <f t="shared" si="111"/>
        <v>44745</v>
      </c>
      <c r="AB1279"/>
      <c r="AC1279"/>
    </row>
    <row r="1280" spans="21:29" ht="15">
      <c r="U1280" s="238" t="s">
        <v>9897</v>
      </c>
      <c r="V1280" t="str">
        <f t="shared" si="107"/>
        <v>03</v>
      </c>
      <c r="W1280" t="str">
        <f t="shared" si="108"/>
        <v>07</v>
      </c>
      <c r="X1280" t="str">
        <f t="shared" si="109"/>
        <v>22</v>
      </c>
      <c r="Y1280" t="str">
        <f t="shared" si="110"/>
        <v>2022</v>
      </c>
      <c r="Z1280"/>
      <c r="AA1280" s="2">
        <f t="shared" si="111"/>
        <v>44745</v>
      </c>
      <c r="AB1280"/>
      <c r="AC1280"/>
    </row>
    <row r="1281" spans="21:29" ht="15">
      <c r="U1281" s="238" t="s">
        <v>9897</v>
      </c>
      <c r="V1281" t="str">
        <f t="shared" si="107"/>
        <v>03</v>
      </c>
      <c r="W1281" t="str">
        <f t="shared" si="108"/>
        <v>07</v>
      </c>
      <c r="X1281" t="str">
        <f t="shared" si="109"/>
        <v>22</v>
      </c>
      <c r="Y1281" t="str">
        <f t="shared" si="110"/>
        <v>2022</v>
      </c>
      <c r="Z1281"/>
      <c r="AA1281" s="2">
        <f t="shared" si="111"/>
        <v>44745</v>
      </c>
      <c r="AB1281"/>
      <c r="AC1281"/>
    </row>
    <row r="1282" spans="21:29" ht="15">
      <c r="U1282" s="238" t="s">
        <v>9898</v>
      </c>
      <c r="V1282" t="str">
        <f t="shared" si="107"/>
        <v>04</v>
      </c>
      <c r="W1282" t="str">
        <f t="shared" si="108"/>
        <v>07</v>
      </c>
      <c r="X1282" t="str">
        <f t="shared" si="109"/>
        <v>22</v>
      </c>
      <c r="Y1282" t="str">
        <f t="shared" si="110"/>
        <v>2022</v>
      </c>
      <c r="Z1282"/>
      <c r="AA1282" s="2">
        <f t="shared" si="111"/>
        <v>44746</v>
      </c>
      <c r="AB1282"/>
      <c r="AC1282"/>
    </row>
    <row r="1283" spans="21:29" ht="15">
      <c r="U1283" s="238" t="s">
        <v>9898</v>
      </c>
      <c r="V1283" t="str">
        <f t="shared" ref="V1283:V1346" si="112">LEFT(U1283,2)</f>
        <v>04</v>
      </c>
      <c r="W1283" t="str">
        <f t="shared" ref="W1283:W1346" si="113">MID(U1283,4,2)</f>
        <v>07</v>
      </c>
      <c r="X1283" t="str">
        <f t="shared" ref="X1283:X1346" si="114">RIGHT(U1283,2)</f>
        <v>22</v>
      </c>
      <c r="Y1283" t="str">
        <f t="shared" ref="Y1283:Y1346" si="115">"20" &amp; X1283</f>
        <v>2022</v>
      </c>
      <c r="Z1283"/>
      <c r="AA1283" s="2">
        <f t="shared" si="111"/>
        <v>44746</v>
      </c>
      <c r="AB1283"/>
      <c r="AC1283"/>
    </row>
    <row r="1284" spans="21:29" ht="15">
      <c r="U1284" s="238" t="s">
        <v>9899</v>
      </c>
      <c r="V1284" t="str">
        <f t="shared" si="112"/>
        <v>06</v>
      </c>
      <c r="W1284" t="str">
        <f t="shared" si="113"/>
        <v>07</v>
      </c>
      <c r="X1284" t="str">
        <f t="shared" si="114"/>
        <v>22</v>
      </c>
      <c r="Y1284" t="str">
        <f t="shared" si="115"/>
        <v>2022</v>
      </c>
      <c r="Z1284"/>
      <c r="AA1284" s="2">
        <f t="shared" ref="AA1284:AA1347" si="116">DATE(Y1284,W1284,V1284)</f>
        <v>44748</v>
      </c>
      <c r="AB1284"/>
      <c r="AC1284"/>
    </row>
    <row r="1285" spans="21:29" ht="15">
      <c r="U1285" s="238" t="s">
        <v>9899</v>
      </c>
      <c r="V1285" t="str">
        <f t="shared" si="112"/>
        <v>06</v>
      </c>
      <c r="W1285" t="str">
        <f t="shared" si="113"/>
        <v>07</v>
      </c>
      <c r="X1285" t="str">
        <f t="shared" si="114"/>
        <v>22</v>
      </c>
      <c r="Y1285" t="str">
        <f t="shared" si="115"/>
        <v>2022</v>
      </c>
      <c r="Z1285"/>
      <c r="AA1285" s="2">
        <f t="shared" si="116"/>
        <v>44748</v>
      </c>
      <c r="AB1285"/>
      <c r="AC1285"/>
    </row>
    <row r="1286" spans="21:29" ht="15">
      <c r="U1286" s="238" t="s">
        <v>9899</v>
      </c>
      <c r="V1286" t="str">
        <f t="shared" si="112"/>
        <v>06</v>
      </c>
      <c r="W1286" t="str">
        <f t="shared" si="113"/>
        <v>07</v>
      </c>
      <c r="X1286" t="str">
        <f t="shared" si="114"/>
        <v>22</v>
      </c>
      <c r="Y1286" t="str">
        <f t="shared" si="115"/>
        <v>2022</v>
      </c>
      <c r="Z1286"/>
      <c r="AA1286" s="2">
        <f t="shared" si="116"/>
        <v>44748</v>
      </c>
      <c r="AB1286"/>
      <c r="AC1286"/>
    </row>
    <row r="1287" spans="21:29" ht="15">
      <c r="U1287" s="238" t="s">
        <v>9899</v>
      </c>
      <c r="V1287" t="str">
        <f t="shared" si="112"/>
        <v>06</v>
      </c>
      <c r="W1287" t="str">
        <f t="shared" si="113"/>
        <v>07</v>
      </c>
      <c r="X1287" t="str">
        <f t="shared" si="114"/>
        <v>22</v>
      </c>
      <c r="Y1287" t="str">
        <f t="shared" si="115"/>
        <v>2022</v>
      </c>
      <c r="Z1287"/>
      <c r="AA1287" s="2">
        <f t="shared" si="116"/>
        <v>44748</v>
      </c>
      <c r="AB1287"/>
      <c r="AC1287"/>
    </row>
    <row r="1288" spans="21:29" ht="15">
      <c r="U1288" s="238" t="s">
        <v>9900</v>
      </c>
      <c r="V1288" t="str">
        <f t="shared" si="112"/>
        <v>07</v>
      </c>
      <c r="W1288" t="str">
        <f t="shared" si="113"/>
        <v>07</v>
      </c>
      <c r="X1288" t="str">
        <f t="shared" si="114"/>
        <v>22</v>
      </c>
      <c r="Y1288" t="str">
        <f t="shared" si="115"/>
        <v>2022</v>
      </c>
      <c r="Z1288"/>
      <c r="AA1288" s="2">
        <f t="shared" si="116"/>
        <v>44749</v>
      </c>
      <c r="AB1288"/>
      <c r="AC1288"/>
    </row>
    <row r="1289" spans="21:29" ht="15">
      <c r="U1289" s="238" t="s">
        <v>9900</v>
      </c>
      <c r="V1289" t="str">
        <f t="shared" si="112"/>
        <v>07</v>
      </c>
      <c r="W1289" t="str">
        <f t="shared" si="113"/>
        <v>07</v>
      </c>
      <c r="X1289" t="str">
        <f t="shared" si="114"/>
        <v>22</v>
      </c>
      <c r="Y1289" t="str">
        <f t="shared" si="115"/>
        <v>2022</v>
      </c>
      <c r="Z1289"/>
      <c r="AA1289" s="2">
        <f t="shared" si="116"/>
        <v>44749</v>
      </c>
      <c r="AB1289"/>
      <c r="AC1289"/>
    </row>
    <row r="1290" spans="21:29" ht="15">
      <c r="U1290" s="238" t="s">
        <v>9900</v>
      </c>
      <c r="V1290" t="str">
        <f t="shared" si="112"/>
        <v>07</v>
      </c>
      <c r="W1290" t="str">
        <f t="shared" si="113"/>
        <v>07</v>
      </c>
      <c r="X1290" t="str">
        <f t="shared" si="114"/>
        <v>22</v>
      </c>
      <c r="Y1290" t="str">
        <f t="shared" si="115"/>
        <v>2022</v>
      </c>
      <c r="Z1290"/>
      <c r="AA1290" s="2">
        <f t="shared" si="116"/>
        <v>44749</v>
      </c>
      <c r="AB1290"/>
      <c r="AC1290"/>
    </row>
    <row r="1291" spans="21:29" ht="15">
      <c r="U1291" s="238" t="s">
        <v>9901</v>
      </c>
      <c r="V1291" t="str">
        <f t="shared" si="112"/>
        <v>08</v>
      </c>
      <c r="W1291" t="str">
        <f t="shared" si="113"/>
        <v>07</v>
      </c>
      <c r="X1291" t="str">
        <f t="shared" si="114"/>
        <v>22</v>
      </c>
      <c r="Y1291" t="str">
        <f t="shared" si="115"/>
        <v>2022</v>
      </c>
      <c r="Z1291"/>
      <c r="AA1291" s="2">
        <f t="shared" si="116"/>
        <v>44750</v>
      </c>
      <c r="AB1291"/>
      <c r="AC1291"/>
    </row>
    <row r="1292" spans="21:29" ht="15">
      <c r="U1292" s="238" t="s">
        <v>9902</v>
      </c>
      <c r="V1292" t="str">
        <f t="shared" si="112"/>
        <v>10</v>
      </c>
      <c r="W1292" t="str">
        <f t="shared" si="113"/>
        <v>07</v>
      </c>
      <c r="X1292" t="str">
        <f t="shared" si="114"/>
        <v>22</v>
      </c>
      <c r="Y1292" t="str">
        <f t="shared" si="115"/>
        <v>2022</v>
      </c>
      <c r="Z1292"/>
      <c r="AA1292" s="2">
        <f t="shared" si="116"/>
        <v>44752</v>
      </c>
      <c r="AB1292"/>
      <c r="AC1292"/>
    </row>
    <row r="1293" spans="21:29" ht="15">
      <c r="U1293" s="238" t="s">
        <v>9902</v>
      </c>
      <c r="V1293" t="str">
        <f t="shared" si="112"/>
        <v>10</v>
      </c>
      <c r="W1293" t="str">
        <f t="shared" si="113"/>
        <v>07</v>
      </c>
      <c r="X1293" t="str">
        <f t="shared" si="114"/>
        <v>22</v>
      </c>
      <c r="Y1293" t="str">
        <f t="shared" si="115"/>
        <v>2022</v>
      </c>
      <c r="Z1293"/>
      <c r="AA1293" s="2">
        <f t="shared" si="116"/>
        <v>44752</v>
      </c>
      <c r="AB1293"/>
      <c r="AC1293"/>
    </row>
    <row r="1294" spans="21:29" ht="15">
      <c r="U1294" s="238" t="s">
        <v>9902</v>
      </c>
      <c r="V1294" t="str">
        <f t="shared" si="112"/>
        <v>10</v>
      </c>
      <c r="W1294" t="str">
        <f t="shared" si="113"/>
        <v>07</v>
      </c>
      <c r="X1294" t="str">
        <f t="shared" si="114"/>
        <v>22</v>
      </c>
      <c r="Y1294" t="str">
        <f t="shared" si="115"/>
        <v>2022</v>
      </c>
      <c r="Z1294"/>
      <c r="AA1294" s="2">
        <f t="shared" si="116"/>
        <v>44752</v>
      </c>
      <c r="AB1294"/>
      <c r="AC1294"/>
    </row>
    <row r="1295" spans="21:29" ht="15">
      <c r="U1295" s="238" t="s">
        <v>9902</v>
      </c>
      <c r="V1295" t="str">
        <f t="shared" si="112"/>
        <v>10</v>
      </c>
      <c r="W1295" t="str">
        <f t="shared" si="113"/>
        <v>07</v>
      </c>
      <c r="X1295" t="str">
        <f t="shared" si="114"/>
        <v>22</v>
      </c>
      <c r="Y1295" t="str">
        <f t="shared" si="115"/>
        <v>2022</v>
      </c>
      <c r="Z1295"/>
      <c r="AA1295" s="2">
        <f t="shared" si="116"/>
        <v>44752</v>
      </c>
      <c r="AB1295"/>
      <c r="AC1295"/>
    </row>
    <row r="1296" spans="21:29" ht="15">
      <c r="U1296" s="238" t="s">
        <v>9903</v>
      </c>
      <c r="V1296" t="str">
        <f t="shared" si="112"/>
        <v>11</v>
      </c>
      <c r="W1296" t="str">
        <f t="shared" si="113"/>
        <v>07</v>
      </c>
      <c r="X1296" t="str">
        <f t="shared" si="114"/>
        <v>22</v>
      </c>
      <c r="Y1296" t="str">
        <f t="shared" si="115"/>
        <v>2022</v>
      </c>
      <c r="Z1296"/>
      <c r="AA1296" s="2">
        <f t="shared" si="116"/>
        <v>44753</v>
      </c>
      <c r="AB1296"/>
      <c r="AC1296"/>
    </row>
    <row r="1297" spans="21:29" ht="15">
      <c r="U1297" s="238" t="s">
        <v>9904</v>
      </c>
      <c r="V1297" t="str">
        <f t="shared" si="112"/>
        <v>12</v>
      </c>
      <c r="W1297" t="str">
        <f t="shared" si="113"/>
        <v>07</v>
      </c>
      <c r="X1297" t="str">
        <f t="shared" si="114"/>
        <v>22</v>
      </c>
      <c r="Y1297" t="str">
        <f t="shared" si="115"/>
        <v>2022</v>
      </c>
      <c r="Z1297"/>
      <c r="AA1297" s="2">
        <f t="shared" si="116"/>
        <v>44754</v>
      </c>
      <c r="AB1297"/>
      <c r="AC1297"/>
    </row>
    <row r="1298" spans="21:29" ht="15">
      <c r="U1298" s="238" t="s">
        <v>9905</v>
      </c>
      <c r="V1298" t="str">
        <f t="shared" si="112"/>
        <v>17</v>
      </c>
      <c r="W1298" t="str">
        <f t="shared" si="113"/>
        <v>07</v>
      </c>
      <c r="X1298" t="str">
        <f t="shared" si="114"/>
        <v>22</v>
      </c>
      <c r="Y1298" t="str">
        <f t="shared" si="115"/>
        <v>2022</v>
      </c>
      <c r="Z1298"/>
      <c r="AA1298" s="2">
        <f t="shared" si="116"/>
        <v>44759</v>
      </c>
      <c r="AB1298"/>
      <c r="AC1298"/>
    </row>
    <row r="1299" spans="21:29" ht="15">
      <c r="U1299" s="238" t="s">
        <v>9905</v>
      </c>
      <c r="V1299" t="str">
        <f t="shared" si="112"/>
        <v>17</v>
      </c>
      <c r="W1299" t="str">
        <f t="shared" si="113"/>
        <v>07</v>
      </c>
      <c r="X1299" t="str">
        <f t="shared" si="114"/>
        <v>22</v>
      </c>
      <c r="Y1299" t="str">
        <f t="shared" si="115"/>
        <v>2022</v>
      </c>
      <c r="Z1299"/>
      <c r="AA1299" s="2">
        <f t="shared" si="116"/>
        <v>44759</v>
      </c>
      <c r="AB1299"/>
      <c r="AC1299"/>
    </row>
    <row r="1300" spans="21:29" ht="15">
      <c r="U1300" s="238" t="s">
        <v>9905</v>
      </c>
      <c r="V1300" t="str">
        <f t="shared" si="112"/>
        <v>17</v>
      </c>
      <c r="W1300" t="str">
        <f t="shared" si="113"/>
        <v>07</v>
      </c>
      <c r="X1300" t="str">
        <f t="shared" si="114"/>
        <v>22</v>
      </c>
      <c r="Y1300" t="str">
        <f t="shared" si="115"/>
        <v>2022</v>
      </c>
      <c r="Z1300"/>
      <c r="AA1300" s="2">
        <f t="shared" si="116"/>
        <v>44759</v>
      </c>
      <c r="AB1300"/>
      <c r="AC1300"/>
    </row>
    <row r="1301" spans="21:29" ht="15">
      <c r="U1301" s="238" t="s">
        <v>9905</v>
      </c>
      <c r="V1301" t="str">
        <f t="shared" si="112"/>
        <v>17</v>
      </c>
      <c r="W1301" t="str">
        <f t="shared" si="113"/>
        <v>07</v>
      </c>
      <c r="X1301" t="str">
        <f t="shared" si="114"/>
        <v>22</v>
      </c>
      <c r="Y1301" t="str">
        <f t="shared" si="115"/>
        <v>2022</v>
      </c>
      <c r="Z1301"/>
      <c r="AA1301" s="2">
        <f t="shared" si="116"/>
        <v>44759</v>
      </c>
      <c r="AB1301"/>
      <c r="AC1301"/>
    </row>
    <row r="1302" spans="21:29" ht="15">
      <c r="U1302" s="238" t="s">
        <v>9905</v>
      </c>
      <c r="V1302" t="str">
        <f t="shared" si="112"/>
        <v>17</v>
      </c>
      <c r="W1302" t="str">
        <f t="shared" si="113"/>
        <v>07</v>
      </c>
      <c r="X1302" t="str">
        <f t="shared" si="114"/>
        <v>22</v>
      </c>
      <c r="Y1302" t="str">
        <f t="shared" si="115"/>
        <v>2022</v>
      </c>
      <c r="Z1302"/>
      <c r="AA1302" s="2">
        <f t="shared" si="116"/>
        <v>44759</v>
      </c>
      <c r="AB1302"/>
      <c r="AC1302"/>
    </row>
    <row r="1303" spans="21:29" ht="15">
      <c r="U1303" s="238" t="s">
        <v>9906</v>
      </c>
      <c r="V1303" t="str">
        <f t="shared" si="112"/>
        <v>18</v>
      </c>
      <c r="W1303" t="str">
        <f t="shared" si="113"/>
        <v>07</v>
      </c>
      <c r="X1303" t="str">
        <f t="shared" si="114"/>
        <v>22</v>
      </c>
      <c r="Y1303" t="str">
        <f t="shared" si="115"/>
        <v>2022</v>
      </c>
      <c r="Z1303"/>
      <c r="AA1303" s="2">
        <f t="shared" si="116"/>
        <v>44760</v>
      </c>
      <c r="AB1303"/>
      <c r="AC1303"/>
    </row>
    <row r="1304" spans="21:29" ht="15">
      <c r="U1304" s="238" t="s">
        <v>9906</v>
      </c>
      <c r="V1304" t="str">
        <f t="shared" si="112"/>
        <v>18</v>
      </c>
      <c r="W1304" t="str">
        <f t="shared" si="113"/>
        <v>07</v>
      </c>
      <c r="X1304" t="str">
        <f t="shared" si="114"/>
        <v>22</v>
      </c>
      <c r="Y1304" t="str">
        <f t="shared" si="115"/>
        <v>2022</v>
      </c>
      <c r="Z1304"/>
      <c r="AA1304" s="2">
        <f t="shared" si="116"/>
        <v>44760</v>
      </c>
      <c r="AB1304"/>
      <c r="AC1304"/>
    </row>
    <row r="1305" spans="21:29" ht="15">
      <c r="U1305" s="238" t="s">
        <v>9906</v>
      </c>
      <c r="V1305" t="str">
        <f t="shared" si="112"/>
        <v>18</v>
      </c>
      <c r="W1305" t="str">
        <f t="shared" si="113"/>
        <v>07</v>
      </c>
      <c r="X1305" t="str">
        <f t="shared" si="114"/>
        <v>22</v>
      </c>
      <c r="Y1305" t="str">
        <f t="shared" si="115"/>
        <v>2022</v>
      </c>
      <c r="Z1305"/>
      <c r="AA1305" s="2">
        <f t="shared" si="116"/>
        <v>44760</v>
      </c>
      <c r="AB1305"/>
      <c r="AC1305"/>
    </row>
    <row r="1306" spans="21:29" ht="15">
      <c r="U1306" s="238" t="s">
        <v>9906</v>
      </c>
      <c r="V1306" t="str">
        <f t="shared" si="112"/>
        <v>18</v>
      </c>
      <c r="W1306" t="str">
        <f t="shared" si="113"/>
        <v>07</v>
      </c>
      <c r="X1306" t="str">
        <f t="shared" si="114"/>
        <v>22</v>
      </c>
      <c r="Y1306" t="str">
        <f t="shared" si="115"/>
        <v>2022</v>
      </c>
      <c r="Z1306"/>
      <c r="AA1306" s="2">
        <f t="shared" si="116"/>
        <v>44760</v>
      </c>
      <c r="AB1306"/>
      <c r="AC1306"/>
    </row>
    <row r="1307" spans="21:29" ht="15">
      <c r="U1307" s="238" t="s">
        <v>9907</v>
      </c>
      <c r="V1307" t="str">
        <f t="shared" si="112"/>
        <v>19</v>
      </c>
      <c r="W1307" t="str">
        <f t="shared" si="113"/>
        <v>07</v>
      </c>
      <c r="X1307" t="str">
        <f t="shared" si="114"/>
        <v>22</v>
      </c>
      <c r="Y1307" t="str">
        <f t="shared" si="115"/>
        <v>2022</v>
      </c>
      <c r="Z1307"/>
      <c r="AA1307" s="2">
        <f t="shared" si="116"/>
        <v>44761</v>
      </c>
      <c r="AB1307"/>
      <c r="AC1307"/>
    </row>
    <row r="1308" spans="21:29" ht="15">
      <c r="U1308" s="238" t="s">
        <v>9907</v>
      </c>
      <c r="V1308" t="str">
        <f t="shared" si="112"/>
        <v>19</v>
      </c>
      <c r="W1308" t="str">
        <f t="shared" si="113"/>
        <v>07</v>
      </c>
      <c r="X1308" t="str">
        <f t="shared" si="114"/>
        <v>22</v>
      </c>
      <c r="Y1308" t="str">
        <f t="shared" si="115"/>
        <v>2022</v>
      </c>
      <c r="Z1308"/>
      <c r="AA1308" s="2">
        <f t="shared" si="116"/>
        <v>44761</v>
      </c>
      <c r="AB1308"/>
      <c r="AC1308"/>
    </row>
    <row r="1309" spans="21:29" ht="15">
      <c r="U1309" s="238" t="s">
        <v>9907</v>
      </c>
      <c r="V1309" t="str">
        <f t="shared" si="112"/>
        <v>19</v>
      </c>
      <c r="W1309" t="str">
        <f t="shared" si="113"/>
        <v>07</v>
      </c>
      <c r="X1309" t="str">
        <f t="shared" si="114"/>
        <v>22</v>
      </c>
      <c r="Y1309" t="str">
        <f t="shared" si="115"/>
        <v>2022</v>
      </c>
      <c r="Z1309"/>
      <c r="AA1309" s="2">
        <f t="shared" si="116"/>
        <v>44761</v>
      </c>
      <c r="AB1309"/>
      <c r="AC1309"/>
    </row>
    <row r="1310" spans="21:29" ht="15">
      <c r="U1310" s="238" t="s">
        <v>9908</v>
      </c>
      <c r="V1310" t="str">
        <f t="shared" si="112"/>
        <v>20</v>
      </c>
      <c r="W1310" t="str">
        <f t="shared" si="113"/>
        <v>07</v>
      </c>
      <c r="X1310" t="str">
        <f t="shared" si="114"/>
        <v>22</v>
      </c>
      <c r="Y1310" t="str">
        <f t="shared" si="115"/>
        <v>2022</v>
      </c>
      <c r="Z1310"/>
      <c r="AA1310" s="2">
        <f t="shared" si="116"/>
        <v>44762</v>
      </c>
      <c r="AB1310"/>
      <c r="AC1310"/>
    </row>
    <row r="1311" spans="21:29" ht="15">
      <c r="U1311" s="238" t="s">
        <v>9908</v>
      </c>
      <c r="V1311" t="str">
        <f t="shared" si="112"/>
        <v>20</v>
      </c>
      <c r="W1311" t="str">
        <f t="shared" si="113"/>
        <v>07</v>
      </c>
      <c r="X1311" t="str">
        <f t="shared" si="114"/>
        <v>22</v>
      </c>
      <c r="Y1311" t="str">
        <f t="shared" si="115"/>
        <v>2022</v>
      </c>
      <c r="Z1311"/>
      <c r="AA1311" s="2">
        <f t="shared" si="116"/>
        <v>44762</v>
      </c>
      <c r="AB1311"/>
      <c r="AC1311"/>
    </row>
    <row r="1312" spans="21:29" ht="15">
      <c r="U1312" s="238" t="s">
        <v>9908</v>
      </c>
      <c r="V1312" t="str">
        <f t="shared" si="112"/>
        <v>20</v>
      </c>
      <c r="W1312" t="str">
        <f t="shared" si="113"/>
        <v>07</v>
      </c>
      <c r="X1312" t="str">
        <f t="shared" si="114"/>
        <v>22</v>
      </c>
      <c r="Y1312" t="str">
        <f t="shared" si="115"/>
        <v>2022</v>
      </c>
      <c r="Z1312"/>
      <c r="AA1312" s="2">
        <f t="shared" si="116"/>
        <v>44762</v>
      </c>
      <c r="AB1312"/>
      <c r="AC1312"/>
    </row>
    <row r="1313" spans="21:29" ht="15">
      <c r="U1313" s="238" t="s">
        <v>9908</v>
      </c>
      <c r="V1313" t="str">
        <f t="shared" si="112"/>
        <v>20</v>
      </c>
      <c r="W1313" t="str">
        <f t="shared" si="113"/>
        <v>07</v>
      </c>
      <c r="X1313" t="str">
        <f t="shared" si="114"/>
        <v>22</v>
      </c>
      <c r="Y1313" t="str">
        <f t="shared" si="115"/>
        <v>2022</v>
      </c>
      <c r="Z1313"/>
      <c r="AA1313" s="2">
        <f t="shared" si="116"/>
        <v>44762</v>
      </c>
      <c r="AB1313"/>
      <c r="AC1313"/>
    </row>
    <row r="1314" spans="21:29" ht="15">
      <c r="U1314" s="238" t="s">
        <v>9908</v>
      </c>
      <c r="V1314" t="str">
        <f t="shared" si="112"/>
        <v>20</v>
      </c>
      <c r="W1314" t="str">
        <f t="shared" si="113"/>
        <v>07</v>
      </c>
      <c r="X1314" t="str">
        <f t="shared" si="114"/>
        <v>22</v>
      </c>
      <c r="Y1314" t="str">
        <f t="shared" si="115"/>
        <v>2022</v>
      </c>
      <c r="Z1314"/>
      <c r="AA1314" s="2">
        <f t="shared" si="116"/>
        <v>44762</v>
      </c>
      <c r="AB1314"/>
      <c r="AC1314"/>
    </row>
    <row r="1315" spans="21:29" ht="15">
      <c r="U1315" s="238" t="s">
        <v>9908</v>
      </c>
      <c r="V1315" t="str">
        <f t="shared" si="112"/>
        <v>20</v>
      </c>
      <c r="W1315" t="str">
        <f t="shared" si="113"/>
        <v>07</v>
      </c>
      <c r="X1315" t="str">
        <f t="shared" si="114"/>
        <v>22</v>
      </c>
      <c r="Y1315" t="str">
        <f t="shared" si="115"/>
        <v>2022</v>
      </c>
      <c r="Z1315"/>
      <c r="AA1315" s="2">
        <f t="shared" si="116"/>
        <v>44762</v>
      </c>
      <c r="AB1315"/>
      <c r="AC1315"/>
    </row>
    <row r="1316" spans="21:29" ht="15">
      <c r="U1316" s="238" t="s">
        <v>9909</v>
      </c>
      <c r="V1316" t="str">
        <f t="shared" si="112"/>
        <v>21</v>
      </c>
      <c r="W1316" t="str">
        <f t="shared" si="113"/>
        <v>07</v>
      </c>
      <c r="X1316" t="str">
        <f t="shared" si="114"/>
        <v>22</v>
      </c>
      <c r="Y1316" t="str">
        <f t="shared" si="115"/>
        <v>2022</v>
      </c>
      <c r="Z1316"/>
      <c r="AA1316" s="2">
        <f t="shared" si="116"/>
        <v>44763</v>
      </c>
      <c r="AB1316"/>
      <c r="AC1316"/>
    </row>
    <row r="1317" spans="21:29" ht="15">
      <c r="U1317" s="238" t="s">
        <v>9909</v>
      </c>
      <c r="V1317" t="str">
        <f t="shared" si="112"/>
        <v>21</v>
      </c>
      <c r="W1317" t="str">
        <f t="shared" si="113"/>
        <v>07</v>
      </c>
      <c r="X1317" t="str">
        <f t="shared" si="114"/>
        <v>22</v>
      </c>
      <c r="Y1317" t="str">
        <f t="shared" si="115"/>
        <v>2022</v>
      </c>
      <c r="Z1317"/>
      <c r="AA1317" s="2">
        <f t="shared" si="116"/>
        <v>44763</v>
      </c>
      <c r="AB1317"/>
      <c r="AC1317"/>
    </row>
    <row r="1318" spans="21:29" ht="15">
      <c r="U1318" s="238" t="s">
        <v>9909</v>
      </c>
      <c r="V1318" t="str">
        <f t="shared" si="112"/>
        <v>21</v>
      </c>
      <c r="W1318" t="str">
        <f t="shared" si="113"/>
        <v>07</v>
      </c>
      <c r="X1318" t="str">
        <f t="shared" si="114"/>
        <v>22</v>
      </c>
      <c r="Y1318" t="str">
        <f t="shared" si="115"/>
        <v>2022</v>
      </c>
      <c r="Z1318"/>
      <c r="AA1318" s="2">
        <f t="shared" si="116"/>
        <v>44763</v>
      </c>
      <c r="AB1318"/>
      <c r="AC1318"/>
    </row>
    <row r="1319" spans="21:29" ht="15">
      <c r="U1319" s="238" t="s">
        <v>9909</v>
      </c>
      <c r="V1319" t="str">
        <f t="shared" si="112"/>
        <v>21</v>
      </c>
      <c r="W1319" t="str">
        <f t="shared" si="113"/>
        <v>07</v>
      </c>
      <c r="X1319" t="str">
        <f t="shared" si="114"/>
        <v>22</v>
      </c>
      <c r="Y1319" t="str">
        <f t="shared" si="115"/>
        <v>2022</v>
      </c>
      <c r="Z1319"/>
      <c r="AA1319" s="2">
        <f t="shared" si="116"/>
        <v>44763</v>
      </c>
      <c r="AB1319"/>
      <c r="AC1319"/>
    </row>
    <row r="1320" spans="21:29" ht="15">
      <c r="U1320" s="238" t="s">
        <v>9909</v>
      </c>
      <c r="V1320" t="str">
        <f t="shared" si="112"/>
        <v>21</v>
      </c>
      <c r="W1320" t="str">
        <f t="shared" si="113"/>
        <v>07</v>
      </c>
      <c r="X1320" t="str">
        <f t="shared" si="114"/>
        <v>22</v>
      </c>
      <c r="Y1320" t="str">
        <f t="shared" si="115"/>
        <v>2022</v>
      </c>
      <c r="Z1320"/>
      <c r="AA1320" s="2">
        <f t="shared" si="116"/>
        <v>44763</v>
      </c>
      <c r="AB1320"/>
      <c r="AC1320"/>
    </row>
    <row r="1321" spans="21:29" ht="15">
      <c r="U1321" s="238" t="s">
        <v>9910</v>
      </c>
      <c r="V1321" t="str">
        <f t="shared" si="112"/>
        <v>22</v>
      </c>
      <c r="W1321" t="str">
        <f t="shared" si="113"/>
        <v>07</v>
      </c>
      <c r="X1321" t="str">
        <f t="shared" si="114"/>
        <v>22</v>
      </c>
      <c r="Y1321" t="str">
        <f t="shared" si="115"/>
        <v>2022</v>
      </c>
      <c r="Z1321"/>
      <c r="AA1321" s="2">
        <f t="shared" si="116"/>
        <v>44764</v>
      </c>
      <c r="AB1321"/>
      <c r="AC1321"/>
    </row>
    <row r="1322" spans="21:29" ht="15">
      <c r="U1322" s="238" t="s">
        <v>9910</v>
      </c>
      <c r="V1322" t="str">
        <f t="shared" si="112"/>
        <v>22</v>
      </c>
      <c r="W1322" t="str">
        <f t="shared" si="113"/>
        <v>07</v>
      </c>
      <c r="X1322" t="str">
        <f t="shared" si="114"/>
        <v>22</v>
      </c>
      <c r="Y1322" t="str">
        <f t="shared" si="115"/>
        <v>2022</v>
      </c>
      <c r="Z1322"/>
      <c r="AA1322" s="2">
        <f t="shared" si="116"/>
        <v>44764</v>
      </c>
      <c r="AB1322"/>
      <c r="AC1322"/>
    </row>
    <row r="1323" spans="21:29" ht="15">
      <c r="U1323" s="238" t="s">
        <v>9910</v>
      </c>
      <c r="V1323" t="str">
        <f t="shared" si="112"/>
        <v>22</v>
      </c>
      <c r="W1323" t="str">
        <f t="shared" si="113"/>
        <v>07</v>
      </c>
      <c r="X1323" t="str">
        <f t="shared" si="114"/>
        <v>22</v>
      </c>
      <c r="Y1323" t="str">
        <f t="shared" si="115"/>
        <v>2022</v>
      </c>
      <c r="Z1323"/>
      <c r="AA1323" s="2">
        <f t="shared" si="116"/>
        <v>44764</v>
      </c>
      <c r="AB1323"/>
      <c r="AC1323"/>
    </row>
    <row r="1324" spans="21:29" ht="15">
      <c r="U1324" s="238" t="s">
        <v>9910</v>
      </c>
      <c r="V1324" t="str">
        <f t="shared" si="112"/>
        <v>22</v>
      </c>
      <c r="W1324" t="str">
        <f t="shared" si="113"/>
        <v>07</v>
      </c>
      <c r="X1324" t="str">
        <f t="shared" si="114"/>
        <v>22</v>
      </c>
      <c r="Y1324" t="str">
        <f t="shared" si="115"/>
        <v>2022</v>
      </c>
      <c r="Z1324"/>
      <c r="AA1324" s="2">
        <f t="shared" si="116"/>
        <v>44764</v>
      </c>
      <c r="AB1324"/>
      <c r="AC1324"/>
    </row>
    <row r="1325" spans="21:29" ht="15">
      <c r="U1325" s="238" t="s">
        <v>9911</v>
      </c>
      <c r="V1325" t="str">
        <f t="shared" si="112"/>
        <v>23</v>
      </c>
      <c r="W1325" t="str">
        <f t="shared" si="113"/>
        <v>07</v>
      </c>
      <c r="X1325" t="str">
        <f t="shared" si="114"/>
        <v>22</v>
      </c>
      <c r="Y1325" t="str">
        <f t="shared" si="115"/>
        <v>2022</v>
      </c>
      <c r="Z1325"/>
      <c r="AA1325" s="2">
        <f t="shared" si="116"/>
        <v>44765</v>
      </c>
      <c r="AB1325"/>
      <c r="AC1325"/>
    </row>
    <row r="1326" spans="21:29" ht="15">
      <c r="U1326" s="238" t="s">
        <v>9911</v>
      </c>
      <c r="V1326" t="str">
        <f t="shared" si="112"/>
        <v>23</v>
      </c>
      <c r="W1326" t="str">
        <f t="shared" si="113"/>
        <v>07</v>
      </c>
      <c r="X1326" t="str">
        <f t="shared" si="114"/>
        <v>22</v>
      </c>
      <c r="Y1326" t="str">
        <f t="shared" si="115"/>
        <v>2022</v>
      </c>
      <c r="Z1326"/>
      <c r="AA1326" s="2">
        <f t="shared" si="116"/>
        <v>44765</v>
      </c>
      <c r="AB1326"/>
      <c r="AC1326"/>
    </row>
    <row r="1327" spans="21:29" ht="15">
      <c r="U1327" s="238" t="s">
        <v>9911</v>
      </c>
      <c r="V1327" t="str">
        <f t="shared" si="112"/>
        <v>23</v>
      </c>
      <c r="W1327" t="str">
        <f t="shared" si="113"/>
        <v>07</v>
      </c>
      <c r="X1327" t="str">
        <f t="shared" si="114"/>
        <v>22</v>
      </c>
      <c r="Y1327" t="str">
        <f t="shared" si="115"/>
        <v>2022</v>
      </c>
      <c r="Z1327"/>
      <c r="AA1327" s="2">
        <f t="shared" si="116"/>
        <v>44765</v>
      </c>
      <c r="AB1327"/>
      <c r="AC1327"/>
    </row>
    <row r="1328" spans="21:29" ht="15">
      <c r="U1328" s="238" t="s">
        <v>9912</v>
      </c>
      <c r="V1328" t="str">
        <f t="shared" si="112"/>
        <v>25</v>
      </c>
      <c r="W1328" t="str">
        <f t="shared" si="113"/>
        <v>07</v>
      </c>
      <c r="X1328" t="str">
        <f t="shared" si="114"/>
        <v>22</v>
      </c>
      <c r="Y1328" t="str">
        <f t="shared" si="115"/>
        <v>2022</v>
      </c>
      <c r="Z1328"/>
      <c r="AA1328" s="2">
        <f t="shared" si="116"/>
        <v>44767</v>
      </c>
      <c r="AB1328"/>
      <c r="AC1328"/>
    </row>
    <row r="1329" spans="21:29" ht="15">
      <c r="U1329" s="238" t="s">
        <v>9912</v>
      </c>
      <c r="V1329" t="str">
        <f t="shared" si="112"/>
        <v>25</v>
      </c>
      <c r="W1329" t="str">
        <f t="shared" si="113"/>
        <v>07</v>
      </c>
      <c r="X1329" t="str">
        <f t="shared" si="114"/>
        <v>22</v>
      </c>
      <c r="Y1329" t="str">
        <f t="shared" si="115"/>
        <v>2022</v>
      </c>
      <c r="Z1329"/>
      <c r="AA1329" s="2">
        <f t="shared" si="116"/>
        <v>44767</v>
      </c>
      <c r="AB1329"/>
      <c r="AC1329"/>
    </row>
    <row r="1330" spans="21:29" ht="15">
      <c r="U1330" s="238" t="s">
        <v>9912</v>
      </c>
      <c r="V1330" t="str">
        <f t="shared" si="112"/>
        <v>25</v>
      </c>
      <c r="W1330" t="str">
        <f t="shared" si="113"/>
        <v>07</v>
      </c>
      <c r="X1330" t="str">
        <f t="shared" si="114"/>
        <v>22</v>
      </c>
      <c r="Y1330" t="str">
        <f t="shared" si="115"/>
        <v>2022</v>
      </c>
      <c r="Z1330"/>
      <c r="AA1330" s="2">
        <f t="shared" si="116"/>
        <v>44767</v>
      </c>
      <c r="AB1330"/>
      <c r="AC1330"/>
    </row>
    <row r="1331" spans="21:29" ht="15">
      <c r="U1331" s="238" t="s">
        <v>9913</v>
      </c>
      <c r="V1331" t="str">
        <f t="shared" si="112"/>
        <v>26</v>
      </c>
      <c r="W1331" t="str">
        <f t="shared" si="113"/>
        <v>07</v>
      </c>
      <c r="X1331" t="str">
        <f t="shared" si="114"/>
        <v>22</v>
      </c>
      <c r="Y1331" t="str">
        <f t="shared" si="115"/>
        <v>2022</v>
      </c>
      <c r="Z1331"/>
      <c r="AA1331" s="2">
        <f t="shared" si="116"/>
        <v>44768</v>
      </c>
      <c r="AB1331"/>
      <c r="AC1331"/>
    </row>
    <row r="1332" spans="21:29" ht="15">
      <c r="U1332" s="238" t="s">
        <v>9913</v>
      </c>
      <c r="V1332" t="str">
        <f t="shared" si="112"/>
        <v>26</v>
      </c>
      <c r="W1332" t="str">
        <f t="shared" si="113"/>
        <v>07</v>
      </c>
      <c r="X1332" t="str">
        <f t="shared" si="114"/>
        <v>22</v>
      </c>
      <c r="Y1332" t="str">
        <f t="shared" si="115"/>
        <v>2022</v>
      </c>
      <c r="Z1332"/>
      <c r="AA1332" s="2">
        <f t="shared" si="116"/>
        <v>44768</v>
      </c>
      <c r="AB1332"/>
      <c r="AC1332"/>
    </row>
    <row r="1333" spans="21:29" ht="15">
      <c r="U1333" s="238" t="s">
        <v>9913</v>
      </c>
      <c r="V1333" t="str">
        <f t="shared" si="112"/>
        <v>26</v>
      </c>
      <c r="W1333" t="str">
        <f t="shared" si="113"/>
        <v>07</v>
      </c>
      <c r="X1333" t="str">
        <f t="shared" si="114"/>
        <v>22</v>
      </c>
      <c r="Y1333" t="str">
        <f t="shared" si="115"/>
        <v>2022</v>
      </c>
      <c r="Z1333"/>
      <c r="AA1333" s="2">
        <f t="shared" si="116"/>
        <v>44768</v>
      </c>
      <c r="AB1333"/>
      <c r="AC1333"/>
    </row>
    <row r="1334" spans="21:29" ht="15">
      <c r="U1334" s="238" t="s">
        <v>9913</v>
      </c>
      <c r="V1334" t="str">
        <f t="shared" si="112"/>
        <v>26</v>
      </c>
      <c r="W1334" t="str">
        <f t="shared" si="113"/>
        <v>07</v>
      </c>
      <c r="X1334" t="str">
        <f t="shared" si="114"/>
        <v>22</v>
      </c>
      <c r="Y1334" t="str">
        <f t="shared" si="115"/>
        <v>2022</v>
      </c>
      <c r="Z1334"/>
      <c r="AA1334" s="2">
        <f t="shared" si="116"/>
        <v>44768</v>
      </c>
      <c r="AB1334"/>
      <c r="AC1334"/>
    </row>
    <row r="1335" spans="21:29" ht="15">
      <c r="U1335" s="238" t="s">
        <v>9913</v>
      </c>
      <c r="V1335" t="str">
        <f t="shared" si="112"/>
        <v>26</v>
      </c>
      <c r="W1335" t="str">
        <f t="shared" si="113"/>
        <v>07</v>
      </c>
      <c r="X1335" t="str">
        <f t="shared" si="114"/>
        <v>22</v>
      </c>
      <c r="Y1335" t="str">
        <f t="shared" si="115"/>
        <v>2022</v>
      </c>
      <c r="Z1335"/>
      <c r="AA1335" s="2">
        <f t="shared" si="116"/>
        <v>44768</v>
      </c>
      <c r="AB1335"/>
      <c r="AC1335"/>
    </row>
    <row r="1336" spans="21:29" ht="15">
      <c r="U1336" s="238" t="s">
        <v>9913</v>
      </c>
      <c r="V1336" t="str">
        <f t="shared" si="112"/>
        <v>26</v>
      </c>
      <c r="W1336" t="str">
        <f t="shared" si="113"/>
        <v>07</v>
      </c>
      <c r="X1336" t="str">
        <f t="shared" si="114"/>
        <v>22</v>
      </c>
      <c r="Y1336" t="str">
        <f t="shared" si="115"/>
        <v>2022</v>
      </c>
      <c r="Z1336"/>
      <c r="AA1336" s="2">
        <f t="shared" si="116"/>
        <v>44768</v>
      </c>
      <c r="AB1336"/>
      <c r="AC1336"/>
    </row>
    <row r="1337" spans="21:29" ht="15">
      <c r="U1337" s="238" t="s">
        <v>9914</v>
      </c>
      <c r="V1337" t="str">
        <f t="shared" si="112"/>
        <v>27</v>
      </c>
      <c r="W1337" t="str">
        <f t="shared" si="113"/>
        <v>07</v>
      </c>
      <c r="X1337" t="str">
        <f t="shared" si="114"/>
        <v>22</v>
      </c>
      <c r="Y1337" t="str">
        <f t="shared" si="115"/>
        <v>2022</v>
      </c>
      <c r="Z1337"/>
      <c r="AA1337" s="2">
        <f t="shared" si="116"/>
        <v>44769</v>
      </c>
      <c r="AB1337"/>
      <c r="AC1337"/>
    </row>
    <row r="1338" spans="21:29" ht="15">
      <c r="U1338" s="238" t="s">
        <v>9914</v>
      </c>
      <c r="V1338" t="str">
        <f t="shared" si="112"/>
        <v>27</v>
      </c>
      <c r="W1338" t="str">
        <f t="shared" si="113"/>
        <v>07</v>
      </c>
      <c r="X1338" t="str">
        <f t="shared" si="114"/>
        <v>22</v>
      </c>
      <c r="Y1338" t="str">
        <f t="shared" si="115"/>
        <v>2022</v>
      </c>
      <c r="Z1338"/>
      <c r="AA1338" s="2">
        <f t="shared" si="116"/>
        <v>44769</v>
      </c>
      <c r="AB1338"/>
      <c r="AC1338"/>
    </row>
    <row r="1339" spans="21:29" ht="15">
      <c r="U1339" s="238" t="s">
        <v>9914</v>
      </c>
      <c r="V1339" t="str">
        <f t="shared" si="112"/>
        <v>27</v>
      </c>
      <c r="W1339" t="str">
        <f t="shared" si="113"/>
        <v>07</v>
      </c>
      <c r="X1339" t="str">
        <f t="shared" si="114"/>
        <v>22</v>
      </c>
      <c r="Y1339" t="str">
        <f t="shared" si="115"/>
        <v>2022</v>
      </c>
      <c r="Z1339"/>
      <c r="AA1339" s="2">
        <f t="shared" si="116"/>
        <v>44769</v>
      </c>
      <c r="AB1339"/>
      <c r="AC1339"/>
    </row>
    <row r="1340" spans="21:29" ht="15">
      <c r="U1340" s="238" t="s">
        <v>9915</v>
      </c>
      <c r="V1340" t="str">
        <f t="shared" si="112"/>
        <v>28</v>
      </c>
      <c r="W1340" t="str">
        <f t="shared" si="113"/>
        <v>07</v>
      </c>
      <c r="X1340" t="str">
        <f t="shared" si="114"/>
        <v>22</v>
      </c>
      <c r="Y1340" t="str">
        <f t="shared" si="115"/>
        <v>2022</v>
      </c>
      <c r="Z1340"/>
      <c r="AA1340" s="2">
        <f t="shared" si="116"/>
        <v>44770</v>
      </c>
      <c r="AB1340"/>
      <c r="AC1340"/>
    </row>
    <row r="1341" spans="21:29" ht="15">
      <c r="U1341" s="238" t="s">
        <v>9915</v>
      </c>
      <c r="V1341" t="str">
        <f t="shared" si="112"/>
        <v>28</v>
      </c>
      <c r="W1341" t="str">
        <f t="shared" si="113"/>
        <v>07</v>
      </c>
      <c r="X1341" t="str">
        <f t="shared" si="114"/>
        <v>22</v>
      </c>
      <c r="Y1341" t="str">
        <f t="shared" si="115"/>
        <v>2022</v>
      </c>
      <c r="Z1341"/>
      <c r="AA1341" s="2">
        <f t="shared" si="116"/>
        <v>44770</v>
      </c>
      <c r="AB1341"/>
      <c r="AC1341"/>
    </row>
    <row r="1342" spans="21:29" ht="15">
      <c r="U1342" s="238" t="s">
        <v>9915</v>
      </c>
      <c r="V1342" t="str">
        <f t="shared" si="112"/>
        <v>28</v>
      </c>
      <c r="W1342" t="str">
        <f t="shared" si="113"/>
        <v>07</v>
      </c>
      <c r="X1342" t="str">
        <f t="shared" si="114"/>
        <v>22</v>
      </c>
      <c r="Y1342" t="str">
        <f t="shared" si="115"/>
        <v>2022</v>
      </c>
      <c r="Z1342"/>
      <c r="AA1342" s="2">
        <f t="shared" si="116"/>
        <v>44770</v>
      </c>
      <c r="AB1342"/>
      <c r="AC1342"/>
    </row>
    <row r="1343" spans="21:29" ht="15">
      <c r="U1343" s="238" t="s">
        <v>9915</v>
      </c>
      <c r="V1343" t="str">
        <f t="shared" si="112"/>
        <v>28</v>
      </c>
      <c r="W1343" t="str">
        <f t="shared" si="113"/>
        <v>07</v>
      </c>
      <c r="X1343" t="str">
        <f t="shared" si="114"/>
        <v>22</v>
      </c>
      <c r="Y1343" t="str">
        <f t="shared" si="115"/>
        <v>2022</v>
      </c>
      <c r="Z1343"/>
      <c r="AA1343" s="2">
        <f t="shared" si="116"/>
        <v>44770</v>
      </c>
      <c r="AB1343"/>
      <c r="AC1343"/>
    </row>
    <row r="1344" spans="21:29" ht="15">
      <c r="U1344" s="238" t="s">
        <v>9916</v>
      </c>
      <c r="V1344" t="str">
        <f t="shared" si="112"/>
        <v>29</v>
      </c>
      <c r="W1344" t="str">
        <f t="shared" si="113"/>
        <v>07</v>
      </c>
      <c r="X1344" t="str">
        <f t="shared" si="114"/>
        <v>22</v>
      </c>
      <c r="Y1344" t="str">
        <f t="shared" si="115"/>
        <v>2022</v>
      </c>
      <c r="Z1344"/>
      <c r="AA1344" s="2">
        <f t="shared" si="116"/>
        <v>44771</v>
      </c>
      <c r="AB1344"/>
      <c r="AC1344"/>
    </row>
    <row r="1345" spans="21:29" ht="15">
      <c r="U1345" s="238" t="s">
        <v>9916</v>
      </c>
      <c r="V1345" t="str">
        <f t="shared" si="112"/>
        <v>29</v>
      </c>
      <c r="W1345" t="str">
        <f t="shared" si="113"/>
        <v>07</v>
      </c>
      <c r="X1345" t="str">
        <f t="shared" si="114"/>
        <v>22</v>
      </c>
      <c r="Y1345" t="str">
        <f t="shared" si="115"/>
        <v>2022</v>
      </c>
      <c r="Z1345"/>
      <c r="AA1345" s="2">
        <f t="shared" si="116"/>
        <v>44771</v>
      </c>
      <c r="AB1345"/>
      <c r="AC1345"/>
    </row>
    <row r="1346" spans="21:29" ht="15">
      <c r="U1346" s="238" t="s">
        <v>9916</v>
      </c>
      <c r="V1346" t="str">
        <f t="shared" si="112"/>
        <v>29</v>
      </c>
      <c r="W1346" t="str">
        <f t="shared" si="113"/>
        <v>07</v>
      </c>
      <c r="X1346" t="str">
        <f t="shared" si="114"/>
        <v>22</v>
      </c>
      <c r="Y1346" t="str">
        <f t="shared" si="115"/>
        <v>2022</v>
      </c>
      <c r="Z1346"/>
      <c r="AA1346" s="2">
        <f t="shared" si="116"/>
        <v>44771</v>
      </c>
      <c r="AB1346"/>
      <c r="AC1346"/>
    </row>
    <row r="1347" spans="21:29" ht="15">
      <c r="U1347" s="238" t="s">
        <v>9916</v>
      </c>
      <c r="V1347" t="str">
        <f t="shared" ref="V1347:V1410" si="117">LEFT(U1347,2)</f>
        <v>29</v>
      </c>
      <c r="W1347" t="str">
        <f t="shared" ref="W1347:W1410" si="118">MID(U1347,4,2)</f>
        <v>07</v>
      </c>
      <c r="X1347" t="str">
        <f t="shared" ref="X1347:X1410" si="119">RIGHT(U1347,2)</f>
        <v>22</v>
      </c>
      <c r="Y1347" t="str">
        <f t="shared" ref="Y1347:Y1410" si="120">"20" &amp; X1347</f>
        <v>2022</v>
      </c>
      <c r="Z1347"/>
      <c r="AA1347" s="2">
        <f t="shared" si="116"/>
        <v>44771</v>
      </c>
      <c r="AB1347"/>
      <c r="AC1347"/>
    </row>
    <row r="1348" spans="21:29" ht="15">
      <c r="U1348" s="238" t="s">
        <v>9917</v>
      </c>
      <c r="V1348" t="str">
        <f t="shared" si="117"/>
        <v>31</v>
      </c>
      <c r="W1348" t="str">
        <f t="shared" si="118"/>
        <v>07</v>
      </c>
      <c r="X1348" t="str">
        <f t="shared" si="119"/>
        <v>22</v>
      </c>
      <c r="Y1348" t="str">
        <f t="shared" si="120"/>
        <v>2022</v>
      </c>
      <c r="Z1348"/>
      <c r="AA1348" s="2">
        <f t="shared" ref="AA1348:AA1411" si="121">DATE(Y1348,W1348,V1348)</f>
        <v>44773</v>
      </c>
      <c r="AB1348"/>
      <c r="AC1348"/>
    </row>
    <row r="1349" spans="21:29" ht="15">
      <c r="U1349" s="238" t="s">
        <v>9917</v>
      </c>
      <c r="V1349" t="str">
        <f t="shared" si="117"/>
        <v>31</v>
      </c>
      <c r="W1349" t="str">
        <f t="shared" si="118"/>
        <v>07</v>
      </c>
      <c r="X1349" t="str">
        <f t="shared" si="119"/>
        <v>22</v>
      </c>
      <c r="Y1349" t="str">
        <f t="shared" si="120"/>
        <v>2022</v>
      </c>
      <c r="Z1349"/>
      <c r="AA1349" s="2">
        <f t="shared" si="121"/>
        <v>44773</v>
      </c>
      <c r="AB1349"/>
      <c r="AC1349"/>
    </row>
    <row r="1350" spans="21:29" ht="15">
      <c r="U1350" s="238" t="s">
        <v>9918</v>
      </c>
      <c r="V1350" t="str">
        <f t="shared" si="117"/>
        <v>01</v>
      </c>
      <c r="W1350" t="str">
        <f t="shared" si="118"/>
        <v>08</v>
      </c>
      <c r="X1350" t="str">
        <f t="shared" si="119"/>
        <v>22</v>
      </c>
      <c r="Y1350" t="str">
        <f t="shared" si="120"/>
        <v>2022</v>
      </c>
      <c r="Z1350"/>
      <c r="AA1350" s="2">
        <f t="shared" si="121"/>
        <v>44774</v>
      </c>
      <c r="AB1350"/>
      <c r="AC1350"/>
    </row>
    <row r="1351" spans="21:29" ht="15">
      <c r="U1351" s="238" t="s">
        <v>9918</v>
      </c>
      <c r="V1351" t="str">
        <f t="shared" si="117"/>
        <v>01</v>
      </c>
      <c r="W1351" t="str">
        <f t="shared" si="118"/>
        <v>08</v>
      </c>
      <c r="X1351" t="str">
        <f t="shared" si="119"/>
        <v>22</v>
      </c>
      <c r="Y1351" t="str">
        <f t="shared" si="120"/>
        <v>2022</v>
      </c>
      <c r="Z1351"/>
      <c r="AA1351" s="2">
        <f t="shared" si="121"/>
        <v>44774</v>
      </c>
      <c r="AB1351"/>
      <c r="AC1351"/>
    </row>
    <row r="1352" spans="21:29" ht="15">
      <c r="U1352" s="238" t="s">
        <v>9918</v>
      </c>
      <c r="V1352" t="str">
        <f t="shared" si="117"/>
        <v>01</v>
      </c>
      <c r="W1352" t="str">
        <f t="shared" si="118"/>
        <v>08</v>
      </c>
      <c r="X1352" t="str">
        <f t="shared" si="119"/>
        <v>22</v>
      </c>
      <c r="Y1352" t="str">
        <f t="shared" si="120"/>
        <v>2022</v>
      </c>
      <c r="Z1352"/>
      <c r="AA1352" s="2">
        <f t="shared" si="121"/>
        <v>44774</v>
      </c>
      <c r="AB1352"/>
      <c r="AC1352"/>
    </row>
    <row r="1353" spans="21:29" ht="15">
      <c r="U1353" s="238" t="s">
        <v>9918</v>
      </c>
      <c r="V1353" t="str">
        <f t="shared" si="117"/>
        <v>01</v>
      </c>
      <c r="W1353" t="str">
        <f t="shared" si="118"/>
        <v>08</v>
      </c>
      <c r="X1353" t="str">
        <f t="shared" si="119"/>
        <v>22</v>
      </c>
      <c r="Y1353" t="str">
        <f t="shared" si="120"/>
        <v>2022</v>
      </c>
      <c r="Z1353"/>
      <c r="AA1353" s="2">
        <f t="shared" si="121"/>
        <v>44774</v>
      </c>
      <c r="AB1353"/>
      <c r="AC1353"/>
    </row>
    <row r="1354" spans="21:29" ht="15">
      <c r="U1354" s="238" t="s">
        <v>9918</v>
      </c>
      <c r="V1354" t="str">
        <f t="shared" si="117"/>
        <v>01</v>
      </c>
      <c r="W1354" t="str">
        <f t="shared" si="118"/>
        <v>08</v>
      </c>
      <c r="X1354" t="str">
        <f t="shared" si="119"/>
        <v>22</v>
      </c>
      <c r="Y1354" t="str">
        <f t="shared" si="120"/>
        <v>2022</v>
      </c>
      <c r="Z1354"/>
      <c r="AA1354" s="2">
        <f t="shared" si="121"/>
        <v>44774</v>
      </c>
      <c r="AB1354"/>
      <c r="AC1354"/>
    </row>
    <row r="1355" spans="21:29" ht="15">
      <c r="U1355" s="238" t="s">
        <v>9918</v>
      </c>
      <c r="V1355" t="str">
        <f t="shared" si="117"/>
        <v>01</v>
      </c>
      <c r="W1355" t="str">
        <f t="shared" si="118"/>
        <v>08</v>
      </c>
      <c r="X1355" t="str">
        <f t="shared" si="119"/>
        <v>22</v>
      </c>
      <c r="Y1355" t="str">
        <f t="shared" si="120"/>
        <v>2022</v>
      </c>
      <c r="Z1355"/>
      <c r="AA1355" s="2">
        <f t="shared" si="121"/>
        <v>44774</v>
      </c>
      <c r="AB1355"/>
      <c r="AC1355"/>
    </row>
    <row r="1356" spans="21:29" ht="15">
      <c r="U1356" s="238" t="s">
        <v>9919</v>
      </c>
      <c r="V1356" t="str">
        <f t="shared" si="117"/>
        <v>02</v>
      </c>
      <c r="W1356" t="str">
        <f t="shared" si="118"/>
        <v>08</v>
      </c>
      <c r="X1356" t="str">
        <f t="shared" si="119"/>
        <v>22</v>
      </c>
      <c r="Y1356" t="str">
        <f t="shared" si="120"/>
        <v>2022</v>
      </c>
      <c r="Z1356"/>
      <c r="AA1356" s="2">
        <f t="shared" si="121"/>
        <v>44775</v>
      </c>
      <c r="AB1356"/>
      <c r="AC1356"/>
    </row>
    <row r="1357" spans="21:29" ht="15">
      <c r="U1357" s="238" t="s">
        <v>9919</v>
      </c>
      <c r="V1357" t="str">
        <f t="shared" si="117"/>
        <v>02</v>
      </c>
      <c r="W1357" t="str">
        <f t="shared" si="118"/>
        <v>08</v>
      </c>
      <c r="X1357" t="str">
        <f t="shared" si="119"/>
        <v>22</v>
      </c>
      <c r="Y1357" t="str">
        <f t="shared" si="120"/>
        <v>2022</v>
      </c>
      <c r="Z1357"/>
      <c r="AA1357" s="2">
        <f t="shared" si="121"/>
        <v>44775</v>
      </c>
      <c r="AB1357"/>
      <c r="AC1357"/>
    </row>
    <row r="1358" spans="21:29" ht="15">
      <c r="U1358" s="238" t="s">
        <v>9920</v>
      </c>
      <c r="V1358" t="str">
        <f t="shared" si="117"/>
        <v>04</v>
      </c>
      <c r="W1358" t="str">
        <f t="shared" si="118"/>
        <v>08</v>
      </c>
      <c r="X1358" t="str">
        <f t="shared" si="119"/>
        <v>22</v>
      </c>
      <c r="Y1358" t="str">
        <f t="shared" si="120"/>
        <v>2022</v>
      </c>
      <c r="Z1358"/>
      <c r="AA1358" s="2">
        <f t="shared" si="121"/>
        <v>44777</v>
      </c>
      <c r="AB1358"/>
      <c r="AC1358"/>
    </row>
    <row r="1359" spans="21:29" ht="15">
      <c r="U1359" s="238" t="s">
        <v>9920</v>
      </c>
      <c r="V1359" t="str">
        <f t="shared" si="117"/>
        <v>04</v>
      </c>
      <c r="W1359" t="str">
        <f t="shared" si="118"/>
        <v>08</v>
      </c>
      <c r="X1359" t="str">
        <f t="shared" si="119"/>
        <v>22</v>
      </c>
      <c r="Y1359" t="str">
        <f t="shared" si="120"/>
        <v>2022</v>
      </c>
      <c r="Z1359"/>
      <c r="AA1359" s="2">
        <f t="shared" si="121"/>
        <v>44777</v>
      </c>
      <c r="AB1359"/>
      <c r="AC1359"/>
    </row>
    <row r="1360" spans="21:29" ht="15">
      <c r="U1360" s="238" t="s">
        <v>9920</v>
      </c>
      <c r="V1360" t="str">
        <f t="shared" si="117"/>
        <v>04</v>
      </c>
      <c r="W1360" t="str">
        <f t="shared" si="118"/>
        <v>08</v>
      </c>
      <c r="X1360" t="str">
        <f t="shared" si="119"/>
        <v>22</v>
      </c>
      <c r="Y1360" t="str">
        <f t="shared" si="120"/>
        <v>2022</v>
      </c>
      <c r="Z1360"/>
      <c r="AA1360" s="2">
        <f t="shared" si="121"/>
        <v>44777</v>
      </c>
      <c r="AB1360"/>
      <c r="AC1360"/>
    </row>
    <row r="1361" spans="21:29" ht="15">
      <c r="U1361" s="238" t="s">
        <v>9921</v>
      </c>
      <c r="V1361" t="str">
        <f t="shared" si="117"/>
        <v>05</v>
      </c>
      <c r="W1361" t="str">
        <f t="shared" si="118"/>
        <v>08</v>
      </c>
      <c r="X1361" t="str">
        <f t="shared" si="119"/>
        <v>22</v>
      </c>
      <c r="Y1361" t="str">
        <f t="shared" si="120"/>
        <v>2022</v>
      </c>
      <c r="Z1361"/>
      <c r="AA1361" s="2">
        <f t="shared" si="121"/>
        <v>44778</v>
      </c>
      <c r="AB1361"/>
      <c r="AC1361"/>
    </row>
    <row r="1362" spans="21:29" ht="15">
      <c r="U1362" s="238" t="s">
        <v>9921</v>
      </c>
      <c r="V1362" t="str">
        <f t="shared" si="117"/>
        <v>05</v>
      </c>
      <c r="W1362" t="str">
        <f t="shared" si="118"/>
        <v>08</v>
      </c>
      <c r="X1362" t="str">
        <f t="shared" si="119"/>
        <v>22</v>
      </c>
      <c r="Y1362" t="str">
        <f t="shared" si="120"/>
        <v>2022</v>
      </c>
      <c r="Z1362"/>
      <c r="AA1362" s="2">
        <f t="shared" si="121"/>
        <v>44778</v>
      </c>
      <c r="AB1362"/>
      <c r="AC1362"/>
    </row>
    <row r="1363" spans="21:29" ht="15">
      <c r="U1363" s="238" t="s">
        <v>9921</v>
      </c>
      <c r="V1363" t="str">
        <f t="shared" si="117"/>
        <v>05</v>
      </c>
      <c r="W1363" t="str">
        <f t="shared" si="118"/>
        <v>08</v>
      </c>
      <c r="X1363" t="str">
        <f t="shared" si="119"/>
        <v>22</v>
      </c>
      <c r="Y1363" t="str">
        <f t="shared" si="120"/>
        <v>2022</v>
      </c>
      <c r="Z1363"/>
      <c r="AA1363" s="2">
        <f t="shared" si="121"/>
        <v>44778</v>
      </c>
      <c r="AB1363"/>
      <c r="AC1363"/>
    </row>
    <row r="1364" spans="21:29" ht="15">
      <c r="U1364" s="238" t="s">
        <v>9922</v>
      </c>
      <c r="V1364" t="str">
        <f t="shared" si="117"/>
        <v>08</v>
      </c>
      <c r="W1364" t="str">
        <f t="shared" si="118"/>
        <v>08</v>
      </c>
      <c r="X1364" t="str">
        <f t="shared" si="119"/>
        <v>22</v>
      </c>
      <c r="Y1364" t="str">
        <f t="shared" si="120"/>
        <v>2022</v>
      </c>
      <c r="Z1364"/>
      <c r="AA1364" s="2">
        <f t="shared" si="121"/>
        <v>44781</v>
      </c>
      <c r="AB1364"/>
      <c r="AC1364"/>
    </row>
    <row r="1365" spans="21:29" ht="15">
      <c r="U1365" s="238" t="s">
        <v>9922</v>
      </c>
      <c r="V1365" t="str">
        <f t="shared" si="117"/>
        <v>08</v>
      </c>
      <c r="W1365" t="str">
        <f t="shared" si="118"/>
        <v>08</v>
      </c>
      <c r="X1365" t="str">
        <f t="shared" si="119"/>
        <v>22</v>
      </c>
      <c r="Y1365" t="str">
        <f t="shared" si="120"/>
        <v>2022</v>
      </c>
      <c r="Z1365"/>
      <c r="AA1365" s="2">
        <f t="shared" si="121"/>
        <v>44781</v>
      </c>
      <c r="AB1365"/>
      <c r="AC1365"/>
    </row>
    <row r="1366" spans="21:29" ht="15">
      <c r="U1366" s="238" t="s">
        <v>9922</v>
      </c>
      <c r="V1366" t="str">
        <f t="shared" si="117"/>
        <v>08</v>
      </c>
      <c r="W1366" t="str">
        <f t="shared" si="118"/>
        <v>08</v>
      </c>
      <c r="X1366" t="str">
        <f t="shared" si="119"/>
        <v>22</v>
      </c>
      <c r="Y1366" t="str">
        <f t="shared" si="120"/>
        <v>2022</v>
      </c>
      <c r="Z1366"/>
      <c r="AA1366" s="2">
        <f t="shared" si="121"/>
        <v>44781</v>
      </c>
      <c r="AB1366"/>
      <c r="AC1366"/>
    </row>
    <row r="1367" spans="21:29" ht="15">
      <c r="U1367" s="238" t="s">
        <v>9922</v>
      </c>
      <c r="V1367" t="str">
        <f t="shared" si="117"/>
        <v>08</v>
      </c>
      <c r="W1367" t="str">
        <f t="shared" si="118"/>
        <v>08</v>
      </c>
      <c r="X1367" t="str">
        <f t="shared" si="119"/>
        <v>22</v>
      </c>
      <c r="Y1367" t="str">
        <f t="shared" si="120"/>
        <v>2022</v>
      </c>
      <c r="Z1367"/>
      <c r="AA1367" s="2">
        <f t="shared" si="121"/>
        <v>44781</v>
      </c>
      <c r="AB1367"/>
      <c r="AC1367"/>
    </row>
    <row r="1368" spans="21:29" ht="15">
      <c r="U1368" s="238" t="s">
        <v>9923</v>
      </c>
      <c r="V1368" t="str">
        <f t="shared" si="117"/>
        <v>10</v>
      </c>
      <c r="W1368" t="str">
        <f t="shared" si="118"/>
        <v>08</v>
      </c>
      <c r="X1368" t="str">
        <f t="shared" si="119"/>
        <v>22</v>
      </c>
      <c r="Y1368" t="str">
        <f t="shared" si="120"/>
        <v>2022</v>
      </c>
      <c r="Z1368"/>
      <c r="AA1368" s="2">
        <f t="shared" si="121"/>
        <v>44783</v>
      </c>
      <c r="AB1368"/>
      <c r="AC1368"/>
    </row>
    <row r="1369" spans="21:29" ht="15">
      <c r="U1369" s="238" t="s">
        <v>9923</v>
      </c>
      <c r="V1369" t="str">
        <f t="shared" si="117"/>
        <v>10</v>
      </c>
      <c r="W1369" t="str">
        <f t="shared" si="118"/>
        <v>08</v>
      </c>
      <c r="X1369" t="str">
        <f t="shared" si="119"/>
        <v>22</v>
      </c>
      <c r="Y1369" t="str">
        <f t="shared" si="120"/>
        <v>2022</v>
      </c>
      <c r="Z1369"/>
      <c r="AA1369" s="2">
        <f t="shared" si="121"/>
        <v>44783</v>
      </c>
      <c r="AB1369"/>
      <c r="AC1369"/>
    </row>
    <row r="1370" spans="21:29" ht="15">
      <c r="U1370" s="238" t="s">
        <v>9923</v>
      </c>
      <c r="V1370" t="str">
        <f t="shared" si="117"/>
        <v>10</v>
      </c>
      <c r="W1370" t="str">
        <f t="shared" si="118"/>
        <v>08</v>
      </c>
      <c r="X1370" t="str">
        <f t="shared" si="119"/>
        <v>22</v>
      </c>
      <c r="Y1370" t="str">
        <f t="shared" si="120"/>
        <v>2022</v>
      </c>
      <c r="Z1370"/>
      <c r="AA1370" s="2">
        <f t="shared" si="121"/>
        <v>44783</v>
      </c>
      <c r="AB1370"/>
      <c r="AC1370"/>
    </row>
    <row r="1371" spans="21:29" ht="15">
      <c r="U1371" s="238" t="s">
        <v>9924</v>
      </c>
      <c r="V1371" t="str">
        <f t="shared" si="117"/>
        <v>11</v>
      </c>
      <c r="W1371" t="str">
        <f t="shared" si="118"/>
        <v>08</v>
      </c>
      <c r="X1371" t="str">
        <f t="shared" si="119"/>
        <v>22</v>
      </c>
      <c r="Y1371" t="str">
        <f t="shared" si="120"/>
        <v>2022</v>
      </c>
      <c r="Z1371"/>
      <c r="AA1371" s="2">
        <f t="shared" si="121"/>
        <v>44784</v>
      </c>
      <c r="AB1371"/>
      <c r="AC1371"/>
    </row>
    <row r="1372" spans="21:29" ht="15">
      <c r="U1372" s="238" t="s">
        <v>9924</v>
      </c>
      <c r="V1372" t="str">
        <f t="shared" si="117"/>
        <v>11</v>
      </c>
      <c r="W1372" t="str">
        <f t="shared" si="118"/>
        <v>08</v>
      </c>
      <c r="X1372" t="str">
        <f t="shared" si="119"/>
        <v>22</v>
      </c>
      <c r="Y1372" t="str">
        <f t="shared" si="120"/>
        <v>2022</v>
      </c>
      <c r="Z1372"/>
      <c r="AA1372" s="2">
        <f t="shared" si="121"/>
        <v>44784</v>
      </c>
      <c r="AB1372"/>
      <c r="AC1372"/>
    </row>
    <row r="1373" spans="21:29" ht="15">
      <c r="U1373" s="238" t="s">
        <v>9924</v>
      </c>
      <c r="V1373" t="str">
        <f t="shared" si="117"/>
        <v>11</v>
      </c>
      <c r="W1373" t="str">
        <f t="shared" si="118"/>
        <v>08</v>
      </c>
      <c r="X1373" t="str">
        <f t="shared" si="119"/>
        <v>22</v>
      </c>
      <c r="Y1373" t="str">
        <f t="shared" si="120"/>
        <v>2022</v>
      </c>
      <c r="Z1373"/>
      <c r="AA1373" s="2">
        <f t="shared" si="121"/>
        <v>44784</v>
      </c>
      <c r="AB1373"/>
      <c r="AC1373"/>
    </row>
    <row r="1374" spans="21:29" ht="15">
      <c r="U1374" s="238" t="s">
        <v>9924</v>
      </c>
      <c r="V1374" t="str">
        <f t="shared" si="117"/>
        <v>11</v>
      </c>
      <c r="W1374" t="str">
        <f t="shared" si="118"/>
        <v>08</v>
      </c>
      <c r="X1374" t="str">
        <f t="shared" si="119"/>
        <v>22</v>
      </c>
      <c r="Y1374" t="str">
        <f t="shared" si="120"/>
        <v>2022</v>
      </c>
      <c r="Z1374"/>
      <c r="AA1374" s="2">
        <f t="shared" si="121"/>
        <v>44784</v>
      </c>
      <c r="AB1374"/>
      <c r="AC1374"/>
    </row>
    <row r="1375" spans="21:29" ht="15">
      <c r="U1375" s="238" t="s">
        <v>9924</v>
      </c>
      <c r="V1375" t="str">
        <f t="shared" si="117"/>
        <v>11</v>
      </c>
      <c r="W1375" t="str">
        <f t="shared" si="118"/>
        <v>08</v>
      </c>
      <c r="X1375" t="str">
        <f t="shared" si="119"/>
        <v>22</v>
      </c>
      <c r="Y1375" t="str">
        <f t="shared" si="120"/>
        <v>2022</v>
      </c>
      <c r="Z1375"/>
      <c r="AA1375" s="2">
        <f t="shared" si="121"/>
        <v>44784</v>
      </c>
      <c r="AB1375"/>
      <c r="AC1375"/>
    </row>
    <row r="1376" spans="21:29" ht="15">
      <c r="U1376" s="238" t="s">
        <v>9925</v>
      </c>
      <c r="V1376" t="str">
        <f t="shared" si="117"/>
        <v>12</v>
      </c>
      <c r="W1376" t="str">
        <f t="shared" si="118"/>
        <v>08</v>
      </c>
      <c r="X1376" t="str">
        <f t="shared" si="119"/>
        <v>22</v>
      </c>
      <c r="Y1376" t="str">
        <f t="shared" si="120"/>
        <v>2022</v>
      </c>
      <c r="Z1376"/>
      <c r="AA1376" s="2">
        <f t="shared" si="121"/>
        <v>44785</v>
      </c>
      <c r="AB1376"/>
      <c r="AC1376"/>
    </row>
    <row r="1377" spans="21:29" ht="15">
      <c r="U1377" s="238" t="s">
        <v>9925</v>
      </c>
      <c r="V1377" t="str">
        <f t="shared" si="117"/>
        <v>12</v>
      </c>
      <c r="W1377" t="str">
        <f t="shared" si="118"/>
        <v>08</v>
      </c>
      <c r="X1377" t="str">
        <f t="shared" si="119"/>
        <v>22</v>
      </c>
      <c r="Y1377" t="str">
        <f t="shared" si="120"/>
        <v>2022</v>
      </c>
      <c r="Z1377"/>
      <c r="AA1377" s="2">
        <f t="shared" si="121"/>
        <v>44785</v>
      </c>
      <c r="AB1377"/>
      <c r="AC1377"/>
    </row>
    <row r="1378" spans="21:29" ht="15">
      <c r="U1378" s="238" t="s">
        <v>9926</v>
      </c>
      <c r="V1378" t="str">
        <f t="shared" si="117"/>
        <v>13</v>
      </c>
      <c r="W1378" t="str">
        <f t="shared" si="118"/>
        <v>08</v>
      </c>
      <c r="X1378" t="str">
        <f t="shared" si="119"/>
        <v>22</v>
      </c>
      <c r="Y1378" t="str">
        <f t="shared" si="120"/>
        <v>2022</v>
      </c>
      <c r="Z1378"/>
      <c r="AA1378" s="2">
        <f t="shared" si="121"/>
        <v>44786</v>
      </c>
      <c r="AB1378"/>
      <c r="AC1378"/>
    </row>
    <row r="1379" spans="21:29" ht="15">
      <c r="U1379" s="238" t="s">
        <v>9926</v>
      </c>
      <c r="V1379" t="str">
        <f t="shared" si="117"/>
        <v>13</v>
      </c>
      <c r="W1379" t="str">
        <f t="shared" si="118"/>
        <v>08</v>
      </c>
      <c r="X1379" t="str">
        <f t="shared" si="119"/>
        <v>22</v>
      </c>
      <c r="Y1379" t="str">
        <f t="shared" si="120"/>
        <v>2022</v>
      </c>
      <c r="Z1379"/>
      <c r="AA1379" s="2">
        <f t="shared" si="121"/>
        <v>44786</v>
      </c>
      <c r="AB1379"/>
      <c r="AC1379"/>
    </row>
    <row r="1380" spans="21:29" ht="15">
      <c r="U1380" s="238" t="s">
        <v>9927</v>
      </c>
      <c r="V1380" t="str">
        <f t="shared" si="117"/>
        <v>16</v>
      </c>
      <c r="W1380" t="str">
        <f t="shared" si="118"/>
        <v>08</v>
      </c>
      <c r="X1380" t="str">
        <f t="shared" si="119"/>
        <v>22</v>
      </c>
      <c r="Y1380" t="str">
        <f t="shared" si="120"/>
        <v>2022</v>
      </c>
      <c r="Z1380"/>
      <c r="AA1380" s="2">
        <f t="shared" si="121"/>
        <v>44789</v>
      </c>
      <c r="AB1380"/>
      <c r="AC1380"/>
    </row>
    <row r="1381" spans="21:29" ht="15">
      <c r="U1381" s="238" t="s">
        <v>9927</v>
      </c>
      <c r="V1381" t="str">
        <f t="shared" si="117"/>
        <v>16</v>
      </c>
      <c r="W1381" t="str">
        <f t="shared" si="118"/>
        <v>08</v>
      </c>
      <c r="X1381" t="str">
        <f t="shared" si="119"/>
        <v>22</v>
      </c>
      <c r="Y1381" t="str">
        <f t="shared" si="120"/>
        <v>2022</v>
      </c>
      <c r="Z1381"/>
      <c r="AA1381" s="2">
        <f t="shared" si="121"/>
        <v>44789</v>
      </c>
      <c r="AB1381"/>
      <c r="AC1381"/>
    </row>
    <row r="1382" spans="21:29" ht="15">
      <c r="U1382" s="238" t="s">
        <v>9927</v>
      </c>
      <c r="V1382" t="str">
        <f t="shared" si="117"/>
        <v>16</v>
      </c>
      <c r="W1382" t="str">
        <f t="shared" si="118"/>
        <v>08</v>
      </c>
      <c r="X1382" t="str">
        <f t="shared" si="119"/>
        <v>22</v>
      </c>
      <c r="Y1382" t="str">
        <f t="shared" si="120"/>
        <v>2022</v>
      </c>
      <c r="Z1382"/>
      <c r="AA1382" s="2">
        <f t="shared" si="121"/>
        <v>44789</v>
      </c>
      <c r="AB1382"/>
      <c r="AC1382"/>
    </row>
    <row r="1383" spans="21:29" ht="15">
      <c r="U1383" s="238" t="s">
        <v>9927</v>
      </c>
      <c r="V1383" t="str">
        <f t="shared" si="117"/>
        <v>16</v>
      </c>
      <c r="W1383" t="str">
        <f t="shared" si="118"/>
        <v>08</v>
      </c>
      <c r="X1383" t="str">
        <f t="shared" si="119"/>
        <v>22</v>
      </c>
      <c r="Y1383" t="str">
        <f t="shared" si="120"/>
        <v>2022</v>
      </c>
      <c r="Z1383"/>
      <c r="AA1383" s="2">
        <f t="shared" si="121"/>
        <v>44789</v>
      </c>
      <c r="AB1383"/>
      <c r="AC1383"/>
    </row>
    <row r="1384" spans="21:29" ht="15">
      <c r="U1384" s="238" t="s">
        <v>9927</v>
      </c>
      <c r="V1384" t="str">
        <f t="shared" si="117"/>
        <v>16</v>
      </c>
      <c r="W1384" t="str">
        <f t="shared" si="118"/>
        <v>08</v>
      </c>
      <c r="X1384" t="str">
        <f t="shared" si="119"/>
        <v>22</v>
      </c>
      <c r="Y1384" t="str">
        <f t="shared" si="120"/>
        <v>2022</v>
      </c>
      <c r="Z1384"/>
      <c r="AA1384" s="2">
        <f t="shared" si="121"/>
        <v>44789</v>
      </c>
      <c r="AB1384"/>
      <c r="AC1384"/>
    </row>
    <row r="1385" spans="21:29" ht="15">
      <c r="U1385" s="238" t="s">
        <v>9927</v>
      </c>
      <c r="V1385" t="str">
        <f t="shared" si="117"/>
        <v>16</v>
      </c>
      <c r="W1385" t="str">
        <f t="shared" si="118"/>
        <v>08</v>
      </c>
      <c r="X1385" t="str">
        <f t="shared" si="119"/>
        <v>22</v>
      </c>
      <c r="Y1385" t="str">
        <f t="shared" si="120"/>
        <v>2022</v>
      </c>
      <c r="Z1385"/>
      <c r="AA1385" s="2">
        <f t="shared" si="121"/>
        <v>44789</v>
      </c>
      <c r="AB1385"/>
      <c r="AC1385"/>
    </row>
    <row r="1386" spans="21:29" ht="15">
      <c r="U1386" s="238" t="s">
        <v>9928</v>
      </c>
      <c r="V1386" t="str">
        <f t="shared" si="117"/>
        <v>17</v>
      </c>
      <c r="W1386" t="str">
        <f t="shared" si="118"/>
        <v>08</v>
      </c>
      <c r="X1386" t="str">
        <f t="shared" si="119"/>
        <v>22</v>
      </c>
      <c r="Y1386" t="str">
        <f t="shared" si="120"/>
        <v>2022</v>
      </c>
      <c r="Z1386"/>
      <c r="AA1386" s="2">
        <f t="shared" si="121"/>
        <v>44790</v>
      </c>
      <c r="AB1386"/>
      <c r="AC1386"/>
    </row>
    <row r="1387" spans="21:29" ht="15">
      <c r="U1387" s="238" t="s">
        <v>9929</v>
      </c>
      <c r="V1387" t="str">
        <f t="shared" si="117"/>
        <v>19</v>
      </c>
      <c r="W1387" t="str">
        <f t="shared" si="118"/>
        <v>08</v>
      </c>
      <c r="X1387" t="str">
        <f t="shared" si="119"/>
        <v>22</v>
      </c>
      <c r="Y1387" t="str">
        <f t="shared" si="120"/>
        <v>2022</v>
      </c>
      <c r="Z1387"/>
      <c r="AA1387" s="2">
        <f t="shared" si="121"/>
        <v>44792</v>
      </c>
      <c r="AB1387"/>
      <c r="AC1387"/>
    </row>
    <row r="1388" spans="21:29" ht="15">
      <c r="U1388" s="238" t="s">
        <v>9929</v>
      </c>
      <c r="V1388" t="str">
        <f t="shared" si="117"/>
        <v>19</v>
      </c>
      <c r="W1388" t="str">
        <f t="shared" si="118"/>
        <v>08</v>
      </c>
      <c r="X1388" t="str">
        <f t="shared" si="119"/>
        <v>22</v>
      </c>
      <c r="Y1388" t="str">
        <f t="shared" si="120"/>
        <v>2022</v>
      </c>
      <c r="Z1388"/>
      <c r="AA1388" s="2">
        <f t="shared" si="121"/>
        <v>44792</v>
      </c>
      <c r="AB1388"/>
      <c r="AC1388"/>
    </row>
    <row r="1389" spans="21:29" ht="15">
      <c r="U1389" s="238" t="s">
        <v>9930</v>
      </c>
      <c r="V1389" t="str">
        <f t="shared" si="117"/>
        <v>20</v>
      </c>
      <c r="W1389" t="str">
        <f t="shared" si="118"/>
        <v>08</v>
      </c>
      <c r="X1389" t="str">
        <f t="shared" si="119"/>
        <v>22</v>
      </c>
      <c r="Y1389" t="str">
        <f t="shared" si="120"/>
        <v>2022</v>
      </c>
      <c r="Z1389"/>
      <c r="AA1389" s="2">
        <f t="shared" si="121"/>
        <v>44793</v>
      </c>
      <c r="AB1389"/>
      <c r="AC1389"/>
    </row>
    <row r="1390" spans="21:29" ht="15">
      <c r="U1390" s="238" t="s">
        <v>9930</v>
      </c>
      <c r="V1390" t="str">
        <f t="shared" si="117"/>
        <v>20</v>
      </c>
      <c r="W1390" t="str">
        <f t="shared" si="118"/>
        <v>08</v>
      </c>
      <c r="X1390" t="str">
        <f t="shared" si="119"/>
        <v>22</v>
      </c>
      <c r="Y1390" t="str">
        <f t="shared" si="120"/>
        <v>2022</v>
      </c>
      <c r="Z1390"/>
      <c r="AA1390" s="2">
        <f t="shared" si="121"/>
        <v>44793</v>
      </c>
      <c r="AB1390"/>
      <c r="AC1390"/>
    </row>
    <row r="1391" spans="21:29" ht="15">
      <c r="U1391" s="238" t="s">
        <v>9931</v>
      </c>
      <c r="V1391" t="str">
        <f t="shared" si="117"/>
        <v>21</v>
      </c>
      <c r="W1391" t="str">
        <f t="shared" si="118"/>
        <v>08</v>
      </c>
      <c r="X1391" t="str">
        <f t="shared" si="119"/>
        <v>22</v>
      </c>
      <c r="Y1391" t="str">
        <f t="shared" si="120"/>
        <v>2022</v>
      </c>
      <c r="Z1391"/>
      <c r="AA1391" s="2">
        <f t="shared" si="121"/>
        <v>44794</v>
      </c>
      <c r="AB1391"/>
      <c r="AC1391"/>
    </row>
    <row r="1392" spans="21:29" ht="15">
      <c r="U1392" s="238" t="s">
        <v>9932</v>
      </c>
      <c r="V1392" t="str">
        <f t="shared" si="117"/>
        <v>22</v>
      </c>
      <c r="W1392" t="str">
        <f t="shared" si="118"/>
        <v>08</v>
      </c>
      <c r="X1392" t="str">
        <f t="shared" si="119"/>
        <v>22</v>
      </c>
      <c r="Y1392" t="str">
        <f t="shared" si="120"/>
        <v>2022</v>
      </c>
      <c r="Z1392"/>
      <c r="AA1392" s="2">
        <f t="shared" si="121"/>
        <v>44795</v>
      </c>
      <c r="AB1392"/>
      <c r="AC1392"/>
    </row>
    <row r="1393" spans="21:29" ht="15">
      <c r="U1393" s="238" t="s">
        <v>9932</v>
      </c>
      <c r="V1393" t="str">
        <f t="shared" si="117"/>
        <v>22</v>
      </c>
      <c r="W1393" t="str">
        <f t="shared" si="118"/>
        <v>08</v>
      </c>
      <c r="X1393" t="str">
        <f t="shared" si="119"/>
        <v>22</v>
      </c>
      <c r="Y1393" t="str">
        <f t="shared" si="120"/>
        <v>2022</v>
      </c>
      <c r="Z1393"/>
      <c r="AA1393" s="2">
        <f t="shared" si="121"/>
        <v>44795</v>
      </c>
      <c r="AB1393"/>
      <c r="AC1393"/>
    </row>
    <row r="1394" spans="21:29" ht="15">
      <c r="U1394" s="238" t="s">
        <v>9933</v>
      </c>
      <c r="V1394" t="str">
        <f t="shared" si="117"/>
        <v>23</v>
      </c>
      <c r="W1394" t="str">
        <f t="shared" si="118"/>
        <v>08</v>
      </c>
      <c r="X1394" t="str">
        <f t="shared" si="119"/>
        <v>22</v>
      </c>
      <c r="Y1394" t="str">
        <f t="shared" si="120"/>
        <v>2022</v>
      </c>
      <c r="Z1394"/>
      <c r="AA1394" s="2">
        <f t="shared" si="121"/>
        <v>44796</v>
      </c>
      <c r="AB1394"/>
      <c r="AC1394"/>
    </row>
    <row r="1395" spans="21:29" ht="15">
      <c r="U1395" s="238" t="s">
        <v>9933</v>
      </c>
      <c r="V1395" t="str">
        <f t="shared" si="117"/>
        <v>23</v>
      </c>
      <c r="W1395" t="str">
        <f t="shared" si="118"/>
        <v>08</v>
      </c>
      <c r="X1395" t="str">
        <f t="shared" si="119"/>
        <v>22</v>
      </c>
      <c r="Y1395" t="str">
        <f t="shared" si="120"/>
        <v>2022</v>
      </c>
      <c r="Z1395"/>
      <c r="AA1395" s="2">
        <f t="shared" si="121"/>
        <v>44796</v>
      </c>
      <c r="AB1395"/>
      <c r="AC1395"/>
    </row>
    <row r="1396" spans="21:29" ht="15">
      <c r="U1396" s="238" t="s">
        <v>9933</v>
      </c>
      <c r="V1396" t="str">
        <f t="shared" si="117"/>
        <v>23</v>
      </c>
      <c r="W1396" t="str">
        <f t="shared" si="118"/>
        <v>08</v>
      </c>
      <c r="X1396" t="str">
        <f t="shared" si="119"/>
        <v>22</v>
      </c>
      <c r="Y1396" t="str">
        <f t="shared" si="120"/>
        <v>2022</v>
      </c>
      <c r="Z1396"/>
      <c r="AA1396" s="2">
        <f t="shared" si="121"/>
        <v>44796</v>
      </c>
      <c r="AB1396"/>
      <c r="AC1396"/>
    </row>
    <row r="1397" spans="21:29" ht="15">
      <c r="U1397" s="238" t="s">
        <v>9933</v>
      </c>
      <c r="V1397" t="str">
        <f t="shared" si="117"/>
        <v>23</v>
      </c>
      <c r="W1397" t="str">
        <f t="shared" si="118"/>
        <v>08</v>
      </c>
      <c r="X1397" t="str">
        <f t="shared" si="119"/>
        <v>22</v>
      </c>
      <c r="Y1397" t="str">
        <f t="shared" si="120"/>
        <v>2022</v>
      </c>
      <c r="Z1397"/>
      <c r="AA1397" s="2">
        <f t="shared" si="121"/>
        <v>44796</v>
      </c>
      <c r="AB1397"/>
      <c r="AC1397"/>
    </row>
    <row r="1398" spans="21:29" ht="15">
      <c r="U1398" s="238" t="s">
        <v>9934</v>
      </c>
      <c r="V1398" t="str">
        <f t="shared" si="117"/>
        <v>24</v>
      </c>
      <c r="W1398" t="str">
        <f t="shared" si="118"/>
        <v>08</v>
      </c>
      <c r="X1398" t="str">
        <f t="shared" si="119"/>
        <v>22</v>
      </c>
      <c r="Y1398" t="str">
        <f t="shared" si="120"/>
        <v>2022</v>
      </c>
      <c r="Z1398"/>
      <c r="AA1398" s="2">
        <f t="shared" si="121"/>
        <v>44797</v>
      </c>
      <c r="AB1398"/>
      <c r="AC1398"/>
    </row>
    <row r="1399" spans="21:29" ht="15">
      <c r="U1399" s="238" t="s">
        <v>9935</v>
      </c>
      <c r="V1399" t="str">
        <f t="shared" si="117"/>
        <v>25</v>
      </c>
      <c r="W1399" t="str">
        <f t="shared" si="118"/>
        <v>08</v>
      </c>
      <c r="X1399" t="str">
        <f t="shared" si="119"/>
        <v>22</v>
      </c>
      <c r="Y1399" t="str">
        <f t="shared" si="120"/>
        <v>2022</v>
      </c>
      <c r="Z1399"/>
      <c r="AA1399" s="2">
        <f t="shared" si="121"/>
        <v>44798</v>
      </c>
      <c r="AB1399"/>
      <c r="AC1399"/>
    </row>
    <row r="1400" spans="21:29" ht="15">
      <c r="U1400" s="238" t="s">
        <v>9936</v>
      </c>
      <c r="V1400" t="str">
        <f t="shared" si="117"/>
        <v>26</v>
      </c>
      <c r="W1400" t="str">
        <f t="shared" si="118"/>
        <v>08</v>
      </c>
      <c r="X1400" t="str">
        <f t="shared" si="119"/>
        <v>22</v>
      </c>
      <c r="Y1400" t="str">
        <f t="shared" si="120"/>
        <v>2022</v>
      </c>
      <c r="Z1400"/>
      <c r="AA1400" s="2">
        <f t="shared" si="121"/>
        <v>44799</v>
      </c>
      <c r="AB1400"/>
      <c r="AC1400"/>
    </row>
    <row r="1401" spans="21:29" ht="15">
      <c r="U1401" s="238" t="s">
        <v>9936</v>
      </c>
      <c r="V1401" t="str">
        <f t="shared" si="117"/>
        <v>26</v>
      </c>
      <c r="W1401" t="str">
        <f t="shared" si="118"/>
        <v>08</v>
      </c>
      <c r="X1401" t="str">
        <f t="shared" si="119"/>
        <v>22</v>
      </c>
      <c r="Y1401" t="str">
        <f t="shared" si="120"/>
        <v>2022</v>
      </c>
      <c r="Z1401"/>
      <c r="AA1401" s="2">
        <f t="shared" si="121"/>
        <v>44799</v>
      </c>
      <c r="AB1401"/>
      <c r="AC1401"/>
    </row>
    <row r="1402" spans="21:29" ht="15">
      <c r="U1402" s="238" t="s">
        <v>9937</v>
      </c>
      <c r="V1402" t="str">
        <f t="shared" si="117"/>
        <v>27</v>
      </c>
      <c r="W1402" t="str">
        <f t="shared" si="118"/>
        <v>08</v>
      </c>
      <c r="X1402" t="str">
        <f t="shared" si="119"/>
        <v>22</v>
      </c>
      <c r="Y1402" t="str">
        <f t="shared" si="120"/>
        <v>2022</v>
      </c>
      <c r="Z1402"/>
      <c r="AA1402" s="2">
        <f t="shared" si="121"/>
        <v>44800</v>
      </c>
      <c r="AB1402"/>
      <c r="AC1402"/>
    </row>
    <row r="1403" spans="21:29" ht="15">
      <c r="U1403" s="238" t="s">
        <v>9938</v>
      </c>
      <c r="V1403" t="str">
        <f t="shared" si="117"/>
        <v>28</v>
      </c>
      <c r="W1403" t="str">
        <f t="shared" si="118"/>
        <v>08</v>
      </c>
      <c r="X1403" t="str">
        <f t="shared" si="119"/>
        <v>22</v>
      </c>
      <c r="Y1403" t="str">
        <f t="shared" si="120"/>
        <v>2022</v>
      </c>
      <c r="Z1403"/>
      <c r="AA1403" s="2">
        <f t="shared" si="121"/>
        <v>44801</v>
      </c>
      <c r="AB1403"/>
      <c r="AC1403"/>
    </row>
    <row r="1404" spans="21:29" ht="15">
      <c r="U1404" s="238" t="s">
        <v>9939</v>
      </c>
      <c r="V1404" t="str">
        <f t="shared" si="117"/>
        <v>29</v>
      </c>
      <c r="W1404" t="str">
        <f t="shared" si="118"/>
        <v>08</v>
      </c>
      <c r="X1404" t="str">
        <f t="shared" si="119"/>
        <v>22</v>
      </c>
      <c r="Y1404" t="str">
        <f t="shared" si="120"/>
        <v>2022</v>
      </c>
      <c r="Z1404"/>
      <c r="AA1404" s="2">
        <f t="shared" si="121"/>
        <v>44802</v>
      </c>
      <c r="AB1404"/>
      <c r="AC1404"/>
    </row>
    <row r="1405" spans="21:29" ht="15">
      <c r="U1405" s="238" t="s">
        <v>9939</v>
      </c>
      <c r="V1405" t="str">
        <f t="shared" si="117"/>
        <v>29</v>
      </c>
      <c r="W1405" t="str">
        <f t="shared" si="118"/>
        <v>08</v>
      </c>
      <c r="X1405" t="str">
        <f t="shared" si="119"/>
        <v>22</v>
      </c>
      <c r="Y1405" t="str">
        <f t="shared" si="120"/>
        <v>2022</v>
      </c>
      <c r="Z1405"/>
      <c r="AA1405" s="2">
        <f t="shared" si="121"/>
        <v>44802</v>
      </c>
      <c r="AB1405"/>
      <c r="AC1405"/>
    </row>
    <row r="1406" spans="21:29" ht="15">
      <c r="U1406" s="238" t="s">
        <v>9940</v>
      </c>
      <c r="V1406" t="str">
        <f t="shared" si="117"/>
        <v>30</v>
      </c>
      <c r="W1406" t="str">
        <f t="shared" si="118"/>
        <v>08</v>
      </c>
      <c r="X1406" t="str">
        <f t="shared" si="119"/>
        <v>22</v>
      </c>
      <c r="Y1406" t="str">
        <f t="shared" si="120"/>
        <v>2022</v>
      </c>
      <c r="Z1406"/>
      <c r="AA1406" s="2">
        <f t="shared" si="121"/>
        <v>44803</v>
      </c>
      <c r="AB1406"/>
      <c r="AC1406"/>
    </row>
    <row r="1407" spans="21:29" ht="15">
      <c r="U1407" s="238" t="s">
        <v>9940</v>
      </c>
      <c r="V1407" t="str">
        <f t="shared" si="117"/>
        <v>30</v>
      </c>
      <c r="W1407" t="str">
        <f t="shared" si="118"/>
        <v>08</v>
      </c>
      <c r="X1407" t="str">
        <f t="shared" si="119"/>
        <v>22</v>
      </c>
      <c r="Y1407" t="str">
        <f t="shared" si="120"/>
        <v>2022</v>
      </c>
      <c r="Z1407"/>
      <c r="AA1407" s="2">
        <f t="shared" si="121"/>
        <v>44803</v>
      </c>
      <c r="AB1407"/>
      <c r="AC1407"/>
    </row>
    <row r="1408" spans="21:29" ht="15">
      <c r="U1408" s="238" t="s">
        <v>9941</v>
      </c>
      <c r="V1408" t="str">
        <f t="shared" si="117"/>
        <v>01</v>
      </c>
      <c r="W1408" t="str">
        <f t="shared" si="118"/>
        <v>09</v>
      </c>
      <c r="X1408" t="str">
        <f t="shared" si="119"/>
        <v>22</v>
      </c>
      <c r="Y1408" t="str">
        <f t="shared" si="120"/>
        <v>2022</v>
      </c>
      <c r="Z1408"/>
      <c r="AA1408" s="2">
        <f t="shared" si="121"/>
        <v>44805</v>
      </c>
      <c r="AB1408"/>
      <c r="AC1408"/>
    </row>
    <row r="1409" spans="21:29" ht="15">
      <c r="U1409" s="238" t="s">
        <v>9941</v>
      </c>
      <c r="V1409" t="str">
        <f t="shared" si="117"/>
        <v>01</v>
      </c>
      <c r="W1409" t="str">
        <f t="shared" si="118"/>
        <v>09</v>
      </c>
      <c r="X1409" t="str">
        <f t="shared" si="119"/>
        <v>22</v>
      </c>
      <c r="Y1409" t="str">
        <f t="shared" si="120"/>
        <v>2022</v>
      </c>
      <c r="Z1409"/>
      <c r="AA1409" s="2">
        <f t="shared" si="121"/>
        <v>44805</v>
      </c>
      <c r="AB1409"/>
      <c r="AC1409"/>
    </row>
    <row r="1410" spans="21:29" ht="15">
      <c r="U1410" s="238" t="s">
        <v>9941</v>
      </c>
      <c r="V1410" t="str">
        <f t="shared" si="117"/>
        <v>01</v>
      </c>
      <c r="W1410" t="str">
        <f t="shared" si="118"/>
        <v>09</v>
      </c>
      <c r="X1410" t="str">
        <f t="shared" si="119"/>
        <v>22</v>
      </c>
      <c r="Y1410" t="str">
        <f t="shared" si="120"/>
        <v>2022</v>
      </c>
      <c r="Z1410"/>
      <c r="AA1410" s="2">
        <f t="shared" si="121"/>
        <v>44805</v>
      </c>
      <c r="AB1410"/>
      <c r="AC1410"/>
    </row>
    <row r="1411" spans="21:29" ht="15">
      <c r="U1411" s="238" t="s">
        <v>9941</v>
      </c>
      <c r="V1411" t="str">
        <f t="shared" ref="V1411:V1474" si="122">LEFT(U1411,2)</f>
        <v>01</v>
      </c>
      <c r="W1411" t="str">
        <f t="shared" ref="W1411:W1474" si="123">MID(U1411,4,2)</f>
        <v>09</v>
      </c>
      <c r="X1411" t="str">
        <f t="shared" ref="X1411:X1474" si="124">RIGHT(U1411,2)</f>
        <v>22</v>
      </c>
      <c r="Y1411" t="str">
        <f t="shared" ref="Y1411:Y1474" si="125">"20" &amp; X1411</f>
        <v>2022</v>
      </c>
      <c r="Z1411"/>
      <c r="AA1411" s="2">
        <f t="shared" si="121"/>
        <v>44805</v>
      </c>
      <c r="AB1411"/>
      <c r="AC1411"/>
    </row>
    <row r="1412" spans="21:29" ht="15">
      <c r="U1412" s="238" t="s">
        <v>9941</v>
      </c>
      <c r="V1412" t="str">
        <f t="shared" si="122"/>
        <v>01</v>
      </c>
      <c r="W1412" t="str">
        <f t="shared" si="123"/>
        <v>09</v>
      </c>
      <c r="X1412" t="str">
        <f t="shared" si="124"/>
        <v>22</v>
      </c>
      <c r="Y1412" t="str">
        <f t="shared" si="125"/>
        <v>2022</v>
      </c>
      <c r="Z1412"/>
      <c r="AA1412" s="2">
        <f t="shared" ref="AA1412:AA1475" si="126">DATE(Y1412,W1412,V1412)</f>
        <v>44805</v>
      </c>
      <c r="AB1412"/>
      <c r="AC1412"/>
    </row>
    <row r="1413" spans="21:29" ht="15">
      <c r="U1413" s="238" t="s">
        <v>9942</v>
      </c>
      <c r="V1413" t="str">
        <f t="shared" si="122"/>
        <v>02</v>
      </c>
      <c r="W1413" t="str">
        <f t="shared" si="123"/>
        <v>09</v>
      </c>
      <c r="X1413" t="str">
        <f t="shared" si="124"/>
        <v>22</v>
      </c>
      <c r="Y1413" t="str">
        <f t="shared" si="125"/>
        <v>2022</v>
      </c>
      <c r="Z1413"/>
      <c r="AA1413" s="2">
        <f t="shared" si="126"/>
        <v>44806</v>
      </c>
      <c r="AB1413"/>
      <c r="AC1413"/>
    </row>
    <row r="1414" spans="21:29" ht="15">
      <c r="U1414" s="238" t="s">
        <v>9942</v>
      </c>
      <c r="V1414" t="str">
        <f t="shared" si="122"/>
        <v>02</v>
      </c>
      <c r="W1414" t="str">
        <f t="shared" si="123"/>
        <v>09</v>
      </c>
      <c r="X1414" t="str">
        <f t="shared" si="124"/>
        <v>22</v>
      </c>
      <c r="Y1414" t="str">
        <f t="shared" si="125"/>
        <v>2022</v>
      </c>
      <c r="Z1414"/>
      <c r="AA1414" s="2">
        <f t="shared" si="126"/>
        <v>44806</v>
      </c>
      <c r="AB1414"/>
      <c r="AC1414"/>
    </row>
    <row r="1415" spans="21:29" ht="15">
      <c r="U1415" s="238" t="s">
        <v>9942</v>
      </c>
      <c r="V1415" t="str">
        <f t="shared" si="122"/>
        <v>02</v>
      </c>
      <c r="W1415" t="str">
        <f t="shared" si="123"/>
        <v>09</v>
      </c>
      <c r="X1415" t="str">
        <f t="shared" si="124"/>
        <v>22</v>
      </c>
      <c r="Y1415" t="str">
        <f t="shared" si="125"/>
        <v>2022</v>
      </c>
      <c r="Z1415"/>
      <c r="AA1415" s="2">
        <f t="shared" si="126"/>
        <v>44806</v>
      </c>
      <c r="AB1415"/>
      <c r="AC1415"/>
    </row>
    <row r="1416" spans="21:29" ht="15">
      <c r="U1416" s="238" t="s">
        <v>9942</v>
      </c>
      <c r="V1416" t="str">
        <f t="shared" si="122"/>
        <v>02</v>
      </c>
      <c r="W1416" t="str">
        <f t="shared" si="123"/>
        <v>09</v>
      </c>
      <c r="X1416" t="str">
        <f t="shared" si="124"/>
        <v>22</v>
      </c>
      <c r="Y1416" t="str">
        <f t="shared" si="125"/>
        <v>2022</v>
      </c>
      <c r="Z1416"/>
      <c r="AA1416" s="2">
        <f t="shared" si="126"/>
        <v>44806</v>
      </c>
      <c r="AB1416"/>
      <c r="AC1416"/>
    </row>
    <row r="1417" spans="21:29" ht="15">
      <c r="U1417" s="238" t="s">
        <v>9942</v>
      </c>
      <c r="V1417" t="str">
        <f t="shared" si="122"/>
        <v>02</v>
      </c>
      <c r="W1417" t="str">
        <f t="shared" si="123"/>
        <v>09</v>
      </c>
      <c r="X1417" t="str">
        <f t="shared" si="124"/>
        <v>22</v>
      </c>
      <c r="Y1417" t="str">
        <f t="shared" si="125"/>
        <v>2022</v>
      </c>
      <c r="Z1417"/>
      <c r="AA1417" s="2">
        <f t="shared" si="126"/>
        <v>44806</v>
      </c>
      <c r="AB1417"/>
      <c r="AC1417"/>
    </row>
    <row r="1418" spans="21:29" ht="15">
      <c r="U1418" s="238" t="s">
        <v>9943</v>
      </c>
      <c r="V1418" t="str">
        <f t="shared" si="122"/>
        <v>04</v>
      </c>
      <c r="W1418" t="str">
        <f t="shared" si="123"/>
        <v>09</v>
      </c>
      <c r="X1418" t="str">
        <f t="shared" si="124"/>
        <v>22</v>
      </c>
      <c r="Y1418" t="str">
        <f t="shared" si="125"/>
        <v>2022</v>
      </c>
      <c r="Z1418"/>
      <c r="AA1418" s="2">
        <f t="shared" si="126"/>
        <v>44808</v>
      </c>
      <c r="AB1418"/>
      <c r="AC1418"/>
    </row>
    <row r="1419" spans="21:29" ht="15">
      <c r="U1419" s="238" t="s">
        <v>9944</v>
      </c>
      <c r="V1419" t="str">
        <f t="shared" si="122"/>
        <v>05</v>
      </c>
      <c r="W1419" t="str">
        <f t="shared" si="123"/>
        <v>09</v>
      </c>
      <c r="X1419" t="str">
        <f t="shared" si="124"/>
        <v>22</v>
      </c>
      <c r="Y1419" t="str">
        <f t="shared" si="125"/>
        <v>2022</v>
      </c>
      <c r="Z1419"/>
      <c r="AA1419" s="2">
        <f t="shared" si="126"/>
        <v>44809</v>
      </c>
      <c r="AB1419"/>
      <c r="AC1419"/>
    </row>
    <row r="1420" spans="21:29" ht="15">
      <c r="U1420" s="238" t="s">
        <v>9944</v>
      </c>
      <c r="V1420" t="str">
        <f t="shared" si="122"/>
        <v>05</v>
      </c>
      <c r="W1420" t="str">
        <f t="shared" si="123"/>
        <v>09</v>
      </c>
      <c r="X1420" t="str">
        <f t="shared" si="124"/>
        <v>22</v>
      </c>
      <c r="Y1420" t="str">
        <f t="shared" si="125"/>
        <v>2022</v>
      </c>
      <c r="Z1420"/>
      <c r="AA1420" s="2">
        <f t="shared" si="126"/>
        <v>44809</v>
      </c>
      <c r="AB1420"/>
      <c r="AC1420"/>
    </row>
    <row r="1421" spans="21:29" ht="15">
      <c r="U1421" s="238" t="s">
        <v>9944</v>
      </c>
      <c r="V1421" t="str">
        <f t="shared" si="122"/>
        <v>05</v>
      </c>
      <c r="W1421" t="str">
        <f t="shared" si="123"/>
        <v>09</v>
      </c>
      <c r="X1421" t="str">
        <f t="shared" si="124"/>
        <v>22</v>
      </c>
      <c r="Y1421" t="str">
        <f t="shared" si="125"/>
        <v>2022</v>
      </c>
      <c r="Z1421"/>
      <c r="AA1421" s="2">
        <f t="shared" si="126"/>
        <v>44809</v>
      </c>
      <c r="AB1421"/>
      <c r="AC1421"/>
    </row>
    <row r="1422" spans="21:29" ht="15">
      <c r="U1422" s="238" t="s">
        <v>9945</v>
      </c>
      <c r="V1422" t="str">
        <f t="shared" si="122"/>
        <v>06</v>
      </c>
      <c r="W1422" t="str">
        <f t="shared" si="123"/>
        <v>09</v>
      </c>
      <c r="X1422" t="str">
        <f t="shared" si="124"/>
        <v>22</v>
      </c>
      <c r="Y1422" t="str">
        <f t="shared" si="125"/>
        <v>2022</v>
      </c>
      <c r="Z1422"/>
      <c r="AA1422" s="2">
        <f t="shared" si="126"/>
        <v>44810</v>
      </c>
      <c r="AB1422"/>
      <c r="AC1422"/>
    </row>
    <row r="1423" spans="21:29" ht="15">
      <c r="U1423" s="238" t="s">
        <v>9945</v>
      </c>
      <c r="V1423" t="str">
        <f t="shared" si="122"/>
        <v>06</v>
      </c>
      <c r="W1423" t="str">
        <f t="shared" si="123"/>
        <v>09</v>
      </c>
      <c r="X1423" t="str">
        <f t="shared" si="124"/>
        <v>22</v>
      </c>
      <c r="Y1423" t="str">
        <f t="shared" si="125"/>
        <v>2022</v>
      </c>
      <c r="Z1423"/>
      <c r="AA1423" s="2">
        <f t="shared" si="126"/>
        <v>44810</v>
      </c>
      <c r="AB1423"/>
      <c r="AC1423"/>
    </row>
    <row r="1424" spans="21:29" ht="15">
      <c r="U1424" s="238" t="s">
        <v>9945</v>
      </c>
      <c r="V1424" t="str">
        <f t="shared" si="122"/>
        <v>06</v>
      </c>
      <c r="W1424" t="str">
        <f t="shared" si="123"/>
        <v>09</v>
      </c>
      <c r="X1424" t="str">
        <f t="shared" si="124"/>
        <v>22</v>
      </c>
      <c r="Y1424" t="str">
        <f t="shared" si="125"/>
        <v>2022</v>
      </c>
      <c r="Z1424"/>
      <c r="AA1424" s="2">
        <f t="shared" si="126"/>
        <v>44810</v>
      </c>
      <c r="AB1424"/>
      <c r="AC1424"/>
    </row>
    <row r="1425" spans="21:29" ht="15">
      <c r="U1425" s="238" t="s">
        <v>9945</v>
      </c>
      <c r="V1425" t="str">
        <f t="shared" si="122"/>
        <v>06</v>
      </c>
      <c r="W1425" t="str">
        <f t="shared" si="123"/>
        <v>09</v>
      </c>
      <c r="X1425" t="str">
        <f t="shared" si="124"/>
        <v>22</v>
      </c>
      <c r="Y1425" t="str">
        <f t="shared" si="125"/>
        <v>2022</v>
      </c>
      <c r="Z1425"/>
      <c r="AA1425" s="2">
        <f t="shared" si="126"/>
        <v>44810</v>
      </c>
      <c r="AB1425"/>
      <c r="AC1425"/>
    </row>
    <row r="1426" spans="21:29" ht="15">
      <c r="U1426" s="238" t="s">
        <v>9945</v>
      </c>
      <c r="V1426" t="str">
        <f t="shared" si="122"/>
        <v>06</v>
      </c>
      <c r="W1426" t="str">
        <f t="shared" si="123"/>
        <v>09</v>
      </c>
      <c r="X1426" t="str">
        <f t="shared" si="124"/>
        <v>22</v>
      </c>
      <c r="Y1426" t="str">
        <f t="shared" si="125"/>
        <v>2022</v>
      </c>
      <c r="Z1426"/>
      <c r="AA1426" s="2">
        <f t="shared" si="126"/>
        <v>44810</v>
      </c>
      <c r="AB1426"/>
      <c r="AC1426"/>
    </row>
    <row r="1427" spans="21:29" ht="15">
      <c r="U1427" s="238" t="s">
        <v>9945</v>
      </c>
      <c r="V1427" t="str">
        <f t="shared" si="122"/>
        <v>06</v>
      </c>
      <c r="W1427" t="str">
        <f t="shared" si="123"/>
        <v>09</v>
      </c>
      <c r="X1427" t="str">
        <f t="shared" si="124"/>
        <v>22</v>
      </c>
      <c r="Y1427" t="str">
        <f t="shared" si="125"/>
        <v>2022</v>
      </c>
      <c r="Z1427"/>
      <c r="AA1427" s="2">
        <f t="shared" si="126"/>
        <v>44810</v>
      </c>
      <c r="AB1427"/>
      <c r="AC1427"/>
    </row>
    <row r="1428" spans="21:29" ht="15">
      <c r="U1428" s="238" t="s">
        <v>9946</v>
      </c>
      <c r="V1428" t="str">
        <f t="shared" si="122"/>
        <v>07</v>
      </c>
      <c r="W1428" t="str">
        <f t="shared" si="123"/>
        <v>09</v>
      </c>
      <c r="X1428" t="str">
        <f t="shared" si="124"/>
        <v>22</v>
      </c>
      <c r="Y1428" t="str">
        <f t="shared" si="125"/>
        <v>2022</v>
      </c>
      <c r="Z1428"/>
      <c r="AA1428" s="2">
        <f t="shared" si="126"/>
        <v>44811</v>
      </c>
      <c r="AB1428"/>
      <c r="AC1428"/>
    </row>
    <row r="1429" spans="21:29" ht="15">
      <c r="U1429" s="238" t="s">
        <v>9947</v>
      </c>
      <c r="V1429" t="str">
        <f t="shared" si="122"/>
        <v>09</v>
      </c>
      <c r="W1429" t="str">
        <f t="shared" si="123"/>
        <v>09</v>
      </c>
      <c r="X1429" t="str">
        <f t="shared" si="124"/>
        <v>22</v>
      </c>
      <c r="Y1429" t="str">
        <f t="shared" si="125"/>
        <v>2022</v>
      </c>
      <c r="Z1429"/>
      <c r="AA1429" s="2">
        <f t="shared" si="126"/>
        <v>44813</v>
      </c>
      <c r="AB1429"/>
      <c r="AC1429"/>
    </row>
    <row r="1430" spans="21:29" ht="15">
      <c r="U1430" s="238" t="s">
        <v>9947</v>
      </c>
      <c r="V1430" t="str">
        <f t="shared" si="122"/>
        <v>09</v>
      </c>
      <c r="W1430" t="str">
        <f t="shared" si="123"/>
        <v>09</v>
      </c>
      <c r="X1430" t="str">
        <f t="shared" si="124"/>
        <v>22</v>
      </c>
      <c r="Y1430" t="str">
        <f t="shared" si="125"/>
        <v>2022</v>
      </c>
      <c r="Z1430"/>
      <c r="AA1430" s="2">
        <f t="shared" si="126"/>
        <v>44813</v>
      </c>
      <c r="AB1430"/>
      <c r="AC1430"/>
    </row>
    <row r="1431" spans="21:29" ht="15">
      <c r="U1431" s="238" t="s">
        <v>9947</v>
      </c>
      <c r="V1431" t="str">
        <f t="shared" si="122"/>
        <v>09</v>
      </c>
      <c r="W1431" t="str">
        <f t="shared" si="123"/>
        <v>09</v>
      </c>
      <c r="X1431" t="str">
        <f t="shared" si="124"/>
        <v>22</v>
      </c>
      <c r="Y1431" t="str">
        <f t="shared" si="125"/>
        <v>2022</v>
      </c>
      <c r="Z1431"/>
      <c r="AA1431" s="2">
        <f t="shared" si="126"/>
        <v>44813</v>
      </c>
      <c r="AB1431"/>
      <c r="AC1431"/>
    </row>
    <row r="1432" spans="21:29" ht="15">
      <c r="U1432" s="238" t="s">
        <v>9947</v>
      </c>
      <c r="V1432" t="str">
        <f t="shared" si="122"/>
        <v>09</v>
      </c>
      <c r="W1432" t="str">
        <f t="shared" si="123"/>
        <v>09</v>
      </c>
      <c r="X1432" t="str">
        <f t="shared" si="124"/>
        <v>22</v>
      </c>
      <c r="Y1432" t="str">
        <f t="shared" si="125"/>
        <v>2022</v>
      </c>
      <c r="Z1432"/>
      <c r="AA1432" s="2">
        <f t="shared" si="126"/>
        <v>44813</v>
      </c>
      <c r="AB1432"/>
      <c r="AC1432"/>
    </row>
    <row r="1433" spans="21:29" ht="15">
      <c r="U1433" s="238" t="s">
        <v>9947</v>
      </c>
      <c r="V1433" t="str">
        <f t="shared" si="122"/>
        <v>09</v>
      </c>
      <c r="W1433" t="str">
        <f t="shared" si="123"/>
        <v>09</v>
      </c>
      <c r="X1433" t="str">
        <f t="shared" si="124"/>
        <v>22</v>
      </c>
      <c r="Y1433" t="str">
        <f t="shared" si="125"/>
        <v>2022</v>
      </c>
      <c r="Z1433"/>
      <c r="AA1433" s="2">
        <f t="shared" si="126"/>
        <v>44813</v>
      </c>
      <c r="AB1433"/>
      <c r="AC1433"/>
    </row>
    <row r="1434" spans="21:29" ht="15">
      <c r="U1434" s="238" t="s">
        <v>9948</v>
      </c>
      <c r="V1434" t="str">
        <f t="shared" si="122"/>
        <v>12</v>
      </c>
      <c r="W1434" t="str">
        <f t="shared" si="123"/>
        <v>09</v>
      </c>
      <c r="X1434" t="str">
        <f t="shared" si="124"/>
        <v>22</v>
      </c>
      <c r="Y1434" t="str">
        <f t="shared" si="125"/>
        <v>2022</v>
      </c>
      <c r="Z1434"/>
      <c r="AA1434" s="2">
        <f t="shared" si="126"/>
        <v>44816</v>
      </c>
      <c r="AB1434"/>
      <c r="AC1434"/>
    </row>
    <row r="1435" spans="21:29" ht="15">
      <c r="U1435" s="238" t="s">
        <v>9948</v>
      </c>
      <c r="V1435" t="str">
        <f t="shared" si="122"/>
        <v>12</v>
      </c>
      <c r="W1435" t="str">
        <f t="shared" si="123"/>
        <v>09</v>
      </c>
      <c r="X1435" t="str">
        <f t="shared" si="124"/>
        <v>22</v>
      </c>
      <c r="Y1435" t="str">
        <f t="shared" si="125"/>
        <v>2022</v>
      </c>
      <c r="Z1435"/>
      <c r="AA1435" s="2">
        <f t="shared" si="126"/>
        <v>44816</v>
      </c>
      <c r="AB1435"/>
      <c r="AC1435"/>
    </row>
    <row r="1436" spans="21:29" ht="15">
      <c r="U1436" s="238" t="s">
        <v>9948</v>
      </c>
      <c r="V1436" t="str">
        <f t="shared" si="122"/>
        <v>12</v>
      </c>
      <c r="W1436" t="str">
        <f t="shared" si="123"/>
        <v>09</v>
      </c>
      <c r="X1436" t="str">
        <f t="shared" si="124"/>
        <v>22</v>
      </c>
      <c r="Y1436" t="str">
        <f t="shared" si="125"/>
        <v>2022</v>
      </c>
      <c r="Z1436"/>
      <c r="AA1436" s="2">
        <f t="shared" si="126"/>
        <v>44816</v>
      </c>
      <c r="AB1436"/>
      <c r="AC1436"/>
    </row>
    <row r="1437" spans="21:29" ht="15">
      <c r="U1437" s="238" t="s">
        <v>9948</v>
      </c>
      <c r="V1437" t="str">
        <f t="shared" si="122"/>
        <v>12</v>
      </c>
      <c r="W1437" t="str">
        <f t="shared" si="123"/>
        <v>09</v>
      </c>
      <c r="X1437" t="str">
        <f t="shared" si="124"/>
        <v>22</v>
      </c>
      <c r="Y1437" t="str">
        <f t="shared" si="125"/>
        <v>2022</v>
      </c>
      <c r="Z1437"/>
      <c r="AA1437" s="2">
        <f t="shared" si="126"/>
        <v>44816</v>
      </c>
      <c r="AB1437"/>
      <c r="AC1437"/>
    </row>
    <row r="1438" spans="21:29" ht="15">
      <c r="U1438" s="238" t="s">
        <v>9949</v>
      </c>
      <c r="V1438" t="str">
        <f t="shared" si="122"/>
        <v>13</v>
      </c>
      <c r="W1438" t="str">
        <f t="shared" si="123"/>
        <v>09</v>
      </c>
      <c r="X1438" t="str">
        <f t="shared" si="124"/>
        <v>22</v>
      </c>
      <c r="Y1438" t="str">
        <f t="shared" si="125"/>
        <v>2022</v>
      </c>
      <c r="Z1438"/>
      <c r="AA1438" s="2">
        <f t="shared" si="126"/>
        <v>44817</v>
      </c>
      <c r="AB1438"/>
      <c r="AC1438"/>
    </row>
    <row r="1439" spans="21:29" ht="15">
      <c r="U1439" s="238" t="s">
        <v>9949</v>
      </c>
      <c r="V1439" t="str">
        <f t="shared" si="122"/>
        <v>13</v>
      </c>
      <c r="W1439" t="str">
        <f t="shared" si="123"/>
        <v>09</v>
      </c>
      <c r="X1439" t="str">
        <f t="shared" si="124"/>
        <v>22</v>
      </c>
      <c r="Y1439" t="str">
        <f t="shared" si="125"/>
        <v>2022</v>
      </c>
      <c r="Z1439"/>
      <c r="AA1439" s="2">
        <f t="shared" si="126"/>
        <v>44817</v>
      </c>
      <c r="AB1439"/>
      <c r="AC1439"/>
    </row>
    <row r="1440" spans="21:29" ht="15">
      <c r="U1440" s="238" t="s">
        <v>9949</v>
      </c>
      <c r="V1440" t="str">
        <f t="shared" si="122"/>
        <v>13</v>
      </c>
      <c r="W1440" t="str">
        <f t="shared" si="123"/>
        <v>09</v>
      </c>
      <c r="X1440" t="str">
        <f t="shared" si="124"/>
        <v>22</v>
      </c>
      <c r="Y1440" t="str">
        <f t="shared" si="125"/>
        <v>2022</v>
      </c>
      <c r="Z1440"/>
      <c r="AA1440" s="2">
        <f t="shared" si="126"/>
        <v>44817</v>
      </c>
      <c r="AB1440"/>
      <c r="AC1440"/>
    </row>
    <row r="1441" spans="21:29" ht="15">
      <c r="U1441" s="238" t="s">
        <v>9950</v>
      </c>
      <c r="V1441" t="str">
        <f t="shared" si="122"/>
        <v>14</v>
      </c>
      <c r="W1441" t="str">
        <f t="shared" si="123"/>
        <v>09</v>
      </c>
      <c r="X1441" t="str">
        <f t="shared" si="124"/>
        <v>22</v>
      </c>
      <c r="Y1441" t="str">
        <f t="shared" si="125"/>
        <v>2022</v>
      </c>
      <c r="Z1441"/>
      <c r="AA1441" s="2">
        <f t="shared" si="126"/>
        <v>44818</v>
      </c>
      <c r="AB1441"/>
      <c r="AC1441"/>
    </row>
    <row r="1442" spans="21:29" ht="15">
      <c r="U1442" s="238" t="s">
        <v>9951</v>
      </c>
      <c r="V1442" t="str">
        <f t="shared" si="122"/>
        <v>17</v>
      </c>
      <c r="W1442" t="str">
        <f t="shared" si="123"/>
        <v>09</v>
      </c>
      <c r="X1442" t="str">
        <f t="shared" si="124"/>
        <v>22</v>
      </c>
      <c r="Y1442" t="str">
        <f t="shared" si="125"/>
        <v>2022</v>
      </c>
      <c r="Z1442"/>
      <c r="AA1442" s="2">
        <f t="shared" si="126"/>
        <v>44821</v>
      </c>
      <c r="AB1442"/>
      <c r="AC1442"/>
    </row>
    <row r="1443" spans="21:29" ht="15">
      <c r="U1443" s="238" t="s">
        <v>9952</v>
      </c>
      <c r="V1443" t="str">
        <f t="shared" si="122"/>
        <v>18</v>
      </c>
      <c r="W1443" t="str">
        <f t="shared" si="123"/>
        <v>09</v>
      </c>
      <c r="X1443" t="str">
        <f t="shared" si="124"/>
        <v>22</v>
      </c>
      <c r="Y1443" t="str">
        <f t="shared" si="125"/>
        <v>2022</v>
      </c>
      <c r="Z1443"/>
      <c r="AA1443" s="2">
        <f t="shared" si="126"/>
        <v>44822</v>
      </c>
      <c r="AB1443"/>
      <c r="AC1443"/>
    </row>
    <row r="1444" spans="21:29" ht="15">
      <c r="U1444" s="238" t="s">
        <v>9952</v>
      </c>
      <c r="V1444" t="str">
        <f t="shared" si="122"/>
        <v>18</v>
      </c>
      <c r="W1444" t="str">
        <f t="shared" si="123"/>
        <v>09</v>
      </c>
      <c r="X1444" t="str">
        <f t="shared" si="124"/>
        <v>22</v>
      </c>
      <c r="Y1444" t="str">
        <f t="shared" si="125"/>
        <v>2022</v>
      </c>
      <c r="Z1444"/>
      <c r="AA1444" s="2">
        <f t="shared" si="126"/>
        <v>44822</v>
      </c>
      <c r="AB1444"/>
      <c r="AC1444"/>
    </row>
    <row r="1445" spans="21:29" ht="15">
      <c r="U1445" s="238" t="s">
        <v>9952</v>
      </c>
      <c r="V1445" t="str">
        <f t="shared" si="122"/>
        <v>18</v>
      </c>
      <c r="W1445" t="str">
        <f t="shared" si="123"/>
        <v>09</v>
      </c>
      <c r="X1445" t="str">
        <f t="shared" si="124"/>
        <v>22</v>
      </c>
      <c r="Y1445" t="str">
        <f t="shared" si="125"/>
        <v>2022</v>
      </c>
      <c r="Z1445"/>
      <c r="AA1445" s="2">
        <f t="shared" si="126"/>
        <v>44822</v>
      </c>
      <c r="AB1445"/>
      <c r="AC1445"/>
    </row>
    <row r="1446" spans="21:29" ht="15">
      <c r="U1446" s="238" t="s">
        <v>9952</v>
      </c>
      <c r="V1446" t="str">
        <f t="shared" si="122"/>
        <v>18</v>
      </c>
      <c r="W1446" t="str">
        <f t="shared" si="123"/>
        <v>09</v>
      </c>
      <c r="X1446" t="str">
        <f t="shared" si="124"/>
        <v>22</v>
      </c>
      <c r="Y1446" t="str">
        <f t="shared" si="125"/>
        <v>2022</v>
      </c>
      <c r="Z1446"/>
      <c r="AA1446" s="2">
        <f t="shared" si="126"/>
        <v>44822</v>
      </c>
      <c r="AB1446"/>
      <c r="AC1446"/>
    </row>
    <row r="1447" spans="21:29" ht="15">
      <c r="U1447" s="238" t="s">
        <v>9953</v>
      </c>
      <c r="V1447" t="str">
        <f t="shared" si="122"/>
        <v>19</v>
      </c>
      <c r="W1447" t="str">
        <f t="shared" si="123"/>
        <v>09</v>
      </c>
      <c r="X1447" t="str">
        <f t="shared" si="124"/>
        <v>22</v>
      </c>
      <c r="Y1447" t="str">
        <f t="shared" si="125"/>
        <v>2022</v>
      </c>
      <c r="Z1447"/>
      <c r="AA1447" s="2">
        <f t="shared" si="126"/>
        <v>44823</v>
      </c>
      <c r="AB1447"/>
      <c r="AC1447"/>
    </row>
    <row r="1448" spans="21:29" ht="15">
      <c r="U1448" s="238" t="s">
        <v>9953</v>
      </c>
      <c r="V1448" t="str">
        <f t="shared" si="122"/>
        <v>19</v>
      </c>
      <c r="W1448" t="str">
        <f t="shared" si="123"/>
        <v>09</v>
      </c>
      <c r="X1448" t="str">
        <f t="shared" si="124"/>
        <v>22</v>
      </c>
      <c r="Y1448" t="str">
        <f t="shared" si="125"/>
        <v>2022</v>
      </c>
      <c r="Z1448"/>
      <c r="AA1448" s="2">
        <f t="shared" si="126"/>
        <v>44823</v>
      </c>
      <c r="AB1448"/>
      <c r="AC1448"/>
    </row>
    <row r="1449" spans="21:29" ht="15">
      <c r="U1449" s="238" t="s">
        <v>9953</v>
      </c>
      <c r="V1449" t="str">
        <f t="shared" si="122"/>
        <v>19</v>
      </c>
      <c r="W1449" t="str">
        <f t="shared" si="123"/>
        <v>09</v>
      </c>
      <c r="X1449" t="str">
        <f t="shared" si="124"/>
        <v>22</v>
      </c>
      <c r="Y1449" t="str">
        <f t="shared" si="125"/>
        <v>2022</v>
      </c>
      <c r="Z1449"/>
      <c r="AA1449" s="2">
        <f t="shared" si="126"/>
        <v>44823</v>
      </c>
      <c r="AB1449"/>
      <c r="AC1449"/>
    </row>
    <row r="1450" spans="21:29" ht="15">
      <c r="U1450" s="238" t="s">
        <v>9953</v>
      </c>
      <c r="V1450" t="str">
        <f t="shared" si="122"/>
        <v>19</v>
      </c>
      <c r="W1450" t="str">
        <f t="shared" si="123"/>
        <v>09</v>
      </c>
      <c r="X1450" t="str">
        <f t="shared" si="124"/>
        <v>22</v>
      </c>
      <c r="Y1450" t="str">
        <f t="shared" si="125"/>
        <v>2022</v>
      </c>
      <c r="Z1450"/>
      <c r="AA1450" s="2">
        <f t="shared" si="126"/>
        <v>44823</v>
      </c>
      <c r="AB1450"/>
      <c r="AC1450"/>
    </row>
    <row r="1451" spans="21:29" ht="15">
      <c r="U1451" s="238" t="s">
        <v>9953</v>
      </c>
      <c r="V1451" t="str">
        <f t="shared" si="122"/>
        <v>19</v>
      </c>
      <c r="W1451" t="str">
        <f t="shared" si="123"/>
        <v>09</v>
      </c>
      <c r="X1451" t="str">
        <f t="shared" si="124"/>
        <v>22</v>
      </c>
      <c r="Y1451" t="str">
        <f t="shared" si="125"/>
        <v>2022</v>
      </c>
      <c r="Z1451"/>
      <c r="AA1451" s="2">
        <f t="shared" si="126"/>
        <v>44823</v>
      </c>
      <c r="AB1451"/>
      <c r="AC1451"/>
    </row>
    <row r="1452" spans="21:29" ht="15">
      <c r="U1452" s="238" t="s">
        <v>9953</v>
      </c>
      <c r="V1452" t="str">
        <f t="shared" si="122"/>
        <v>19</v>
      </c>
      <c r="W1452" t="str">
        <f t="shared" si="123"/>
        <v>09</v>
      </c>
      <c r="X1452" t="str">
        <f t="shared" si="124"/>
        <v>22</v>
      </c>
      <c r="Y1452" t="str">
        <f t="shared" si="125"/>
        <v>2022</v>
      </c>
      <c r="Z1452"/>
      <c r="AA1452" s="2">
        <f t="shared" si="126"/>
        <v>44823</v>
      </c>
      <c r="AB1452"/>
      <c r="AC1452"/>
    </row>
    <row r="1453" spans="21:29" ht="15">
      <c r="U1453" s="238" t="s">
        <v>9954</v>
      </c>
      <c r="V1453" t="str">
        <f t="shared" si="122"/>
        <v>20</v>
      </c>
      <c r="W1453" t="str">
        <f t="shared" si="123"/>
        <v>09</v>
      </c>
      <c r="X1453" t="str">
        <f t="shared" si="124"/>
        <v>22</v>
      </c>
      <c r="Y1453" t="str">
        <f t="shared" si="125"/>
        <v>2022</v>
      </c>
      <c r="Z1453"/>
      <c r="AA1453" s="2">
        <f t="shared" si="126"/>
        <v>44824</v>
      </c>
      <c r="AB1453"/>
      <c r="AC1453"/>
    </row>
    <row r="1454" spans="21:29" ht="15">
      <c r="U1454" s="238" t="s">
        <v>9954</v>
      </c>
      <c r="V1454" t="str">
        <f t="shared" si="122"/>
        <v>20</v>
      </c>
      <c r="W1454" t="str">
        <f t="shared" si="123"/>
        <v>09</v>
      </c>
      <c r="X1454" t="str">
        <f t="shared" si="124"/>
        <v>22</v>
      </c>
      <c r="Y1454" t="str">
        <f t="shared" si="125"/>
        <v>2022</v>
      </c>
      <c r="Z1454"/>
      <c r="AA1454" s="2">
        <f t="shared" si="126"/>
        <v>44824</v>
      </c>
      <c r="AB1454"/>
      <c r="AC1454"/>
    </row>
    <row r="1455" spans="21:29" ht="15">
      <c r="U1455" s="238" t="s">
        <v>9955</v>
      </c>
      <c r="V1455" t="str">
        <f t="shared" si="122"/>
        <v>21</v>
      </c>
      <c r="W1455" t="str">
        <f t="shared" si="123"/>
        <v>09</v>
      </c>
      <c r="X1455" t="str">
        <f t="shared" si="124"/>
        <v>22</v>
      </c>
      <c r="Y1455" t="str">
        <f t="shared" si="125"/>
        <v>2022</v>
      </c>
      <c r="Z1455"/>
      <c r="AA1455" s="2">
        <f t="shared" si="126"/>
        <v>44825</v>
      </c>
      <c r="AB1455"/>
      <c r="AC1455"/>
    </row>
    <row r="1456" spans="21:29" ht="15">
      <c r="U1456" s="238" t="s">
        <v>9955</v>
      </c>
      <c r="V1456" t="str">
        <f t="shared" si="122"/>
        <v>21</v>
      </c>
      <c r="W1456" t="str">
        <f t="shared" si="123"/>
        <v>09</v>
      </c>
      <c r="X1456" t="str">
        <f t="shared" si="124"/>
        <v>22</v>
      </c>
      <c r="Y1456" t="str">
        <f t="shared" si="125"/>
        <v>2022</v>
      </c>
      <c r="Z1456"/>
      <c r="AA1456" s="2">
        <f t="shared" si="126"/>
        <v>44825</v>
      </c>
      <c r="AB1456"/>
      <c r="AC1456"/>
    </row>
    <row r="1457" spans="21:29" ht="15">
      <c r="U1457" s="238" t="s">
        <v>9955</v>
      </c>
      <c r="V1457" t="str">
        <f t="shared" si="122"/>
        <v>21</v>
      </c>
      <c r="W1457" t="str">
        <f t="shared" si="123"/>
        <v>09</v>
      </c>
      <c r="X1457" t="str">
        <f t="shared" si="124"/>
        <v>22</v>
      </c>
      <c r="Y1457" t="str">
        <f t="shared" si="125"/>
        <v>2022</v>
      </c>
      <c r="Z1457"/>
      <c r="AA1457" s="2">
        <f t="shared" si="126"/>
        <v>44825</v>
      </c>
      <c r="AB1457"/>
      <c r="AC1457"/>
    </row>
    <row r="1458" spans="21:29" ht="15">
      <c r="U1458" s="238" t="s">
        <v>9955</v>
      </c>
      <c r="V1458" t="str">
        <f t="shared" si="122"/>
        <v>21</v>
      </c>
      <c r="W1458" t="str">
        <f t="shared" si="123"/>
        <v>09</v>
      </c>
      <c r="X1458" t="str">
        <f t="shared" si="124"/>
        <v>22</v>
      </c>
      <c r="Y1458" t="str">
        <f t="shared" si="125"/>
        <v>2022</v>
      </c>
      <c r="Z1458"/>
      <c r="AA1458" s="2">
        <f t="shared" si="126"/>
        <v>44825</v>
      </c>
      <c r="AB1458"/>
      <c r="AC1458"/>
    </row>
    <row r="1459" spans="21:29" ht="15">
      <c r="U1459" s="238" t="s">
        <v>9956</v>
      </c>
      <c r="V1459" t="str">
        <f t="shared" si="122"/>
        <v>22</v>
      </c>
      <c r="W1459" t="str">
        <f t="shared" si="123"/>
        <v>09</v>
      </c>
      <c r="X1459" t="str">
        <f t="shared" si="124"/>
        <v>22</v>
      </c>
      <c r="Y1459" t="str">
        <f t="shared" si="125"/>
        <v>2022</v>
      </c>
      <c r="Z1459"/>
      <c r="AA1459" s="2">
        <f t="shared" si="126"/>
        <v>44826</v>
      </c>
      <c r="AB1459"/>
      <c r="AC1459"/>
    </row>
    <row r="1460" spans="21:29" ht="15">
      <c r="U1460" s="238" t="s">
        <v>9957</v>
      </c>
      <c r="V1460" t="str">
        <f t="shared" si="122"/>
        <v>23</v>
      </c>
      <c r="W1460" t="str">
        <f t="shared" si="123"/>
        <v>09</v>
      </c>
      <c r="X1460" t="str">
        <f t="shared" si="124"/>
        <v>22</v>
      </c>
      <c r="Y1460" t="str">
        <f t="shared" si="125"/>
        <v>2022</v>
      </c>
      <c r="Z1460"/>
      <c r="AA1460" s="2">
        <f t="shared" si="126"/>
        <v>44827</v>
      </c>
      <c r="AB1460"/>
      <c r="AC1460"/>
    </row>
    <row r="1461" spans="21:29" ht="15">
      <c r="U1461" s="238" t="s">
        <v>9957</v>
      </c>
      <c r="V1461" t="str">
        <f t="shared" si="122"/>
        <v>23</v>
      </c>
      <c r="W1461" t="str">
        <f t="shared" si="123"/>
        <v>09</v>
      </c>
      <c r="X1461" t="str">
        <f t="shared" si="124"/>
        <v>22</v>
      </c>
      <c r="Y1461" t="str">
        <f t="shared" si="125"/>
        <v>2022</v>
      </c>
      <c r="Z1461"/>
      <c r="AA1461" s="2">
        <f t="shared" si="126"/>
        <v>44827</v>
      </c>
      <c r="AB1461"/>
      <c r="AC1461"/>
    </row>
    <row r="1462" spans="21:29" ht="15">
      <c r="U1462" s="238" t="s">
        <v>9957</v>
      </c>
      <c r="V1462" t="str">
        <f t="shared" si="122"/>
        <v>23</v>
      </c>
      <c r="W1462" t="str">
        <f t="shared" si="123"/>
        <v>09</v>
      </c>
      <c r="X1462" t="str">
        <f t="shared" si="124"/>
        <v>22</v>
      </c>
      <c r="Y1462" t="str">
        <f t="shared" si="125"/>
        <v>2022</v>
      </c>
      <c r="Z1462"/>
      <c r="AA1462" s="2">
        <f t="shared" si="126"/>
        <v>44827</v>
      </c>
      <c r="AB1462"/>
      <c r="AC1462"/>
    </row>
    <row r="1463" spans="21:29" ht="15">
      <c r="U1463" s="238" t="s">
        <v>9957</v>
      </c>
      <c r="V1463" t="str">
        <f t="shared" si="122"/>
        <v>23</v>
      </c>
      <c r="W1463" t="str">
        <f t="shared" si="123"/>
        <v>09</v>
      </c>
      <c r="X1463" t="str">
        <f t="shared" si="124"/>
        <v>22</v>
      </c>
      <c r="Y1463" t="str">
        <f t="shared" si="125"/>
        <v>2022</v>
      </c>
      <c r="Z1463"/>
      <c r="AA1463" s="2">
        <f t="shared" si="126"/>
        <v>44827</v>
      </c>
      <c r="AB1463"/>
      <c r="AC1463"/>
    </row>
    <row r="1464" spans="21:29" ht="15">
      <c r="U1464" s="238" t="s">
        <v>9957</v>
      </c>
      <c r="V1464" t="str">
        <f t="shared" si="122"/>
        <v>23</v>
      </c>
      <c r="W1464" t="str">
        <f t="shared" si="123"/>
        <v>09</v>
      </c>
      <c r="X1464" t="str">
        <f t="shared" si="124"/>
        <v>22</v>
      </c>
      <c r="Y1464" t="str">
        <f t="shared" si="125"/>
        <v>2022</v>
      </c>
      <c r="Z1464"/>
      <c r="AA1464" s="2">
        <f t="shared" si="126"/>
        <v>44827</v>
      </c>
      <c r="AB1464"/>
      <c r="AC1464"/>
    </row>
    <row r="1465" spans="21:29" ht="15">
      <c r="U1465" s="238" t="s">
        <v>9957</v>
      </c>
      <c r="V1465" t="str">
        <f t="shared" si="122"/>
        <v>23</v>
      </c>
      <c r="W1465" t="str">
        <f t="shared" si="123"/>
        <v>09</v>
      </c>
      <c r="X1465" t="str">
        <f t="shared" si="124"/>
        <v>22</v>
      </c>
      <c r="Y1465" t="str">
        <f t="shared" si="125"/>
        <v>2022</v>
      </c>
      <c r="Z1465"/>
      <c r="AA1465" s="2">
        <f t="shared" si="126"/>
        <v>44827</v>
      </c>
      <c r="AB1465"/>
      <c r="AC1465"/>
    </row>
    <row r="1466" spans="21:29" ht="15">
      <c r="U1466" s="238" t="s">
        <v>9957</v>
      </c>
      <c r="V1466" t="str">
        <f t="shared" si="122"/>
        <v>23</v>
      </c>
      <c r="W1466" t="str">
        <f t="shared" si="123"/>
        <v>09</v>
      </c>
      <c r="X1466" t="str">
        <f t="shared" si="124"/>
        <v>22</v>
      </c>
      <c r="Y1466" t="str">
        <f t="shared" si="125"/>
        <v>2022</v>
      </c>
      <c r="Z1466"/>
      <c r="AA1466" s="2">
        <f t="shared" si="126"/>
        <v>44827</v>
      </c>
      <c r="AB1466"/>
      <c r="AC1466"/>
    </row>
    <row r="1467" spans="21:29" ht="15">
      <c r="U1467" s="238" t="s">
        <v>9958</v>
      </c>
      <c r="V1467" t="str">
        <f t="shared" si="122"/>
        <v>24</v>
      </c>
      <c r="W1467" t="str">
        <f t="shared" si="123"/>
        <v>09</v>
      </c>
      <c r="X1467" t="str">
        <f t="shared" si="124"/>
        <v>22</v>
      </c>
      <c r="Y1467" t="str">
        <f t="shared" si="125"/>
        <v>2022</v>
      </c>
      <c r="Z1467"/>
      <c r="AA1467" s="2">
        <f t="shared" si="126"/>
        <v>44828</v>
      </c>
      <c r="AB1467"/>
      <c r="AC1467"/>
    </row>
    <row r="1468" spans="21:29" ht="15">
      <c r="U1468" s="238" t="s">
        <v>9959</v>
      </c>
      <c r="V1468" t="str">
        <f t="shared" si="122"/>
        <v>25</v>
      </c>
      <c r="W1468" t="str">
        <f t="shared" si="123"/>
        <v>09</v>
      </c>
      <c r="X1468" t="str">
        <f t="shared" si="124"/>
        <v>22</v>
      </c>
      <c r="Y1468" t="str">
        <f t="shared" si="125"/>
        <v>2022</v>
      </c>
      <c r="Z1468"/>
      <c r="AA1468" s="2">
        <f t="shared" si="126"/>
        <v>44829</v>
      </c>
      <c r="AB1468"/>
      <c r="AC1468"/>
    </row>
    <row r="1469" spans="21:29" ht="15">
      <c r="U1469" s="238" t="s">
        <v>9959</v>
      </c>
      <c r="V1469" t="str">
        <f t="shared" si="122"/>
        <v>25</v>
      </c>
      <c r="W1469" t="str">
        <f t="shared" si="123"/>
        <v>09</v>
      </c>
      <c r="X1469" t="str">
        <f t="shared" si="124"/>
        <v>22</v>
      </c>
      <c r="Y1469" t="str">
        <f t="shared" si="125"/>
        <v>2022</v>
      </c>
      <c r="Z1469"/>
      <c r="AA1469" s="2">
        <f t="shared" si="126"/>
        <v>44829</v>
      </c>
      <c r="AB1469"/>
      <c r="AC1469"/>
    </row>
    <row r="1470" spans="21:29" ht="15">
      <c r="U1470" s="238" t="s">
        <v>9960</v>
      </c>
      <c r="V1470" t="str">
        <f t="shared" si="122"/>
        <v>26</v>
      </c>
      <c r="W1470" t="str">
        <f t="shared" si="123"/>
        <v>09</v>
      </c>
      <c r="X1470" t="str">
        <f t="shared" si="124"/>
        <v>22</v>
      </c>
      <c r="Y1470" t="str">
        <f t="shared" si="125"/>
        <v>2022</v>
      </c>
      <c r="Z1470"/>
      <c r="AA1470" s="2">
        <f t="shared" si="126"/>
        <v>44830</v>
      </c>
      <c r="AB1470"/>
      <c r="AC1470"/>
    </row>
    <row r="1471" spans="21:29" ht="15">
      <c r="U1471" s="238" t="s">
        <v>9960</v>
      </c>
      <c r="V1471" t="str">
        <f t="shared" si="122"/>
        <v>26</v>
      </c>
      <c r="W1471" t="str">
        <f t="shared" si="123"/>
        <v>09</v>
      </c>
      <c r="X1471" t="str">
        <f t="shared" si="124"/>
        <v>22</v>
      </c>
      <c r="Y1471" t="str">
        <f t="shared" si="125"/>
        <v>2022</v>
      </c>
      <c r="Z1471"/>
      <c r="AA1471" s="2">
        <f t="shared" si="126"/>
        <v>44830</v>
      </c>
      <c r="AB1471"/>
      <c r="AC1471"/>
    </row>
    <row r="1472" spans="21:29" ht="15">
      <c r="U1472" s="238" t="s">
        <v>9961</v>
      </c>
      <c r="V1472" t="str">
        <f t="shared" si="122"/>
        <v>27</v>
      </c>
      <c r="W1472" t="str">
        <f t="shared" si="123"/>
        <v>09</v>
      </c>
      <c r="X1472" t="str">
        <f t="shared" si="124"/>
        <v>22</v>
      </c>
      <c r="Y1472" t="str">
        <f t="shared" si="125"/>
        <v>2022</v>
      </c>
      <c r="Z1472"/>
      <c r="AA1472" s="2">
        <f t="shared" si="126"/>
        <v>44831</v>
      </c>
      <c r="AB1472"/>
      <c r="AC1472"/>
    </row>
    <row r="1473" spans="21:29" ht="15">
      <c r="U1473" s="238" t="s">
        <v>9961</v>
      </c>
      <c r="V1473" t="str">
        <f t="shared" si="122"/>
        <v>27</v>
      </c>
      <c r="W1473" t="str">
        <f t="shared" si="123"/>
        <v>09</v>
      </c>
      <c r="X1473" t="str">
        <f t="shared" si="124"/>
        <v>22</v>
      </c>
      <c r="Y1473" t="str">
        <f t="shared" si="125"/>
        <v>2022</v>
      </c>
      <c r="Z1473"/>
      <c r="AA1473" s="2">
        <f t="shared" si="126"/>
        <v>44831</v>
      </c>
      <c r="AB1473"/>
      <c r="AC1473"/>
    </row>
    <row r="1474" spans="21:29" ht="15">
      <c r="U1474" s="238" t="s">
        <v>9962</v>
      </c>
      <c r="V1474" t="str">
        <f t="shared" si="122"/>
        <v>28</v>
      </c>
      <c r="W1474" t="str">
        <f t="shared" si="123"/>
        <v>09</v>
      </c>
      <c r="X1474" t="str">
        <f t="shared" si="124"/>
        <v>22</v>
      </c>
      <c r="Y1474" t="str">
        <f t="shared" si="125"/>
        <v>2022</v>
      </c>
      <c r="Z1474"/>
      <c r="AA1474" s="2">
        <f t="shared" si="126"/>
        <v>44832</v>
      </c>
      <c r="AB1474"/>
      <c r="AC1474"/>
    </row>
    <row r="1475" spans="21:29" ht="15">
      <c r="U1475" s="238" t="s">
        <v>9963</v>
      </c>
      <c r="V1475" t="str">
        <f t="shared" ref="V1475:V1538" si="127">LEFT(U1475,2)</f>
        <v>29</v>
      </c>
      <c r="W1475" t="str">
        <f t="shared" ref="W1475:W1538" si="128">MID(U1475,4,2)</f>
        <v>09</v>
      </c>
      <c r="X1475" t="str">
        <f t="shared" ref="X1475:X1538" si="129">RIGHT(U1475,2)</f>
        <v>22</v>
      </c>
      <c r="Y1475" t="str">
        <f t="shared" ref="Y1475:Y1538" si="130">"20" &amp; X1475</f>
        <v>2022</v>
      </c>
      <c r="Z1475"/>
      <c r="AA1475" s="2">
        <f t="shared" si="126"/>
        <v>44833</v>
      </c>
      <c r="AB1475"/>
      <c r="AC1475"/>
    </row>
    <row r="1476" spans="21:29" ht="15">
      <c r="U1476" s="238" t="s">
        <v>9963</v>
      </c>
      <c r="V1476" t="str">
        <f t="shared" si="127"/>
        <v>29</v>
      </c>
      <c r="W1476" t="str">
        <f t="shared" si="128"/>
        <v>09</v>
      </c>
      <c r="X1476" t="str">
        <f t="shared" si="129"/>
        <v>22</v>
      </c>
      <c r="Y1476" t="str">
        <f t="shared" si="130"/>
        <v>2022</v>
      </c>
      <c r="Z1476"/>
      <c r="AA1476" s="2">
        <f t="shared" ref="AA1476:AA1539" si="131">DATE(Y1476,W1476,V1476)</f>
        <v>44833</v>
      </c>
      <c r="AB1476"/>
      <c r="AC1476"/>
    </row>
    <row r="1477" spans="21:29" ht="15">
      <c r="U1477" s="238" t="s">
        <v>9963</v>
      </c>
      <c r="V1477" t="str">
        <f t="shared" si="127"/>
        <v>29</v>
      </c>
      <c r="W1477" t="str">
        <f t="shared" si="128"/>
        <v>09</v>
      </c>
      <c r="X1477" t="str">
        <f t="shared" si="129"/>
        <v>22</v>
      </c>
      <c r="Y1477" t="str">
        <f t="shared" si="130"/>
        <v>2022</v>
      </c>
      <c r="Z1477"/>
      <c r="AA1477" s="2">
        <f t="shared" si="131"/>
        <v>44833</v>
      </c>
      <c r="AB1477"/>
      <c r="AC1477"/>
    </row>
    <row r="1478" spans="21:29" ht="15">
      <c r="U1478" s="238" t="s">
        <v>9964</v>
      </c>
      <c r="V1478" t="str">
        <f t="shared" si="127"/>
        <v>30</v>
      </c>
      <c r="W1478" t="str">
        <f t="shared" si="128"/>
        <v>09</v>
      </c>
      <c r="X1478" t="str">
        <f t="shared" si="129"/>
        <v>22</v>
      </c>
      <c r="Y1478" t="str">
        <f t="shared" si="130"/>
        <v>2022</v>
      </c>
      <c r="Z1478"/>
      <c r="AA1478" s="2">
        <f t="shared" si="131"/>
        <v>44834</v>
      </c>
      <c r="AB1478"/>
      <c r="AC1478"/>
    </row>
    <row r="1479" spans="21:29" ht="15">
      <c r="U1479" s="238" t="s">
        <v>9964</v>
      </c>
      <c r="V1479" t="str">
        <f t="shared" si="127"/>
        <v>30</v>
      </c>
      <c r="W1479" t="str">
        <f t="shared" si="128"/>
        <v>09</v>
      </c>
      <c r="X1479" t="str">
        <f t="shared" si="129"/>
        <v>22</v>
      </c>
      <c r="Y1479" t="str">
        <f t="shared" si="130"/>
        <v>2022</v>
      </c>
      <c r="Z1479"/>
      <c r="AA1479" s="2">
        <f t="shared" si="131"/>
        <v>44834</v>
      </c>
      <c r="AB1479"/>
      <c r="AC1479"/>
    </row>
    <row r="1480" spans="21:29" ht="15">
      <c r="U1480" s="238" t="s">
        <v>9964</v>
      </c>
      <c r="V1480" t="str">
        <f t="shared" si="127"/>
        <v>30</v>
      </c>
      <c r="W1480" t="str">
        <f t="shared" si="128"/>
        <v>09</v>
      </c>
      <c r="X1480" t="str">
        <f t="shared" si="129"/>
        <v>22</v>
      </c>
      <c r="Y1480" t="str">
        <f t="shared" si="130"/>
        <v>2022</v>
      </c>
      <c r="Z1480"/>
      <c r="AA1480" s="2">
        <f t="shared" si="131"/>
        <v>44834</v>
      </c>
      <c r="AB1480"/>
      <c r="AC1480"/>
    </row>
    <row r="1481" spans="21:29" ht="15">
      <c r="U1481" s="238" t="s">
        <v>9965</v>
      </c>
      <c r="V1481" t="str">
        <f t="shared" si="127"/>
        <v>01</v>
      </c>
      <c r="W1481" t="str">
        <f t="shared" si="128"/>
        <v>10</v>
      </c>
      <c r="X1481" t="str">
        <f t="shared" si="129"/>
        <v>22</v>
      </c>
      <c r="Y1481" t="str">
        <f t="shared" si="130"/>
        <v>2022</v>
      </c>
      <c r="Z1481"/>
      <c r="AA1481" s="2">
        <f t="shared" si="131"/>
        <v>44835</v>
      </c>
      <c r="AB1481"/>
      <c r="AC1481"/>
    </row>
    <row r="1482" spans="21:29" ht="15">
      <c r="U1482" s="238" t="s">
        <v>9966</v>
      </c>
      <c r="V1482" t="str">
        <f t="shared" si="127"/>
        <v>02</v>
      </c>
      <c r="W1482" t="str">
        <f t="shared" si="128"/>
        <v>10</v>
      </c>
      <c r="X1482" t="str">
        <f t="shared" si="129"/>
        <v>22</v>
      </c>
      <c r="Y1482" t="str">
        <f t="shared" si="130"/>
        <v>2022</v>
      </c>
      <c r="Z1482"/>
      <c r="AA1482" s="2">
        <f t="shared" si="131"/>
        <v>44836</v>
      </c>
      <c r="AB1482"/>
      <c r="AC1482"/>
    </row>
    <row r="1483" spans="21:29" ht="15">
      <c r="U1483" s="238" t="s">
        <v>9966</v>
      </c>
      <c r="V1483" t="str">
        <f t="shared" si="127"/>
        <v>02</v>
      </c>
      <c r="W1483" t="str">
        <f t="shared" si="128"/>
        <v>10</v>
      </c>
      <c r="X1483" t="str">
        <f t="shared" si="129"/>
        <v>22</v>
      </c>
      <c r="Y1483" t="str">
        <f t="shared" si="130"/>
        <v>2022</v>
      </c>
      <c r="Z1483"/>
      <c r="AA1483" s="2">
        <f t="shared" si="131"/>
        <v>44836</v>
      </c>
      <c r="AB1483"/>
      <c r="AC1483"/>
    </row>
    <row r="1484" spans="21:29" ht="15">
      <c r="U1484" s="238" t="s">
        <v>9966</v>
      </c>
      <c r="V1484" t="str">
        <f t="shared" si="127"/>
        <v>02</v>
      </c>
      <c r="W1484" t="str">
        <f t="shared" si="128"/>
        <v>10</v>
      </c>
      <c r="X1484" t="str">
        <f t="shared" si="129"/>
        <v>22</v>
      </c>
      <c r="Y1484" t="str">
        <f t="shared" si="130"/>
        <v>2022</v>
      </c>
      <c r="Z1484"/>
      <c r="AA1484" s="2">
        <f t="shared" si="131"/>
        <v>44836</v>
      </c>
      <c r="AB1484"/>
      <c r="AC1484"/>
    </row>
    <row r="1485" spans="21:29" ht="15">
      <c r="U1485" s="238" t="s">
        <v>9966</v>
      </c>
      <c r="V1485" t="str">
        <f t="shared" si="127"/>
        <v>02</v>
      </c>
      <c r="W1485" t="str">
        <f t="shared" si="128"/>
        <v>10</v>
      </c>
      <c r="X1485" t="str">
        <f t="shared" si="129"/>
        <v>22</v>
      </c>
      <c r="Y1485" t="str">
        <f t="shared" si="130"/>
        <v>2022</v>
      </c>
      <c r="Z1485"/>
      <c r="AA1485" s="2">
        <f t="shared" si="131"/>
        <v>44836</v>
      </c>
      <c r="AB1485"/>
      <c r="AC1485"/>
    </row>
    <row r="1486" spans="21:29" ht="15">
      <c r="U1486" s="238" t="s">
        <v>9966</v>
      </c>
      <c r="V1486" t="str">
        <f t="shared" si="127"/>
        <v>02</v>
      </c>
      <c r="W1486" t="str">
        <f t="shared" si="128"/>
        <v>10</v>
      </c>
      <c r="X1486" t="str">
        <f t="shared" si="129"/>
        <v>22</v>
      </c>
      <c r="Y1486" t="str">
        <f t="shared" si="130"/>
        <v>2022</v>
      </c>
      <c r="Z1486"/>
      <c r="AA1486" s="2">
        <f t="shared" si="131"/>
        <v>44836</v>
      </c>
      <c r="AB1486"/>
      <c r="AC1486"/>
    </row>
    <row r="1487" spans="21:29" ht="15">
      <c r="U1487" s="238" t="s">
        <v>9966</v>
      </c>
      <c r="V1487" t="str">
        <f t="shared" si="127"/>
        <v>02</v>
      </c>
      <c r="W1487" t="str">
        <f t="shared" si="128"/>
        <v>10</v>
      </c>
      <c r="X1487" t="str">
        <f t="shared" si="129"/>
        <v>22</v>
      </c>
      <c r="Y1487" t="str">
        <f t="shared" si="130"/>
        <v>2022</v>
      </c>
      <c r="Z1487"/>
      <c r="AA1487" s="2">
        <f t="shared" si="131"/>
        <v>44836</v>
      </c>
      <c r="AB1487"/>
      <c r="AC1487"/>
    </row>
    <row r="1488" spans="21:29" ht="15">
      <c r="U1488" s="238" t="s">
        <v>9966</v>
      </c>
      <c r="V1488" t="str">
        <f t="shared" si="127"/>
        <v>02</v>
      </c>
      <c r="W1488" t="str">
        <f t="shared" si="128"/>
        <v>10</v>
      </c>
      <c r="X1488" t="str">
        <f t="shared" si="129"/>
        <v>22</v>
      </c>
      <c r="Y1488" t="str">
        <f t="shared" si="130"/>
        <v>2022</v>
      </c>
      <c r="Z1488"/>
      <c r="AA1488" s="2">
        <f t="shared" si="131"/>
        <v>44836</v>
      </c>
      <c r="AB1488"/>
      <c r="AC1488"/>
    </row>
    <row r="1489" spans="21:29" ht="15">
      <c r="U1489" s="238" t="s">
        <v>9966</v>
      </c>
      <c r="V1489" t="str">
        <f t="shared" si="127"/>
        <v>02</v>
      </c>
      <c r="W1489" t="str">
        <f t="shared" si="128"/>
        <v>10</v>
      </c>
      <c r="X1489" t="str">
        <f t="shared" si="129"/>
        <v>22</v>
      </c>
      <c r="Y1489" t="str">
        <f t="shared" si="130"/>
        <v>2022</v>
      </c>
      <c r="Z1489"/>
      <c r="AA1489" s="2">
        <f t="shared" si="131"/>
        <v>44836</v>
      </c>
      <c r="AB1489"/>
      <c r="AC1489"/>
    </row>
    <row r="1490" spans="21:29" ht="15">
      <c r="U1490" s="238" t="s">
        <v>9967</v>
      </c>
      <c r="V1490" t="str">
        <f t="shared" si="127"/>
        <v>03</v>
      </c>
      <c r="W1490" t="str">
        <f t="shared" si="128"/>
        <v>10</v>
      </c>
      <c r="X1490" t="str">
        <f t="shared" si="129"/>
        <v>22</v>
      </c>
      <c r="Y1490" t="str">
        <f t="shared" si="130"/>
        <v>2022</v>
      </c>
      <c r="Z1490"/>
      <c r="AA1490" s="2">
        <f t="shared" si="131"/>
        <v>44837</v>
      </c>
      <c r="AB1490"/>
      <c r="AC1490"/>
    </row>
    <row r="1491" spans="21:29" ht="15">
      <c r="U1491" s="238" t="s">
        <v>9967</v>
      </c>
      <c r="V1491" t="str">
        <f t="shared" si="127"/>
        <v>03</v>
      </c>
      <c r="W1491" t="str">
        <f t="shared" si="128"/>
        <v>10</v>
      </c>
      <c r="X1491" t="str">
        <f t="shared" si="129"/>
        <v>22</v>
      </c>
      <c r="Y1491" t="str">
        <f t="shared" si="130"/>
        <v>2022</v>
      </c>
      <c r="Z1491"/>
      <c r="AA1491" s="2">
        <f t="shared" si="131"/>
        <v>44837</v>
      </c>
      <c r="AB1491"/>
      <c r="AC1491"/>
    </row>
    <row r="1492" spans="21:29" ht="15">
      <c r="U1492" s="238" t="s">
        <v>9967</v>
      </c>
      <c r="V1492" t="str">
        <f t="shared" si="127"/>
        <v>03</v>
      </c>
      <c r="W1492" t="str">
        <f t="shared" si="128"/>
        <v>10</v>
      </c>
      <c r="X1492" t="str">
        <f t="shared" si="129"/>
        <v>22</v>
      </c>
      <c r="Y1492" t="str">
        <f t="shared" si="130"/>
        <v>2022</v>
      </c>
      <c r="Z1492"/>
      <c r="AA1492" s="2">
        <f t="shared" si="131"/>
        <v>44837</v>
      </c>
      <c r="AB1492"/>
      <c r="AC1492"/>
    </row>
    <row r="1493" spans="21:29" ht="15">
      <c r="U1493" s="238" t="s">
        <v>9967</v>
      </c>
      <c r="V1493" t="str">
        <f t="shared" si="127"/>
        <v>03</v>
      </c>
      <c r="W1493" t="str">
        <f t="shared" si="128"/>
        <v>10</v>
      </c>
      <c r="X1493" t="str">
        <f t="shared" si="129"/>
        <v>22</v>
      </c>
      <c r="Y1493" t="str">
        <f t="shared" si="130"/>
        <v>2022</v>
      </c>
      <c r="Z1493"/>
      <c r="AA1493" s="2">
        <f t="shared" si="131"/>
        <v>44837</v>
      </c>
      <c r="AB1493"/>
      <c r="AC1493"/>
    </row>
    <row r="1494" spans="21:29" ht="15">
      <c r="U1494" s="238" t="s">
        <v>9968</v>
      </c>
      <c r="V1494" t="str">
        <f t="shared" si="127"/>
        <v>04</v>
      </c>
      <c r="W1494" t="str">
        <f t="shared" si="128"/>
        <v>10</v>
      </c>
      <c r="X1494" t="str">
        <f t="shared" si="129"/>
        <v>22</v>
      </c>
      <c r="Y1494" t="str">
        <f t="shared" si="130"/>
        <v>2022</v>
      </c>
      <c r="Z1494"/>
      <c r="AA1494" s="2">
        <f t="shared" si="131"/>
        <v>44838</v>
      </c>
      <c r="AB1494"/>
      <c r="AC1494"/>
    </row>
    <row r="1495" spans="21:29" ht="15">
      <c r="U1495" s="238" t="s">
        <v>9968</v>
      </c>
      <c r="V1495" t="str">
        <f t="shared" si="127"/>
        <v>04</v>
      </c>
      <c r="W1495" t="str">
        <f t="shared" si="128"/>
        <v>10</v>
      </c>
      <c r="X1495" t="str">
        <f t="shared" si="129"/>
        <v>22</v>
      </c>
      <c r="Y1495" t="str">
        <f t="shared" si="130"/>
        <v>2022</v>
      </c>
      <c r="Z1495"/>
      <c r="AA1495" s="2">
        <f t="shared" si="131"/>
        <v>44838</v>
      </c>
      <c r="AB1495"/>
      <c r="AC1495"/>
    </row>
    <row r="1496" spans="21:29" ht="15">
      <c r="U1496" s="238" t="s">
        <v>9968</v>
      </c>
      <c r="V1496" t="str">
        <f t="shared" si="127"/>
        <v>04</v>
      </c>
      <c r="W1496" t="str">
        <f t="shared" si="128"/>
        <v>10</v>
      </c>
      <c r="X1496" t="str">
        <f t="shared" si="129"/>
        <v>22</v>
      </c>
      <c r="Y1496" t="str">
        <f t="shared" si="130"/>
        <v>2022</v>
      </c>
      <c r="Z1496"/>
      <c r="AA1496" s="2">
        <f t="shared" si="131"/>
        <v>44838</v>
      </c>
      <c r="AB1496"/>
      <c r="AC1496"/>
    </row>
    <row r="1497" spans="21:29" ht="15">
      <c r="U1497" s="238" t="s">
        <v>9968</v>
      </c>
      <c r="V1497" t="str">
        <f t="shared" si="127"/>
        <v>04</v>
      </c>
      <c r="W1497" t="str">
        <f t="shared" si="128"/>
        <v>10</v>
      </c>
      <c r="X1497" t="str">
        <f t="shared" si="129"/>
        <v>22</v>
      </c>
      <c r="Y1497" t="str">
        <f t="shared" si="130"/>
        <v>2022</v>
      </c>
      <c r="Z1497"/>
      <c r="AA1497" s="2">
        <f t="shared" si="131"/>
        <v>44838</v>
      </c>
      <c r="AB1497"/>
      <c r="AC1497"/>
    </row>
    <row r="1498" spans="21:29" ht="15">
      <c r="U1498" s="238" t="s">
        <v>9968</v>
      </c>
      <c r="V1498" t="str">
        <f t="shared" si="127"/>
        <v>04</v>
      </c>
      <c r="W1498" t="str">
        <f t="shared" si="128"/>
        <v>10</v>
      </c>
      <c r="X1498" t="str">
        <f t="shared" si="129"/>
        <v>22</v>
      </c>
      <c r="Y1498" t="str">
        <f t="shared" si="130"/>
        <v>2022</v>
      </c>
      <c r="Z1498"/>
      <c r="AA1498" s="2">
        <f t="shared" si="131"/>
        <v>44838</v>
      </c>
      <c r="AB1498"/>
      <c r="AC1498"/>
    </row>
    <row r="1499" spans="21:29" ht="15">
      <c r="U1499" s="238" t="s">
        <v>9969</v>
      </c>
      <c r="V1499" t="str">
        <f t="shared" si="127"/>
        <v>05</v>
      </c>
      <c r="W1499" t="str">
        <f t="shared" si="128"/>
        <v>10</v>
      </c>
      <c r="X1499" t="str">
        <f t="shared" si="129"/>
        <v>22</v>
      </c>
      <c r="Y1499" t="str">
        <f t="shared" si="130"/>
        <v>2022</v>
      </c>
      <c r="Z1499"/>
      <c r="AA1499" s="2">
        <f t="shared" si="131"/>
        <v>44839</v>
      </c>
      <c r="AB1499"/>
      <c r="AC1499"/>
    </row>
    <row r="1500" spans="21:29" ht="15">
      <c r="U1500" s="238" t="s">
        <v>9970</v>
      </c>
      <c r="V1500" t="str">
        <f t="shared" si="127"/>
        <v>06</v>
      </c>
      <c r="W1500" t="str">
        <f t="shared" si="128"/>
        <v>10</v>
      </c>
      <c r="X1500" t="str">
        <f t="shared" si="129"/>
        <v>22</v>
      </c>
      <c r="Y1500" t="str">
        <f t="shared" si="130"/>
        <v>2022</v>
      </c>
      <c r="Z1500"/>
      <c r="AA1500" s="2">
        <f t="shared" si="131"/>
        <v>44840</v>
      </c>
      <c r="AB1500"/>
      <c r="AC1500"/>
    </row>
    <row r="1501" spans="21:29" ht="15">
      <c r="U1501" s="238" t="s">
        <v>9970</v>
      </c>
      <c r="V1501" t="str">
        <f t="shared" si="127"/>
        <v>06</v>
      </c>
      <c r="W1501" t="str">
        <f t="shared" si="128"/>
        <v>10</v>
      </c>
      <c r="X1501" t="str">
        <f t="shared" si="129"/>
        <v>22</v>
      </c>
      <c r="Y1501" t="str">
        <f t="shared" si="130"/>
        <v>2022</v>
      </c>
      <c r="Z1501"/>
      <c r="AA1501" s="2">
        <f t="shared" si="131"/>
        <v>44840</v>
      </c>
      <c r="AB1501"/>
      <c r="AC1501"/>
    </row>
    <row r="1502" spans="21:29" ht="15">
      <c r="U1502" s="238" t="s">
        <v>9970</v>
      </c>
      <c r="V1502" t="str">
        <f t="shared" si="127"/>
        <v>06</v>
      </c>
      <c r="W1502" t="str">
        <f t="shared" si="128"/>
        <v>10</v>
      </c>
      <c r="X1502" t="str">
        <f t="shared" si="129"/>
        <v>22</v>
      </c>
      <c r="Y1502" t="str">
        <f t="shared" si="130"/>
        <v>2022</v>
      </c>
      <c r="Z1502"/>
      <c r="AA1502" s="2">
        <f t="shared" si="131"/>
        <v>44840</v>
      </c>
      <c r="AB1502"/>
      <c r="AC1502"/>
    </row>
    <row r="1503" spans="21:29" ht="15">
      <c r="U1503" s="238" t="s">
        <v>9970</v>
      </c>
      <c r="V1503" t="str">
        <f t="shared" si="127"/>
        <v>06</v>
      </c>
      <c r="W1503" t="str">
        <f t="shared" si="128"/>
        <v>10</v>
      </c>
      <c r="X1503" t="str">
        <f t="shared" si="129"/>
        <v>22</v>
      </c>
      <c r="Y1503" t="str">
        <f t="shared" si="130"/>
        <v>2022</v>
      </c>
      <c r="Z1503"/>
      <c r="AA1503" s="2">
        <f t="shared" si="131"/>
        <v>44840</v>
      </c>
      <c r="AB1503"/>
      <c r="AC1503"/>
    </row>
    <row r="1504" spans="21:29" ht="15">
      <c r="U1504" s="238" t="s">
        <v>9970</v>
      </c>
      <c r="V1504" t="str">
        <f t="shared" si="127"/>
        <v>06</v>
      </c>
      <c r="W1504" t="str">
        <f t="shared" si="128"/>
        <v>10</v>
      </c>
      <c r="X1504" t="str">
        <f t="shared" si="129"/>
        <v>22</v>
      </c>
      <c r="Y1504" t="str">
        <f t="shared" si="130"/>
        <v>2022</v>
      </c>
      <c r="Z1504"/>
      <c r="AA1504" s="2">
        <f t="shared" si="131"/>
        <v>44840</v>
      </c>
      <c r="AB1504"/>
      <c r="AC1504"/>
    </row>
    <row r="1505" spans="21:29" ht="15">
      <c r="U1505" s="238" t="s">
        <v>9970</v>
      </c>
      <c r="V1505" t="str">
        <f t="shared" si="127"/>
        <v>06</v>
      </c>
      <c r="W1505" t="str">
        <f t="shared" si="128"/>
        <v>10</v>
      </c>
      <c r="X1505" t="str">
        <f t="shared" si="129"/>
        <v>22</v>
      </c>
      <c r="Y1505" t="str">
        <f t="shared" si="130"/>
        <v>2022</v>
      </c>
      <c r="Z1505"/>
      <c r="AA1505" s="2">
        <f t="shared" si="131"/>
        <v>44840</v>
      </c>
      <c r="AB1505"/>
      <c r="AC1505"/>
    </row>
    <row r="1506" spans="21:29" ht="15">
      <c r="U1506" s="238" t="s">
        <v>9971</v>
      </c>
      <c r="V1506" t="str">
        <f t="shared" si="127"/>
        <v>08</v>
      </c>
      <c r="W1506" t="str">
        <f t="shared" si="128"/>
        <v>10</v>
      </c>
      <c r="X1506" t="str">
        <f t="shared" si="129"/>
        <v>22</v>
      </c>
      <c r="Y1506" t="str">
        <f t="shared" si="130"/>
        <v>2022</v>
      </c>
      <c r="Z1506"/>
      <c r="AA1506" s="2">
        <f t="shared" si="131"/>
        <v>44842</v>
      </c>
      <c r="AB1506"/>
      <c r="AC1506"/>
    </row>
    <row r="1507" spans="21:29" ht="15">
      <c r="U1507" s="238" t="s">
        <v>9972</v>
      </c>
      <c r="V1507" t="str">
        <f t="shared" si="127"/>
        <v>11</v>
      </c>
      <c r="W1507" t="str">
        <f t="shared" si="128"/>
        <v>10</v>
      </c>
      <c r="X1507" t="str">
        <f t="shared" si="129"/>
        <v>22</v>
      </c>
      <c r="Y1507" t="str">
        <f t="shared" si="130"/>
        <v>2022</v>
      </c>
      <c r="Z1507"/>
      <c r="AA1507" s="2">
        <f t="shared" si="131"/>
        <v>44845</v>
      </c>
      <c r="AB1507"/>
      <c r="AC1507"/>
    </row>
    <row r="1508" spans="21:29" ht="15">
      <c r="U1508" s="238" t="s">
        <v>9972</v>
      </c>
      <c r="V1508" t="str">
        <f t="shared" si="127"/>
        <v>11</v>
      </c>
      <c r="W1508" t="str">
        <f t="shared" si="128"/>
        <v>10</v>
      </c>
      <c r="X1508" t="str">
        <f t="shared" si="129"/>
        <v>22</v>
      </c>
      <c r="Y1508" t="str">
        <f t="shared" si="130"/>
        <v>2022</v>
      </c>
      <c r="Z1508"/>
      <c r="AA1508" s="2">
        <f t="shared" si="131"/>
        <v>44845</v>
      </c>
      <c r="AB1508"/>
      <c r="AC1508"/>
    </row>
    <row r="1509" spans="21:29" ht="15">
      <c r="U1509" s="238" t="s">
        <v>9972</v>
      </c>
      <c r="V1509" t="str">
        <f t="shared" si="127"/>
        <v>11</v>
      </c>
      <c r="W1509" t="str">
        <f t="shared" si="128"/>
        <v>10</v>
      </c>
      <c r="X1509" t="str">
        <f t="shared" si="129"/>
        <v>22</v>
      </c>
      <c r="Y1509" t="str">
        <f t="shared" si="130"/>
        <v>2022</v>
      </c>
      <c r="Z1509"/>
      <c r="AA1509" s="2">
        <f t="shared" si="131"/>
        <v>44845</v>
      </c>
      <c r="AB1509"/>
      <c r="AC1509"/>
    </row>
    <row r="1510" spans="21:29" ht="15">
      <c r="U1510" s="238" t="s">
        <v>9972</v>
      </c>
      <c r="V1510" t="str">
        <f t="shared" si="127"/>
        <v>11</v>
      </c>
      <c r="W1510" t="str">
        <f t="shared" si="128"/>
        <v>10</v>
      </c>
      <c r="X1510" t="str">
        <f t="shared" si="129"/>
        <v>22</v>
      </c>
      <c r="Y1510" t="str">
        <f t="shared" si="130"/>
        <v>2022</v>
      </c>
      <c r="Z1510"/>
      <c r="AA1510" s="2">
        <f t="shared" si="131"/>
        <v>44845</v>
      </c>
      <c r="AB1510"/>
      <c r="AC1510"/>
    </row>
    <row r="1511" spans="21:29" ht="15">
      <c r="U1511" s="238" t="s">
        <v>9972</v>
      </c>
      <c r="V1511" t="str">
        <f t="shared" si="127"/>
        <v>11</v>
      </c>
      <c r="W1511" t="str">
        <f t="shared" si="128"/>
        <v>10</v>
      </c>
      <c r="X1511" t="str">
        <f t="shared" si="129"/>
        <v>22</v>
      </c>
      <c r="Y1511" t="str">
        <f t="shared" si="130"/>
        <v>2022</v>
      </c>
      <c r="Z1511"/>
      <c r="AA1511" s="2">
        <f t="shared" si="131"/>
        <v>44845</v>
      </c>
      <c r="AB1511"/>
      <c r="AC1511"/>
    </row>
    <row r="1512" spans="21:29" ht="15">
      <c r="U1512" s="238" t="s">
        <v>9972</v>
      </c>
      <c r="V1512" t="str">
        <f t="shared" si="127"/>
        <v>11</v>
      </c>
      <c r="W1512" t="str">
        <f t="shared" si="128"/>
        <v>10</v>
      </c>
      <c r="X1512" t="str">
        <f t="shared" si="129"/>
        <v>22</v>
      </c>
      <c r="Y1512" t="str">
        <f t="shared" si="130"/>
        <v>2022</v>
      </c>
      <c r="Z1512"/>
      <c r="AA1512" s="2">
        <f t="shared" si="131"/>
        <v>44845</v>
      </c>
      <c r="AB1512"/>
      <c r="AC1512"/>
    </row>
    <row r="1513" spans="21:29" ht="15">
      <c r="U1513" s="238" t="s">
        <v>9973</v>
      </c>
      <c r="V1513" t="str">
        <f t="shared" si="127"/>
        <v>12</v>
      </c>
      <c r="W1513" t="str">
        <f t="shared" si="128"/>
        <v>10</v>
      </c>
      <c r="X1513" t="str">
        <f t="shared" si="129"/>
        <v>22</v>
      </c>
      <c r="Y1513" t="str">
        <f t="shared" si="130"/>
        <v>2022</v>
      </c>
      <c r="Z1513"/>
      <c r="AA1513" s="2">
        <f t="shared" si="131"/>
        <v>44846</v>
      </c>
      <c r="AB1513"/>
      <c r="AC1513"/>
    </row>
    <row r="1514" spans="21:29" ht="15">
      <c r="U1514" s="238" t="s">
        <v>9973</v>
      </c>
      <c r="V1514" t="str">
        <f t="shared" si="127"/>
        <v>12</v>
      </c>
      <c r="W1514" t="str">
        <f t="shared" si="128"/>
        <v>10</v>
      </c>
      <c r="X1514" t="str">
        <f t="shared" si="129"/>
        <v>22</v>
      </c>
      <c r="Y1514" t="str">
        <f t="shared" si="130"/>
        <v>2022</v>
      </c>
      <c r="Z1514"/>
      <c r="AA1514" s="2">
        <f t="shared" si="131"/>
        <v>44846</v>
      </c>
      <c r="AB1514"/>
      <c r="AC1514"/>
    </row>
    <row r="1515" spans="21:29" ht="15">
      <c r="U1515" s="238" t="s">
        <v>9973</v>
      </c>
      <c r="V1515" t="str">
        <f t="shared" si="127"/>
        <v>12</v>
      </c>
      <c r="W1515" t="str">
        <f t="shared" si="128"/>
        <v>10</v>
      </c>
      <c r="X1515" t="str">
        <f t="shared" si="129"/>
        <v>22</v>
      </c>
      <c r="Y1515" t="str">
        <f t="shared" si="130"/>
        <v>2022</v>
      </c>
      <c r="Z1515"/>
      <c r="AA1515" s="2">
        <f t="shared" si="131"/>
        <v>44846</v>
      </c>
      <c r="AB1515"/>
      <c r="AC1515"/>
    </row>
    <row r="1516" spans="21:29" ht="15">
      <c r="U1516" s="238" t="s">
        <v>9973</v>
      </c>
      <c r="V1516" t="str">
        <f t="shared" si="127"/>
        <v>12</v>
      </c>
      <c r="W1516" t="str">
        <f t="shared" si="128"/>
        <v>10</v>
      </c>
      <c r="X1516" t="str">
        <f t="shared" si="129"/>
        <v>22</v>
      </c>
      <c r="Y1516" t="str">
        <f t="shared" si="130"/>
        <v>2022</v>
      </c>
      <c r="Z1516"/>
      <c r="AA1516" s="2">
        <f t="shared" si="131"/>
        <v>44846</v>
      </c>
      <c r="AB1516"/>
      <c r="AC1516"/>
    </row>
    <row r="1517" spans="21:29" ht="15">
      <c r="U1517" s="238" t="s">
        <v>9973</v>
      </c>
      <c r="V1517" t="str">
        <f t="shared" si="127"/>
        <v>12</v>
      </c>
      <c r="W1517" t="str">
        <f t="shared" si="128"/>
        <v>10</v>
      </c>
      <c r="X1517" t="str">
        <f t="shared" si="129"/>
        <v>22</v>
      </c>
      <c r="Y1517" t="str">
        <f t="shared" si="130"/>
        <v>2022</v>
      </c>
      <c r="Z1517"/>
      <c r="AA1517" s="2">
        <f t="shared" si="131"/>
        <v>44846</v>
      </c>
      <c r="AB1517"/>
      <c r="AC1517"/>
    </row>
    <row r="1518" spans="21:29" ht="15">
      <c r="U1518" s="238" t="s">
        <v>9974</v>
      </c>
      <c r="V1518" t="str">
        <f t="shared" si="127"/>
        <v>13</v>
      </c>
      <c r="W1518" t="str">
        <f t="shared" si="128"/>
        <v>10</v>
      </c>
      <c r="X1518" t="str">
        <f t="shared" si="129"/>
        <v>22</v>
      </c>
      <c r="Y1518" t="str">
        <f t="shared" si="130"/>
        <v>2022</v>
      </c>
      <c r="Z1518"/>
      <c r="AA1518" s="2">
        <f t="shared" si="131"/>
        <v>44847</v>
      </c>
      <c r="AB1518"/>
      <c r="AC1518"/>
    </row>
    <row r="1519" spans="21:29" ht="15">
      <c r="U1519" s="238" t="s">
        <v>9975</v>
      </c>
      <c r="V1519" t="str">
        <f t="shared" si="127"/>
        <v>14</v>
      </c>
      <c r="W1519" t="str">
        <f t="shared" si="128"/>
        <v>10</v>
      </c>
      <c r="X1519" t="str">
        <f t="shared" si="129"/>
        <v>22</v>
      </c>
      <c r="Y1519" t="str">
        <f t="shared" si="130"/>
        <v>2022</v>
      </c>
      <c r="Z1519"/>
      <c r="AA1519" s="2">
        <f t="shared" si="131"/>
        <v>44848</v>
      </c>
      <c r="AB1519"/>
      <c r="AC1519"/>
    </row>
    <row r="1520" spans="21:29" ht="15">
      <c r="U1520" s="238" t="s">
        <v>9976</v>
      </c>
      <c r="V1520" t="str">
        <f t="shared" si="127"/>
        <v>16</v>
      </c>
      <c r="W1520" t="str">
        <f t="shared" si="128"/>
        <v>10</v>
      </c>
      <c r="X1520" t="str">
        <f t="shared" si="129"/>
        <v>22</v>
      </c>
      <c r="Y1520" t="str">
        <f t="shared" si="130"/>
        <v>2022</v>
      </c>
      <c r="Z1520"/>
      <c r="AA1520" s="2">
        <f t="shared" si="131"/>
        <v>44850</v>
      </c>
      <c r="AB1520"/>
      <c r="AC1520"/>
    </row>
    <row r="1521" spans="21:29" ht="15">
      <c r="U1521" s="238" t="s">
        <v>9977</v>
      </c>
      <c r="V1521" t="str">
        <f t="shared" si="127"/>
        <v>20</v>
      </c>
      <c r="W1521" t="str">
        <f t="shared" si="128"/>
        <v>10</v>
      </c>
      <c r="X1521" t="str">
        <f t="shared" si="129"/>
        <v>22</v>
      </c>
      <c r="Y1521" t="str">
        <f t="shared" si="130"/>
        <v>2022</v>
      </c>
      <c r="Z1521"/>
      <c r="AA1521" s="2">
        <f t="shared" si="131"/>
        <v>44854</v>
      </c>
      <c r="AB1521"/>
      <c r="AC1521"/>
    </row>
    <row r="1522" spans="21:29" ht="15">
      <c r="U1522" s="238" t="s">
        <v>9978</v>
      </c>
      <c r="V1522" t="str">
        <f t="shared" si="127"/>
        <v>21</v>
      </c>
      <c r="W1522" t="str">
        <f t="shared" si="128"/>
        <v>10</v>
      </c>
      <c r="X1522" t="str">
        <f t="shared" si="129"/>
        <v>22</v>
      </c>
      <c r="Y1522" t="str">
        <f t="shared" si="130"/>
        <v>2022</v>
      </c>
      <c r="Z1522"/>
      <c r="AA1522" s="2">
        <f t="shared" si="131"/>
        <v>44855</v>
      </c>
      <c r="AB1522"/>
      <c r="AC1522"/>
    </row>
    <row r="1523" spans="21:29" ht="15">
      <c r="U1523" s="238" t="s">
        <v>9978</v>
      </c>
      <c r="V1523" t="str">
        <f t="shared" si="127"/>
        <v>21</v>
      </c>
      <c r="W1523" t="str">
        <f t="shared" si="128"/>
        <v>10</v>
      </c>
      <c r="X1523" t="str">
        <f t="shared" si="129"/>
        <v>22</v>
      </c>
      <c r="Y1523" t="str">
        <f t="shared" si="130"/>
        <v>2022</v>
      </c>
      <c r="Z1523"/>
      <c r="AA1523" s="2">
        <f t="shared" si="131"/>
        <v>44855</v>
      </c>
      <c r="AB1523"/>
      <c r="AC1523"/>
    </row>
    <row r="1524" spans="21:29" ht="15">
      <c r="U1524" s="238" t="s">
        <v>9978</v>
      </c>
      <c r="V1524" t="str">
        <f t="shared" si="127"/>
        <v>21</v>
      </c>
      <c r="W1524" t="str">
        <f t="shared" si="128"/>
        <v>10</v>
      </c>
      <c r="X1524" t="str">
        <f t="shared" si="129"/>
        <v>22</v>
      </c>
      <c r="Y1524" t="str">
        <f t="shared" si="130"/>
        <v>2022</v>
      </c>
      <c r="Z1524"/>
      <c r="AA1524" s="2">
        <f t="shared" si="131"/>
        <v>44855</v>
      </c>
      <c r="AB1524"/>
      <c r="AC1524"/>
    </row>
    <row r="1525" spans="21:29" ht="15">
      <c r="U1525" s="238" t="s">
        <v>9978</v>
      </c>
      <c r="V1525" t="str">
        <f t="shared" si="127"/>
        <v>21</v>
      </c>
      <c r="W1525" t="str">
        <f t="shared" si="128"/>
        <v>10</v>
      </c>
      <c r="X1525" t="str">
        <f t="shared" si="129"/>
        <v>22</v>
      </c>
      <c r="Y1525" t="str">
        <f t="shared" si="130"/>
        <v>2022</v>
      </c>
      <c r="Z1525"/>
      <c r="AA1525" s="2">
        <f t="shared" si="131"/>
        <v>44855</v>
      </c>
      <c r="AB1525"/>
      <c r="AC1525"/>
    </row>
    <row r="1526" spans="21:29" ht="15">
      <c r="U1526" s="238" t="s">
        <v>9978</v>
      </c>
      <c r="V1526" t="str">
        <f t="shared" si="127"/>
        <v>21</v>
      </c>
      <c r="W1526" t="str">
        <f t="shared" si="128"/>
        <v>10</v>
      </c>
      <c r="X1526" t="str">
        <f t="shared" si="129"/>
        <v>22</v>
      </c>
      <c r="Y1526" t="str">
        <f t="shared" si="130"/>
        <v>2022</v>
      </c>
      <c r="Z1526"/>
      <c r="AA1526" s="2">
        <f t="shared" si="131"/>
        <v>44855</v>
      </c>
      <c r="AB1526"/>
      <c r="AC1526"/>
    </row>
    <row r="1527" spans="21:29" ht="15">
      <c r="U1527" s="238" t="s">
        <v>9978</v>
      </c>
      <c r="V1527" t="str">
        <f t="shared" si="127"/>
        <v>21</v>
      </c>
      <c r="W1527" t="str">
        <f t="shared" si="128"/>
        <v>10</v>
      </c>
      <c r="X1527" t="str">
        <f t="shared" si="129"/>
        <v>22</v>
      </c>
      <c r="Y1527" t="str">
        <f t="shared" si="130"/>
        <v>2022</v>
      </c>
      <c r="Z1527"/>
      <c r="AA1527" s="2">
        <f t="shared" si="131"/>
        <v>44855</v>
      </c>
      <c r="AB1527"/>
      <c r="AC1527"/>
    </row>
    <row r="1528" spans="21:29" ht="15">
      <c r="U1528" s="238" t="s">
        <v>9978</v>
      </c>
      <c r="V1528" t="str">
        <f t="shared" si="127"/>
        <v>21</v>
      </c>
      <c r="W1528" t="str">
        <f t="shared" si="128"/>
        <v>10</v>
      </c>
      <c r="X1528" t="str">
        <f t="shared" si="129"/>
        <v>22</v>
      </c>
      <c r="Y1528" t="str">
        <f t="shared" si="130"/>
        <v>2022</v>
      </c>
      <c r="Z1528"/>
      <c r="AA1528" s="2">
        <f t="shared" si="131"/>
        <v>44855</v>
      </c>
      <c r="AB1528"/>
      <c r="AC1528"/>
    </row>
    <row r="1529" spans="21:29" ht="15">
      <c r="U1529" s="238" t="s">
        <v>9978</v>
      </c>
      <c r="V1529" t="str">
        <f t="shared" si="127"/>
        <v>21</v>
      </c>
      <c r="W1529" t="str">
        <f t="shared" si="128"/>
        <v>10</v>
      </c>
      <c r="X1529" t="str">
        <f t="shared" si="129"/>
        <v>22</v>
      </c>
      <c r="Y1529" t="str">
        <f t="shared" si="130"/>
        <v>2022</v>
      </c>
      <c r="Z1529"/>
      <c r="AA1529" s="2">
        <f t="shared" si="131"/>
        <v>44855</v>
      </c>
      <c r="AB1529"/>
      <c r="AC1529"/>
    </row>
    <row r="1530" spans="21:29" ht="15">
      <c r="U1530" s="238" t="s">
        <v>9978</v>
      </c>
      <c r="V1530" t="str">
        <f t="shared" si="127"/>
        <v>21</v>
      </c>
      <c r="W1530" t="str">
        <f t="shared" si="128"/>
        <v>10</v>
      </c>
      <c r="X1530" t="str">
        <f t="shared" si="129"/>
        <v>22</v>
      </c>
      <c r="Y1530" t="str">
        <f t="shared" si="130"/>
        <v>2022</v>
      </c>
      <c r="Z1530"/>
      <c r="AA1530" s="2">
        <f t="shared" si="131"/>
        <v>44855</v>
      </c>
      <c r="AB1530"/>
      <c r="AC1530"/>
    </row>
    <row r="1531" spans="21:29" ht="15">
      <c r="U1531" s="238" t="s">
        <v>9978</v>
      </c>
      <c r="V1531" t="str">
        <f t="shared" si="127"/>
        <v>21</v>
      </c>
      <c r="W1531" t="str">
        <f t="shared" si="128"/>
        <v>10</v>
      </c>
      <c r="X1531" t="str">
        <f t="shared" si="129"/>
        <v>22</v>
      </c>
      <c r="Y1531" t="str">
        <f t="shared" si="130"/>
        <v>2022</v>
      </c>
      <c r="Z1531"/>
      <c r="AA1531" s="2">
        <f t="shared" si="131"/>
        <v>44855</v>
      </c>
      <c r="AB1531"/>
      <c r="AC1531"/>
    </row>
    <row r="1532" spans="21:29" ht="15">
      <c r="U1532" s="238" t="s">
        <v>9979</v>
      </c>
      <c r="V1532" t="str">
        <f t="shared" si="127"/>
        <v>22</v>
      </c>
      <c r="W1532" t="str">
        <f t="shared" si="128"/>
        <v>10</v>
      </c>
      <c r="X1532" t="str">
        <f t="shared" si="129"/>
        <v>22</v>
      </c>
      <c r="Y1532" t="str">
        <f t="shared" si="130"/>
        <v>2022</v>
      </c>
      <c r="Z1532"/>
      <c r="AA1532" s="2">
        <f t="shared" si="131"/>
        <v>44856</v>
      </c>
      <c r="AB1532"/>
      <c r="AC1532"/>
    </row>
    <row r="1533" spans="21:29" ht="15">
      <c r="U1533" s="238" t="s">
        <v>9980</v>
      </c>
      <c r="V1533" t="str">
        <f t="shared" si="127"/>
        <v>23</v>
      </c>
      <c r="W1533" t="str">
        <f t="shared" si="128"/>
        <v>10</v>
      </c>
      <c r="X1533" t="str">
        <f t="shared" si="129"/>
        <v>22</v>
      </c>
      <c r="Y1533" t="str">
        <f t="shared" si="130"/>
        <v>2022</v>
      </c>
      <c r="Z1533"/>
      <c r="AA1533" s="2">
        <f t="shared" si="131"/>
        <v>44857</v>
      </c>
      <c r="AB1533"/>
      <c r="AC1533"/>
    </row>
    <row r="1534" spans="21:29" ht="15">
      <c r="U1534" s="238" t="s">
        <v>9981</v>
      </c>
      <c r="V1534" t="str">
        <f t="shared" si="127"/>
        <v>25</v>
      </c>
      <c r="W1534" t="str">
        <f t="shared" si="128"/>
        <v>10</v>
      </c>
      <c r="X1534" t="str">
        <f t="shared" si="129"/>
        <v>22</v>
      </c>
      <c r="Y1534" t="str">
        <f t="shared" si="130"/>
        <v>2022</v>
      </c>
      <c r="Z1534"/>
      <c r="AA1534" s="2">
        <f t="shared" si="131"/>
        <v>44859</v>
      </c>
      <c r="AB1534"/>
      <c r="AC1534"/>
    </row>
    <row r="1535" spans="21:29" ht="15">
      <c r="U1535" s="238" t="s">
        <v>9981</v>
      </c>
      <c r="V1535" t="str">
        <f t="shared" si="127"/>
        <v>25</v>
      </c>
      <c r="W1535" t="str">
        <f t="shared" si="128"/>
        <v>10</v>
      </c>
      <c r="X1535" t="str">
        <f t="shared" si="129"/>
        <v>22</v>
      </c>
      <c r="Y1535" t="str">
        <f t="shared" si="130"/>
        <v>2022</v>
      </c>
      <c r="Z1535"/>
      <c r="AA1535" s="2">
        <f t="shared" si="131"/>
        <v>44859</v>
      </c>
      <c r="AB1535"/>
      <c r="AC1535"/>
    </row>
    <row r="1536" spans="21:29" ht="15">
      <c r="U1536" s="238" t="s">
        <v>9982</v>
      </c>
      <c r="V1536" t="str">
        <f t="shared" si="127"/>
        <v>27</v>
      </c>
      <c r="W1536" t="str">
        <f t="shared" si="128"/>
        <v>10</v>
      </c>
      <c r="X1536" t="str">
        <f t="shared" si="129"/>
        <v>22</v>
      </c>
      <c r="Y1536" t="str">
        <f t="shared" si="130"/>
        <v>2022</v>
      </c>
      <c r="Z1536"/>
      <c r="AA1536" s="2">
        <f t="shared" si="131"/>
        <v>44861</v>
      </c>
      <c r="AB1536"/>
      <c r="AC1536"/>
    </row>
    <row r="1537" spans="21:29" ht="15">
      <c r="U1537" s="238" t="s">
        <v>9982</v>
      </c>
      <c r="V1537" t="str">
        <f t="shared" si="127"/>
        <v>27</v>
      </c>
      <c r="W1537" t="str">
        <f t="shared" si="128"/>
        <v>10</v>
      </c>
      <c r="X1537" t="str">
        <f t="shared" si="129"/>
        <v>22</v>
      </c>
      <c r="Y1537" t="str">
        <f t="shared" si="130"/>
        <v>2022</v>
      </c>
      <c r="Z1537"/>
      <c r="AA1537" s="2">
        <f t="shared" si="131"/>
        <v>44861</v>
      </c>
      <c r="AB1537"/>
      <c r="AC1537"/>
    </row>
    <row r="1538" spans="21:29" ht="15">
      <c r="U1538" s="238" t="s">
        <v>9982</v>
      </c>
      <c r="V1538" t="str">
        <f t="shared" si="127"/>
        <v>27</v>
      </c>
      <c r="W1538" t="str">
        <f t="shared" si="128"/>
        <v>10</v>
      </c>
      <c r="X1538" t="str">
        <f t="shared" si="129"/>
        <v>22</v>
      </c>
      <c r="Y1538" t="str">
        <f t="shared" si="130"/>
        <v>2022</v>
      </c>
      <c r="Z1538"/>
      <c r="AA1538" s="2">
        <f t="shared" si="131"/>
        <v>44861</v>
      </c>
      <c r="AB1538"/>
      <c r="AC1538"/>
    </row>
    <row r="1539" spans="21:29" ht="15">
      <c r="U1539" s="238" t="s">
        <v>9983</v>
      </c>
      <c r="V1539" t="str">
        <f t="shared" ref="V1539:V1602" si="132">LEFT(U1539,2)</f>
        <v>28</v>
      </c>
      <c r="W1539" t="str">
        <f t="shared" ref="W1539:W1602" si="133">MID(U1539,4,2)</f>
        <v>10</v>
      </c>
      <c r="X1539" t="str">
        <f t="shared" ref="X1539:X1602" si="134">RIGHT(U1539,2)</f>
        <v>22</v>
      </c>
      <c r="Y1539" t="str">
        <f t="shared" ref="Y1539:Y1602" si="135">"20" &amp; X1539</f>
        <v>2022</v>
      </c>
      <c r="Z1539"/>
      <c r="AA1539" s="2">
        <f t="shared" si="131"/>
        <v>44862</v>
      </c>
      <c r="AB1539"/>
      <c r="AC1539"/>
    </row>
    <row r="1540" spans="21:29" ht="15">
      <c r="U1540" s="238" t="s">
        <v>9983</v>
      </c>
      <c r="V1540" t="str">
        <f t="shared" si="132"/>
        <v>28</v>
      </c>
      <c r="W1540" t="str">
        <f t="shared" si="133"/>
        <v>10</v>
      </c>
      <c r="X1540" t="str">
        <f t="shared" si="134"/>
        <v>22</v>
      </c>
      <c r="Y1540" t="str">
        <f t="shared" si="135"/>
        <v>2022</v>
      </c>
      <c r="Z1540"/>
      <c r="AA1540" s="2">
        <f t="shared" ref="AA1540:AA1602" si="136">DATE(Y1540,W1540,V1540)</f>
        <v>44862</v>
      </c>
      <c r="AB1540"/>
      <c r="AC1540"/>
    </row>
    <row r="1541" spans="21:29" ht="15">
      <c r="U1541" s="238" t="s">
        <v>9984</v>
      </c>
      <c r="V1541" t="str">
        <f t="shared" si="132"/>
        <v>31</v>
      </c>
      <c r="W1541" t="str">
        <f t="shared" si="133"/>
        <v>10</v>
      </c>
      <c r="X1541" t="str">
        <f t="shared" si="134"/>
        <v>22</v>
      </c>
      <c r="Y1541" t="str">
        <f t="shared" si="135"/>
        <v>2022</v>
      </c>
      <c r="Z1541"/>
      <c r="AA1541" s="2">
        <f t="shared" si="136"/>
        <v>44865</v>
      </c>
      <c r="AB1541"/>
      <c r="AC1541"/>
    </row>
    <row r="1542" spans="21:29" ht="15">
      <c r="U1542" s="238" t="s">
        <v>9984</v>
      </c>
      <c r="V1542" t="str">
        <f t="shared" si="132"/>
        <v>31</v>
      </c>
      <c r="W1542" t="str">
        <f t="shared" si="133"/>
        <v>10</v>
      </c>
      <c r="X1542" t="str">
        <f t="shared" si="134"/>
        <v>22</v>
      </c>
      <c r="Y1542" t="str">
        <f t="shared" si="135"/>
        <v>2022</v>
      </c>
      <c r="Z1542"/>
      <c r="AA1542" s="2">
        <f t="shared" si="136"/>
        <v>44865</v>
      </c>
      <c r="AB1542"/>
      <c r="AC1542"/>
    </row>
    <row r="1543" spans="21:29" ht="15">
      <c r="U1543" s="238" t="s">
        <v>9984</v>
      </c>
      <c r="V1543" t="str">
        <f t="shared" si="132"/>
        <v>31</v>
      </c>
      <c r="W1543" t="str">
        <f t="shared" si="133"/>
        <v>10</v>
      </c>
      <c r="X1543" t="str">
        <f t="shared" si="134"/>
        <v>22</v>
      </c>
      <c r="Y1543" t="str">
        <f t="shared" si="135"/>
        <v>2022</v>
      </c>
      <c r="Z1543"/>
      <c r="AA1543" s="2">
        <f t="shared" si="136"/>
        <v>44865</v>
      </c>
      <c r="AB1543"/>
      <c r="AC1543"/>
    </row>
    <row r="1544" spans="21:29" ht="15">
      <c r="U1544" s="238" t="s">
        <v>9985</v>
      </c>
      <c r="V1544" t="str">
        <f t="shared" si="132"/>
        <v>02</v>
      </c>
      <c r="W1544" t="str">
        <f t="shared" si="133"/>
        <v>11</v>
      </c>
      <c r="X1544" t="str">
        <f t="shared" si="134"/>
        <v>22</v>
      </c>
      <c r="Y1544" t="str">
        <f t="shared" si="135"/>
        <v>2022</v>
      </c>
      <c r="Z1544"/>
      <c r="AA1544" s="2">
        <f t="shared" si="136"/>
        <v>44867</v>
      </c>
      <c r="AB1544"/>
      <c r="AC1544"/>
    </row>
    <row r="1545" spans="21:29" ht="15">
      <c r="U1545" s="238" t="s">
        <v>9985</v>
      </c>
      <c r="V1545" t="str">
        <f t="shared" si="132"/>
        <v>02</v>
      </c>
      <c r="W1545" t="str">
        <f t="shared" si="133"/>
        <v>11</v>
      </c>
      <c r="X1545" t="str">
        <f t="shared" si="134"/>
        <v>22</v>
      </c>
      <c r="Y1545" t="str">
        <f t="shared" si="135"/>
        <v>2022</v>
      </c>
      <c r="Z1545"/>
      <c r="AA1545" s="2">
        <f t="shared" si="136"/>
        <v>44867</v>
      </c>
      <c r="AB1545"/>
      <c r="AC1545"/>
    </row>
    <row r="1546" spans="21:29" ht="15">
      <c r="U1546" s="238" t="s">
        <v>9985</v>
      </c>
      <c r="V1546" t="str">
        <f t="shared" si="132"/>
        <v>02</v>
      </c>
      <c r="W1546" t="str">
        <f t="shared" si="133"/>
        <v>11</v>
      </c>
      <c r="X1546" t="str">
        <f t="shared" si="134"/>
        <v>22</v>
      </c>
      <c r="Y1546" t="str">
        <f t="shared" si="135"/>
        <v>2022</v>
      </c>
      <c r="Z1546"/>
      <c r="AA1546" s="2">
        <f t="shared" si="136"/>
        <v>44867</v>
      </c>
      <c r="AB1546"/>
      <c r="AC1546"/>
    </row>
    <row r="1547" spans="21:29" ht="15">
      <c r="U1547" s="238" t="s">
        <v>9985</v>
      </c>
      <c r="V1547" t="str">
        <f t="shared" si="132"/>
        <v>02</v>
      </c>
      <c r="W1547" t="str">
        <f t="shared" si="133"/>
        <v>11</v>
      </c>
      <c r="X1547" t="str">
        <f t="shared" si="134"/>
        <v>22</v>
      </c>
      <c r="Y1547" t="str">
        <f t="shared" si="135"/>
        <v>2022</v>
      </c>
      <c r="Z1547"/>
      <c r="AA1547" s="2">
        <f t="shared" si="136"/>
        <v>44867</v>
      </c>
      <c r="AB1547"/>
      <c r="AC1547"/>
    </row>
    <row r="1548" spans="21:29" ht="15">
      <c r="U1548" s="238" t="s">
        <v>9985</v>
      </c>
      <c r="V1548" t="str">
        <f t="shared" si="132"/>
        <v>02</v>
      </c>
      <c r="W1548" t="str">
        <f t="shared" si="133"/>
        <v>11</v>
      </c>
      <c r="X1548" t="str">
        <f t="shared" si="134"/>
        <v>22</v>
      </c>
      <c r="Y1548" t="str">
        <f t="shared" si="135"/>
        <v>2022</v>
      </c>
      <c r="Z1548"/>
      <c r="AA1548" s="2">
        <f t="shared" si="136"/>
        <v>44867</v>
      </c>
      <c r="AB1548"/>
      <c r="AC1548"/>
    </row>
    <row r="1549" spans="21:29" ht="15">
      <c r="U1549" s="238" t="s">
        <v>9986</v>
      </c>
      <c r="V1549" t="str">
        <f t="shared" si="132"/>
        <v>03</v>
      </c>
      <c r="W1549" t="str">
        <f t="shared" si="133"/>
        <v>11</v>
      </c>
      <c r="X1549" t="str">
        <f t="shared" si="134"/>
        <v>22</v>
      </c>
      <c r="Y1549" t="str">
        <f t="shared" si="135"/>
        <v>2022</v>
      </c>
      <c r="Z1549"/>
      <c r="AA1549" s="2">
        <f t="shared" si="136"/>
        <v>44868</v>
      </c>
      <c r="AB1549"/>
      <c r="AC1549"/>
    </row>
    <row r="1550" spans="21:29" ht="15">
      <c r="U1550" s="238" t="s">
        <v>9986</v>
      </c>
      <c r="V1550" t="str">
        <f t="shared" si="132"/>
        <v>03</v>
      </c>
      <c r="W1550" t="str">
        <f t="shared" si="133"/>
        <v>11</v>
      </c>
      <c r="X1550" t="str">
        <f t="shared" si="134"/>
        <v>22</v>
      </c>
      <c r="Y1550" t="str">
        <f t="shared" si="135"/>
        <v>2022</v>
      </c>
      <c r="Z1550"/>
      <c r="AA1550" s="2">
        <f t="shared" si="136"/>
        <v>44868</v>
      </c>
      <c r="AB1550"/>
      <c r="AC1550"/>
    </row>
    <row r="1551" spans="21:29" ht="15">
      <c r="U1551" s="238" t="s">
        <v>9986</v>
      </c>
      <c r="V1551" t="str">
        <f t="shared" si="132"/>
        <v>03</v>
      </c>
      <c r="W1551" t="str">
        <f t="shared" si="133"/>
        <v>11</v>
      </c>
      <c r="X1551" t="str">
        <f t="shared" si="134"/>
        <v>22</v>
      </c>
      <c r="Y1551" t="str">
        <f t="shared" si="135"/>
        <v>2022</v>
      </c>
      <c r="Z1551"/>
      <c r="AA1551" s="2">
        <f t="shared" si="136"/>
        <v>44868</v>
      </c>
      <c r="AB1551"/>
      <c r="AC1551"/>
    </row>
    <row r="1552" spans="21:29" ht="15">
      <c r="U1552" s="238" t="s">
        <v>9986</v>
      </c>
      <c r="V1552" t="str">
        <f t="shared" si="132"/>
        <v>03</v>
      </c>
      <c r="W1552" t="str">
        <f t="shared" si="133"/>
        <v>11</v>
      </c>
      <c r="X1552" t="str">
        <f t="shared" si="134"/>
        <v>22</v>
      </c>
      <c r="Y1552" t="str">
        <f t="shared" si="135"/>
        <v>2022</v>
      </c>
      <c r="Z1552"/>
      <c r="AA1552" s="2">
        <f t="shared" si="136"/>
        <v>44868</v>
      </c>
      <c r="AB1552"/>
      <c r="AC1552"/>
    </row>
    <row r="1553" spans="21:29" ht="15">
      <c r="U1553" s="238" t="s">
        <v>9987</v>
      </c>
      <c r="V1553" t="str">
        <f t="shared" si="132"/>
        <v>05</v>
      </c>
      <c r="W1553" t="str">
        <f t="shared" si="133"/>
        <v>11</v>
      </c>
      <c r="X1553" t="str">
        <f t="shared" si="134"/>
        <v>22</v>
      </c>
      <c r="Y1553" t="str">
        <f t="shared" si="135"/>
        <v>2022</v>
      </c>
      <c r="Z1553"/>
      <c r="AA1553" s="2">
        <f t="shared" si="136"/>
        <v>44870</v>
      </c>
      <c r="AB1553"/>
      <c r="AC1553"/>
    </row>
    <row r="1554" spans="21:29" ht="15">
      <c r="U1554" s="238" t="s">
        <v>9987</v>
      </c>
      <c r="V1554" t="str">
        <f t="shared" si="132"/>
        <v>05</v>
      </c>
      <c r="W1554" t="str">
        <f t="shared" si="133"/>
        <v>11</v>
      </c>
      <c r="X1554" t="str">
        <f t="shared" si="134"/>
        <v>22</v>
      </c>
      <c r="Y1554" t="str">
        <f t="shared" si="135"/>
        <v>2022</v>
      </c>
      <c r="Z1554"/>
      <c r="AA1554" s="2">
        <f t="shared" si="136"/>
        <v>44870</v>
      </c>
      <c r="AB1554"/>
      <c r="AC1554"/>
    </row>
    <row r="1555" spans="21:29" ht="15">
      <c r="U1555" s="238" t="s">
        <v>9988</v>
      </c>
      <c r="V1555" t="str">
        <f t="shared" si="132"/>
        <v>06</v>
      </c>
      <c r="W1555" t="str">
        <f t="shared" si="133"/>
        <v>11</v>
      </c>
      <c r="X1555" t="str">
        <f t="shared" si="134"/>
        <v>22</v>
      </c>
      <c r="Y1555" t="str">
        <f t="shared" si="135"/>
        <v>2022</v>
      </c>
      <c r="Z1555"/>
      <c r="AA1555" s="2">
        <f t="shared" si="136"/>
        <v>44871</v>
      </c>
      <c r="AB1555"/>
      <c r="AC1555"/>
    </row>
    <row r="1556" spans="21:29" ht="15">
      <c r="U1556" s="238" t="s">
        <v>9988</v>
      </c>
      <c r="V1556" t="str">
        <f t="shared" si="132"/>
        <v>06</v>
      </c>
      <c r="W1556" t="str">
        <f t="shared" si="133"/>
        <v>11</v>
      </c>
      <c r="X1556" t="str">
        <f t="shared" si="134"/>
        <v>22</v>
      </c>
      <c r="Y1556" t="str">
        <f t="shared" si="135"/>
        <v>2022</v>
      </c>
      <c r="Z1556"/>
      <c r="AA1556" s="2">
        <f t="shared" si="136"/>
        <v>44871</v>
      </c>
      <c r="AB1556"/>
      <c r="AC1556"/>
    </row>
    <row r="1557" spans="21:29" ht="15">
      <c r="U1557" s="238" t="s">
        <v>9988</v>
      </c>
      <c r="V1557" t="str">
        <f t="shared" si="132"/>
        <v>06</v>
      </c>
      <c r="W1557" t="str">
        <f t="shared" si="133"/>
        <v>11</v>
      </c>
      <c r="X1557" t="str">
        <f t="shared" si="134"/>
        <v>22</v>
      </c>
      <c r="Y1557" t="str">
        <f t="shared" si="135"/>
        <v>2022</v>
      </c>
      <c r="Z1557"/>
      <c r="AA1557" s="2">
        <f t="shared" si="136"/>
        <v>44871</v>
      </c>
      <c r="AB1557"/>
      <c r="AC1557"/>
    </row>
    <row r="1558" spans="21:29" ht="15">
      <c r="U1558" s="238" t="s">
        <v>9988</v>
      </c>
      <c r="V1558" t="str">
        <f t="shared" si="132"/>
        <v>06</v>
      </c>
      <c r="W1558" t="str">
        <f t="shared" si="133"/>
        <v>11</v>
      </c>
      <c r="X1558" t="str">
        <f t="shared" si="134"/>
        <v>22</v>
      </c>
      <c r="Y1558" t="str">
        <f t="shared" si="135"/>
        <v>2022</v>
      </c>
      <c r="Z1558"/>
      <c r="AA1558" s="2">
        <f t="shared" si="136"/>
        <v>44871</v>
      </c>
      <c r="AB1558"/>
      <c r="AC1558"/>
    </row>
    <row r="1559" spans="21:29" ht="15">
      <c r="U1559" s="238" t="s">
        <v>9988</v>
      </c>
      <c r="V1559" t="str">
        <f t="shared" si="132"/>
        <v>06</v>
      </c>
      <c r="W1559" t="str">
        <f t="shared" si="133"/>
        <v>11</v>
      </c>
      <c r="X1559" t="str">
        <f t="shared" si="134"/>
        <v>22</v>
      </c>
      <c r="Y1559" t="str">
        <f t="shared" si="135"/>
        <v>2022</v>
      </c>
      <c r="Z1559"/>
      <c r="AA1559" s="2">
        <f t="shared" si="136"/>
        <v>44871</v>
      </c>
      <c r="AB1559"/>
      <c r="AC1559"/>
    </row>
    <row r="1560" spans="21:29" ht="15">
      <c r="U1560" s="238" t="s">
        <v>9988</v>
      </c>
      <c r="V1560" t="str">
        <f t="shared" si="132"/>
        <v>06</v>
      </c>
      <c r="W1560" t="str">
        <f t="shared" si="133"/>
        <v>11</v>
      </c>
      <c r="X1560" t="str">
        <f t="shared" si="134"/>
        <v>22</v>
      </c>
      <c r="Y1560" t="str">
        <f t="shared" si="135"/>
        <v>2022</v>
      </c>
      <c r="Z1560"/>
      <c r="AA1560" s="2">
        <f t="shared" si="136"/>
        <v>44871</v>
      </c>
      <c r="AB1560"/>
      <c r="AC1560"/>
    </row>
    <row r="1561" spans="21:29" ht="15">
      <c r="U1561" s="238" t="s">
        <v>9988</v>
      </c>
      <c r="V1561" t="str">
        <f t="shared" si="132"/>
        <v>06</v>
      </c>
      <c r="W1561" t="str">
        <f t="shared" si="133"/>
        <v>11</v>
      </c>
      <c r="X1561" t="str">
        <f t="shared" si="134"/>
        <v>22</v>
      </c>
      <c r="Y1561" t="str">
        <f t="shared" si="135"/>
        <v>2022</v>
      </c>
      <c r="Z1561"/>
      <c r="AA1561" s="2">
        <f t="shared" si="136"/>
        <v>44871</v>
      </c>
      <c r="AB1561"/>
      <c r="AC1561"/>
    </row>
    <row r="1562" spans="21:29" ht="15">
      <c r="U1562" s="238" t="s">
        <v>9989</v>
      </c>
      <c r="V1562" t="str">
        <f t="shared" si="132"/>
        <v>07</v>
      </c>
      <c r="W1562" t="str">
        <f t="shared" si="133"/>
        <v>11</v>
      </c>
      <c r="X1562" t="str">
        <f t="shared" si="134"/>
        <v>22</v>
      </c>
      <c r="Y1562" t="str">
        <f t="shared" si="135"/>
        <v>2022</v>
      </c>
      <c r="Z1562"/>
      <c r="AA1562" s="2">
        <f t="shared" si="136"/>
        <v>44872</v>
      </c>
      <c r="AB1562"/>
      <c r="AC1562"/>
    </row>
    <row r="1563" spans="21:29" ht="15">
      <c r="U1563" s="238" t="s">
        <v>9989</v>
      </c>
      <c r="V1563" t="str">
        <f t="shared" si="132"/>
        <v>07</v>
      </c>
      <c r="W1563" t="str">
        <f t="shared" si="133"/>
        <v>11</v>
      </c>
      <c r="X1563" t="str">
        <f t="shared" si="134"/>
        <v>22</v>
      </c>
      <c r="Y1563" t="str">
        <f t="shared" si="135"/>
        <v>2022</v>
      </c>
      <c r="Z1563"/>
      <c r="AA1563" s="2">
        <f t="shared" si="136"/>
        <v>44872</v>
      </c>
      <c r="AB1563"/>
      <c r="AC1563"/>
    </row>
    <row r="1564" spans="21:29" ht="15">
      <c r="U1564" s="238" t="s">
        <v>9989</v>
      </c>
      <c r="V1564" t="str">
        <f t="shared" si="132"/>
        <v>07</v>
      </c>
      <c r="W1564" t="str">
        <f t="shared" si="133"/>
        <v>11</v>
      </c>
      <c r="X1564" t="str">
        <f t="shared" si="134"/>
        <v>22</v>
      </c>
      <c r="Y1564" t="str">
        <f t="shared" si="135"/>
        <v>2022</v>
      </c>
      <c r="Z1564"/>
      <c r="AA1564" s="2">
        <f t="shared" si="136"/>
        <v>44872</v>
      </c>
      <c r="AB1564"/>
      <c r="AC1564"/>
    </row>
    <row r="1565" spans="21:29" ht="15">
      <c r="U1565" s="238" t="s">
        <v>9989</v>
      </c>
      <c r="V1565" t="str">
        <f t="shared" si="132"/>
        <v>07</v>
      </c>
      <c r="W1565" t="str">
        <f t="shared" si="133"/>
        <v>11</v>
      </c>
      <c r="X1565" t="str">
        <f t="shared" si="134"/>
        <v>22</v>
      </c>
      <c r="Y1565" t="str">
        <f t="shared" si="135"/>
        <v>2022</v>
      </c>
      <c r="Z1565"/>
      <c r="AA1565" s="2">
        <f t="shared" si="136"/>
        <v>44872</v>
      </c>
      <c r="AB1565"/>
      <c r="AC1565"/>
    </row>
    <row r="1566" spans="21:29" ht="15">
      <c r="U1566" s="238" t="s">
        <v>9989</v>
      </c>
      <c r="V1566" t="str">
        <f t="shared" si="132"/>
        <v>07</v>
      </c>
      <c r="W1566" t="str">
        <f t="shared" si="133"/>
        <v>11</v>
      </c>
      <c r="X1566" t="str">
        <f t="shared" si="134"/>
        <v>22</v>
      </c>
      <c r="Y1566" t="str">
        <f t="shared" si="135"/>
        <v>2022</v>
      </c>
      <c r="Z1566"/>
      <c r="AA1566" s="2">
        <f t="shared" si="136"/>
        <v>44872</v>
      </c>
      <c r="AB1566"/>
      <c r="AC1566"/>
    </row>
    <row r="1567" spans="21:29" ht="15">
      <c r="U1567" s="238" t="s">
        <v>9990</v>
      </c>
      <c r="V1567" t="str">
        <f t="shared" si="132"/>
        <v>08</v>
      </c>
      <c r="W1567" t="str">
        <f t="shared" si="133"/>
        <v>11</v>
      </c>
      <c r="X1567" t="str">
        <f t="shared" si="134"/>
        <v>22</v>
      </c>
      <c r="Y1567" t="str">
        <f t="shared" si="135"/>
        <v>2022</v>
      </c>
      <c r="Z1567"/>
      <c r="AA1567" s="2">
        <f t="shared" si="136"/>
        <v>44873</v>
      </c>
      <c r="AB1567"/>
      <c r="AC1567"/>
    </row>
    <row r="1568" spans="21:29" ht="15">
      <c r="U1568" s="238" t="s">
        <v>9990</v>
      </c>
      <c r="V1568" t="str">
        <f t="shared" si="132"/>
        <v>08</v>
      </c>
      <c r="W1568" t="str">
        <f t="shared" si="133"/>
        <v>11</v>
      </c>
      <c r="X1568" t="str">
        <f t="shared" si="134"/>
        <v>22</v>
      </c>
      <c r="Y1568" t="str">
        <f t="shared" si="135"/>
        <v>2022</v>
      </c>
      <c r="Z1568"/>
      <c r="AA1568" s="2">
        <f t="shared" si="136"/>
        <v>44873</v>
      </c>
      <c r="AB1568"/>
      <c r="AC1568"/>
    </row>
    <row r="1569" spans="21:29" ht="15">
      <c r="U1569" s="238" t="s">
        <v>9991</v>
      </c>
      <c r="V1569" t="str">
        <f t="shared" si="132"/>
        <v>10</v>
      </c>
      <c r="W1569" t="str">
        <f t="shared" si="133"/>
        <v>11</v>
      </c>
      <c r="X1569" t="str">
        <f t="shared" si="134"/>
        <v>22</v>
      </c>
      <c r="Y1569" t="str">
        <f t="shared" si="135"/>
        <v>2022</v>
      </c>
      <c r="Z1569"/>
      <c r="AA1569" s="2">
        <f t="shared" si="136"/>
        <v>44875</v>
      </c>
      <c r="AB1569"/>
      <c r="AC1569"/>
    </row>
    <row r="1570" spans="21:29" ht="15">
      <c r="U1570" s="238" t="s">
        <v>9991</v>
      </c>
      <c r="V1570" t="str">
        <f t="shared" si="132"/>
        <v>10</v>
      </c>
      <c r="W1570" t="str">
        <f t="shared" si="133"/>
        <v>11</v>
      </c>
      <c r="X1570" t="str">
        <f t="shared" si="134"/>
        <v>22</v>
      </c>
      <c r="Y1570" t="str">
        <f t="shared" si="135"/>
        <v>2022</v>
      </c>
      <c r="Z1570"/>
      <c r="AA1570" s="2">
        <f t="shared" si="136"/>
        <v>44875</v>
      </c>
      <c r="AB1570"/>
      <c r="AC1570"/>
    </row>
    <row r="1571" spans="21:29" ht="15">
      <c r="U1571" s="238" t="s">
        <v>9991</v>
      </c>
      <c r="V1571" t="str">
        <f t="shared" si="132"/>
        <v>10</v>
      </c>
      <c r="W1571" t="str">
        <f t="shared" si="133"/>
        <v>11</v>
      </c>
      <c r="X1571" t="str">
        <f t="shared" si="134"/>
        <v>22</v>
      </c>
      <c r="Y1571" t="str">
        <f t="shared" si="135"/>
        <v>2022</v>
      </c>
      <c r="Z1571"/>
      <c r="AA1571" s="2">
        <f t="shared" si="136"/>
        <v>44875</v>
      </c>
      <c r="AB1571"/>
      <c r="AC1571"/>
    </row>
    <row r="1572" spans="21:29" ht="15">
      <c r="U1572" s="238" t="s">
        <v>9991</v>
      </c>
      <c r="V1572" t="str">
        <f t="shared" si="132"/>
        <v>10</v>
      </c>
      <c r="W1572" t="str">
        <f t="shared" si="133"/>
        <v>11</v>
      </c>
      <c r="X1572" t="str">
        <f t="shared" si="134"/>
        <v>22</v>
      </c>
      <c r="Y1572" t="str">
        <f t="shared" si="135"/>
        <v>2022</v>
      </c>
      <c r="Z1572"/>
      <c r="AA1572" s="2">
        <f t="shared" si="136"/>
        <v>44875</v>
      </c>
      <c r="AB1572"/>
      <c r="AC1572"/>
    </row>
    <row r="1573" spans="21:29" ht="15">
      <c r="U1573" s="238" t="s">
        <v>9991</v>
      </c>
      <c r="V1573" t="str">
        <f t="shared" si="132"/>
        <v>10</v>
      </c>
      <c r="W1573" t="str">
        <f t="shared" si="133"/>
        <v>11</v>
      </c>
      <c r="X1573" t="str">
        <f t="shared" si="134"/>
        <v>22</v>
      </c>
      <c r="Y1573" t="str">
        <f t="shared" si="135"/>
        <v>2022</v>
      </c>
      <c r="Z1573"/>
      <c r="AA1573" s="2">
        <f t="shared" si="136"/>
        <v>44875</v>
      </c>
      <c r="AB1573"/>
      <c r="AC1573"/>
    </row>
    <row r="1574" spans="21:29" ht="15">
      <c r="U1574" s="238" t="s">
        <v>9992</v>
      </c>
      <c r="V1574" t="str">
        <f t="shared" si="132"/>
        <v>11</v>
      </c>
      <c r="W1574" t="str">
        <f t="shared" si="133"/>
        <v>11</v>
      </c>
      <c r="X1574" t="str">
        <f t="shared" si="134"/>
        <v>22</v>
      </c>
      <c r="Y1574" t="str">
        <f t="shared" si="135"/>
        <v>2022</v>
      </c>
      <c r="Z1574"/>
      <c r="AA1574" s="2">
        <f t="shared" si="136"/>
        <v>44876</v>
      </c>
      <c r="AB1574"/>
      <c r="AC1574"/>
    </row>
    <row r="1575" spans="21:29" ht="15">
      <c r="U1575" s="238" t="s">
        <v>9992</v>
      </c>
      <c r="V1575" t="str">
        <f t="shared" si="132"/>
        <v>11</v>
      </c>
      <c r="W1575" t="str">
        <f t="shared" si="133"/>
        <v>11</v>
      </c>
      <c r="X1575" t="str">
        <f t="shared" si="134"/>
        <v>22</v>
      </c>
      <c r="Y1575" t="str">
        <f t="shared" si="135"/>
        <v>2022</v>
      </c>
      <c r="Z1575"/>
      <c r="AA1575" s="2">
        <f t="shared" si="136"/>
        <v>44876</v>
      </c>
      <c r="AB1575"/>
      <c r="AC1575"/>
    </row>
    <row r="1576" spans="21:29" ht="15">
      <c r="U1576" s="238" t="s">
        <v>9993</v>
      </c>
      <c r="V1576" t="str">
        <f t="shared" si="132"/>
        <v>15</v>
      </c>
      <c r="W1576" t="str">
        <f t="shared" si="133"/>
        <v>11</v>
      </c>
      <c r="X1576" t="str">
        <f t="shared" si="134"/>
        <v>22</v>
      </c>
      <c r="Y1576" t="str">
        <f t="shared" si="135"/>
        <v>2022</v>
      </c>
      <c r="Z1576"/>
      <c r="AA1576" s="2">
        <f t="shared" si="136"/>
        <v>44880</v>
      </c>
      <c r="AB1576"/>
      <c r="AC1576"/>
    </row>
    <row r="1577" spans="21:29" ht="15">
      <c r="U1577" s="238" t="s">
        <v>9993</v>
      </c>
      <c r="V1577" t="str">
        <f t="shared" si="132"/>
        <v>15</v>
      </c>
      <c r="W1577" t="str">
        <f t="shared" si="133"/>
        <v>11</v>
      </c>
      <c r="X1577" t="str">
        <f t="shared" si="134"/>
        <v>22</v>
      </c>
      <c r="Y1577" t="str">
        <f t="shared" si="135"/>
        <v>2022</v>
      </c>
      <c r="Z1577"/>
      <c r="AA1577" s="2">
        <f t="shared" si="136"/>
        <v>44880</v>
      </c>
      <c r="AB1577"/>
      <c r="AC1577"/>
    </row>
    <row r="1578" spans="21:29" ht="15">
      <c r="U1578" s="238" t="s">
        <v>9993</v>
      </c>
      <c r="V1578" t="str">
        <f t="shared" si="132"/>
        <v>15</v>
      </c>
      <c r="W1578" t="str">
        <f t="shared" si="133"/>
        <v>11</v>
      </c>
      <c r="X1578" t="str">
        <f t="shared" si="134"/>
        <v>22</v>
      </c>
      <c r="Y1578" t="str">
        <f t="shared" si="135"/>
        <v>2022</v>
      </c>
      <c r="Z1578"/>
      <c r="AA1578" s="2">
        <f t="shared" si="136"/>
        <v>44880</v>
      </c>
      <c r="AB1578"/>
      <c r="AC1578"/>
    </row>
    <row r="1579" spans="21:29" ht="15">
      <c r="U1579" s="238" t="s">
        <v>9993</v>
      </c>
      <c r="V1579" t="str">
        <f t="shared" si="132"/>
        <v>15</v>
      </c>
      <c r="W1579" t="str">
        <f t="shared" si="133"/>
        <v>11</v>
      </c>
      <c r="X1579" t="str">
        <f t="shared" si="134"/>
        <v>22</v>
      </c>
      <c r="Y1579" t="str">
        <f t="shared" si="135"/>
        <v>2022</v>
      </c>
      <c r="Z1579"/>
      <c r="AA1579" s="2">
        <f t="shared" si="136"/>
        <v>44880</v>
      </c>
      <c r="AB1579"/>
      <c r="AC1579"/>
    </row>
    <row r="1580" spans="21:29" ht="15">
      <c r="U1580" s="238" t="s">
        <v>9993</v>
      </c>
      <c r="V1580" t="str">
        <f t="shared" si="132"/>
        <v>15</v>
      </c>
      <c r="W1580" t="str">
        <f t="shared" si="133"/>
        <v>11</v>
      </c>
      <c r="X1580" t="str">
        <f t="shared" si="134"/>
        <v>22</v>
      </c>
      <c r="Y1580" t="str">
        <f t="shared" si="135"/>
        <v>2022</v>
      </c>
      <c r="Z1580"/>
      <c r="AA1580" s="2">
        <f t="shared" si="136"/>
        <v>44880</v>
      </c>
      <c r="AB1580"/>
      <c r="AC1580"/>
    </row>
    <row r="1581" spans="21:29" ht="15">
      <c r="U1581" s="238" t="s">
        <v>9994</v>
      </c>
      <c r="V1581" t="str">
        <f t="shared" si="132"/>
        <v>16</v>
      </c>
      <c r="W1581" t="str">
        <f t="shared" si="133"/>
        <v>11</v>
      </c>
      <c r="X1581" t="str">
        <f t="shared" si="134"/>
        <v>22</v>
      </c>
      <c r="Y1581" t="str">
        <f t="shared" si="135"/>
        <v>2022</v>
      </c>
      <c r="Z1581"/>
      <c r="AA1581" s="2">
        <f t="shared" si="136"/>
        <v>44881</v>
      </c>
      <c r="AB1581"/>
      <c r="AC1581"/>
    </row>
    <row r="1582" spans="21:29" ht="15">
      <c r="U1582" s="238" t="s">
        <v>9995</v>
      </c>
      <c r="V1582" t="str">
        <f t="shared" si="132"/>
        <v>17</v>
      </c>
      <c r="W1582" t="str">
        <f t="shared" si="133"/>
        <v>11</v>
      </c>
      <c r="X1582" t="str">
        <f t="shared" si="134"/>
        <v>22</v>
      </c>
      <c r="Y1582" t="str">
        <f t="shared" si="135"/>
        <v>2022</v>
      </c>
      <c r="Z1582"/>
      <c r="AA1582" s="2">
        <f t="shared" si="136"/>
        <v>44882</v>
      </c>
      <c r="AB1582"/>
      <c r="AC1582"/>
    </row>
    <row r="1583" spans="21:29" ht="15">
      <c r="U1583" s="238" t="s">
        <v>9996</v>
      </c>
      <c r="V1583" t="str">
        <f t="shared" si="132"/>
        <v>18</v>
      </c>
      <c r="W1583" t="str">
        <f t="shared" si="133"/>
        <v>11</v>
      </c>
      <c r="X1583" t="str">
        <f t="shared" si="134"/>
        <v>22</v>
      </c>
      <c r="Y1583" t="str">
        <f t="shared" si="135"/>
        <v>2022</v>
      </c>
      <c r="Z1583"/>
      <c r="AA1583" s="2">
        <f t="shared" si="136"/>
        <v>44883</v>
      </c>
      <c r="AB1583"/>
      <c r="AC1583"/>
    </row>
    <row r="1584" spans="21:29" ht="15">
      <c r="U1584" s="238" t="s">
        <v>9997</v>
      </c>
      <c r="V1584" t="str">
        <f t="shared" si="132"/>
        <v>21</v>
      </c>
      <c r="W1584" t="str">
        <f t="shared" si="133"/>
        <v>11</v>
      </c>
      <c r="X1584" t="str">
        <f t="shared" si="134"/>
        <v>22</v>
      </c>
      <c r="Y1584" t="str">
        <f t="shared" si="135"/>
        <v>2022</v>
      </c>
      <c r="Z1584"/>
      <c r="AA1584" s="2">
        <f t="shared" si="136"/>
        <v>44886</v>
      </c>
      <c r="AB1584"/>
      <c r="AC1584"/>
    </row>
    <row r="1585" spans="21:29" ht="15">
      <c r="U1585" s="238" t="s">
        <v>9998</v>
      </c>
      <c r="V1585" t="str">
        <f t="shared" si="132"/>
        <v>22</v>
      </c>
      <c r="W1585" t="str">
        <f t="shared" si="133"/>
        <v>11</v>
      </c>
      <c r="X1585" t="str">
        <f t="shared" si="134"/>
        <v>22</v>
      </c>
      <c r="Y1585" t="str">
        <f t="shared" si="135"/>
        <v>2022</v>
      </c>
      <c r="Z1585"/>
      <c r="AA1585" s="2">
        <f t="shared" si="136"/>
        <v>44887</v>
      </c>
      <c r="AB1585"/>
      <c r="AC1585"/>
    </row>
    <row r="1586" spans="21:29" ht="15">
      <c r="U1586" s="238" t="s">
        <v>9998</v>
      </c>
      <c r="V1586" t="str">
        <f t="shared" si="132"/>
        <v>22</v>
      </c>
      <c r="W1586" t="str">
        <f t="shared" si="133"/>
        <v>11</v>
      </c>
      <c r="X1586" t="str">
        <f t="shared" si="134"/>
        <v>22</v>
      </c>
      <c r="Y1586" t="str">
        <f t="shared" si="135"/>
        <v>2022</v>
      </c>
      <c r="Z1586"/>
      <c r="AA1586" s="2">
        <f t="shared" si="136"/>
        <v>44887</v>
      </c>
      <c r="AB1586"/>
      <c r="AC1586"/>
    </row>
    <row r="1587" spans="21:29" ht="15">
      <c r="U1587" s="238" t="s">
        <v>9998</v>
      </c>
      <c r="V1587" t="str">
        <f t="shared" si="132"/>
        <v>22</v>
      </c>
      <c r="W1587" t="str">
        <f t="shared" si="133"/>
        <v>11</v>
      </c>
      <c r="X1587" t="str">
        <f t="shared" si="134"/>
        <v>22</v>
      </c>
      <c r="Y1587" t="str">
        <f t="shared" si="135"/>
        <v>2022</v>
      </c>
      <c r="Z1587"/>
      <c r="AA1587" s="2">
        <f t="shared" si="136"/>
        <v>44887</v>
      </c>
      <c r="AB1587"/>
      <c r="AC1587"/>
    </row>
    <row r="1588" spans="21:29" ht="15">
      <c r="U1588" s="238" t="s">
        <v>9998</v>
      </c>
      <c r="V1588" t="str">
        <f t="shared" si="132"/>
        <v>22</v>
      </c>
      <c r="W1588" t="str">
        <f t="shared" si="133"/>
        <v>11</v>
      </c>
      <c r="X1588" t="str">
        <f t="shared" si="134"/>
        <v>22</v>
      </c>
      <c r="Y1588" t="str">
        <f t="shared" si="135"/>
        <v>2022</v>
      </c>
      <c r="Z1588"/>
      <c r="AA1588" s="2">
        <f t="shared" si="136"/>
        <v>44887</v>
      </c>
      <c r="AB1588"/>
      <c r="AC1588"/>
    </row>
    <row r="1589" spans="21:29" ht="15">
      <c r="U1589" s="238" t="s">
        <v>9998</v>
      </c>
      <c r="V1589" t="str">
        <f t="shared" si="132"/>
        <v>22</v>
      </c>
      <c r="W1589" t="str">
        <f t="shared" si="133"/>
        <v>11</v>
      </c>
      <c r="X1589" t="str">
        <f t="shared" si="134"/>
        <v>22</v>
      </c>
      <c r="Y1589" t="str">
        <f t="shared" si="135"/>
        <v>2022</v>
      </c>
      <c r="Z1589"/>
      <c r="AA1589" s="2">
        <f t="shared" si="136"/>
        <v>44887</v>
      </c>
      <c r="AB1589"/>
      <c r="AC1589"/>
    </row>
    <row r="1590" spans="21:29" ht="15">
      <c r="U1590" s="238" t="s">
        <v>9998</v>
      </c>
      <c r="V1590" t="str">
        <f t="shared" si="132"/>
        <v>22</v>
      </c>
      <c r="W1590" t="str">
        <f t="shared" si="133"/>
        <v>11</v>
      </c>
      <c r="X1590" t="str">
        <f t="shared" si="134"/>
        <v>22</v>
      </c>
      <c r="Y1590" t="str">
        <f t="shared" si="135"/>
        <v>2022</v>
      </c>
      <c r="Z1590"/>
      <c r="AA1590" s="2">
        <f t="shared" si="136"/>
        <v>44887</v>
      </c>
      <c r="AB1590"/>
      <c r="AC1590"/>
    </row>
    <row r="1591" spans="21:29" ht="15">
      <c r="U1591" s="238" t="s">
        <v>9999</v>
      </c>
      <c r="V1591" t="str">
        <f t="shared" si="132"/>
        <v>23</v>
      </c>
      <c r="W1591" t="str">
        <f t="shared" si="133"/>
        <v>11</v>
      </c>
      <c r="X1591" t="str">
        <f t="shared" si="134"/>
        <v>22</v>
      </c>
      <c r="Y1591" t="str">
        <f t="shared" si="135"/>
        <v>2022</v>
      </c>
      <c r="Z1591"/>
      <c r="AA1591" s="2">
        <f t="shared" si="136"/>
        <v>44888</v>
      </c>
      <c r="AB1591"/>
      <c r="AC1591"/>
    </row>
    <row r="1592" spans="21:29" ht="15">
      <c r="U1592" s="238" t="s">
        <v>10000</v>
      </c>
      <c r="V1592" t="str">
        <f t="shared" si="132"/>
        <v>24</v>
      </c>
      <c r="W1592" t="str">
        <f t="shared" si="133"/>
        <v>11</v>
      </c>
      <c r="X1592" t="str">
        <f t="shared" si="134"/>
        <v>22</v>
      </c>
      <c r="Y1592" t="str">
        <f t="shared" si="135"/>
        <v>2022</v>
      </c>
      <c r="Z1592"/>
      <c r="AA1592" s="2">
        <f t="shared" si="136"/>
        <v>44889</v>
      </c>
      <c r="AB1592"/>
      <c r="AC1592"/>
    </row>
    <row r="1593" spans="21:29" ht="15">
      <c r="U1593" s="238" t="s">
        <v>10000</v>
      </c>
      <c r="V1593" t="str">
        <f t="shared" si="132"/>
        <v>24</v>
      </c>
      <c r="W1593" t="str">
        <f t="shared" si="133"/>
        <v>11</v>
      </c>
      <c r="X1593" t="str">
        <f t="shared" si="134"/>
        <v>22</v>
      </c>
      <c r="Y1593" t="str">
        <f t="shared" si="135"/>
        <v>2022</v>
      </c>
      <c r="Z1593"/>
      <c r="AA1593" s="2">
        <f t="shared" si="136"/>
        <v>44889</v>
      </c>
      <c r="AB1593"/>
      <c r="AC1593"/>
    </row>
    <row r="1594" spans="21:29" ht="15">
      <c r="U1594" s="238" t="s">
        <v>10001</v>
      </c>
      <c r="V1594" t="str">
        <f t="shared" si="132"/>
        <v>25</v>
      </c>
      <c r="W1594" t="str">
        <f t="shared" si="133"/>
        <v>11</v>
      </c>
      <c r="X1594" t="str">
        <f t="shared" si="134"/>
        <v>22</v>
      </c>
      <c r="Y1594" t="str">
        <f t="shared" si="135"/>
        <v>2022</v>
      </c>
      <c r="Z1594"/>
      <c r="AA1594" s="2">
        <f t="shared" si="136"/>
        <v>44890</v>
      </c>
      <c r="AB1594"/>
      <c r="AC1594"/>
    </row>
    <row r="1595" spans="21:29" ht="15">
      <c r="U1595" s="238" t="s">
        <v>10001</v>
      </c>
      <c r="V1595" t="str">
        <f t="shared" si="132"/>
        <v>25</v>
      </c>
      <c r="W1595" t="str">
        <f t="shared" si="133"/>
        <v>11</v>
      </c>
      <c r="X1595" t="str">
        <f t="shared" si="134"/>
        <v>22</v>
      </c>
      <c r="Y1595" t="str">
        <f t="shared" si="135"/>
        <v>2022</v>
      </c>
      <c r="Z1595"/>
      <c r="AA1595" s="2">
        <f t="shared" si="136"/>
        <v>44890</v>
      </c>
      <c r="AB1595"/>
      <c r="AC1595"/>
    </row>
    <row r="1596" spans="21:29" ht="15">
      <c r="U1596" s="238" t="s">
        <v>10002</v>
      </c>
      <c r="V1596" t="str">
        <f t="shared" si="132"/>
        <v>26</v>
      </c>
      <c r="W1596" t="str">
        <f t="shared" si="133"/>
        <v>11</v>
      </c>
      <c r="X1596" t="str">
        <f t="shared" si="134"/>
        <v>22</v>
      </c>
      <c r="Y1596" t="str">
        <f t="shared" si="135"/>
        <v>2022</v>
      </c>
      <c r="Z1596"/>
      <c r="AA1596" s="2">
        <f t="shared" si="136"/>
        <v>44891</v>
      </c>
      <c r="AB1596"/>
      <c r="AC1596"/>
    </row>
    <row r="1597" spans="21:29" ht="15">
      <c r="U1597" s="238" t="s">
        <v>10002</v>
      </c>
      <c r="V1597" t="str">
        <f t="shared" si="132"/>
        <v>26</v>
      </c>
      <c r="W1597" t="str">
        <f t="shared" si="133"/>
        <v>11</v>
      </c>
      <c r="X1597" t="str">
        <f t="shared" si="134"/>
        <v>22</v>
      </c>
      <c r="Y1597" t="str">
        <f t="shared" si="135"/>
        <v>2022</v>
      </c>
      <c r="Z1597"/>
      <c r="AA1597" s="2">
        <f t="shared" si="136"/>
        <v>44891</v>
      </c>
      <c r="AB1597"/>
      <c r="AC1597"/>
    </row>
    <row r="1598" spans="21:29" ht="15">
      <c r="U1598" s="238" t="s">
        <v>10002</v>
      </c>
      <c r="V1598" t="str">
        <f t="shared" si="132"/>
        <v>26</v>
      </c>
      <c r="W1598" t="str">
        <f t="shared" si="133"/>
        <v>11</v>
      </c>
      <c r="X1598" t="str">
        <f t="shared" si="134"/>
        <v>22</v>
      </c>
      <c r="Y1598" t="str">
        <f t="shared" si="135"/>
        <v>2022</v>
      </c>
      <c r="Z1598"/>
      <c r="AA1598" s="2">
        <f t="shared" si="136"/>
        <v>44891</v>
      </c>
      <c r="AB1598"/>
      <c r="AC1598"/>
    </row>
    <row r="1599" spans="21:29" ht="15">
      <c r="U1599" s="238" t="s">
        <v>10003</v>
      </c>
      <c r="V1599" t="str">
        <f t="shared" si="132"/>
        <v>27</v>
      </c>
      <c r="W1599" t="str">
        <f t="shared" si="133"/>
        <v>11</v>
      </c>
      <c r="X1599" t="str">
        <f t="shared" si="134"/>
        <v>22</v>
      </c>
      <c r="Y1599" t="str">
        <f t="shared" si="135"/>
        <v>2022</v>
      </c>
      <c r="Z1599"/>
      <c r="AA1599" s="2">
        <f t="shared" si="136"/>
        <v>44892</v>
      </c>
      <c r="AB1599"/>
      <c r="AC1599"/>
    </row>
    <row r="1600" spans="21:29" ht="15">
      <c r="U1600" s="238" t="s">
        <v>10003</v>
      </c>
      <c r="V1600" t="str">
        <f t="shared" si="132"/>
        <v>27</v>
      </c>
      <c r="W1600" t="str">
        <f t="shared" si="133"/>
        <v>11</v>
      </c>
      <c r="X1600" t="str">
        <f t="shared" si="134"/>
        <v>22</v>
      </c>
      <c r="Y1600" t="str">
        <f t="shared" si="135"/>
        <v>2022</v>
      </c>
      <c r="Z1600"/>
      <c r="AA1600" s="2">
        <f t="shared" si="136"/>
        <v>44892</v>
      </c>
      <c r="AB1600"/>
      <c r="AC1600"/>
    </row>
    <row r="1601" spans="21:29" ht="15">
      <c r="U1601" s="238" t="s">
        <v>10004</v>
      </c>
      <c r="V1601" t="str">
        <f t="shared" si="132"/>
        <v>29</v>
      </c>
      <c r="W1601" t="str">
        <f t="shared" si="133"/>
        <v>11</v>
      </c>
      <c r="X1601" t="str">
        <f t="shared" si="134"/>
        <v>22</v>
      </c>
      <c r="Y1601" t="str">
        <f t="shared" si="135"/>
        <v>2022</v>
      </c>
      <c r="Z1601"/>
      <c r="AA1601" s="2">
        <f t="shared" si="136"/>
        <v>44894</v>
      </c>
      <c r="AB1601"/>
      <c r="AC1601"/>
    </row>
    <row r="1602" spans="21:29" ht="15">
      <c r="U1602" s="238" t="s">
        <v>10004</v>
      </c>
      <c r="V1602" t="str">
        <f t="shared" si="132"/>
        <v>29</v>
      </c>
      <c r="W1602" t="str">
        <f t="shared" si="133"/>
        <v>11</v>
      </c>
      <c r="X1602" t="str">
        <f t="shared" si="134"/>
        <v>22</v>
      </c>
      <c r="Y1602" t="str">
        <f t="shared" si="135"/>
        <v>2022</v>
      </c>
      <c r="Z1602"/>
      <c r="AA1602" s="2">
        <f t="shared" si="136"/>
        <v>44894</v>
      </c>
      <c r="AB1602"/>
      <c r="AC1602"/>
    </row>
    <row r="1603" spans="21:29" ht="15">
      <c r="U1603" s="238" t="s">
        <v>10004</v>
      </c>
      <c r="V1603" t="str">
        <f t="shared" ref="V1603:V1666" si="137">LEFT(U1603,2)</f>
        <v>29</v>
      </c>
      <c r="W1603" t="str">
        <f t="shared" ref="W1603:W1666" si="138">MID(U1603,4,2)</f>
        <v>11</v>
      </c>
      <c r="X1603" t="str">
        <f t="shared" ref="X1603:X1666" si="139">RIGHT(U1603,2)</f>
        <v>22</v>
      </c>
      <c r="Y1603" t="str">
        <f t="shared" ref="Y1603:Y1666" si="140">"20" &amp; X1603</f>
        <v>2022</v>
      </c>
      <c r="Z1603"/>
      <c r="AA1603" s="2">
        <f>DATE(Y1603,W1603,V1603)</f>
        <v>44894</v>
      </c>
      <c r="AB1603"/>
      <c r="AC1603"/>
    </row>
    <row r="1604" spans="21:29" ht="15">
      <c r="U1604" s="238" t="s">
        <v>10004</v>
      </c>
      <c r="V1604" t="str">
        <f t="shared" si="137"/>
        <v>29</v>
      </c>
      <c r="W1604" t="str">
        <f t="shared" si="138"/>
        <v>11</v>
      </c>
      <c r="X1604" t="str">
        <f t="shared" si="139"/>
        <v>22</v>
      </c>
      <c r="Y1604" t="str">
        <f t="shared" si="140"/>
        <v>2022</v>
      </c>
      <c r="Z1604"/>
      <c r="AA1604" s="2">
        <f>DATE(Y1604,W1604,V1604)</f>
        <v>44894</v>
      </c>
      <c r="AB1604"/>
      <c r="AC1604"/>
    </row>
    <row r="1605" spans="21:29" ht="15">
      <c r="U1605" s="238" t="s">
        <v>10005</v>
      </c>
      <c r="V1605" t="str">
        <f t="shared" si="137"/>
        <v>30</v>
      </c>
      <c r="W1605" t="str">
        <f t="shared" si="138"/>
        <v>11</v>
      </c>
      <c r="X1605" t="str">
        <f t="shared" si="139"/>
        <v>22</v>
      </c>
      <c r="Y1605" t="str">
        <f t="shared" si="140"/>
        <v>2022</v>
      </c>
      <c r="Z1605"/>
      <c r="AA1605" s="2">
        <f>DATE(Y1605,W1605,V1605)</f>
        <v>44895</v>
      </c>
      <c r="AB1605" t="s">
        <v>9827</v>
      </c>
      <c r="AC1605"/>
    </row>
    <row r="1606" spans="21:29" ht="15">
      <c r="U1606" s="16" t="s">
        <v>10006</v>
      </c>
      <c r="V1606" t="str">
        <f t="shared" si="137"/>
        <v>01</v>
      </c>
      <c r="W1606" t="str">
        <f t="shared" si="138"/>
        <v>12</v>
      </c>
      <c r="X1606" t="str">
        <f t="shared" si="139"/>
        <v>22</v>
      </c>
      <c r="Y1606" t="str">
        <f t="shared" si="140"/>
        <v>2022</v>
      </c>
      <c r="Z1606"/>
      <c r="AA1606" s="2">
        <f>DATE(Y1606,W1606,V1606)</f>
        <v>44896</v>
      </c>
      <c r="AB1606"/>
      <c r="AC1606"/>
    </row>
    <row r="1607" spans="21:29" ht="15">
      <c r="U1607" s="16" t="s">
        <v>10007</v>
      </c>
      <c r="V1607" t="str">
        <f t="shared" si="137"/>
        <v>05</v>
      </c>
      <c r="W1607" t="str">
        <f t="shared" si="138"/>
        <v>12</v>
      </c>
      <c r="X1607" t="str">
        <f t="shared" si="139"/>
        <v>22</v>
      </c>
      <c r="Y1607" t="str">
        <f t="shared" si="140"/>
        <v>2022</v>
      </c>
      <c r="Z1607"/>
      <c r="AA1607" s="2">
        <f>DATE(Y1607,W1607,V1607)</f>
        <v>44900</v>
      </c>
      <c r="AB1607"/>
      <c r="AC1607"/>
    </row>
    <row r="1608" spans="21:29" ht="15">
      <c r="U1608" s="16" t="s">
        <v>10008</v>
      </c>
      <c r="V1608" t="str">
        <f t="shared" si="137"/>
        <v>19</v>
      </c>
      <c r="W1608" t="str">
        <f t="shared" si="138"/>
        <v>12</v>
      </c>
      <c r="X1608" t="str">
        <f t="shared" si="139"/>
        <v>22</v>
      </c>
      <c r="Y1608" t="str">
        <f t="shared" si="140"/>
        <v>2022</v>
      </c>
      <c r="Z1608"/>
      <c r="AA1608" s="2">
        <f t="shared" ref="AA1608:AA1671" si="141">DATE(Y1608,W1608,V1608)</f>
        <v>44914</v>
      </c>
      <c r="AB1608"/>
      <c r="AC1608"/>
    </row>
    <row r="1609" spans="21:29" ht="15">
      <c r="U1609" s="16" t="s">
        <v>10009</v>
      </c>
      <c r="V1609" t="str">
        <f t="shared" si="137"/>
        <v>21</v>
      </c>
      <c r="W1609" t="str">
        <f t="shared" si="138"/>
        <v>12</v>
      </c>
      <c r="X1609" t="str">
        <f t="shared" si="139"/>
        <v>22</v>
      </c>
      <c r="Y1609" t="str">
        <f t="shared" si="140"/>
        <v>2022</v>
      </c>
      <c r="Z1609"/>
      <c r="AA1609" s="2">
        <f t="shared" si="141"/>
        <v>44916</v>
      </c>
      <c r="AB1609"/>
      <c r="AC1609"/>
    </row>
    <row r="1610" spans="21:29" ht="15">
      <c r="U1610" s="16" t="s">
        <v>10010</v>
      </c>
      <c r="V1610" t="str">
        <f t="shared" si="137"/>
        <v>28</v>
      </c>
      <c r="W1610" t="str">
        <f t="shared" si="138"/>
        <v>12</v>
      </c>
      <c r="X1610" t="str">
        <f t="shared" si="139"/>
        <v>22</v>
      </c>
      <c r="Y1610" t="str">
        <f t="shared" si="140"/>
        <v>2022</v>
      </c>
      <c r="Z1610"/>
      <c r="AA1610" s="2">
        <f t="shared" si="141"/>
        <v>44923</v>
      </c>
      <c r="AB1610"/>
      <c r="AC1610"/>
    </row>
    <row r="1611" spans="21:29" ht="15">
      <c r="U1611" s="16" t="s">
        <v>10010</v>
      </c>
      <c r="V1611" t="str">
        <f t="shared" si="137"/>
        <v>28</v>
      </c>
      <c r="W1611" t="str">
        <f t="shared" si="138"/>
        <v>12</v>
      </c>
      <c r="X1611" t="str">
        <f t="shared" si="139"/>
        <v>22</v>
      </c>
      <c r="Y1611" t="str">
        <f t="shared" si="140"/>
        <v>2022</v>
      </c>
      <c r="Z1611"/>
      <c r="AA1611" s="2">
        <f t="shared" si="141"/>
        <v>44923</v>
      </c>
      <c r="AB1611"/>
      <c r="AC1611"/>
    </row>
    <row r="1612" spans="21:29" ht="15">
      <c r="U1612" s="16" t="s">
        <v>10011</v>
      </c>
      <c r="V1612" t="str">
        <f t="shared" si="137"/>
        <v>31</v>
      </c>
      <c r="W1612" t="str">
        <f t="shared" si="138"/>
        <v>12</v>
      </c>
      <c r="X1612" t="str">
        <f t="shared" si="139"/>
        <v>22</v>
      </c>
      <c r="Y1612" t="str">
        <f t="shared" si="140"/>
        <v>2022</v>
      </c>
      <c r="Z1612"/>
      <c r="AA1612" s="2">
        <f t="shared" si="141"/>
        <v>44926</v>
      </c>
      <c r="AB1612"/>
      <c r="AC1612"/>
    </row>
    <row r="1613" spans="21:29" ht="15">
      <c r="U1613" s="245">
        <v>44573</v>
      </c>
      <c r="V1613" t="str">
        <f>LEFT(U1613,1)</f>
        <v>4</v>
      </c>
      <c r="W1613" t="str">
        <f t="shared" si="138"/>
        <v>73</v>
      </c>
      <c r="X1613" t="str">
        <f t="shared" si="139"/>
        <v>73</v>
      </c>
      <c r="Y1613" t="str">
        <f t="shared" si="140"/>
        <v>2073</v>
      </c>
      <c r="Z1613"/>
      <c r="AA1613" s="2">
        <f t="shared" si="141"/>
        <v>65384</v>
      </c>
      <c r="AB1613"/>
      <c r="AC1613"/>
    </row>
    <row r="1614" spans="21:29" ht="15">
      <c r="U1614" s="245">
        <v>44573</v>
      </c>
      <c r="V1614" t="str">
        <f t="shared" ref="V1614:V1631" si="142">LEFT(U1614,1)</f>
        <v>4</v>
      </c>
      <c r="W1614" t="str">
        <f t="shared" si="138"/>
        <v>73</v>
      </c>
      <c r="X1614" t="str">
        <f t="shared" si="139"/>
        <v>73</v>
      </c>
      <c r="Y1614" t="str">
        <f t="shared" si="140"/>
        <v>2073</v>
      </c>
      <c r="Z1614"/>
      <c r="AA1614" s="2">
        <f t="shared" si="141"/>
        <v>65384</v>
      </c>
      <c r="AB1614"/>
      <c r="AC1614"/>
    </row>
    <row r="1615" spans="21:29" ht="15">
      <c r="U1615" s="245">
        <v>44604</v>
      </c>
      <c r="V1615" t="str">
        <f t="shared" si="142"/>
        <v>4</v>
      </c>
      <c r="W1615" t="str">
        <f t="shared" si="138"/>
        <v>04</v>
      </c>
      <c r="X1615" t="str">
        <f t="shared" si="139"/>
        <v>04</v>
      </c>
      <c r="Y1615" t="str">
        <f t="shared" si="140"/>
        <v>2004</v>
      </c>
      <c r="Z1615"/>
      <c r="AA1615" s="2">
        <f t="shared" si="141"/>
        <v>38081</v>
      </c>
      <c r="AB1615"/>
      <c r="AC1615"/>
    </row>
    <row r="1616" spans="21:29" ht="15">
      <c r="U1616" s="245">
        <v>44632</v>
      </c>
      <c r="V1616" t="str">
        <f t="shared" si="142"/>
        <v>4</v>
      </c>
      <c r="W1616" t="str">
        <f t="shared" si="138"/>
        <v>32</v>
      </c>
      <c r="X1616" t="str">
        <f t="shared" si="139"/>
        <v>32</v>
      </c>
      <c r="Y1616" t="str">
        <f t="shared" si="140"/>
        <v>2032</v>
      </c>
      <c r="Z1616"/>
      <c r="AA1616" s="2">
        <f t="shared" si="141"/>
        <v>49160</v>
      </c>
      <c r="AB1616"/>
      <c r="AC1616"/>
    </row>
    <row r="1617" spans="21:29" ht="15">
      <c r="U1617" s="245">
        <v>44632</v>
      </c>
      <c r="V1617" t="str">
        <f t="shared" si="142"/>
        <v>4</v>
      </c>
      <c r="W1617" t="str">
        <f t="shared" si="138"/>
        <v>32</v>
      </c>
      <c r="X1617" t="str">
        <f t="shared" si="139"/>
        <v>32</v>
      </c>
      <c r="Y1617" t="str">
        <f t="shared" si="140"/>
        <v>2032</v>
      </c>
      <c r="Z1617"/>
      <c r="AA1617" s="2">
        <f t="shared" si="141"/>
        <v>49160</v>
      </c>
      <c r="AB1617"/>
      <c r="AC1617"/>
    </row>
    <row r="1618" spans="21:29" ht="15">
      <c r="U1618" s="245">
        <v>44632</v>
      </c>
      <c r="V1618" t="str">
        <f t="shared" si="142"/>
        <v>4</v>
      </c>
      <c r="W1618" t="str">
        <f t="shared" si="138"/>
        <v>32</v>
      </c>
      <c r="X1618" t="str">
        <f t="shared" si="139"/>
        <v>32</v>
      </c>
      <c r="Y1618" t="str">
        <f t="shared" si="140"/>
        <v>2032</v>
      </c>
      <c r="Z1618"/>
      <c r="AA1618" s="2">
        <f t="shared" si="141"/>
        <v>49160</v>
      </c>
      <c r="AB1618"/>
      <c r="AC1618"/>
    </row>
    <row r="1619" spans="21:29" ht="15">
      <c r="U1619" s="245">
        <v>44693</v>
      </c>
      <c r="V1619" t="str">
        <f t="shared" si="142"/>
        <v>4</v>
      </c>
      <c r="W1619" t="str">
        <f t="shared" si="138"/>
        <v>93</v>
      </c>
      <c r="X1619" t="str">
        <f t="shared" si="139"/>
        <v>93</v>
      </c>
      <c r="Y1619" t="str">
        <f t="shared" si="140"/>
        <v>2093</v>
      </c>
      <c r="Z1619"/>
      <c r="AA1619" s="2">
        <f t="shared" si="141"/>
        <v>73297</v>
      </c>
      <c r="AB1619"/>
      <c r="AC1619"/>
    </row>
    <row r="1620" spans="21:29" ht="15">
      <c r="U1620" s="245">
        <v>44724</v>
      </c>
      <c r="V1620" t="str">
        <f t="shared" si="142"/>
        <v>4</v>
      </c>
      <c r="W1620" t="str">
        <f t="shared" si="138"/>
        <v>24</v>
      </c>
      <c r="X1620" t="str">
        <f t="shared" si="139"/>
        <v>24</v>
      </c>
      <c r="Y1620" t="str">
        <f t="shared" si="140"/>
        <v>2024</v>
      </c>
      <c r="Z1620"/>
      <c r="AA1620" s="2">
        <f t="shared" si="141"/>
        <v>45995</v>
      </c>
      <c r="AB1620"/>
      <c r="AC1620"/>
    </row>
    <row r="1621" spans="21:29" ht="15">
      <c r="U1621" s="245">
        <v>44724</v>
      </c>
      <c r="V1621" t="str">
        <f t="shared" si="142"/>
        <v>4</v>
      </c>
      <c r="W1621" t="str">
        <f t="shared" si="138"/>
        <v>24</v>
      </c>
      <c r="X1621" t="str">
        <f t="shared" si="139"/>
        <v>24</v>
      </c>
      <c r="Y1621" t="str">
        <f t="shared" si="140"/>
        <v>2024</v>
      </c>
      <c r="Z1621"/>
      <c r="AA1621" s="2">
        <f t="shared" si="141"/>
        <v>45995</v>
      </c>
      <c r="AB1621"/>
      <c r="AC1621"/>
    </row>
    <row r="1622" spans="21:29" ht="15">
      <c r="U1622" s="245">
        <v>44754</v>
      </c>
      <c r="V1622" t="str">
        <f t="shared" si="142"/>
        <v>4</v>
      </c>
      <c r="W1622" t="str">
        <f t="shared" si="138"/>
        <v>54</v>
      </c>
      <c r="X1622" t="str">
        <f t="shared" si="139"/>
        <v>54</v>
      </c>
      <c r="Y1622" t="str">
        <f t="shared" si="140"/>
        <v>2054</v>
      </c>
      <c r="Z1622"/>
      <c r="AA1622" s="2">
        <f t="shared" si="141"/>
        <v>57865</v>
      </c>
      <c r="AB1622"/>
      <c r="AC1622"/>
    </row>
    <row r="1623" spans="21:29" ht="15">
      <c r="U1623" s="245">
        <v>44754</v>
      </c>
      <c r="V1623" t="str">
        <f t="shared" si="142"/>
        <v>4</v>
      </c>
      <c r="W1623" t="str">
        <f t="shared" si="138"/>
        <v>54</v>
      </c>
      <c r="X1623" t="str">
        <f t="shared" si="139"/>
        <v>54</v>
      </c>
      <c r="Y1623" t="str">
        <f t="shared" si="140"/>
        <v>2054</v>
      </c>
      <c r="Z1623"/>
      <c r="AA1623" s="2">
        <f t="shared" si="141"/>
        <v>57865</v>
      </c>
      <c r="AB1623"/>
      <c r="AC1623"/>
    </row>
    <row r="1624" spans="21:29" ht="15">
      <c r="U1624" s="245">
        <v>44754</v>
      </c>
      <c r="V1624" t="str">
        <f t="shared" si="142"/>
        <v>4</v>
      </c>
      <c r="W1624" t="str">
        <f t="shared" si="138"/>
        <v>54</v>
      </c>
      <c r="X1624" t="str">
        <f t="shared" si="139"/>
        <v>54</v>
      </c>
      <c r="Y1624" t="str">
        <f t="shared" si="140"/>
        <v>2054</v>
      </c>
      <c r="Z1624"/>
      <c r="AA1624" s="2">
        <f t="shared" si="141"/>
        <v>57865</v>
      </c>
      <c r="AB1624"/>
      <c r="AC1624"/>
    </row>
    <row r="1625" spans="21:29" ht="15">
      <c r="U1625" s="245">
        <v>44754</v>
      </c>
      <c r="V1625" t="str">
        <f t="shared" si="142"/>
        <v>4</v>
      </c>
      <c r="W1625" t="str">
        <f t="shared" si="138"/>
        <v>54</v>
      </c>
      <c r="X1625" t="str">
        <f t="shared" si="139"/>
        <v>54</v>
      </c>
      <c r="Y1625" t="str">
        <f t="shared" si="140"/>
        <v>2054</v>
      </c>
      <c r="Z1625"/>
      <c r="AA1625" s="2">
        <f t="shared" si="141"/>
        <v>57865</v>
      </c>
      <c r="AB1625"/>
      <c r="AC1625"/>
    </row>
    <row r="1626" spans="21:29" ht="15">
      <c r="U1626" s="245">
        <v>44754</v>
      </c>
      <c r="V1626" t="str">
        <f t="shared" si="142"/>
        <v>4</v>
      </c>
      <c r="W1626" t="str">
        <f t="shared" si="138"/>
        <v>54</v>
      </c>
      <c r="X1626" t="str">
        <f t="shared" si="139"/>
        <v>54</v>
      </c>
      <c r="Y1626" t="str">
        <f t="shared" si="140"/>
        <v>2054</v>
      </c>
      <c r="Z1626"/>
      <c r="AA1626" s="2">
        <f t="shared" si="141"/>
        <v>57865</v>
      </c>
      <c r="AB1626"/>
      <c r="AC1626"/>
    </row>
    <row r="1627" spans="21:29" ht="15">
      <c r="U1627" s="245">
        <v>44785</v>
      </c>
      <c r="V1627" t="str">
        <f t="shared" si="142"/>
        <v>4</v>
      </c>
      <c r="W1627" t="str">
        <f t="shared" si="138"/>
        <v>85</v>
      </c>
      <c r="X1627" t="str">
        <f t="shared" si="139"/>
        <v>85</v>
      </c>
      <c r="Y1627" t="str">
        <f t="shared" si="140"/>
        <v>2085</v>
      </c>
      <c r="Z1627"/>
      <c r="AA1627" s="2">
        <f t="shared" si="141"/>
        <v>70132</v>
      </c>
      <c r="AB1627"/>
      <c r="AC1627"/>
    </row>
    <row r="1628" spans="21:29" ht="15">
      <c r="U1628" s="245">
        <v>44785</v>
      </c>
      <c r="V1628" t="str">
        <f t="shared" si="142"/>
        <v>4</v>
      </c>
      <c r="W1628" t="str">
        <f t="shared" si="138"/>
        <v>85</v>
      </c>
      <c r="X1628" t="str">
        <f t="shared" si="139"/>
        <v>85</v>
      </c>
      <c r="Y1628" t="str">
        <f t="shared" si="140"/>
        <v>2085</v>
      </c>
      <c r="Z1628"/>
      <c r="AA1628" s="2">
        <f t="shared" si="141"/>
        <v>70132</v>
      </c>
      <c r="AB1628"/>
      <c r="AC1628"/>
    </row>
    <row r="1629" spans="21:29" ht="15">
      <c r="U1629" s="245">
        <v>44785</v>
      </c>
      <c r="V1629" t="str">
        <f t="shared" si="142"/>
        <v>4</v>
      </c>
      <c r="W1629" t="str">
        <f t="shared" si="138"/>
        <v>85</v>
      </c>
      <c r="X1629" t="str">
        <f t="shared" si="139"/>
        <v>85</v>
      </c>
      <c r="Y1629" t="str">
        <f t="shared" si="140"/>
        <v>2085</v>
      </c>
      <c r="Z1629"/>
      <c r="AA1629" s="2">
        <f t="shared" si="141"/>
        <v>70132</v>
      </c>
      <c r="AB1629"/>
      <c r="AC1629"/>
    </row>
    <row r="1630" spans="21:29" ht="15">
      <c r="U1630" s="245">
        <v>44816</v>
      </c>
      <c r="V1630" t="str">
        <f t="shared" si="142"/>
        <v>4</v>
      </c>
      <c r="W1630" t="str">
        <f t="shared" si="138"/>
        <v>16</v>
      </c>
      <c r="X1630" t="str">
        <f t="shared" si="139"/>
        <v>16</v>
      </c>
      <c r="Y1630" t="str">
        <f t="shared" si="140"/>
        <v>2016</v>
      </c>
      <c r="Z1630"/>
      <c r="AA1630" s="2">
        <f t="shared" si="141"/>
        <v>42829</v>
      </c>
      <c r="AB1630"/>
      <c r="AC1630"/>
    </row>
    <row r="1631" spans="21:29" ht="15">
      <c r="U1631" s="245">
        <v>44816</v>
      </c>
      <c r="V1631" t="str">
        <f t="shared" si="142"/>
        <v>4</v>
      </c>
      <c r="W1631" t="str">
        <f t="shared" si="138"/>
        <v>16</v>
      </c>
      <c r="X1631" t="str">
        <f t="shared" si="139"/>
        <v>16</v>
      </c>
      <c r="Y1631" t="str">
        <f t="shared" si="140"/>
        <v>2016</v>
      </c>
      <c r="Z1631"/>
      <c r="AA1631" s="2">
        <f t="shared" si="141"/>
        <v>42829</v>
      </c>
      <c r="AB1631"/>
      <c r="AC1631"/>
    </row>
    <row r="1632" spans="21:29" ht="15">
      <c r="U1632" s="245">
        <v>44846</v>
      </c>
      <c r="V1632" t="str">
        <f t="shared" si="137"/>
        <v>44</v>
      </c>
      <c r="W1632" t="str">
        <f t="shared" si="138"/>
        <v>46</v>
      </c>
      <c r="X1632" t="str">
        <f t="shared" si="139"/>
        <v>46</v>
      </c>
      <c r="Y1632" t="str">
        <f t="shared" si="140"/>
        <v>2046</v>
      </c>
      <c r="Z1632"/>
      <c r="AA1632" s="2">
        <f t="shared" si="141"/>
        <v>54740</v>
      </c>
      <c r="AB1632"/>
      <c r="AC1632"/>
    </row>
    <row r="1633" spans="21:29" ht="15">
      <c r="U1633" s="245">
        <v>44877</v>
      </c>
      <c r="V1633" t="str">
        <f t="shared" si="137"/>
        <v>44</v>
      </c>
      <c r="W1633" t="str">
        <f t="shared" si="138"/>
        <v>77</v>
      </c>
      <c r="X1633" t="str">
        <f t="shared" si="139"/>
        <v>77</v>
      </c>
      <c r="Y1633" t="str">
        <f t="shared" si="140"/>
        <v>2077</v>
      </c>
      <c r="Z1633"/>
      <c r="AA1633" s="2">
        <f t="shared" si="141"/>
        <v>67005</v>
      </c>
      <c r="AB1633"/>
      <c r="AC1633"/>
    </row>
    <row r="1634" spans="21:29" ht="15">
      <c r="U1634" s="245">
        <v>44877</v>
      </c>
      <c r="V1634" t="str">
        <f t="shared" si="137"/>
        <v>44</v>
      </c>
      <c r="W1634" t="str">
        <f t="shared" si="138"/>
        <v>77</v>
      </c>
      <c r="X1634" t="str">
        <f t="shared" si="139"/>
        <v>77</v>
      </c>
      <c r="Y1634" t="str">
        <f t="shared" si="140"/>
        <v>2077</v>
      </c>
      <c r="Z1634"/>
      <c r="AA1634" s="2">
        <f t="shared" si="141"/>
        <v>67005</v>
      </c>
      <c r="AB1634"/>
      <c r="AC1634"/>
    </row>
    <row r="1635" spans="21:29" ht="15">
      <c r="U1635" s="245">
        <v>44907</v>
      </c>
      <c r="V1635" t="str">
        <f t="shared" si="137"/>
        <v>44</v>
      </c>
      <c r="W1635" t="str">
        <f t="shared" si="138"/>
        <v>07</v>
      </c>
      <c r="X1635" t="str">
        <f t="shared" si="139"/>
        <v>07</v>
      </c>
      <c r="Y1635" t="str">
        <f t="shared" si="140"/>
        <v>2007</v>
      </c>
      <c r="Z1635"/>
      <c r="AA1635" s="2">
        <f t="shared" si="141"/>
        <v>39307</v>
      </c>
      <c r="AB1635"/>
      <c r="AC1635"/>
    </row>
    <row r="1636" spans="21:29" ht="15">
      <c r="U1636" s="245">
        <v>44907</v>
      </c>
      <c r="V1636" t="str">
        <f t="shared" si="137"/>
        <v>44</v>
      </c>
      <c r="W1636" t="str">
        <f t="shared" si="138"/>
        <v>07</v>
      </c>
      <c r="X1636" t="str">
        <f t="shared" si="139"/>
        <v>07</v>
      </c>
      <c r="Y1636" t="str">
        <f t="shared" si="140"/>
        <v>2007</v>
      </c>
      <c r="Z1636"/>
      <c r="AA1636" s="2">
        <f t="shared" si="141"/>
        <v>39307</v>
      </c>
      <c r="AB1636"/>
      <c r="AC1636"/>
    </row>
    <row r="1637" spans="21:29" ht="15">
      <c r="U1637" s="245">
        <v>44907</v>
      </c>
      <c r="V1637" t="str">
        <f t="shared" si="137"/>
        <v>44</v>
      </c>
      <c r="W1637" t="str">
        <f t="shared" si="138"/>
        <v>07</v>
      </c>
      <c r="X1637" t="str">
        <f t="shared" si="139"/>
        <v>07</v>
      </c>
      <c r="Y1637" t="str">
        <f t="shared" si="140"/>
        <v>2007</v>
      </c>
      <c r="Z1637"/>
      <c r="AA1637" s="2">
        <f t="shared" si="141"/>
        <v>39307</v>
      </c>
      <c r="AB1637"/>
      <c r="AC1637"/>
    </row>
    <row r="1638" spans="21:29" ht="15">
      <c r="U1638" s="3" t="s">
        <v>10012</v>
      </c>
      <c r="V1638" t="str">
        <f t="shared" si="137"/>
        <v>13</v>
      </c>
      <c r="W1638" t="str">
        <f t="shared" si="138"/>
        <v>12</v>
      </c>
      <c r="X1638" t="str">
        <f t="shared" si="139"/>
        <v>22</v>
      </c>
      <c r="Y1638" t="str">
        <f t="shared" si="140"/>
        <v>2022</v>
      </c>
      <c r="Z1638"/>
      <c r="AA1638" s="2">
        <f t="shared" si="141"/>
        <v>44908</v>
      </c>
      <c r="AB1638"/>
      <c r="AC1638"/>
    </row>
    <row r="1639" spans="21:29" ht="15">
      <c r="U1639" s="3" t="s">
        <v>10012</v>
      </c>
      <c r="V1639" t="str">
        <f t="shared" si="137"/>
        <v>13</v>
      </c>
      <c r="W1639" t="str">
        <f t="shared" si="138"/>
        <v>12</v>
      </c>
      <c r="X1639" t="str">
        <f t="shared" si="139"/>
        <v>22</v>
      </c>
      <c r="Y1639" t="str">
        <f t="shared" si="140"/>
        <v>2022</v>
      </c>
      <c r="Z1639"/>
      <c r="AA1639" s="2">
        <f t="shared" si="141"/>
        <v>44908</v>
      </c>
      <c r="AB1639"/>
      <c r="AC1639"/>
    </row>
    <row r="1640" spans="21:29" ht="15">
      <c r="U1640" s="3" t="s">
        <v>10012</v>
      </c>
      <c r="V1640" t="str">
        <f t="shared" si="137"/>
        <v>13</v>
      </c>
      <c r="W1640" t="str">
        <f t="shared" si="138"/>
        <v>12</v>
      </c>
      <c r="X1640" t="str">
        <f t="shared" si="139"/>
        <v>22</v>
      </c>
      <c r="Y1640" t="str">
        <f t="shared" si="140"/>
        <v>2022</v>
      </c>
      <c r="Z1640"/>
      <c r="AA1640" s="2">
        <f t="shared" si="141"/>
        <v>44908</v>
      </c>
      <c r="AB1640"/>
      <c r="AC1640"/>
    </row>
    <row r="1641" spans="21:29" ht="15">
      <c r="U1641" s="3" t="s">
        <v>10012</v>
      </c>
      <c r="V1641" t="str">
        <f t="shared" si="137"/>
        <v>13</v>
      </c>
      <c r="W1641" t="str">
        <f t="shared" si="138"/>
        <v>12</v>
      </c>
      <c r="X1641" t="str">
        <f t="shared" si="139"/>
        <v>22</v>
      </c>
      <c r="Y1641" t="str">
        <f t="shared" si="140"/>
        <v>2022</v>
      </c>
      <c r="Z1641"/>
      <c r="AA1641" s="2">
        <f t="shared" si="141"/>
        <v>44908</v>
      </c>
      <c r="AB1641"/>
      <c r="AC1641"/>
    </row>
    <row r="1642" spans="21:29" ht="15">
      <c r="U1642" s="3" t="s">
        <v>10012</v>
      </c>
      <c r="V1642" t="str">
        <f t="shared" si="137"/>
        <v>13</v>
      </c>
      <c r="W1642" t="str">
        <f t="shared" si="138"/>
        <v>12</v>
      </c>
      <c r="X1642" t="str">
        <f t="shared" si="139"/>
        <v>22</v>
      </c>
      <c r="Y1642" t="str">
        <f t="shared" si="140"/>
        <v>2022</v>
      </c>
      <c r="Z1642"/>
      <c r="AA1642" s="2">
        <f t="shared" si="141"/>
        <v>44908</v>
      </c>
      <c r="AB1642"/>
      <c r="AC1642"/>
    </row>
    <row r="1643" spans="21:29" ht="15">
      <c r="U1643" s="3" t="s">
        <v>10013</v>
      </c>
      <c r="V1643" t="str">
        <f t="shared" si="137"/>
        <v>14</v>
      </c>
      <c r="W1643" t="str">
        <f t="shared" si="138"/>
        <v>12</v>
      </c>
      <c r="X1643" t="str">
        <f t="shared" si="139"/>
        <v>22</v>
      </c>
      <c r="Y1643" t="str">
        <f t="shared" si="140"/>
        <v>2022</v>
      </c>
      <c r="Z1643"/>
      <c r="AA1643" s="2">
        <f t="shared" si="141"/>
        <v>44909</v>
      </c>
      <c r="AB1643"/>
      <c r="AC1643"/>
    </row>
    <row r="1644" spans="21:29" ht="15">
      <c r="U1644" s="3" t="s">
        <v>10013</v>
      </c>
      <c r="V1644" t="str">
        <f t="shared" si="137"/>
        <v>14</v>
      </c>
      <c r="W1644" t="str">
        <f t="shared" si="138"/>
        <v>12</v>
      </c>
      <c r="X1644" t="str">
        <f t="shared" si="139"/>
        <v>22</v>
      </c>
      <c r="Y1644" t="str">
        <f t="shared" si="140"/>
        <v>2022</v>
      </c>
      <c r="Z1644"/>
      <c r="AA1644" s="2">
        <f t="shared" si="141"/>
        <v>44909</v>
      </c>
      <c r="AB1644"/>
      <c r="AC1644"/>
    </row>
    <row r="1645" spans="21:29" ht="15">
      <c r="U1645" s="3" t="s">
        <v>10013</v>
      </c>
      <c r="V1645" t="str">
        <f t="shared" si="137"/>
        <v>14</v>
      </c>
      <c r="W1645" t="str">
        <f t="shared" si="138"/>
        <v>12</v>
      </c>
      <c r="X1645" t="str">
        <f t="shared" si="139"/>
        <v>22</v>
      </c>
      <c r="Y1645" t="str">
        <f t="shared" si="140"/>
        <v>2022</v>
      </c>
      <c r="Z1645"/>
      <c r="AA1645" s="2">
        <f t="shared" si="141"/>
        <v>44909</v>
      </c>
      <c r="AB1645"/>
      <c r="AC1645"/>
    </row>
    <row r="1646" spans="21:29" ht="15">
      <c r="U1646" s="3" t="s">
        <v>10014</v>
      </c>
      <c r="V1646" t="str">
        <f t="shared" si="137"/>
        <v>15</v>
      </c>
      <c r="W1646" t="str">
        <f t="shared" si="138"/>
        <v>12</v>
      </c>
      <c r="X1646" t="str">
        <f t="shared" si="139"/>
        <v>22</v>
      </c>
      <c r="Y1646" t="str">
        <f t="shared" si="140"/>
        <v>2022</v>
      </c>
      <c r="Z1646"/>
      <c r="AA1646" s="2">
        <f t="shared" si="141"/>
        <v>44910</v>
      </c>
      <c r="AB1646"/>
      <c r="AC1646"/>
    </row>
    <row r="1647" spans="21:29" ht="15">
      <c r="U1647" s="3" t="s">
        <v>10014</v>
      </c>
      <c r="V1647" t="str">
        <f t="shared" si="137"/>
        <v>15</v>
      </c>
      <c r="W1647" t="str">
        <f t="shared" si="138"/>
        <v>12</v>
      </c>
      <c r="X1647" t="str">
        <f t="shared" si="139"/>
        <v>22</v>
      </c>
      <c r="Y1647" t="str">
        <f t="shared" si="140"/>
        <v>2022</v>
      </c>
      <c r="Z1647"/>
      <c r="AA1647" s="2">
        <f t="shared" si="141"/>
        <v>44910</v>
      </c>
      <c r="AB1647"/>
      <c r="AC1647"/>
    </row>
    <row r="1648" spans="21:29" ht="15">
      <c r="U1648" s="3" t="s">
        <v>10014</v>
      </c>
      <c r="V1648" t="str">
        <f t="shared" si="137"/>
        <v>15</v>
      </c>
      <c r="W1648" t="str">
        <f t="shared" si="138"/>
        <v>12</v>
      </c>
      <c r="X1648" t="str">
        <f t="shared" si="139"/>
        <v>22</v>
      </c>
      <c r="Y1648" t="str">
        <f t="shared" si="140"/>
        <v>2022</v>
      </c>
      <c r="Z1648"/>
      <c r="AA1648" s="2">
        <f t="shared" si="141"/>
        <v>44910</v>
      </c>
      <c r="AB1648"/>
      <c r="AC1648"/>
    </row>
    <row r="1649" spans="21:29" ht="15">
      <c r="U1649" s="3" t="s">
        <v>10015</v>
      </c>
      <c r="V1649" t="str">
        <f t="shared" si="137"/>
        <v>16</v>
      </c>
      <c r="W1649" t="str">
        <f t="shared" si="138"/>
        <v>12</v>
      </c>
      <c r="X1649" t="str">
        <f t="shared" si="139"/>
        <v>22</v>
      </c>
      <c r="Y1649" t="str">
        <f t="shared" si="140"/>
        <v>2022</v>
      </c>
      <c r="Z1649"/>
      <c r="AA1649" s="2">
        <f t="shared" si="141"/>
        <v>44911</v>
      </c>
      <c r="AB1649"/>
      <c r="AC1649"/>
    </row>
    <row r="1650" spans="21:29" ht="15">
      <c r="U1650" s="3" t="s">
        <v>10015</v>
      </c>
      <c r="V1650" t="str">
        <f t="shared" si="137"/>
        <v>16</v>
      </c>
      <c r="W1650" t="str">
        <f t="shared" si="138"/>
        <v>12</v>
      </c>
      <c r="X1650" t="str">
        <f t="shared" si="139"/>
        <v>22</v>
      </c>
      <c r="Y1650" t="str">
        <f t="shared" si="140"/>
        <v>2022</v>
      </c>
      <c r="Z1650"/>
      <c r="AA1650" s="2">
        <f t="shared" si="141"/>
        <v>44911</v>
      </c>
      <c r="AB1650"/>
      <c r="AC1650"/>
    </row>
    <row r="1651" spans="21:29" ht="15">
      <c r="U1651" s="3" t="s">
        <v>10016</v>
      </c>
      <c r="V1651" t="str">
        <f t="shared" si="137"/>
        <v>17</v>
      </c>
      <c r="W1651" t="str">
        <f t="shared" si="138"/>
        <v>12</v>
      </c>
      <c r="X1651" t="str">
        <f t="shared" si="139"/>
        <v>22</v>
      </c>
      <c r="Y1651" t="str">
        <f t="shared" si="140"/>
        <v>2022</v>
      </c>
      <c r="Z1651"/>
      <c r="AA1651" s="2">
        <f t="shared" si="141"/>
        <v>44912</v>
      </c>
      <c r="AB1651"/>
      <c r="AC1651"/>
    </row>
    <row r="1652" spans="21:29" ht="15">
      <c r="U1652" s="3" t="s">
        <v>10016</v>
      </c>
      <c r="V1652" t="str">
        <f t="shared" si="137"/>
        <v>17</v>
      </c>
      <c r="W1652" t="str">
        <f t="shared" si="138"/>
        <v>12</v>
      </c>
      <c r="X1652" t="str">
        <f t="shared" si="139"/>
        <v>22</v>
      </c>
      <c r="Y1652" t="str">
        <f t="shared" si="140"/>
        <v>2022</v>
      </c>
      <c r="Z1652"/>
      <c r="AA1652" s="2">
        <f t="shared" si="141"/>
        <v>44912</v>
      </c>
      <c r="AB1652"/>
      <c r="AC1652"/>
    </row>
    <row r="1653" spans="21:29" ht="15">
      <c r="U1653" s="3" t="s">
        <v>10016</v>
      </c>
      <c r="V1653" t="str">
        <f t="shared" si="137"/>
        <v>17</v>
      </c>
      <c r="W1653" t="str">
        <f t="shared" si="138"/>
        <v>12</v>
      </c>
      <c r="X1653" t="str">
        <f t="shared" si="139"/>
        <v>22</v>
      </c>
      <c r="Y1653" t="str">
        <f t="shared" si="140"/>
        <v>2022</v>
      </c>
      <c r="Z1653"/>
      <c r="AA1653" s="2">
        <f t="shared" si="141"/>
        <v>44912</v>
      </c>
      <c r="AB1653"/>
      <c r="AC1653"/>
    </row>
    <row r="1654" spans="21:29" ht="15">
      <c r="U1654" s="3" t="s">
        <v>10016</v>
      </c>
      <c r="V1654" t="str">
        <f t="shared" si="137"/>
        <v>17</v>
      </c>
      <c r="W1654" t="str">
        <f t="shared" si="138"/>
        <v>12</v>
      </c>
      <c r="X1654" t="str">
        <f t="shared" si="139"/>
        <v>22</v>
      </c>
      <c r="Y1654" t="str">
        <f t="shared" si="140"/>
        <v>2022</v>
      </c>
      <c r="Z1654"/>
      <c r="AA1654" s="2">
        <f t="shared" si="141"/>
        <v>44912</v>
      </c>
      <c r="AB1654"/>
      <c r="AC1654"/>
    </row>
    <row r="1655" spans="21:29" ht="15">
      <c r="U1655" s="3" t="s">
        <v>10016</v>
      </c>
      <c r="V1655" t="str">
        <f t="shared" si="137"/>
        <v>17</v>
      </c>
      <c r="W1655" t="str">
        <f t="shared" si="138"/>
        <v>12</v>
      </c>
      <c r="X1655" t="str">
        <f t="shared" si="139"/>
        <v>22</v>
      </c>
      <c r="Y1655" t="str">
        <f t="shared" si="140"/>
        <v>2022</v>
      </c>
      <c r="Z1655"/>
      <c r="AA1655" s="2">
        <f t="shared" si="141"/>
        <v>44912</v>
      </c>
      <c r="AB1655"/>
      <c r="AC1655"/>
    </row>
    <row r="1656" spans="21:29" ht="15">
      <c r="U1656" s="3" t="s">
        <v>10008</v>
      </c>
      <c r="V1656" t="str">
        <f t="shared" si="137"/>
        <v>19</v>
      </c>
      <c r="W1656" t="str">
        <f t="shared" si="138"/>
        <v>12</v>
      </c>
      <c r="X1656" t="str">
        <f t="shared" si="139"/>
        <v>22</v>
      </c>
      <c r="Y1656" t="str">
        <f t="shared" si="140"/>
        <v>2022</v>
      </c>
      <c r="Z1656"/>
      <c r="AA1656" s="2">
        <f t="shared" si="141"/>
        <v>44914</v>
      </c>
      <c r="AB1656"/>
      <c r="AC1656"/>
    </row>
    <row r="1657" spans="21:29" ht="15">
      <c r="U1657" s="3" t="s">
        <v>10008</v>
      </c>
      <c r="V1657" t="str">
        <f t="shared" si="137"/>
        <v>19</v>
      </c>
      <c r="W1657" t="str">
        <f t="shared" si="138"/>
        <v>12</v>
      </c>
      <c r="X1657" t="str">
        <f t="shared" si="139"/>
        <v>22</v>
      </c>
      <c r="Y1657" t="str">
        <f t="shared" si="140"/>
        <v>2022</v>
      </c>
      <c r="Z1657"/>
      <c r="AA1657" s="2">
        <f t="shared" si="141"/>
        <v>44914</v>
      </c>
      <c r="AB1657"/>
      <c r="AC1657"/>
    </row>
    <row r="1658" spans="21:29" ht="15">
      <c r="U1658" s="3" t="s">
        <v>10017</v>
      </c>
      <c r="V1658" t="str">
        <f t="shared" si="137"/>
        <v>20</v>
      </c>
      <c r="W1658" t="str">
        <f t="shared" si="138"/>
        <v>12</v>
      </c>
      <c r="X1658" t="str">
        <f t="shared" si="139"/>
        <v>22</v>
      </c>
      <c r="Y1658" t="str">
        <f t="shared" si="140"/>
        <v>2022</v>
      </c>
      <c r="Z1658"/>
      <c r="AA1658" s="2">
        <f t="shared" si="141"/>
        <v>44915</v>
      </c>
      <c r="AB1658"/>
      <c r="AC1658"/>
    </row>
    <row r="1659" spans="21:29" ht="15">
      <c r="U1659" s="3" t="s">
        <v>10009</v>
      </c>
      <c r="V1659" t="str">
        <f t="shared" si="137"/>
        <v>21</v>
      </c>
      <c r="W1659" t="str">
        <f t="shared" si="138"/>
        <v>12</v>
      </c>
      <c r="X1659" t="str">
        <f t="shared" si="139"/>
        <v>22</v>
      </c>
      <c r="Y1659" t="str">
        <f t="shared" si="140"/>
        <v>2022</v>
      </c>
      <c r="Z1659"/>
      <c r="AA1659" s="2">
        <f t="shared" si="141"/>
        <v>44916</v>
      </c>
      <c r="AB1659"/>
      <c r="AC1659"/>
    </row>
    <row r="1660" spans="21:29" ht="15">
      <c r="U1660" s="3" t="s">
        <v>10009</v>
      </c>
      <c r="V1660" t="str">
        <f t="shared" si="137"/>
        <v>21</v>
      </c>
      <c r="W1660" t="str">
        <f t="shared" si="138"/>
        <v>12</v>
      </c>
      <c r="X1660" t="str">
        <f t="shared" si="139"/>
        <v>22</v>
      </c>
      <c r="Y1660" t="str">
        <f t="shared" si="140"/>
        <v>2022</v>
      </c>
      <c r="Z1660"/>
      <c r="AA1660" s="2">
        <f t="shared" si="141"/>
        <v>44916</v>
      </c>
      <c r="AB1660"/>
      <c r="AC1660"/>
    </row>
    <row r="1661" spans="21:29" ht="15">
      <c r="U1661" s="3" t="s">
        <v>10009</v>
      </c>
      <c r="V1661" t="str">
        <f t="shared" si="137"/>
        <v>21</v>
      </c>
      <c r="W1661" t="str">
        <f t="shared" si="138"/>
        <v>12</v>
      </c>
      <c r="X1661" t="str">
        <f t="shared" si="139"/>
        <v>22</v>
      </c>
      <c r="Y1661" t="str">
        <f t="shared" si="140"/>
        <v>2022</v>
      </c>
      <c r="Z1661"/>
      <c r="AA1661" s="2">
        <f t="shared" si="141"/>
        <v>44916</v>
      </c>
      <c r="AB1661"/>
      <c r="AC1661"/>
    </row>
    <row r="1662" spans="21:29" ht="15">
      <c r="U1662" s="3" t="s">
        <v>10018</v>
      </c>
      <c r="V1662" t="str">
        <f t="shared" si="137"/>
        <v>22</v>
      </c>
      <c r="W1662" t="str">
        <f t="shared" si="138"/>
        <v>12</v>
      </c>
      <c r="X1662" t="str">
        <f t="shared" si="139"/>
        <v>22</v>
      </c>
      <c r="Y1662" t="str">
        <f t="shared" si="140"/>
        <v>2022</v>
      </c>
      <c r="Z1662"/>
      <c r="AA1662" s="2">
        <f t="shared" si="141"/>
        <v>44917</v>
      </c>
      <c r="AB1662"/>
      <c r="AC1662"/>
    </row>
    <row r="1663" spans="21:29" ht="15">
      <c r="U1663" s="3" t="s">
        <v>10019</v>
      </c>
      <c r="V1663" t="str">
        <f t="shared" si="137"/>
        <v>23</v>
      </c>
      <c r="W1663" t="str">
        <f t="shared" si="138"/>
        <v>12</v>
      </c>
      <c r="X1663" t="str">
        <f t="shared" si="139"/>
        <v>22</v>
      </c>
      <c r="Y1663" t="str">
        <f t="shared" si="140"/>
        <v>2022</v>
      </c>
      <c r="Z1663"/>
      <c r="AA1663" s="2">
        <f t="shared" si="141"/>
        <v>44918</v>
      </c>
      <c r="AB1663"/>
      <c r="AC1663"/>
    </row>
    <row r="1664" spans="21:29" ht="15">
      <c r="U1664" s="3" t="s">
        <v>10019</v>
      </c>
      <c r="V1664" t="str">
        <f t="shared" si="137"/>
        <v>23</v>
      </c>
      <c r="W1664" t="str">
        <f t="shared" si="138"/>
        <v>12</v>
      </c>
      <c r="X1664" t="str">
        <f t="shared" si="139"/>
        <v>22</v>
      </c>
      <c r="Y1664" t="str">
        <f t="shared" si="140"/>
        <v>2022</v>
      </c>
      <c r="Z1664"/>
      <c r="AA1664" s="2">
        <f t="shared" si="141"/>
        <v>44918</v>
      </c>
      <c r="AB1664"/>
      <c r="AC1664"/>
    </row>
    <row r="1665" spans="21:29" ht="15">
      <c r="U1665" s="3" t="s">
        <v>10019</v>
      </c>
      <c r="V1665" t="str">
        <f t="shared" si="137"/>
        <v>23</v>
      </c>
      <c r="W1665" t="str">
        <f t="shared" si="138"/>
        <v>12</v>
      </c>
      <c r="X1665" t="str">
        <f t="shared" si="139"/>
        <v>22</v>
      </c>
      <c r="Y1665" t="str">
        <f t="shared" si="140"/>
        <v>2022</v>
      </c>
      <c r="Z1665"/>
      <c r="AA1665" s="2">
        <f t="shared" si="141"/>
        <v>44918</v>
      </c>
      <c r="AB1665"/>
      <c r="AC1665"/>
    </row>
    <row r="1666" spans="21:29" ht="15">
      <c r="U1666" s="3" t="s">
        <v>10019</v>
      </c>
      <c r="V1666" t="str">
        <f t="shared" si="137"/>
        <v>23</v>
      </c>
      <c r="W1666" t="str">
        <f t="shared" si="138"/>
        <v>12</v>
      </c>
      <c r="X1666" t="str">
        <f t="shared" si="139"/>
        <v>22</v>
      </c>
      <c r="Y1666" t="str">
        <f t="shared" si="140"/>
        <v>2022</v>
      </c>
      <c r="Z1666"/>
      <c r="AA1666" s="2">
        <f t="shared" si="141"/>
        <v>44918</v>
      </c>
      <c r="AB1666"/>
      <c r="AC1666"/>
    </row>
    <row r="1667" spans="21:29" ht="15">
      <c r="U1667" s="3" t="s">
        <v>10020</v>
      </c>
      <c r="V1667" t="str">
        <f t="shared" ref="V1667:V1727" si="143">LEFT(U1667,2)</f>
        <v>24</v>
      </c>
      <c r="W1667" t="str">
        <f t="shared" ref="W1667:W1713" si="144">MID(U1667,4,2)</f>
        <v>12</v>
      </c>
      <c r="X1667" t="str">
        <f t="shared" ref="X1667:X1713" si="145">RIGHT(U1667,2)</f>
        <v>22</v>
      </c>
      <c r="Y1667" t="str">
        <f t="shared" ref="Y1667:Y1730" si="146">"20" &amp; X1667</f>
        <v>2022</v>
      </c>
      <c r="Z1667"/>
      <c r="AA1667" s="2">
        <f t="shared" si="141"/>
        <v>44919</v>
      </c>
      <c r="AB1667"/>
      <c r="AC1667"/>
    </row>
    <row r="1668" spans="21:29" ht="15">
      <c r="U1668" s="3" t="s">
        <v>10020</v>
      </c>
      <c r="V1668" t="str">
        <f t="shared" si="143"/>
        <v>24</v>
      </c>
      <c r="W1668" t="str">
        <f t="shared" si="144"/>
        <v>12</v>
      </c>
      <c r="X1668" t="str">
        <f t="shared" si="145"/>
        <v>22</v>
      </c>
      <c r="Y1668" t="str">
        <f t="shared" si="146"/>
        <v>2022</v>
      </c>
      <c r="Z1668"/>
      <c r="AA1668" s="2">
        <f t="shared" si="141"/>
        <v>44919</v>
      </c>
      <c r="AB1668"/>
      <c r="AC1668"/>
    </row>
    <row r="1669" spans="21:29" ht="15">
      <c r="U1669" s="3" t="s">
        <v>10021</v>
      </c>
      <c r="V1669" t="str">
        <f t="shared" si="143"/>
        <v>25</v>
      </c>
      <c r="W1669" t="str">
        <f t="shared" si="144"/>
        <v>12</v>
      </c>
      <c r="X1669" t="str">
        <f t="shared" si="145"/>
        <v>22</v>
      </c>
      <c r="Y1669" t="str">
        <f t="shared" si="146"/>
        <v>2022</v>
      </c>
      <c r="Z1669"/>
      <c r="AA1669" s="2">
        <f t="shared" si="141"/>
        <v>44920</v>
      </c>
      <c r="AB1669"/>
      <c r="AC1669"/>
    </row>
    <row r="1670" spans="21:29" ht="15">
      <c r="U1670" s="3" t="s">
        <v>10022</v>
      </c>
      <c r="V1670" t="str">
        <f t="shared" si="143"/>
        <v>26</v>
      </c>
      <c r="W1670" t="str">
        <f t="shared" si="144"/>
        <v>12</v>
      </c>
      <c r="X1670" t="str">
        <f t="shared" si="145"/>
        <v>22</v>
      </c>
      <c r="Y1670" t="str">
        <f t="shared" si="146"/>
        <v>2022</v>
      </c>
      <c r="Z1670"/>
      <c r="AA1670" s="2">
        <f t="shared" si="141"/>
        <v>44921</v>
      </c>
      <c r="AB1670"/>
      <c r="AC1670"/>
    </row>
    <row r="1671" spans="21:29" ht="15">
      <c r="U1671" s="3" t="s">
        <v>10022</v>
      </c>
      <c r="V1671" t="str">
        <f t="shared" si="143"/>
        <v>26</v>
      </c>
      <c r="W1671" t="str">
        <f t="shared" si="144"/>
        <v>12</v>
      </c>
      <c r="X1671" t="str">
        <f t="shared" si="145"/>
        <v>22</v>
      </c>
      <c r="Y1671" t="str">
        <f t="shared" si="146"/>
        <v>2022</v>
      </c>
      <c r="Z1671"/>
      <c r="AA1671" s="2">
        <f t="shared" si="141"/>
        <v>44921</v>
      </c>
      <c r="AB1671"/>
      <c r="AC1671"/>
    </row>
    <row r="1672" spans="21:29" ht="15">
      <c r="U1672" s="3" t="s">
        <v>10022</v>
      </c>
      <c r="V1672" t="str">
        <f t="shared" si="143"/>
        <v>26</v>
      </c>
      <c r="W1672" t="str">
        <f t="shared" si="144"/>
        <v>12</v>
      </c>
      <c r="X1672" t="str">
        <f t="shared" si="145"/>
        <v>22</v>
      </c>
      <c r="Y1672" t="str">
        <f t="shared" si="146"/>
        <v>2022</v>
      </c>
      <c r="Z1672"/>
      <c r="AA1672" s="2">
        <f t="shared" ref="AA1672:AA1735" si="147">DATE(Y1672,W1672,V1672)</f>
        <v>44921</v>
      </c>
      <c r="AB1672"/>
      <c r="AC1672"/>
    </row>
    <row r="1673" spans="21:29" ht="15">
      <c r="U1673" s="3" t="s">
        <v>10023</v>
      </c>
      <c r="V1673" t="str">
        <f t="shared" si="143"/>
        <v>27</v>
      </c>
      <c r="W1673" t="str">
        <f t="shared" si="144"/>
        <v>12</v>
      </c>
      <c r="X1673" t="str">
        <f t="shared" si="145"/>
        <v>22</v>
      </c>
      <c r="Y1673" t="str">
        <f t="shared" si="146"/>
        <v>2022</v>
      </c>
      <c r="Z1673"/>
      <c r="AA1673" s="2">
        <f t="shared" si="147"/>
        <v>44922</v>
      </c>
      <c r="AB1673"/>
      <c r="AC1673"/>
    </row>
    <row r="1674" spans="21:29" ht="15">
      <c r="U1674" s="3" t="s">
        <v>10010</v>
      </c>
      <c r="V1674" t="str">
        <f t="shared" si="143"/>
        <v>28</v>
      </c>
      <c r="W1674" t="str">
        <f t="shared" si="144"/>
        <v>12</v>
      </c>
      <c r="X1674" t="str">
        <f t="shared" si="145"/>
        <v>22</v>
      </c>
      <c r="Y1674" t="str">
        <f t="shared" si="146"/>
        <v>2022</v>
      </c>
      <c r="Z1674"/>
      <c r="AA1674" s="2">
        <f t="shared" si="147"/>
        <v>44923</v>
      </c>
      <c r="AB1674"/>
      <c r="AC1674"/>
    </row>
    <row r="1675" spans="21:29" ht="15">
      <c r="U1675" s="3" t="s">
        <v>10010</v>
      </c>
      <c r="V1675" t="str">
        <f t="shared" si="143"/>
        <v>28</v>
      </c>
      <c r="W1675" t="str">
        <f t="shared" si="144"/>
        <v>12</v>
      </c>
      <c r="X1675" t="str">
        <f t="shared" si="145"/>
        <v>22</v>
      </c>
      <c r="Y1675" t="str">
        <f t="shared" si="146"/>
        <v>2022</v>
      </c>
      <c r="Z1675"/>
      <c r="AA1675" s="2">
        <f t="shared" si="147"/>
        <v>44923</v>
      </c>
      <c r="AB1675"/>
      <c r="AC1675"/>
    </row>
    <row r="1676" spans="21:29" ht="15">
      <c r="U1676" s="3" t="s">
        <v>10010</v>
      </c>
      <c r="V1676" t="str">
        <f t="shared" si="143"/>
        <v>28</v>
      </c>
      <c r="W1676" t="str">
        <f t="shared" si="144"/>
        <v>12</v>
      </c>
      <c r="X1676" t="str">
        <f t="shared" si="145"/>
        <v>22</v>
      </c>
      <c r="Y1676" t="str">
        <f t="shared" si="146"/>
        <v>2022</v>
      </c>
      <c r="Z1676"/>
      <c r="AA1676" s="2">
        <f t="shared" si="147"/>
        <v>44923</v>
      </c>
      <c r="AB1676"/>
      <c r="AC1676"/>
    </row>
    <row r="1677" spans="21:29" ht="15">
      <c r="U1677" s="3" t="s">
        <v>10010</v>
      </c>
      <c r="V1677" t="str">
        <f t="shared" si="143"/>
        <v>28</v>
      </c>
      <c r="W1677" t="str">
        <f t="shared" si="144"/>
        <v>12</v>
      </c>
      <c r="X1677" t="str">
        <f t="shared" si="145"/>
        <v>22</v>
      </c>
      <c r="Y1677" t="str">
        <f t="shared" si="146"/>
        <v>2022</v>
      </c>
      <c r="Z1677"/>
      <c r="AA1677" s="2">
        <f t="shared" si="147"/>
        <v>44923</v>
      </c>
      <c r="AB1677"/>
      <c r="AC1677"/>
    </row>
    <row r="1678" spans="21:29" ht="15">
      <c r="U1678" s="3" t="s">
        <v>10010</v>
      </c>
      <c r="V1678" t="str">
        <f t="shared" si="143"/>
        <v>28</v>
      </c>
      <c r="W1678" t="str">
        <f t="shared" si="144"/>
        <v>12</v>
      </c>
      <c r="X1678" t="str">
        <f t="shared" si="145"/>
        <v>22</v>
      </c>
      <c r="Y1678" t="str">
        <f t="shared" si="146"/>
        <v>2022</v>
      </c>
      <c r="Z1678"/>
      <c r="AA1678" s="2">
        <f t="shared" si="147"/>
        <v>44923</v>
      </c>
      <c r="AB1678"/>
      <c r="AC1678"/>
    </row>
    <row r="1679" spans="21:29" ht="15">
      <c r="U1679" s="3" t="s">
        <v>10011</v>
      </c>
      <c r="V1679" t="str">
        <f t="shared" si="143"/>
        <v>31</v>
      </c>
      <c r="W1679" t="str">
        <f t="shared" si="144"/>
        <v>12</v>
      </c>
      <c r="X1679" t="str">
        <f t="shared" si="145"/>
        <v>22</v>
      </c>
      <c r="Y1679" t="str">
        <f t="shared" si="146"/>
        <v>2022</v>
      </c>
      <c r="Z1679"/>
      <c r="AA1679" s="2">
        <f t="shared" si="147"/>
        <v>44926</v>
      </c>
      <c r="AB1679"/>
      <c r="AC1679"/>
    </row>
    <row r="1680" spans="21:29" ht="15">
      <c r="U1680" s="203" t="s">
        <v>10024</v>
      </c>
      <c r="V1680" t="str">
        <f t="shared" si="143"/>
        <v>17</v>
      </c>
      <c r="W1680" t="str">
        <f t="shared" si="144"/>
        <v>04</v>
      </c>
      <c r="X1680" t="str">
        <f t="shared" si="145"/>
        <v>06</v>
      </c>
      <c r="Y1680" t="str">
        <f t="shared" si="146"/>
        <v>2006</v>
      </c>
      <c r="Z1680"/>
      <c r="AA1680" s="2">
        <f t="shared" si="147"/>
        <v>38824</v>
      </c>
      <c r="AB1680"/>
      <c r="AC1680"/>
    </row>
    <row r="1681" spans="21:29" ht="15">
      <c r="U1681" s="203" t="s">
        <v>10025</v>
      </c>
      <c r="V1681" t="str">
        <f t="shared" si="143"/>
        <v>19</v>
      </c>
      <c r="W1681" t="str">
        <f t="shared" si="144"/>
        <v>04</v>
      </c>
      <c r="X1681" t="str">
        <f t="shared" si="145"/>
        <v>06</v>
      </c>
      <c r="Y1681" t="str">
        <f t="shared" si="146"/>
        <v>2006</v>
      </c>
      <c r="Z1681"/>
      <c r="AA1681" s="2">
        <f t="shared" si="147"/>
        <v>38826</v>
      </c>
      <c r="AB1681"/>
      <c r="AC1681"/>
    </row>
    <row r="1682" spans="21:29" ht="15">
      <c r="U1682" s="203" t="s">
        <v>10026</v>
      </c>
      <c r="V1682" t="str">
        <f t="shared" si="143"/>
        <v>20</v>
      </c>
      <c r="W1682" t="str">
        <f t="shared" si="144"/>
        <v>04</v>
      </c>
      <c r="X1682" t="str">
        <f t="shared" si="145"/>
        <v>06</v>
      </c>
      <c r="Y1682" t="str">
        <f t="shared" si="146"/>
        <v>2006</v>
      </c>
      <c r="Z1682"/>
      <c r="AA1682" s="2">
        <f t="shared" si="147"/>
        <v>38827</v>
      </c>
      <c r="AB1682"/>
      <c r="AC1682"/>
    </row>
    <row r="1683" spans="21:29" ht="15">
      <c r="U1683" s="203" t="s">
        <v>10027</v>
      </c>
      <c r="V1683" t="str">
        <f t="shared" si="143"/>
        <v>29</v>
      </c>
      <c r="W1683" t="str">
        <f t="shared" si="144"/>
        <v>04</v>
      </c>
      <c r="X1683" t="str">
        <f t="shared" si="145"/>
        <v>06</v>
      </c>
      <c r="Y1683" t="str">
        <f t="shared" si="146"/>
        <v>2006</v>
      </c>
      <c r="Z1683"/>
      <c r="AA1683" s="2">
        <f t="shared" si="147"/>
        <v>38836</v>
      </c>
      <c r="AB1683"/>
      <c r="AC1683"/>
    </row>
    <row r="1684" spans="21:29" ht="15">
      <c r="U1684" s="203" t="s">
        <v>10027</v>
      </c>
      <c r="V1684" t="str">
        <f t="shared" si="143"/>
        <v>29</v>
      </c>
      <c r="W1684" t="str">
        <f t="shared" si="144"/>
        <v>04</v>
      </c>
      <c r="X1684" t="str">
        <f t="shared" si="145"/>
        <v>06</v>
      </c>
      <c r="Y1684" t="str">
        <f t="shared" si="146"/>
        <v>2006</v>
      </c>
      <c r="Z1684"/>
      <c r="AA1684" s="2">
        <f t="shared" si="147"/>
        <v>38836</v>
      </c>
      <c r="AB1684"/>
      <c r="AC1684"/>
    </row>
    <row r="1685" spans="21:29" ht="15">
      <c r="U1685" s="203" t="s">
        <v>10028</v>
      </c>
      <c r="V1685" t="str">
        <f t="shared" si="143"/>
        <v>25</v>
      </c>
      <c r="W1685" t="str">
        <f t="shared" si="144"/>
        <v>05</v>
      </c>
      <c r="X1685" t="str">
        <f t="shared" si="145"/>
        <v>06</v>
      </c>
      <c r="Y1685" t="str">
        <f t="shared" si="146"/>
        <v>2006</v>
      </c>
      <c r="Z1685"/>
      <c r="AA1685" s="2">
        <f t="shared" si="147"/>
        <v>38862</v>
      </c>
      <c r="AB1685"/>
      <c r="AC1685"/>
    </row>
    <row r="1686" spans="21:29" ht="15">
      <c r="U1686" s="203" t="s">
        <v>10029</v>
      </c>
      <c r="V1686" t="str">
        <f t="shared" si="143"/>
        <v>26</v>
      </c>
      <c r="W1686" t="str">
        <f t="shared" si="144"/>
        <v>05</v>
      </c>
      <c r="X1686" t="str">
        <f t="shared" si="145"/>
        <v>06</v>
      </c>
      <c r="Y1686" t="str">
        <f t="shared" si="146"/>
        <v>2006</v>
      </c>
      <c r="Z1686"/>
      <c r="AA1686" s="2">
        <f t="shared" si="147"/>
        <v>38863</v>
      </c>
      <c r="AB1686"/>
      <c r="AC1686"/>
    </row>
    <row r="1687" spans="21:29" ht="15">
      <c r="U1687" s="203" t="s">
        <v>10030</v>
      </c>
      <c r="V1687" t="str">
        <f t="shared" si="143"/>
        <v>30</v>
      </c>
      <c r="W1687" t="str">
        <f t="shared" si="144"/>
        <v>05</v>
      </c>
      <c r="X1687" t="str">
        <f t="shared" si="145"/>
        <v>06</v>
      </c>
      <c r="Y1687" t="str">
        <f t="shared" si="146"/>
        <v>2006</v>
      </c>
      <c r="Z1687"/>
      <c r="AA1687" s="2">
        <f t="shared" si="147"/>
        <v>38867</v>
      </c>
      <c r="AB1687"/>
      <c r="AC1687"/>
    </row>
    <row r="1688" spans="21:29" ht="15">
      <c r="U1688" s="203" t="s">
        <v>10031</v>
      </c>
      <c r="V1688" t="str">
        <f t="shared" si="143"/>
        <v>26</v>
      </c>
      <c r="W1688" t="str">
        <f t="shared" si="144"/>
        <v>06</v>
      </c>
      <c r="X1688" t="str">
        <f t="shared" si="145"/>
        <v>06</v>
      </c>
      <c r="Y1688" t="str">
        <f t="shared" si="146"/>
        <v>2006</v>
      </c>
      <c r="Z1688"/>
      <c r="AA1688" s="2">
        <f t="shared" si="147"/>
        <v>38894</v>
      </c>
      <c r="AB1688"/>
      <c r="AC1688"/>
    </row>
    <row r="1689" spans="21:29" ht="15">
      <c r="U1689" s="203" t="s">
        <v>10032</v>
      </c>
      <c r="V1689" t="str">
        <f t="shared" si="143"/>
        <v>27</v>
      </c>
      <c r="W1689" t="str">
        <f t="shared" si="144"/>
        <v>06</v>
      </c>
      <c r="X1689" t="str">
        <f t="shared" si="145"/>
        <v>06</v>
      </c>
      <c r="Y1689" t="str">
        <f t="shared" si="146"/>
        <v>2006</v>
      </c>
      <c r="Z1689"/>
      <c r="AA1689" s="2">
        <f t="shared" si="147"/>
        <v>38895</v>
      </c>
      <c r="AB1689"/>
      <c r="AC1689"/>
    </row>
    <row r="1690" spans="21:29" ht="15">
      <c r="U1690" s="203" t="s">
        <v>10033</v>
      </c>
      <c r="V1690" t="str">
        <f t="shared" si="143"/>
        <v>29</v>
      </c>
      <c r="W1690" t="str">
        <f t="shared" si="144"/>
        <v>06</v>
      </c>
      <c r="X1690" t="str">
        <f t="shared" si="145"/>
        <v>06</v>
      </c>
      <c r="Y1690" t="str">
        <f t="shared" si="146"/>
        <v>2006</v>
      </c>
      <c r="Z1690"/>
      <c r="AA1690" s="2">
        <f t="shared" si="147"/>
        <v>38897</v>
      </c>
      <c r="AB1690"/>
      <c r="AC1690"/>
    </row>
    <row r="1691" spans="21:29" ht="15">
      <c r="U1691" s="203" t="s">
        <v>10034</v>
      </c>
      <c r="V1691" t="str">
        <f t="shared" si="143"/>
        <v>15</v>
      </c>
      <c r="W1691" t="str">
        <f t="shared" si="144"/>
        <v>07</v>
      </c>
      <c r="X1691" t="str">
        <f t="shared" si="145"/>
        <v>06</v>
      </c>
      <c r="Y1691" t="str">
        <f t="shared" si="146"/>
        <v>2006</v>
      </c>
      <c r="Z1691"/>
      <c r="AA1691" s="2">
        <f t="shared" si="147"/>
        <v>38913</v>
      </c>
      <c r="AB1691"/>
      <c r="AC1691"/>
    </row>
    <row r="1692" spans="21:29" ht="15">
      <c r="U1692" s="203" t="s">
        <v>10035</v>
      </c>
      <c r="V1692" t="str">
        <f t="shared" si="143"/>
        <v>18</v>
      </c>
      <c r="W1692" t="str">
        <f t="shared" si="144"/>
        <v>07</v>
      </c>
      <c r="X1692" t="str">
        <f t="shared" si="145"/>
        <v>06</v>
      </c>
      <c r="Y1692" t="str">
        <f t="shared" si="146"/>
        <v>2006</v>
      </c>
      <c r="Z1692"/>
      <c r="AA1692" s="2">
        <f t="shared" si="147"/>
        <v>38916</v>
      </c>
      <c r="AB1692"/>
      <c r="AC1692"/>
    </row>
    <row r="1693" spans="21:29" ht="15">
      <c r="U1693" s="203" t="s">
        <v>10036</v>
      </c>
      <c r="V1693" t="str">
        <f t="shared" si="143"/>
        <v>20</v>
      </c>
      <c r="W1693" t="str">
        <f t="shared" si="144"/>
        <v>07</v>
      </c>
      <c r="X1693" t="str">
        <f t="shared" si="145"/>
        <v>06</v>
      </c>
      <c r="Y1693" t="str">
        <f t="shared" si="146"/>
        <v>2006</v>
      </c>
      <c r="Z1693"/>
      <c r="AA1693" s="2">
        <f t="shared" si="147"/>
        <v>38918</v>
      </c>
      <c r="AB1693"/>
      <c r="AC1693"/>
    </row>
    <row r="1694" spans="21:29" ht="15">
      <c r="U1694" s="203" t="s">
        <v>10037</v>
      </c>
      <c r="V1694" t="str">
        <f t="shared" si="143"/>
        <v>27</v>
      </c>
      <c r="W1694" t="str">
        <f t="shared" si="144"/>
        <v>07</v>
      </c>
      <c r="X1694" t="str">
        <f t="shared" si="145"/>
        <v>06</v>
      </c>
      <c r="Y1694" t="str">
        <f t="shared" si="146"/>
        <v>2006</v>
      </c>
      <c r="Z1694"/>
      <c r="AA1694" s="2">
        <f t="shared" si="147"/>
        <v>38925</v>
      </c>
      <c r="AB1694"/>
      <c r="AC1694"/>
    </row>
    <row r="1695" spans="21:29" ht="15">
      <c r="U1695" s="203" t="s">
        <v>10038</v>
      </c>
      <c r="V1695" t="str">
        <f t="shared" si="143"/>
        <v>23</v>
      </c>
      <c r="W1695" t="str">
        <f t="shared" si="144"/>
        <v>08</v>
      </c>
      <c r="X1695" t="str">
        <f t="shared" si="145"/>
        <v>06</v>
      </c>
      <c r="Y1695" t="str">
        <f t="shared" si="146"/>
        <v>2006</v>
      </c>
      <c r="Z1695"/>
      <c r="AA1695" s="2">
        <f t="shared" si="147"/>
        <v>38952</v>
      </c>
      <c r="AB1695"/>
      <c r="AC1695"/>
    </row>
    <row r="1696" spans="21:29" ht="15">
      <c r="U1696" s="203" t="s">
        <v>10039</v>
      </c>
      <c r="V1696" t="str">
        <f t="shared" si="143"/>
        <v>24</v>
      </c>
      <c r="W1696" t="str">
        <f t="shared" si="144"/>
        <v>08</v>
      </c>
      <c r="X1696" t="str">
        <f t="shared" si="145"/>
        <v>06</v>
      </c>
      <c r="Y1696" t="str">
        <f t="shared" si="146"/>
        <v>2006</v>
      </c>
      <c r="Z1696"/>
      <c r="AA1696" s="2">
        <f t="shared" si="147"/>
        <v>38953</v>
      </c>
      <c r="AB1696"/>
      <c r="AC1696"/>
    </row>
    <row r="1697" spans="21:29" ht="15">
      <c r="U1697" s="203" t="s">
        <v>10040</v>
      </c>
      <c r="V1697" t="str">
        <f t="shared" si="143"/>
        <v>25</v>
      </c>
      <c r="W1697" t="str">
        <f t="shared" si="144"/>
        <v>08</v>
      </c>
      <c r="X1697" t="str">
        <f t="shared" si="145"/>
        <v>06</v>
      </c>
      <c r="Y1697" t="str">
        <f t="shared" si="146"/>
        <v>2006</v>
      </c>
      <c r="Z1697"/>
      <c r="AA1697" s="2">
        <f t="shared" si="147"/>
        <v>38954</v>
      </c>
      <c r="AB1697"/>
      <c r="AC1697"/>
    </row>
    <row r="1698" spans="21:29" ht="15">
      <c r="U1698" s="203" t="s">
        <v>10041</v>
      </c>
      <c r="V1698" t="str">
        <f t="shared" si="143"/>
        <v>26</v>
      </c>
      <c r="W1698" t="str">
        <f t="shared" si="144"/>
        <v>08</v>
      </c>
      <c r="X1698" t="str">
        <f t="shared" si="145"/>
        <v>06</v>
      </c>
      <c r="Y1698" t="str">
        <f t="shared" si="146"/>
        <v>2006</v>
      </c>
      <c r="Z1698"/>
      <c r="AA1698" s="2">
        <f t="shared" si="147"/>
        <v>38955</v>
      </c>
      <c r="AB1698"/>
      <c r="AC1698"/>
    </row>
    <row r="1699" spans="21:29" ht="15">
      <c r="U1699" s="203" t="s">
        <v>10042</v>
      </c>
      <c r="V1699" t="str">
        <f t="shared" si="143"/>
        <v>13</v>
      </c>
      <c r="W1699" t="str">
        <f t="shared" si="144"/>
        <v>10</v>
      </c>
      <c r="X1699" t="str">
        <f t="shared" si="145"/>
        <v>06</v>
      </c>
      <c r="Y1699" t="str">
        <f t="shared" si="146"/>
        <v>2006</v>
      </c>
      <c r="Z1699"/>
      <c r="AA1699" s="2">
        <f t="shared" si="147"/>
        <v>39003</v>
      </c>
      <c r="AB1699"/>
      <c r="AC1699"/>
    </row>
    <row r="1700" spans="21:29" ht="15">
      <c r="U1700" s="203" t="s">
        <v>10043</v>
      </c>
      <c r="V1700" t="str">
        <f t="shared" si="143"/>
        <v>16</v>
      </c>
      <c r="W1700" t="str">
        <f t="shared" si="144"/>
        <v>10</v>
      </c>
      <c r="X1700" t="str">
        <f t="shared" si="145"/>
        <v>06</v>
      </c>
      <c r="Y1700" t="str">
        <f t="shared" si="146"/>
        <v>2006</v>
      </c>
      <c r="Z1700"/>
      <c r="AA1700" s="2">
        <f t="shared" si="147"/>
        <v>39006</v>
      </c>
      <c r="AB1700"/>
      <c r="AC1700"/>
    </row>
    <row r="1701" spans="21:29" ht="15">
      <c r="U1701" s="203" t="s">
        <v>10044</v>
      </c>
      <c r="V1701" t="str">
        <f t="shared" si="143"/>
        <v>20</v>
      </c>
      <c r="W1701" t="str">
        <f t="shared" si="144"/>
        <v>10</v>
      </c>
      <c r="X1701" t="str">
        <f t="shared" si="145"/>
        <v>06</v>
      </c>
      <c r="Y1701" t="str">
        <f t="shared" si="146"/>
        <v>2006</v>
      </c>
      <c r="Z1701"/>
      <c r="AA1701" s="2">
        <f t="shared" si="147"/>
        <v>39010</v>
      </c>
      <c r="AB1701"/>
      <c r="AC1701"/>
    </row>
    <row r="1702" spans="21:29" ht="15">
      <c r="U1702" s="203" t="s">
        <v>10045</v>
      </c>
      <c r="V1702" t="str">
        <f t="shared" si="143"/>
        <v>21</v>
      </c>
      <c r="W1702" t="str">
        <f t="shared" si="144"/>
        <v>10</v>
      </c>
      <c r="X1702" t="str">
        <f t="shared" si="145"/>
        <v>06</v>
      </c>
      <c r="Y1702" t="str">
        <f t="shared" si="146"/>
        <v>2006</v>
      </c>
      <c r="Z1702"/>
      <c r="AA1702" s="2">
        <f t="shared" si="147"/>
        <v>39011</v>
      </c>
      <c r="AB1702"/>
      <c r="AC1702"/>
    </row>
    <row r="1703" spans="21:29" ht="15">
      <c r="U1703" s="203" t="s">
        <v>10045</v>
      </c>
      <c r="V1703" t="str">
        <f t="shared" si="143"/>
        <v>21</v>
      </c>
      <c r="W1703" t="str">
        <f t="shared" si="144"/>
        <v>10</v>
      </c>
      <c r="X1703" t="str">
        <f t="shared" si="145"/>
        <v>06</v>
      </c>
      <c r="Y1703" t="str">
        <f t="shared" si="146"/>
        <v>2006</v>
      </c>
      <c r="Z1703"/>
      <c r="AA1703" s="2">
        <f t="shared" si="147"/>
        <v>39011</v>
      </c>
      <c r="AB1703"/>
      <c r="AC1703"/>
    </row>
    <row r="1704" spans="21:29" ht="15">
      <c r="U1704" s="203" t="s">
        <v>10046</v>
      </c>
      <c r="V1704" t="str">
        <f t="shared" si="143"/>
        <v>31</v>
      </c>
      <c r="W1704" t="str">
        <f t="shared" si="144"/>
        <v>10</v>
      </c>
      <c r="X1704" t="str">
        <f t="shared" si="145"/>
        <v>06</v>
      </c>
      <c r="Y1704" t="str">
        <f t="shared" si="146"/>
        <v>2006</v>
      </c>
      <c r="Z1704"/>
      <c r="AA1704" s="2">
        <f t="shared" si="147"/>
        <v>39021</v>
      </c>
      <c r="AB1704"/>
      <c r="AC1704"/>
    </row>
    <row r="1705" spans="21:29" ht="15">
      <c r="U1705" s="203" t="s">
        <v>10046</v>
      </c>
      <c r="V1705" t="str">
        <f t="shared" si="143"/>
        <v>31</v>
      </c>
      <c r="W1705" t="str">
        <f t="shared" si="144"/>
        <v>10</v>
      </c>
      <c r="X1705" t="str">
        <f t="shared" si="145"/>
        <v>06</v>
      </c>
      <c r="Y1705" t="str">
        <f t="shared" si="146"/>
        <v>2006</v>
      </c>
      <c r="Z1705"/>
      <c r="AA1705" s="2">
        <f t="shared" si="147"/>
        <v>39021</v>
      </c>
      <c r="AB1705"/>
      <c r="AC1705"/>
    </row>
    <row r="1706" spans="21:29" ht="15">
      <c r="U1706" s="203" t="s">
        <v>10046</v>
      </c>
      <c r="V1706" t="str">
        <f t="shared" si="143"/>
        <v>31</v>
      </c>
      <c r="W1706" t="str">
        <f t="shared" si="144"/>
        <v>10</v>
      </c>
      <c r="X1706" t="str">
        <f t="shared" si="145"/>
        <v>06</v>
      </c>
      <c r="Y1706" t="str">
        <f t="shared" si="146"/>
        <v>2006</v>
      </c>
      <c r="Z1706"/>
      <c r="AA1706" s="2">
        <f t="shared" si="147"/>
        <v>39021</v>
      </c>
      <c r="AB1706"/>
      <c r="AC1706"/>
    </row>
    <row r="1707" spans="21:29" ht="15">
      <c r="U1707" s="203" t="s">
        <v>10046</v>
      </c>
      <c r="V1707" t="str">
        <f t="shared" si="143"/>
        <v>31</v>
      </c>
      <c r="W1707" t="str">
        <f t="shared" si="144"/>
        <v>10</v>
      </c>
      <c r="X1707" t="str">
        <f t="shared" si="145"/>
        <v>06</v>
      </c>
      <c r="Y1707" t="str">
        <f t="shared" si="146"/>
        <v>2006</v>
      </c>
      <c r="Z1707"/>
      <c r="AA1707" s="2">
        <f t="shared" si="147"/>
        <v>39021</v>
      </c>
      <c r="AB1707"/>
      <c r="AC1707"/>
    </row>
    <row r="1708" spans="21:29" ht="15">
      <c r="U1708" s="203" t="s">
        <v>10047</v>
      </c>
      <c r="V1708" t="str">
        <f t="shared" si="143"/>
        <v>16</v>
      </c>
      <c r="W1708" t="str">
        <f t="shared" si="144"/>
        <v>11</v>
      </c>
      <c r="X1708" t="str">
        <f t="shared" si="145"/>
        <v>06</v>
      </c>
      <c r="Y1708" t="str">
        <f t="shared" si="146"/>
        <v>2006</v>
      </c>
      <c r="Z1708"/>
      <c r="AA1708" s="2">
        <f t="shared" si="147"/>
        <v>39037</v>
      </c>
      <c r="AB1708"/>
      <c r="AC1708"/>
    </row>
    <row r="1709" spans="21:29" ht="15">
      <c r="U1709" s="203" t="s">
        <v>10048</v>
      </c>
      <c r="V1709" t="str">
        <f t="shared" si="143"/>
        <v>27</v>
      </c>
      <c r="W1709" t="str">
        <f t="shared" si="144"/>
        <v>11</v>
      </c>
      <c r="X1709" t="str">
        <f t="shared" si="145"/>
        <v>06</v>
      </c>
      <c r="Y1709" t="str">
        <f t="shared" si="146"/>
        <v>2006</v>
      </c>
      <c r="Z1709"/>
      <c r="AA1709" s="2">
        <f t="shared" si="147"/>
        <v>39048</v>
      </c>
      <c r="AB1709"/>
      <c r="AC1709"/>
    </row>
    <row r="1710" spans="21:29" ht="15">
      <c r="U1710" s="203" t="s">
        <v>10049</v>
      </c>
      <c r="V1710" t="str">
        <f t="shared" si="143"/>
        <v>29</v>
      </c>
      <c r="W1710" t="str">
        <f t="shared" si="144"/>
        <v>11</v>
      </c>
      <c r="X1710" t="str">
        <f t="shared" si="145"/>
        <v>06</v>
      </c>
      <c r="Y1710" t="str">
        <f t="shared" si="146"/>
        <v>2006</v>
      </c>
      <c r="Z1710"/>
      <c r="AA1710" s="2">
        <f t="shared" si="147"/>
        <v>39050</v>
      </c>
      <c r="AB1710"/>
      <c r="AC1710"/>
    </row>
    <row r="1711" spans="21:29" ht="15">
      <c r="U1711" s="203" t="s">
        <v>10050</v>
      </c>
      <c r="V1711" t="str">
        <f t="shared" si="143"/>
        <v>18</v>
      </c>
      <c r="W1711" t="str">
        <f t="shared" si="144"/>
        <v>12</v>
      </c>
      <c r="X1711" t="str">
        <f t="shared" si="145"/>
        <v>06</v>
      </c>
      <c r="Y1711" t="str">
        <f t="shared" si="146"/>
        <v>2006</v>
      </c>
      <c r="Z1711"/>
      <c r="AA1711" s="2">
        <f t="shared" si="147"/>
        <v>39069</v>
      </c>
      <c r="AB1711"/>
      <c r="AC1711"/>
    </row>
    <row r="1712" spans="21:29" ht="15">
      <c r="U1712" s="203" t="s">
        <v>10051</v>
      </c>
      <c r="V1712" t="str">
        <f t="shared" si="143"/>
        <v>23</v>
      </c>
      <c r="W1712" t="str">
        <f t="shared" si="144"/>
        <v>12</v>
      </c>
      <c r="X1712" t="str">
        <f t="shared" si="145"/>
        <v>06</v>
      </c>
      <c r="Y1712" t="str">
        <f t="shared" si="146"/>
        <v>2006</v>
      </c>
      <c r="Z1712"/>
      <c r="AA1712" s="2">
        <f t="shared" si="147"/>
        <v>39074</v>
      </c>
      <c r="AB1712"/>
      <c r="AC1712"/>
    </row>
    <row r="1713" spans="21:29" ht="15">
      <c r="U1713" s="203" t="s">
        <v>10052</v>
      </c>
      <c r="V1713" t="str">
        <f t="shared" si="143"/>
        <v>27</v>
      </c>
      <c r="W1713" t="str">
        <f t="shared" si="144"/>
        <v>12</v>
      </c>
      <c r="X1713" t="str">
        <f t="shared" si="145"/>
        <v>06</v>
      </c>
      <c r="Y1713" t="str">
        <f t="shared" si="146"/>
        <v>2006</v>
      </c>
      <c r="Z1713"/>
      <c r="AA1713" s="2">
        <f t="shared" si="147"/>
        <v>39078</v>
      </c>
      <c r="AB1713"/>
      <c r="AC1713"/>
    </row>
    <row r="1714" spans="21:29" ht="15">
      <c r="U1714" s="203">
        <v>39083</v>
      </c>
      <c r="V1714" t="str">
        <f>LEFT(AB1714,2)</f>
        <v>01</v>
      </c>
      <c r="W1714" t="str">
        <f>MID(AB1714,4,2)</f>
        <v>01</v>
      </c>
      <c r="X1714" t="str">
        <f>RIGHT(AB1714,2)</f>
        <v>07</v>
      </c>
      <c r="Y1714" t="str">
        <f t="shared" si="146"/>
        <v>2007</v>
      </c>
      <c r="Z1714"/>
      <c r="AA1714" s="2">
        <f t="shared" si="147"/>
        <v>39083</v>
      </c>
      <c r="AB1714" t="str">
        <f>TEXT(U1714, "mm/dd/yyyy")</f>
        <v>01/01/2007</v>
      </c>
      <c r="AC1714" t="e">
        <f>_xlfn.VALUETOTEXT(U1714, "date")</f>
        <v>#VALUE!</v>
      </c>
    </row>
    <row r="1715" spans="21:29" ht="15">
      <c r="U1715" s="203">
        <v>39142</v>
      </c>
      <c r="V1715" t="str">
        <f t="shared" ref="V1715:V1721" si="148">LEFT(AB1715,2)</f>
        <v>03</v>
      </c>
      <c r="W1715" t="str">
        <f t="shared" ref="W1715:W1721" si="149">MID(AB1715,4,2)</f>
        <v>01</v>
      </c>
      <c r="X1715" t="str">
        <f t="shared" ref="X1715:X1721" si="150">RIGHT(AB1715,2)</f>
        <v>07</v>
      </c>
      <c r="Y1715" t="str">
        <f t="shared" si="146"/>
        <v>2007</v>
      </c>
      <c r="Z1715"/>
      <c r="AA1715" s="2">
        <f t="shared" si="147"/>
        <v>39085</v>
      </c>
      <c r="AB1715" t="str">
        <f t="shared" ref="AB1715:AB1721" si="151">TEXT(U1715, "mm/dd/yyyy")</f>
        <v>03/01/2007</v>
      </c>
      <c r="AC1715"/>
    </row>
    <row r="1716" spans="21:29" ht="15">
      <c r="U1716" s="203">
        <v>39173</v>
      </c>
      <c r="V1716" t="str">
        <f t="shared" si="148"/>
        <v>04</v>
      </c>
      <c r="W1716" t="str">
        <f t="shared" si="149"/>
        <v>01</v>
      </c>
      <c r="X1716" t="str">
        <f t="shared" si="150"/>
        <v>07</v>
      </c>
      <c r="Y1716" t="str">
        <f t="shared" si="146"/>
        <v>2007</v>
      </c>
      <c r="Z1716"/>
      <c r="AA1716" s="2">
        <f t="shared" si="147"/>
        <v>39086</v>
      </c>
      <c r="AB1716" t="str">
        <f t="shared" si="151"/>
        <v>04/01/2007</v>
      </c>
      <c r="AC1716"/>
    </row>
    <row r="1717" spans="21:29" ht="15">
      <c r="U1717" s="203">
        <v>39173</v>
      </c>
      <c r="V1717" t="str">
        <f t="shared" si="148"/>
        <v>04</v>
      </c>
      <c r="W1717" t="str">
        <f t="shared" si="149"/>
        <v>01</v>
      </c>
      <c r="X1717" t="str">
        <f t="shared" si="150"/>
        <v>07</v>
      </c>
      <c r="Y1717" t="str">
        <f t="shared" si="146"/>
        <v>2007</v>
      </c>
      <c r="Z1717"/>
      <c r="AA1717" s="2">
        <f t="shared" si="147"/>
        <v>39086</v>
      </c>
      <c r="AB1717" t="str">
        <f t="shared" si="151"/>
        <v>04/01/2007</v>
      </c>
      <c r="AC1717"/>
    </row>
    <row r="1718" spans="21:29" ht="15">
      <c r="U1718" s="203">
        <v>39295</v>
      </c>
      <c r="V1718" t="str">
        <f t="shared" si="148"/>
        <v>08</v>
      </c>
      <c r="W1718" t="str">
        <f t="shared" si="149"/>
        <v>01</v>
      </c>
      <c r="X1718" t="str">
        <f t="shared" si="150"/>
        <v>07</v>
      </c>
      <c r="Y1718" t="str">
        <f t="shared" si="146"/>
        <v>2007</v>
      </c>
      <c r="Z1718"/>
      <c r="AA1718" s="2">
        <f t="shared" si="147"/>
        <v>39090</v>
      </c>
      <c r="AB1718" t="str">
        <f t="shared" si="151"/>
        <v>08/01/2007</v>
      </c>
      <c r="AC1718"/>
    </row>
    <row r="1719" spans="21:29" ht="15">
      <c r="U1719" s="203">
        <v>39387</v>
      </c>
      <c r="V1719" t="str">
        <f t="shared" si="148"/>
        <v>11</v>
      </c>
      <c r="W1719" t="str">
        <f t="shared" si="149"/>
        <v>01</v>
      </c>
      <c r="X1719" t="str">
        <f t="shared" si="150"/>
        <v>07</v>
      </c>
      <c r="Y1719" t="str">
        <f t="shared" si="146"/>
        <v>2007</v>
      </c>
      <c r="Z1719"/>
      <c r="AA1719" s="2">
        <f t="shared" si="147"/>
        <v>39093</v>
      </c>
      <c r="AB1719" t="str">
        <f t="shared" si="151"/>
        <v>11/01/2007</v>
      </c>
      <c r="AC1719"/>
    </row>
    <row r="1720" spans="21:29" ht="15">
      <c r="U1720" s="203">
        <v>39387</v>
      </c>
      <c r="V1720" t="str">
        <f t="shared" si="148"/>
        <v>11</v>
      </c>
      <c r="W1720" t="str">
        <f t="shared" si="149"/>
        <v>01</v>
      </c>
      <c r="X1720" t="str">
        <f t="shared" si="150"/>
        <v>07</v>
      </c>
      <c r="Y1720" t="str">
        <f t="shared" si="146"/>
        <v>2007</v>
      </c>
      <c r="Z1720"/>
      <c r="AA1720" s="2">
        <f t="shared" si="147"/>
        <v>39093</v>
      </c>
      <c r="AB1720" t="str">
        <f t="shared" si="151"/>
        <v>11/01/2007</v>
      </c>
      <c r="AC1720"/>
    </row>
    <row r="1721" spans="21:29" ht="15">
      <c r="U1721" s="203">
        <v>39387</v>
      </c>
      <c r="V1721" t="str">
        <f t="shared" si="148"/>
        <v>11</v>
      </c>
      <c r="W1721" t="str">
        <f t="shared" si="149"/>
        <v>01</v>
      </c>
      <c r="X1721" t="str">
        <f t="shared" si="150"/>
        <v>07</v>
      </c>
      <c r="Y1721" t="str">
        <f t="shared" si="146"/>
        <v>2007</v>
      </c>
      <c r="Z1721"/>
      <c r="AA1721" s="2">
        <f t="shared" si="147"/>
        <v>39093</v>
      </c>
      <c r="AB1721" t="str">
        <f t="shared" si="151"/>
        <v>11/01/2007</v>
      </c>
      <c r="AC1721"/>
    </row>
    <row r="1722" spans="21:29" ht="15">
      <c r="U1722" s="203" t="s">
        <v>10053</v>
      </c>
      <c r="V1722" t="str">
        <f t="shared" si="143"/>
        <v>15</v>
      </c>
      <c r="W1722" t="str">
        <f t="shared" ref="W1722:W1727" si="152">MID(U1722,4,2)</f>
        <v>01</v>
      </c>
      <c r="X1722" t="str">
        <f t="shared" ref="X1722:X1727" si="153">RIGHT(U1722,2)</f>
        <v>07</v>
      </c>
      <c r="Y1722" t="str">
        <f t="shared" si="146"/>
        <v>2007</v>
      </c>
      <c r="Z1722"/>
      <c r="AA1722" s="2">
        <f t="shared" si="147"/>
        <v>39097</v>
      </c>
      <c r="AB1722"/>
      <c r="AC1722"/>
    </row>
    <row r="1723" spans="21:29" ht="15">
      <c r="U1723" s="203" t="s">
        <v>10054</v>
      </c>
      <c r="V1723" t="str">
        <f t="shared" si="143"/>
        <v>24</v>
      </c>
      <c r="W1723" t="str">
        <f t="shared" si="152"/>
        <v>01</v>
      </c>
      <c r="X1723" t="str">
        <f t="shared" si="153"/>
        <v>07</v>
      </c>
      <c r="Y1723" t="str">
        <f t="shared" si="146"/>
        <v>2007</v>
      </c>
      <c r="Z1723"/>
      <c r="AA1723" s="2">
        <f t="shared" si="147"/>
        <v>39106</v>
      </c>
      <c r="AB1723"/>
      <c r="AC1723"/>
    </row>
    <row r="1724" spans="21:29" ht="15">
      <c r="U1724" s="203" t="s">
        <v>10054</v>
      </c>
      <c r="V1724" t="str">
        <f t="shared" si="143"/>
        <v>24</v>
      </c>
      <c r="W1724" t="str">
        <f t="shared" si="152"/>
        <v>01</v>
      </c>
      <c r="X1724" t="str">
        <f t="shared" si="153"/>
        <v>07</v>
      </c>
      <c r="Y1724" t="str">
        <f t="shared" si="146"/>
        <v>2007</v>
      </c>
      <c r="Z1724"/>
      <c r="AA1724" s="2">
        <f t="shared" si="147"/>
        <v>39106</v>
      </c>
      <c r="AB1724"/>
      <c r="AC1724"/>
    </row>
    <row r="1725" spans="21:29" ht="15">
      <c r="U1725" s="203" t="s">
        <v>10055</v>
      </c>
      <c r="V1725" t="str">
        <f t="shared" si="143"/>
        <v>25</v>
      </c>
      <c r="W1725" t="str">
        <f t="shared" si="152"/>
        <v>01</v>
      </c>
      <c r="X1725" t="str">
        <f t="shared" si="153"/>
        <v>07</v>
      </c>
      <c r="Y1725" t="str">
        <f t="shared" si="146"/>
        <v>2007</v>
      </c>
      <c r="Z1725"/>
      <c r="AA1725" s="2">
        <f t="shared" si="147"/>
        <v>39107</v>
      </c>
      <c r="AB1725"/>
      <c r="AC1725"/>
    </row>
    <row r="1726" spans="21:29" ht="15">
      <c r="U1726" s="203" t="s">
        <v>10056</v>
      </c>
      <c r="V1726" t="str">
        <f t="shared" si="143"/>
        <v>27</v>
      </c>
      <c r="W1726" t="str">
        <f t="shared" si="152"/>
        <v>01</v>
      </c>
      <c r="X1726" t="str">
        <f t="shared" si="153"/>
        <v>07</v>
      </c>
      <c r="Y1726" t="str">
        <f t="shared" si="146"/>
        <v>2007</v>
      </c>
      <c r="Z1726"/>
      <c r="AA1726" s="2">
        <f t="shared" si="147"/>
        <v>39109</v>
      </c>
      <c r="AB1726"/>
      <c r="AC1726"/>
    </row>
    <row r="1727" spans="21:29" ht="15">
      <c r="U1727" s="203" t="s">
        <v>10057</v>
      </c>
      <c r="V1727" t="str">
        <f t="shared" si="143"/>
        <v>29</v>
      </c>
      <c r="W1727" t="str">
        <f t="shared" si="152"/>
        <v>01</v>
      </c>
      <c r="X1727" t="str">
        <f t="shared" si="153"/>
        <v>07</v>
      </c>
      <c r="Y1727" t="str">
        <f t="shared" si="146"/>
        <v>2007</v>
      </c>
      <c r="Z1727"/>
      <c r="AA1727" s="2">
        <f t="shared" si="147"/>
        <v>39111</v>
      </c>
      <c r="AB1727"/>
      <c r="AC1727"/>
    </row>
    <row r="1728" spans="21:29" ht="15">
      <c r="U1728" s="203">
        <v>39084</v>
      </c>
      <c r="V1728" t="str">
        <f>LEFT(AB1728,2)</f>
        <v>01</v>
      </c>
      <c r="W1728" t="str">
        <f>MID(AB1728,4,2)</f>
        <v>02</v>
      </c>
      <c r="X1728" t="str">
        <f>RIGHT(AB1728,2)</f>
        <v>07</v>
      </c>
      <c r="Y1728" t="str">
        <f t="shared" si="146"/>
        <v>2007</v>
      </c>
      <c r="Z1728"/>
      <c r="AA1728" s="2">
        <f t="shared" si="147"/>
        <v>39114</v>
      </c>
      <c r="AB1728" t="str">
        <f>TEXT(U1728, "mm/dd/yyyy")</f>
        <v>01/02/2007</v>
      </c>
      <c r="AC1728"/>
    </row>
    <row r="1729" spans="21:29" ht="15">
      <c r="U1729" s="203">
        <v>39143</v>
      </c>
      <c r="V1729" t="str">
        <f t="shared" ref="V1729:V1732" si="154">LEFT(AB1729,2)</f>
        <v>03</v>
      </c>
      <c r="W1729" t="str">
        <f t="shared" ref="W1729:W1732" si="155">MID(AB1729,4,2)</f>
        <v>02</v>
      </c>
      <c r="X1729" t="str">
        <f t="shared" ref="X1729:X1732" si="156">RIGHT(AB1729,2)</f>
        <v>07</v>
      </c>
      <c r="Y1729" t="str">
        <f t="shared" si="146"/>
        <v>2007</v>
      </c>
      <c r="Z1729"/>
      <c r="AA1729" s="2">
        <f t="shared" si="147"/>
        <v>39116</v>
      </c>
      <c r="AB1729" t="str">
        <f t="shared" ref="AB1729:AB1732" si="157">TEXT(U1729, "mm/dd/yyyy")</f>
        <v>03/02/2007</v>
      </c>
      <c r="AC1729"/>
    </row>
    <row r="1730" spans="21:29" ht="15">
      <c r="U1730" s="203">
        <v>39204</v>
      </c>
      <c r="V1730" t="str">
        <f t="shared" si="154"/>
        <v>05</v>
      </c>
      <c r="W1730" t="str">
        <f t="shared" si="155"/>
        <v>02</v>
      </c>
      <c r="X1730" t="str">
        <f t="shared" si="156"/>
        <v>07</v>
      </c>
      <c r="Y1730" t="str">
        <f t="shared" si="146"/>
        <v>2007</v>
      </c>
      <c r="Z1730"/>
      <c r="AA1730" s="2">
        <f t="shared" si="147"/>
        <v>39118</v>
      </c>
      <c r="AB1730" t="str">
        <f t="shared" si="157"/>
        <v>05/02/2007</v>
      </c>
      <c r="AC1730"/>
    </row>
    <row r="1731" spans="21:29" ht="15">
      <c r="U1731" s="203">
        <v>39296</v>
      </c>
      <c r="V1731" t="str">
        <f t="shared" si="154"/>
        <v>08</v>
      </c>
      <c r="W1731" t="str">
        <f t="shared" si="155"/>
        <v>02</v>
      </c>
      <c r="X1731" t="str">
        <f t="shared" si="156"/>
        <v>07</v>
      </c>
      <c r="Y1731" t="str">
        <f t="shared" ref="Y1731:Y1794" si="158">"20" &amp; X1731</f>
        <v>2007</v>
      </c>
      <c r="Z1731"/>
      <c r="AA1731" s="2">
        <f t="shared" si="147"/>
        <v>39121</v>
      </c>
      <c r="AB1731" t="str">
        <f t="shared" si="157"/>
        <v>08/02/2007</v>
      </c>
      <c r="AC1731"/>
    </row>
    <row r="1732" spans="21:29" ht="15">
      <c r="U1732" s="203">
        <v>39418</v>
      </c>
      <c r="V1732" t="str">
        <f t="shared" si="154"/>
        <v>12</v>
      </c>
      <c r="W1732" t="str">
        <f t="shared" si="155"/>
        <v>02</v>
      </c>
      <c r="X1732" t="str">
        <f t="shared" si="156"/>
        <v>07</v>
      </c>
      <c r="Y1732" t="str">
        <f t="shared" si="158"/>
        <v>2007</v>
      </c>
      <c r="Z1732"/>
      <c r="AA1732" s="2">
        <f t="shared" si="147"/>
        <v>39125</v>
      </c>
      <c r="AB1732" t="str">
        <f t="shared" si="157"/>
        <v>12/02/2007</v>
      </c>
      <c r="AC1732"/>
    </row>
    <row r="1733" spans="21:29" ht="15">
      <c r="U1733" s="203" t="s">
        <v>10058</v>
      </c>
      <c r="V1733" t="str">
        <f t="shared" ref="V1733:V1736" si="159">LEFT(U1733,2)</f>
        <v>13</v>
      </c>
      <c r="W1733" t="str">
        <f t="shared" ref="W1733:W1736" si="160">MID(U1733,4,2)</f>
        <v>02</v>
      </c>
      <c r="X1733" t="str">
        <f t="shared" ref="X1733:X1736" si="161">RIGHT(U1733,2)</f>
        <v>07</v>
      </c>
      <c r="Y1733" t="str">
        <f t="shared" si="158"/>
        <v>2007</v>
      </c>
      <c r="Z1733"/>
      <c r="AA1733" s="2">
        <f t="shared" si="147"/>
        <v>39126</v>
      </c>
      <c r="AB1733"/>
      <c r="AC1733"/>
    </row>
    <row r="1734" spans="21:29" ht="15">
      <c r="U1734" s="203" t="s">
        <v>10059</v>
      </c>
      <c r="V1734" t="str">
        <f t="shared" si="159"/>
        <v>14</v>
      </c>
      <c r="W1734" t="str">
        <f t="shared" si="160"/>
        <v>02</v>
      </c>
      <c r="X1734" t="str">
        <f t="shared" si="161"/>
        <v>07</v>
      </c>
      <c r="Y1734" t="str">
        <f t="shared" si="158"/>
        <v>2007</v>
      </c>
      <c r="Z1734"/>
      <c r="AA1734" s="2">
        <f t="shared" si="147"/>
        <v>39127</v>
      </c>
      <c r="AB1734"/>
      <c r="AC1734"/>
    </row>
    <row r="1735" spans="21:29" ht="15">
      <c r="U1735" s="203" t="s">
        <v>10060</v>
      </c>
      <c r="V1735" t="str">
        <f t="shared" si="159"/>
        <v>22</v>
      </c>
      <c r="W1735" t="str">
        <f t="shared" si="160"/>
        <v>02</v>
      </c>
      <c r="X1735" t="str">
        <f t="shared" si="161"/>
        <v>07</v>
      </c>
      <c r="Y1735" t="str">
        <f t="shared" si="158"/>
        <v>2007</v>
      </c>
      <c r="Z1735"/>
      <c r="AA1735" s="2">
        <f t="shared" si="147"/>
        <v>39135</v>
      </c>
      <c r="AB1735"/>
      <c r="AC1735"/>
    </row>
    <row r="1736" spans="21:29" ht="15">
      <c r="U1736" s="203" t="s">
        <v>10061</v>
      </c>
      <c r="V1736" t="str">
        <f t="shared" si="159"/>
        <v>26</v>
      </c>
      <c r="W1736" t="str">
        <f t="shared" si="160"/>
        <v>02</v>
      </c>
      <c r="X1736" t="str">
        <f t="shared" si="161"/>
        <v>07</v>
      </c>
      <c r="Y1736" t="str">
        <f t="shared" si="158"/>
        <v>2007</v>
      </c>
      <c r="Z1736"/>
      <c r="AA1736" s="2">
        <f t="shared" ref="AA1736:AA1799" si="162">DATE(Y1736,W1736,V1736)</f>
        <v>39139</v>
      </c>
      <c r="AB1736"/>
      <c r="AC1736"/>
    </row>
    <row r="1737" spans="21:29" ht="15">
      <c r="U1737" s="203">
        <v>39085</v>
      </c>
      <c r="V1737" t="str">
        <f t="shared" ref="V1737:V1744" si="163">LEFT(AB1737,2)</f>
        <v>01</v>
      </c>
      <c r="W1737" t="str">
        <f t="shared" ref="W1737:W1744" si="164">MID(AB1737,4,2)</f>
        <v>03</v>
      </c>
      <c r="X1737" t="str">
        <f t="shared" ref="X1737:X1744" si="165">RIGHT(AB1737,2)</f>
        <v>07</v>
      </c>
      <c r="Y1737" t="str">
        <f t="shared" si="158"/>
        <v>2007</v>
      </c>
      <c r="Z1737"/>
      <c r="AA1737" s="2">
        <f t="shared" si="162"/>
        <v>39142</v>
      </c>
      <c r="AB1737" t="str">
        <f t="shared" ref="AB1737:AB1744" si="166">TEXT(U1737, "mm/dd/yyyy")</f>
        <v>01/03/2007</v>
      </c>
      <c r="AC1737"/>
    </row>
    <row r="1738" spans="21:29" ht="15">
      <c r="U1738" s="203">
        <v>39116</v>
      </c>
      <c r="V1738" t="str">
        <f t="shared" si="163"/>
        <v>02</v>
      </c>
      <c r="W1738" t="str">
        <f t="shared" si="164"/>
        <v>03</v>
      </c>
      <c r="X1738" t="str">
        <f t="shared" si="165"/>
        <v>07</v>
      </c>
      <c r="Y1738" t="str">
        <f t="shared" si="158"/>
        <v>2007</v>
      </c>
      <c r="Z1738"/>
      <c r="AA1738" s="2">
        <f t="shared" si="162"/>
        <v>39143</v>
      </c>
      <c r="AB1738" t="str">
        <f t="shared" si="166"/>
        <v>02/03/2007</v>
      </c>
      <c r="AC1738"/>
    </row>
    <row r="1739" spans="21:29" ht="15">
      <c r="U1739" s="203">
        <v>39144</v>
      </c>
      <c r="V1739" t="str">
        <f t="shared" si="163"/>
        <v>03</v>
      </c>
      <c r="W1739" t="str">
        <f t="shared" si="164"/>
        <v>03</v>
      </c>
      <c r="X1739" t="str">
        <f t="shared" si="165"/>
        <v>07</v>
      </c>
      <c r="Y1739" t="str">
        <f t="shared" si="158"/>
        <v>2007</v>
      </c>
      <c r="Z1739"/>
      <c r="AA1739" s="2">
        <f t="shared" si="162"/>
        <v>39144</v>
      </c>
      <c r="AB1739" t="str">
        <f t="shared" si="166"/>
        <v>03/03/2007</v>
      </c>
      <c r="AC1739"/>
    </row>
    <row r="1740" spans="21:29" ht="15">
      <c r="U1740" s="203">
        <v>39144</v>
      </c>
      <c r="V1740" t="str">
        <f t="shared" si="163"/>
        <v>03</v>
      </c>
      <c r="W1740" t="str">
        <f t="shared" si="164"/>
        <v>03</v>
      </c>
      <c r="X1740" t="str">
        <f t="shared" si="165"/>
        <v>07</v>
      </c>
      <c r="Y1740" t="str">
        <f t="shared" si="158"/>
        <v>2007</v>
      </c>
      <c r="Z1740"/>
      <c r="AA1740" s="2">
        <f t="shared" si="162"/>
        <v>39144</v>
      </c>
      <c r="AB1740" t="str">
        <f t="shared" si="166"/>
        <v>03/03/2007</v>
      </c>
      <c r="AC1740"/>
    </row>
    <row r="1741" spans="21:29" ht="15">
      <c r="U1741" s="203">
        <v>39236</v>
      </c>
      <c r="V1741" t="str">
        <f t="shared" si="163"/>
        <v>06</v>
      </c>
      <c r="W1741" t="str">
        <f t="shared" si="164"/>
        <v>03</v>
      </c>
      <c r="X1741" t="str">
        <f t="shared" si="165"/>
        <v>07</v>
      </c>
      <c r="Y1741" t="str">
        <f t="shared" si="158"/>
        <v>2007</v>
      </c>
      <c r="Z1741"/>
      <c r="AA1741" s="2">
        <f t="shared" si="162"/>
        <v>39147</v>
      </c>
      <c r="AB1741" t="str">
        <f t="shared" si="166"/>
        <v>06/03/2007</v>
      </c>
      <c r="AC1741"/>
    </row>
    <row r="1742" spans="21:29" ht="15">
      <c r="U1742" s="203">
        <v>39297</v>
      </c>
      <c r="V1742" t="str">
        <f t="shared" si="163"/>
        <v>08</v>
      </c>
      <c r="W1742" t="str">
        <f t="shared" si="164"/>
        <v>03</v>
      </c>
      <c r="X1742" t="str">
        <f t="shared" si="165"/>
        <v>07</v>
      </c>
      <c r="Y1742" t="str">
        <f t="shared" si="158"/>
        <v>2007</v>
      </c>
      <c r="Z1742"/>
      <c r="AA1742" s="2">
        <f t="shared" si="162"/>
        <v>39149</v>
      </c>
      <c r="AB1742" t="str">
        <f t="shared" si="166"/>
        <v>08/03/2007</v>
      </c>
      <c r="AC1742"/>
    </row>
    <row r="1743" spans="21:29" ht="15">
      <c r="U1743" s="203">
        <v>39419</v>
      </c>
      <c r="V1743" t="str">
        <f t="shared" si="163"/>
        <v>12</v>
      </c>
      <c r="W1743" t="str">
        <f t="shared" si="164"/>
        <v>03</v>
      </c>
      <c r="X1743" t="str">
        <f t="shared" si="165"/>
        <v>07</v>
      </c>
      <c r="Y1743" t="str">
        <f t="shared" si="158"/>
        <v>2007</v>
      </c>
      <c r="Z1743"/>
      <c r="AA1743" s="2">
        <f t="shared" si="162"/>
        <v>39153</v>
      </c>
      <c r="AB1743" t="str">
        <f t="shared" si="166"/>
        <v>12/03/2007</v>
      </c>
      <c r="AC1743"/>
    </row>
    <row r="1744" spans="21:29" ht="15">
      <c r="U1744" s="203">
        <v>39419</v>
      </c>
      <c r="V1744" t="str">
        <f t="shared" si="163"/>
        <v>12</v>
      </c>
      <c r="W1744" t="str">
        <f t="shared" si="164"/>
        <v>03</v>
      </c>
      <c r="X1744" t="str">
        <f t="shared" si="165"/>
        <v>07</v>
      </c>
      <c r="Y1744" t="str">
        <f t="shared" si="158"/>
        <v>2007</v>
      </c>
      <c r="Z1744"/>
      <c r="AA1744" s="2">
        <f t="shared" si="162"/>
        <v>39153</v>
      </c>
      <c r="AB1744" t="str">
        <f t="shared" si="166"/>
        <v>12/03/2007</v>
      </c>
      <c r="AC1744"/>
    </row>
    <row r="1745" spans="21:29" ht="15">
      <c r="U1745" s="203" t="s">
        <v>10062</v>
      </c>
      <c r="V1745" t="str">
        <f t="shared" ref="V1745:V1751" si="167">LEFT(U1745,2)</f>
        <v>15</v>
      </c>
      <c r="W1745" t="str">
        <f t="shared" ref="W1745:W1751" si="168">MID(U1745,4,2)</f>
        <v>03</v>
      </c>
      <c r="X1745" t="str">
        <f t="shared" ref="X1745:X1751" si="169">RIGHT(U1745,2)</f>
        <v>07</v>
      </c>
      <c r="Y1745" t="str">
        <f t="shared" si="158"/>
        <v>2007</v>
      </c>
      <c r="Z1745"/>
      <c r="AA1745" s="2">
        <f t="shared" si="162"/>
        <v>39156</v>
      </c>
      <c r="AB1745"/>
      <c r="AC1745"/>
    </row>
    <row r="1746" spans="21:29" ht="15">
      <c r="U1746" s="203" t="s">
        <v>10063</v>
      </c>
      <c r="V1746" t="str">
        <f t="shared" si="167"/>
        <v>16</v>
      </c>
      <c r="W1746" t="str">
        <f t="shared" si="168"/>
        <v>03</v>
      </c>
      <c r="X1746" t="str">
        <f t="shared" si="169"/>
        <v>07</v>
      </c>
      <c r="Y1746" t="str">
        <f t="shared" si="158"/>
        <v>2007</v>
      </c>
      <c r="Z1746"/>
      <c r="AA1746" s="2">
        <f t="shared" si="162"/>
        <v>39157</v>
      </c>
      <c r="AB1746"/>
      <c r="AC1746"/>
    </row>
    <row r="1747" spans="21:29" ht="15">
      <c r="U1747" s="203" t="s">
        <v>10064</v>
      </c>
      <c r="V1747" t="str">
        <f t="shared" si="167"/>
        <v>23</v>
      </c>
      <c r="W1747" t="str">
        <f t="shared" si="168"/>
        <v>03</v>
      </c>
      <c r="X1747" t="str">
        <f t="shared" si="169"/>
        <v>07</v>
      </c>
      <c r="Y1747" t="str">
        <f t="shared" si="158"/>
        <v>2007</v>
      </c>
      <c r="Z1747"/>
      <c r="AA1747" s="2">
        <f t="shared" si="162"/>
        <v>39164</v>
      </c>
      <c r="AB1747"/>
      <c r="AC1747"/>
    </row>
    <row r="1748" spans="21:29" ht="15">
      <c r="U1748" s="203" t="s">
        <v>10065</v>
      </c>
      <c r="V1748" t="str">
        <f t="shared" si="167"/>
        <v>26</v>
      </c>
      <c r="W1748" t="str">
        <f t="shared" si="168"/>
        <v>03</v>
      </c>
      <c r="X1748" t="str">
        <f t="shared" si="169"/>
        <v>07</v>
      </c>
      <c r="Y1748" t="str">
        <f t="shared" si="158"/>
        <v>2007</v>
      </c>
      <c r="Z1748"/>
      <c r="AA1748" s="2">
        <f t="shared" si="162"/>
        <v>39167</v>
      </c>
      <c r="AB1748"/>
      <c r="AC1748"/>
    </row>
    <row r="1749" spans="21:29" ht="15">
      <c r="U1749" s="203" t="s">
        <v>10065</v>
      </c>
      <c r="V1749" t="str">
        <f t="shared" si="167"/>
        <v>26</v>
      </c>
      <c r="W1749" t="str">
        <f t="shared" si="168"/>
        <v>03</v>
      </c>
      <c r="X1749" t="str">
        <f t="shared" si="169"/>
        <v>07</v>
      </c>
      <c r="Y1749" t="str">
        <f t="shared" si="158"/>
        <v>2007</v>
      </c>
      <c r="Z1749"/>
      <c r="AA1749" s="2">
        <f t="shared" si="162"/>
        <v>39167</v>
      </c>
      <c r="AB1749"/>
      <c r="AC1749"/>
    </row>
    <row r="1750" spans="21:29" ht="15">
      <c r="U1750" s="203" t="s">
        <v>10066</v>
      </c>
      <c r="V1750" t="str">
        <f t="shared" si="167"/>
        <v>30</v>
      </c>
      <c r="W1750" t="str">
        <f t="shared" si="168"/>
        <v>03</v>
      </c>
      <c r="X1750" t="str">
        <f t="shared" si="169"/>
        <v>07</v>
      </c>
      <c r="Y1750" t="str">
        <f t="shared" si="158"/>
        <v>2007</v>
      </c>
      <c r="Z1750"/>
      <c r="AA1750" s="2">
        <f t="shared" si="162"/>
        <v>39171</v>
      </c>
      <c r="AB1750"/>
      <c r="AC1750"/>
    </row>
    <row r="1751" spans="21:29" ht="15">
      <c r="U1751" s="203" t="s">
        <v>10067</v>
      </c>
      <c r="V1751" t="str">
        <f t="shared" si="167"/>
        <v>31</v>
      </c>
      <c r="W1751" t="str">
        <f t="shared" si="168"/>
        <v>03</v>
      </c>
      <c r="X1751" t="str">
        <f t="shared" si="169"/>
        <v>07</v>
      </c>
      <c r="Y1751" t="str">
        <f t="shared" si="158"/>
        <v>2007</v>
      </c>
      <c r="Z1751"/>
      <c r="AA1751" s="2">
        <f t="shared" si="162"/>
        <v>39172</v>
      </c>
      <c r="AB1751"/>
      <c r="AC1751"/>
    </row>
    <row r="1752" spans="21:29" ht="15">
      <c r="U1752" s="203">
        <v>39086</v>
      </c>
      <c r="V1752" t="str">
        <f t="shared" ref="V1752:V1784" si="170">LEFT(AB1752,2)</f>
        <v>01</v>
      </c>
      <c r="W1752" t="str">
        <f t="shared" ref="W1752:W1784" si="171">MID(AB1752,4,2)</f>
        <v>04</v>
      </c>
      <c r="X1752" t="str">
        <f t="shared" ref="X1752:X1784" si="172">RIGHT(AB1752,2)</f>
        <v>07</v>
      </c>
      <c r="Y1752" t="str">
        <f t="shared" si="158"/>
        <v>2007</v>
      </c>
      <c r="Z1752"/>
      <c r="AA1752" s="2">
        <f t="shared" si="162"/>
        <v>39173</v>
      </c>
      <c r="AB1752" t="str">
        <f t="shared" ref="AB1752:AB1784" si="173">TEXT(U1752, "mm/dd/yyyy")</f>
        <v>01/04/2007</v>
      </c>
      <c r="AC1752"/>
    </row>
    <row r="1753" spans="21:29" ht="15">
      <c r="U1753" s="203">
        <v>39145</v>
      </c>
      <c r="V1753" t="str">
        <f t="shared" si="170"/>
        <v>03</v>
      </c>
      <c r="W1753" t="str">
        <f t="shared" si="171"/>
        <v>04</v>
      </c>
      <c r="X1753" t="str">
        <f t="shared" si="172"/>
        <v>07</v>
      </c>
      <c r="Y1753" t="str">
        <f t="shared" si="158"/>
        <v>2007</v>
      </c>
      <c r="Z1753"/>
      <c r="AA1753" s="2">
        <f t="shared" si="162"/>
        <v>39175</v>
      </c>
      <c r="AB1753" t="str">
        <f t="shared" si="173"/>
        <v>03/04/2007</v>
      </c>
      <c r="AC1753"/>
    </row>
    <row r="1754" spans="21:29" ht="15">
      <c r="U1754" s="203">
        <v>39176</v>
      </c>
      <c r="V1754" t="str">
        <f t="shared" si="170"/>
        <v>04</v>
      </c>
      <c r="W1754" t="str">
        <f t="shared" si="171"/>
        <v>04</v>
      </c>
      <c r="X1754" t="str">
        <f t="shared" si="172"/>
        <v>07</v>
      </c>
      <c r="Y1754" t="str">
        <f t="shared" si="158"/>
        <v>2007</v>
      </c>
      <c r="Z1754"/>
      <c r="AA1754" s="2">
        <f t="shared" si="162"/>
        <v>39176</v>
      </c>
      <c r="AB1754" t="str">
        <f t="shared" si="173"/>
        <v>04/04/2007</v>
      </c>
      <c r="AC1754"/>
    </row>
    <row r="1755" spans="21:29" ht="15">
      <c r="U1755" s="203">
        <v>39206</v>
      </c>
      <c r="V1755" t="str">
        <f t="shared" si="170"/>
        <v>05</v>
      </c>
      <c r="W1755" t="str">
        <f t="shared" si="171"/>
        <v>04</v>
      </c>
      <c r="X1755" t="str">
        <f t="shared" si="172"/>
        <v>07</v>
      </c>
      <c r="Y1755" t="str">
        <f t="shared" si="158"/>
        <v>2007</v>
      </c>
      <c r="Z1755"/>
      <c r="AA1755" s="2">
        <f t="shared" si="162"/>
        <v>39177</v>
      </c>
      <c r="AB1755" t="str">
        <f t="shared" si="173"/>
        <v>05/04/2007</v>
      </c>
      <c r="AC1755"/>
    </row>
    <row r="1756" spans="21:29" ht="15">
      <c r="U1756" s="203">
        <v>39329</v>
      </c>
      <c r="V1756" t="str">
        <f t="shared" si="170"/>
        <v>09</v>
      </c>
      <c r="W1756" t="str">
        <f t="shared" si="171"/>
        <v>04</v>
      </c>
      <c r="X1756" t="str">
        <f t="shared" si="172"/>
        <v>07</v>
      </c>
      <c r="Y1756" t="str">
        <f t="shared" si="158"/>
        <v>2007</v>
      </c>
      <c r="Z1756"/>
      <c r="AA1756" s="2">
        <f t="shared" si="162"/>
        <v>39181</v>
      </c>
      <c r="AB1756" t="str">
        <f t="shared" si="173"/>
        <v>09/04/2007</v>
      </c>
      <c r="AC1756"/>
    </row>
    <row r="1757" spans="21:29" ht="15">
      <c r="U1757" s="203">
        <v>39359</v>
      </c>
      <c r="V1757" t="str">
        <f t="shared" si="170"/>
        <v>10</v>
      </c>
      <c r="W1757" t="str">
        <f t="shared" si="171"/>
        <v>04</v>
      </c>
      <c r="X1757" t="str">
        <f t="shared" si="172"/>
        <v>07</v>
      </c>
      <c r="Y1757" t="str">
        <f t="shared" si="158"/>
        <v>2007</v>
      </c>
      <c r="Z1757"/>
      <c r="AA1757" s="2">
        <f t="shared" si="162"/>
        <v>39182</v>
      </c>
      <c r="AB1757" t="str">
        <f t="shared" si="173"/>
        <v>10/04/2007</v>
      </c>
      <c r="AC1757"/>
    </row>
    <row r="1758" spans="21:29" ht="15">
      <c r="U1758" s="203">
        <v>39087</v>
      </c>
      <c r="V1758" t="str">
        <f t="shared" si="170"/>
        <v>01</v>
      </c>
      <c r="W1758" t="str">
        <f t="shared" si="171"/>
        <v>05</v>
      </c>
      <c r="X1758" t="str">
        <f t="shared" si="172"/>
        <v>07</v>
      </c>
      <c r="Y1758" t="str">
        <f t="shared" si="158"/>
        <v>2007</v>
      </c>
      <c r="Z1758"/>
      <c r="AA1758" s="2">
        <f t="shared" si="162"/>
        <v>39203</v>
      </c>
      <c r="AB1758" t="str">
        <f t="shared" si="173"/>
        <v>01/05/2007</v>
      </c>
      <c r="AC1758"/>
    </row>
    <row r="1759" spans="21:29" ht="15">
      <c r="U1759" s="203">
        <v>39146</v>
      </c>
      <c r="V1759" t="str">
        <f t="shared" si="170"/>
        <v>03</v>
      </c>
      <c r="W1759" t="str">
        <f t="shared" si="171"/>
        <v>05</v>
      </c>
      <c r="X1759" t="str">
        <f t="shared" si="172"/>
        <v>07</v>
      </c>
      <c r="Y1759" t="str">
        <f t="shared" si="158"/>
        <v>2007</v>
      </c>
      <c r="Z1759"/>
      <c r="AA1759" s="2">
        <f t="shared" si="162"/>
        <v>39205</v>
      </c>
      <c r="AB1759" t="str">
        <f t="shared" si="173"/>
        <v>03/05/2007</v>
      </c>
      <c r="AC1759"/>
    </row>
    <row r="1760" spans="21:29" ht="15">
      <c r="U1760" s="203">
        <v>39207</v>
      </c>
      <c r="V1760" t="str">
        <f t="shared" si="170"/>
        <v>05</v>
      </c>
      <c r="W1760" t="str">
        <f t="shared" si="171"/>
        <v>05</v>
      </c>
      <c r="X1760" t="str">
        <f t="shared" si="172"/>
        <v>07</v>
      </c>
      <c r="Y1760" t="str">
        <f t="shared" si="158"/>
        <v>2007</v>
      </c>
      <c r="Z1760"/>
      <c r="AA1760" s="2">
        <f t="shared" si="162"/>
        <v>39207</v>
      </c>
      <c r="AB1760" t="str">
        <f t="shared" si="173"/>
        <v>05/05/2007</v>
      </c>
      <c r="AC1760"/>
    </row>
    <row r="1761" spans="21:29" ht="15">
      <c r="U1761" s="203">
        <v>39207</v>
      </c>
      <c r="V1761" t="str">
        <f t="shared" si="170"/>
        <v>05</v>
      </c>
      <c r="W1761" t="str">
        <f t="shared" si="171"/>
        <v>05</v>
      </c>
      <c r="X1761" t="str">
        <f t="shared" si="172"/>
        <v>07</v>
      </c>
      <c r="Y1761" t="str">
        <f t="shared" si="158"/>
        <v>2007</v>
      </c>
      <c r="Z1761"/>
      <c r="AA1761" s="2">
        <f t="shared" si="162"/>
        <v>39207</v>
      </c>
      <c r="AB1761" t="str">
        <f t="shared" si="173"/>
        <v>05/05/2007</v>
      </c>
      <c r="AC1761"/>
    </row>
    <row r="1762" spans="21:29" ht="15">
      <c r="U1762" s="203">
        <v>39207</v>
      </c>
      <c r="V1762" t="str">
        <f t="shared" si="170"/>
        <v>05</v>
      </c>
      <c r="W1762" t="str">
        <f t="shared" si="171"/>
        <v>05</v>
      </c>
      <c r="X1762" t="str">
        <f t="shared" si="172"/>
        <v>07</v>
      </c>
      <c r="Y1762" t="str">
        <f t="shared" si="158"/>
        <v>2007</v>
      </c>
      <c r="Z1762"/>
      <c r="AA1762" s="2">
        <f t="shared" si="162"/>
        <v>39207</v>
      </c>
      <c r="AB1762" t="str">
        <f t="shared" si="173"/>
        <v>05/05/2007</v>
      </c>
      <c r="AC1762"/>
    </row>
    <row r="1763" spans="21:29" ht="15">
      <c r="U1763" s="203">
        <v>39207</v>
      </c>
      <c r="V1763" t="str">
        <f t="shared" si="170"/>
        <v>05</v>
      </c>
      <c r="W1763" t="str">
        <f t="shared" si="171"/>
        <v>05</v>
      </c>
      <c r="X1763" t="str">
        <f t="shared" si="172"/>
        <v>07</v>
      </c>
      <c r="Y1763" t="str">
        <f t="shared" si="158"/>
        <v>2007</v>
      </c>
      <c r="Z1763"/>
      <c r="AA1763" s="2">
        <f t="shared" si="162"/>
        <v>39207</v>
      </c>
      <c r="AB1763" t="str">
        <f t="shared" si="173"/>
        <v>05/05/2007</v>
      </c>
      <c r="AC1763"/>
    </row>
    <row r="1764" spans="21:29" ht="15">
      <c r="U1764" s="203">
        <v>39268</v>
      </c>
      <c r="V1764" t="str">
        <f t="shared" si="170"/>
        <v>07</v>
      </c>
      <c r="W1764" t="str">
        <f t="shared" si="171"/>
        <v>05</v>
      </c>
      <c r="X1764" t="str">
        <f t="shared" si="172"/>
        <v>07</v>
      </c>
      <c r="Y1764" t="str">
        <f t="shared" si="158"/>
        <v>2007</v>
      </c>
      <c r="Z1764"/>
      <c r="AA1764" s="2">
        <f t="shared" si="162"/>
        <v>39209</v>
      </c>
      <c r="AB1764" t="str">
        <f t="shared" si="173"/>
        <v>07/05/2007</v>
      </c>
      <c r="AC1764"/>
    </row>
    <row r="1765" spans="21:29" ht="15">
      <c r="U1765" s="203">
        <v>39391</v>
      </c>
      <c r="V1765" t="str">
        <f t="shared" si="170"/>
        <v>11</v>
      </c>
      <c r="W1765" t="str">
        <f t="shared" si="171"/>
        <v>05</v>
      </c>
      <c r="X1765" t="str">
        <f t="shared" si="172"/>
        <v>07</v>
      </c>
      <c r="Y1765" t="str">
        <f t="shared" si="158"/>
        <v>2007</v>
      </c>
      <c r="Z1765"/>
      <c r="AA1765" s="2">
        <f t="shared" si="162"/>
        <v>39213</v>
      </c>
      <c r="AB1765" t="str">
        <f t="shared" si="173"/>
        <v>11/05/2007</v>
      </c>
      <c r="AC1765"/>
    </row>
    <row r="1766" spans="21:29" ht="15">
      <c r="U1766" s="203">
        <v>39088</v>
      </c>
      <c r="V1766" t="str">
        <f t="shared" si="170"/>
        <v>01</v>
      </c>
      <c r="W1766" t="str">
        <f t="shared" si="171"/>
        <v>06</v>
      </c>
      <c r="X1766" t="str">
        <f t="shared" si="172"/>
        <v>07</v>
      </c>
      <c r="Y1766" t="str">
        <f t="shared" si="158"/>
        <v>2007</v>
      </c>
      <c r="Z1766"/>
      <c r="AA1766" s="2">
        <f t="shared" si="162"/>
        <v>39234</v>
      </c>
      <c r="AB1766" t="str">
        <f t="shared" si="173"/>
        <v>01/06/2007</v>
      </c>
      <c r="AC1766"/>
    </row>
    <row r="1767" spans="21:29" ht="15">
      <c r="U1767" s="203">
        <v>39119</v>
      </c>
      <c r="V1767" t="str">
        <f t="shared" si="170"/>
        <v>02</v>
      </c>
      <c r="W1767" t="str">
        <f t="shared" si="171"/>
        <v>06</v>
      </c>
      <c r="X1767" t="str">
        <f t="shared" si="172"/>
        <v>07</v>
      </c>
      <c r="Y1767" t="str">
        <f t="shared" si="158"/>
        <v>2007</v>
      </c>
      <c r="Z1767"/>
      <c r="AA1767" s="2">
        <f t="shared" si="162"/>
        <v>39235</v>
      </c>
      <c r="AB1767" t="str">
        <f t="shared" si="173"/>
        <v>02/06/2007</v>
      </c>
      <c r="AC1767"/>
    </row>
    <row r="1768" spans="21:29" ht="15">
      <c r="U1768" s="203">
        <v>39178</v>
      </c>
      <c r="V1768" t="str">
        <f t="shared" si="170"/>
        <v>04</v>
      </c>
      <c r="W1768" t="str">
        <f t="shared" si="171"/>
        <v>06</v>
      </c>
      <c r="X1768" t="str">
        <f t="shared" si="172"/>
        <v>07</v>
      </c>
      <c r="Y1768" t="str">
        <f t="shared" si="158"/>
        <v>2007</v>
      </c>
      <c r="Z1768"/>
      <c r="AA1768" s="2">
        <f t="shared" si="162"/>
        <v>39237</v>
      </c>
      <c r="AB1768" t="str">
        <f t="shared" si="173"/>
        <v>04/06/2007</v>
      </c>
      <c r="AC1768"/>
    </row>
    <row r="1769" spans="21:29" ht="15">
      <c r="U1769" s="203">
        <v>39269</v>
      </c>
      <c r="V1769" t="str">
        <f t="shared" si="170"/>
        <v>07</v>
      </c>
      <c r="W1769" t="str">
        <f t="shared" si="171"/>
        <v>06</v>
      </c>
      <c r="X1769" t="str">
        <f t="shared" si="172"/>
        <v>07</v>
      </c>
      <c r="Y1769" t="str">
        <f t="shared" si="158"/>
        <v>2007</v>
      </c>
      <c r="Z1769"/>
      <c r="AA1769" s="2">
        <f t="shared" si="162"/>
        <v>39240</v>
      </c>
      <c r="AB1769" t="str">
        <f t="shared" si="173"/>
        <v>07/06/2007</v>
      </c>
      <c r="AC1769"/>
    </row>
    <row r="1770" spans="21:29" ht="15">
      <c r="U1770" s="203">
        <v>39089</v>
      </c>
      <c r="V1770" t="str">
        <f t="shared" si="170"/>
        <v>01</v>
      </c>
      <c r="W1770" t="str">
        <f t="shared" si="171"/>
        <v>07</v>
      </c>
      <c r="X1770" t="str">
        <f t="shared" si="172"/>
        <v>07</v>
      </c>
      <c r="Y1770" t="str">
        <f t="shared" si="158"/>
        <v>2007</v>
      </c>
      <c r="Z1770"/>
      <c r="AA1770" s="2">
        <f t="shared" si="162"/>
        <v>39264</v>
      </c>
      <c r="AB1770" t="str">
        <f t="shared" si="173"/>
        <v>01/07/2007</v>
      </c>
      <c r="AC1770"/>
    </row>
    <row r="1771" spans="21:29" ht="15">
      <c r="U1771" s="203">
        <v>39148</v>
      </c>
      <c r="V1771" t="str">
        <f t="shared" si="170"/>
        <v>03</v>
      </c>
      <c r="W1771" t="str">
        <f t="shared" si="171"/>
        <v>07</v>
      </c>
      <c r="X1771" t="str">
        <f t="shared" si="172"/>
        <v>07</v>
      </c>
      <c r="Y1771" t="str">
        <f t="shared" si="158"/>
        <v>2007</v>
      </c>
      <c r="Z1771"/>
      <c r="AA1771" s="2">
        <f t="shared" si="162"/>
        <v>39266</v>
      </c>
      <c r="AB1771" t="str">
        <f t="shared" si="173"/>
        <v>03/07/2007</v>
      </c>
      <c r="AC1771"/>
    </row>
    <row r="1772" spans="21:29" ht="15">
      <c r="U1772" s="203">
        <v>39209</v>
      </c>
      <c r="V1772" t="str">
        <f t="shared" si="170"/>
        <v>05</v>
      </c>
      <c r="W1772" t="str">
        <f t="shared" si="171"/>
        <v>07</v>
      </c>
      <c r="X1772" t="str">
        <f t="shared" si="172"/>
        <v>07</v>
      </c>
      <c r="Y1772" t="str">
        <f t="shared" si="158"/>
        <v>2007</v>
      </c>
      <c r="Z1772"/>
      <c r="AA1772" s="2">
        <f t="shared" si="162"/>
        <v>39268</v>
      </c>
      <c r="AB1772" t="str">
        <f t="shared" si="173"/>
        <v>05/07/2007</v>
      </c>
      <c r="AC1772"/>
    </row>
    <row r="1773" spans="21:29" ht="15">
      <c r="U1773" s="203">
        <v>39209</v>
      </c>
      <c r="V1773" t="str">
        <f t="shared" si="170"/>
        <v>05</v>
      </c>
      <c r="W1773" t="str">
        <f t="shared" si="171"/>
        <v>07</v>
      </c>
      <c r="X1773" t="str">
        <f t="shared" si="172"/>
        <v>07</v>
      </c>
      <c r="Y1773" t="str">
        <f t="shared" si="158"/>
        <v>2007</v>
      </c>
      <c r="Z1773"/>
      <c r="AA1773" s="2">
        <f t="shared" si="162"/>
        <v>39268</v>
      </c>
      <c r="AB1773" t="str">
        <f t="shared" si="173"/>
        <v>05/07/2007</v>
      </c>
      <c r="AC1773"/>
    </row>
    <row r="1774" spans="21:29" ht="15">
      <c r="U1774" s="203">
        <v>39240</v>
      </c>
      <c r="V1774" t="str">
        <f t="shared" si="170"/>
        <v>06</v>
      </c>
      <c r="W1774" t="str">
        <f t="shared" si="171"/>
        <v>07</v>
      </c>
      <c r="X1774" t="str">
        <f t="shared" si="172"/>
        <v>07</v>
      </c>
      <c r="Y1774" t="str">
        <f t="shared" si="158"/>
        <v>2007</v>
      </c>
      <c r="Z1774"/>
      <c r="AA1774" s="2">
        <f t="shared" si="162"/>
        <v>39269</v>
      </c>
      <c r="AB1774" t="str">
        <f t="shared" si="173"/>
        <v>06/07/2007</v>
      </c>
      <c r="AC1774"/>
    </row>
    <row r="1775" spans="21:29" ht="15">
      <c r="U1775" s="203">
        <v>39090</v>
      </c>
      <c r="V1775" t="str">
        <f t="shared" si="170"/>
        <v>01</v>
      </c>
      <c r="W1775" t="str">
        <f t="shared" si="171"/>
        <v>08</v>
      </c>
      <c r="X1775" t="str">
        <f t="shared" si="172"/>
        <v>07</v>
      </c>
      <c r="Y1775" t="str">
        <f t="shared" si="158"/>
        <v>2007</v>
      </c>
      <c r="Z1775"/>
      <c r="AA1775" s="2">
        <f t="shared" si="162"/>
        <v>39295</v>
      </c>
      <c r="AB1775" t="str">
        <f t="shared" si="173"/>
        <v>01/08/2007</v>
      </c>
      <c r="AC1775"/>
    </row>
    <row r="1776" spans="21:29" ht="15">
      <c r="U1776" s="203">
        <v>39090</v>
      </c>
      <c r="V1776" t="str">
        <f t="shared" si="170"/>
        <v>01</v>
      </c>
      <c r="W1776" t="str">
        <f t="shared" si="171"/>
        <v>08</v>
      </c>
      <c r="X1776" t="str">
        <f t="shared" si="172"/>
        <v>07</v>
      </c>
      <c r="Y1776" t="str">
        <f t="shared" si="158"/>
        <v>2007</v>
      </c>
      <c r="Z1776"/>
      <c r="AA1776" s="2">
        <f t="shared" si="162"/>
        <v>39295</v>
      </c>
      <c r="AB1776" t="str">
        <f t="shared" si="173"/>
        <v>01/08/2007</v>
      </c>
      <c r="AC1776"/>
    </row>
    <row r="1777" spans="21:29" ht="15">
      <c r="U1777" s="203">
        <v>39090</v>
      </c>
      <c r="V1777" t="str">
        <f t="shared" si="170"/>
        <v>01</v>
      </c>
      <c r="W1777" t="str">
        <f t="shared" si="171"/>
        <v>08</v>
      </c>
      <c r="X1777" t="str">
        <f t="shared" si="172"/>
        <v>07</v>
      </c>
      <c r="Y1777" t="str">
        <f t="shared" si="158"/>
        <v>2007</v>
      </c>
      <c r="Z1777"/>
      <c r="AA1777" s="2">
        <f t="shared" si="162"/>
        <v>39295</v>
      </c>
      <c r="AB1777" t="str">
        <f t="shared" si="173"/>
        <v>01/08/2007</v>
      </c>
      <c r="AC1777"/>
    </row>
    <row r="1778" spans="21:29" ht="15">
      <c r="U1778" s="203">
        <v>39121</v>
      </c>
      <c r="V1778" t="str">
        <f t="shared" si="170"/>
        <v>02</v>
      </c>
      <c r="W1778" t="str">
        <f t="shared" si="171"/>
        <v>08</v>
      </c>
      <c r="X1778" t="str">
        <f t="shared" si="172"/>
        <v>07</v>
      </c>
      <c r="Y1778" t="str">
        <f t="shared" si="158"/>
        <v>2007</v>
      </c>
      <c r="Z1778"/>
      <c r="AA1778" s="2">
        <f t="shared" si="162"/>
        <v>39296</v>
      </c>
      <c r="AB1778" t="str">
        <f t="shared" si="173"/>
        <v>02/08/2007</v>
      </c>
      <c r="AC1778"/>
    </row>
    <row r="1779" spans="21:29" ht="15">
      <c r="U1779" s="203">
        <v>39121</v>
      </c>
      <c r="V1779" t="str">
        <f t="shared" si="170"/>
        <v>02</v>
      </c>
      <c r="W1779" t="str">
        <f t="shared" si="171"/>
        <v>08</v>
      </c>
      <c r="X1779" t="str">
        <f t="shared" si="172"/>
        <v>07</v>
      </c>
      <c r="Y1779" t="str">
        <f t="shared" si="158"/>
        <v>2007</v>
      </c>
      <c r="Z1779"/>
      <c r="AA1779" s="2">
        <f t="shared" si="162"/>
        <v>39296</v>
      </c>
      <c r="AB1779" t="str">
        <f t="shared" si="173"/>
        <v>02/08/2007</v>
      </c>
      <c r="AC1779"/>
    </row>
    <row r="1780" spans="21:29" ht="15">
      <c r="U1780" s="203">
        <v>39121</v>
      </c>
      <c r="V1780" t="str">
        <f t="shared" si="170"/>
        <v>02</v>
      </c>
      <c r="W1780" t="str">
        <f t="shared" si="171"/>
        <v>08</v>
      </c>
      <c r="X1780" t="str">
        <f t="shared" si="172"/>
        <v>07</v>
      </c>
      <c r="Y1780" t="str">
        <f t="shared" si="158"/>
        <v>2007</v>
      </c>
      <c r="Z1780"/>
      <c r="AA1780" s="2">
        <f t="shared" si="162"/>
        <v>39296</v>
      </c>
      <c r="AB1780" t="str">
        <f t="shared" si="173"/>
        <v>02/08/2007</v>
      </c>
      <c r="AC1780"/>
    </row>
    <row r="1781" spans="21:29" ht="15">
      <c r="U1781" s="203">
        <v>39241</v>
      </c>
      <c r="V1781" t="str">
        <f t="shared" si="170"/>
        <v>06</v>
      </c>
      <c r="W1781" t="str">
        <f t="shared" si="171"/>
        <v>08</v>
      </c>
      <c r="X1781" t="str">
        <f t="shared" si="172"/>
        <v>07</v>
      </c>
      <c r="Y1781" t="str">
        <f t="shared" si="158"/>
        <v>2007</v>
      </c>
      <c r="Z1781"/>
      <c r="AA1781" s="2">
        <f t="shared" si="162"/>
        <v>39300</v>
      </c>
      <c r="AB1781" t="str">
        <f t="shared" si="173"/>
        <v>06/08/2007</v>
      </c>
      <c r="AC1781"/>
    </row>
    <row r="1782" spans="21:29" ht="15">
      <c r="U1782" s="203">
        <v>39302</v>
      </c>
      <c r="V1782" t="str">
        <f t="shared" si="170"/>
        <v>08</v>
      </c>
      <c r="W1782" t="str">
        <f t="shared" si="171"/>
        <v>08</v>
      </c>
      <c r="X1782" t="str">
        <f t="shared" si="172"/>
        <v>07</v>
      </c>
      <c r="Y1782" t="str">
        <f t="shared" si="158"/>
        <v>2007</v>
      </c>
      <c r="Z1782"/>
      <c r="AA1782" s="2">
        <f t="shared" si="162"/>
        <v>39302</v>
      </c>
      <c r="AB1782" t="str">
        <f t="shared" si="173"/>
        <v>08/08/2007</v>
      </c>
      <c r="AC1782"/>
    </row>
    <row r="1783" spans="21:29" ht="15">
      <c r="U1783" s="203">
        <v>39302</v>
      </c>
      <c r="V1783" t="str">
        <f t="shared" si="170"/>
        <v>08</v>
      </c>
      <c r="W1783" t="str">
        <f t="shared" si="171"/>
        <v>08</v>
      </c>
      <c r="X1783" t="str">
        <f t="shared" si="172"/>
        <v>07</v>
      </c>
      <c r="Y1783" t="str">
        <f t="shared" si="158"/>
        <v>2007</v>
      </c>
      <c r="Z1783"/>
      <c r="AA1783" s="2">
        <f t="shared" si="162"/>
        <v>39302</v>
      </c>
      <c r="AB1783" t="str">
        <f t="shared" si="173"/>
        <v>08/08/2007</v>
      </c>
      <c r="AC1783"/>
    </row>
    <row r="1784" spans="21:29" ht="15">
      <c r="U1784" s="203">
        <v>39363</v>
      </c>
      <c r="V1784" t="str">
        <f t="shared" si="170"/>
        <v>10</v>
      </c>
      <c r="W1784" t="str">
        <f t="shared" si="171"/>
        <v>08</v>
      </c>
      <c r="X1784" t="str">
        <f t="shared" si="172"/>
        <v>07</v>
      </c>
      <c r="Y1784" t="str">
        <f t="shared" si="158"/>
        <v>2007</v>
      </c>
      <c r="Z1784"/>
      <c r="AA1784" s="2">
        <f t="shared" si="162"/>
        <v>39304</v>
      </c>
      <c r="AB1784" t="str">
        <f t="shared" si="173"/>
        <v>10/08/2007</v>
      </c>
      <c r="AC1784"/>
    </row>
    <row r="1785" spans="21:29" ht="15">
      <c r="U1785" s="203" t="s">
        <v>10068</v>
      </c>
      <c r="V1785" t="str">
        <f t="shared" ref="V1785:V1788" si="174">LEFT(U1785,2)</f>
        <v>14</v>
      </c>
      <c r="W1785" t="str">
        <f t="shared" ref="W1785:W1788" si="175">MID(U1785,4,2)</f>
        <v>08</v>
      </c>
      <c r="X1785" t="str">
        <f t="shared" ref="X1785:X1788" si="176">RIGHT(U1785,2)</f>
        <v>07</v>
      </c>
      <c r="Y1785" t="str">
        <f t="shared" si="158"/>
        <v>2007</v>
      </c>
      <c r="Z1785"/>
      <c r="AA1785" s="2">
        <f t="shared" si="162"/>
        <v>39308</v>
      </c>
      <c r="AB1785"/>
      <c r="AC1785"/>
    </row>
    <row r="1786" spans="21:29" ht="15">
      <c r="U1786" s="203" t="s">
        <v>10069</v>
      </c>
      <c r="V1786" t="str">
        <f t="shared" si="174"/>
        <v>27</v>
      </c>
      <c r="W1786" t="str">
        <f t="shared" si="175"/>
        <v>08</v>
      </c>
      <c r="X1786" t="str">
        <f t="shared" si="176"/>
        <v>07</v>
      </c>
      <c r="Y1786" t="str">
        <f t="shared" si="158"/>
        <v>2007</v>
      </c>
      <c r="Z1786"/>
      <c r="AA1786" s="2">
        <f t="shared" si="162"/>
        <v>39321</v>
      </c>
      <c r="AB1786"/>
      <c r="AC1786"/>
    </row>
    <row r="1787" spans="21:29" ht="15">
      <c r="U1787" s="203" t="s">
        <v>10070</v>
      </c>
      <c r="V1787" t="str">
        <f t="shared" si="174"/>
        <v>29</v>
      </c>
      <c r="W1787" t="str">
        <f t="shared" si="175"/>
        <v>08</v>
      </c>
      <c r="X1787" t="str">
        <f t="shared" si="176"/>
        <v>07</v>
      </c>
      <c r="Y1787" t="str">
        <f t="shared" si="158"/>
        <v>2007</v>
      </c>
      <c r="Z1787"/>
      <c r="AA1787" s="2">
        <f t="shared" si="162"/>
        <v>39323</v>
      </c>
      <c r="AB1787"/>
      <c r="AC1787"/>
    </row>
    <row r="1788" spans="21:29" ht="15">
      <c r="U1788" s="203" t="s">
        <v>10071</v>
      </c>
      <c r="V1788" t="str">
        <f t="shared" si="174"/>
        <v>31</v>
      </c>
      <c r="W1788" t="str">
        <f t="shared" si="175"/>
        <v>08</v>
      </c>
      <c r="X1788" t="str">
        <f t="shared" si="176"/>
        <v>07</v>
      </c>
      <c r="Y1788" t="str">
        <f t="shared" si="158"/>
        <v>2007</v>
      </c>
      <c r="Z1788"/>
      <c r="AA1788" s="2">
        <f t="shared" si="162"/>
        <v>39325</v>
      </c>
      <c r="AB1788"/>
      <c r="AC1788"/>
    </row>
    <row r="1789" spans="21:29" ht="15">
      <c r="U1789" s="203">
        <v>39091</v>
      </c>
      <c r="V1789" t="str">
        <f t="shared" ref="V1789:V1806" si="177">LEFT(AB1789,2)</f>
        <v>01</v>
      </c>
      <c r="W1789" t="str">
        <f t="shared" ref="W1789:W1806" si="178">MID(AB1789,4,2)</f>
        <v>09</v>
      </c>
      <c r="X1789" t="str">
        <f t="shared" ref="X1789:X1806" si="179">RIGHT(AB1789,2)</f>
        <v>07</v>
      </c>
      <c r="Y1789" t="str">
        <f t="shared" si="158"/>
        <v>2007</v>
      </c>
      <c r="Z1789"/>
      <c r="AA1789" s="2">
        <f t="shared" si="162"/>
        <v>39326</v>
      </c>
      <c r="AB1789" t="str">
        <f t="shared" ref="AB1789:AB1806" si="180">TEXT(U1789, "mm/dd/yyyy")</f>
        <v>01/09/2007</v>
      </c>
      <c r="AC1789"/>
    </row>
    <row r="1790" spans="21:29" ht="15">
      <c r="U1790" s="203">
        <v>39150</v>
      </c>
      <c r="V1790" t="str">
        <f t="shared" si="177"/>
        <v>03</v>
      </c>
      <c r="W1790" t="str">
        <f t="shared" si="178"/>
        <v>09</v>
      </c>
      <c r="X1790" t="str">
        <f t="shared" si="179"/>
        <v>07</v>
      </c>
      <c r="Y1790" t="str">
        <f t="shared" si="158"/>
        <v>2007</v>
      </c>
      <c r="Z1790"/>
      <c r="AA1790" s="2">
        <f t="shared" si="162"/>
        <v>39328</v>
      </c>
      <c r="AB1790" t="str">
        <f t="shared" si="180"/>
        <v>03/09/2007</v>
      </c>
      <c r="AC1790"/>
    </row>
    <row r="1791" spans="21:29" ht="15">
      <c r="U1791" s="203">
        <v>39150</v>
      </c>
      <c r="V1791" t="str">
        <f t="shared" si="177"/>
        <v>03</v>
      </c>
      <c r="W1791" t="str">
        <f t="shared" si="178"/>
        <v>09</v>
      </c>
      <c r="X1791" t="str">
        <f t="shared" si="179"/>
        <v>07</v>
      </c>
      <c r="Y1791" t="str">
        <f t="shared" si="158"/>
        <v>2007</v>
      </c>
      <c r="Z1791"/>
      <c r="AA1791" s="2">
        <f t="shared" si="162"/>
        <v>39328</v>
      </c>
      <c r="AB1791" t="str">
        <f t="shared" si="180"/>
        <v>03/09/2007</v>
      </c>
      <c r="AC1791"/>
    </row>
    <row r="1792" spans="21:29" ht="15">
      <c r="U1792" s="203">
        <v>39181</v>
      </c>
      <c r="V1792" t="str">
        <f t="shared" si="177"/>
        <v>04</v>
      </c>
      <c r="W1792" t="str">
        <f t="shared" si="178"/>
        <v>09</v>
      </c>
      <c r="X1792" t="str">
        <f t="shared" si="179"/>
        <v>07</v>
      </c>
      <c r="Y1792" t="str">
        <f t="shared" si="158"/>
        <v>2007</v>
      </c>
      <c r="Z1792"/>
      <c r="AA1792" s="2">
        <f t="shared" si="162"/>
        <v>39329</v>
      </c>
      <c r="AB1792" t="str">
        <f t="shared" si="180"/>
        <v>04/09/2007</v>
      </c>
      <c r="AC1792"/>
    </row>
    <row r="1793" spans="21:29" ht="15">
      <c r="U1793" s="203">
        <v>39181</v>
      </c>
      <c r="V1793" t="str">
        <f t="shared" si="177"/>
        <v>04</v>
      </c>
      <c r="W1793" t="str">
        <f t="shared" si="178"/>
        <v>09</v>
      </c>
      <c r="X1793" t="str">
        <f t="shared" si="179"/>
        <v>07</v>
      </c>
      <c r="Y1793" t="str">
        <f t="shared" si="158"/>
        <v>2007</v>
      </c>
      <c r="Z1793"/>
      <c r="AA1793" s="2">
        <f t="shared" si="162"/>
        <v>39329</v>
      </c>
      <c r="AB1793" t="str">
        <f t="shared" si="180"/>
        <v>04/09/2007</v>
      </c>
      <c r="AC1793"/>
    </row>
    <row r="1794" spans="21:29" ht="15">
      <c r="U1794" s="203">
        <v>39211</v>
      </c>
      <c r="V1794" t="str">
        <f t="shared" si="177"/>
        <v>05</v>
      </c>
      <c r="W1794" t="str">
        <f t="shared" si="178"/>
        <v>09</v>
      </c>
      <c r="X1794" t="str">
        <f t="shared" si="179"/>
        <v>07</v>
      </c>
      <c r="Y1794" t="str">
        <f t="shared" si="158"/>
        <v>2007</v>
      </c>
      <c r="Z1794"/>
      <c r="AA1794" s="2">
        <f t="shared" si="162"/>
        <v>39330</v>
      </c>
      <c r="AB1794" t="str">
        <f t="shared" si="180"/>
        <v>05/09/2007</v>
      </c>
      <c r="AC1794"/>
    </row>
    <row r="1795" spans="21:29" ht="15">
      <c r="U1795" s="203">
        <v>39272</v>
      </c>
      <c r="V1795" t="str">
        <f t="shared" si="177"/>
        <v>07</v>
      </c>
      <c r="W1795" t="str">
        <f t="shared" si="178"/>
        <v>09</v>
      </c>
      <c r="X1795" t="str">
        <f t="shared" si="179"/>
        <v>07</v>
      </c>
      <c r="Y1795" t="str">
        <f t="shared" ref="Y1795:Y1858" si="181">"20" &amp; X1795</f>
        <v>2007</v>
      </c>
      <c r="Z1795"/>
      <c r="AA1795" s="2">
        <f t="shared" si="162"/>
        <v>39332</v>
      </c>
      <c r="AB1795" t="str">
        <f t="shared" si="180"/>
        <v>07/09/2007</v>
      </c>
      <c r="AC1795"/>
    </row>
    <row r="1796" spans="21:29" ht="15">
      <c r="U1796" s="203">
        <v>39303</v>
      </c>
      <c r="V1796" t="str">
        <f t="shared" si="177"/>
        <v>08</v>
      </c>
      <c r="W1796" t="str">
        <f t="shared" si="178"/>
        <v>09</v>
      </c>
      <c r="X1796" t="str">
        <f t="shared" si="179"/>
        <v>07</v>
      </c>
      <c r="Y1796" t="str">
        <f t="shared" si="181"/>
        <v>2007</v>
      </c>
      <c r="Z1796"/>
      <c r="AA1796" s="2">
        <f t="shared" si="162"/>
        <v>39333</v>
      </c>
      <c r="AB1796" t="str">
        <f t="shared" si="180"/>
        <v>08/09/2007</v>
      </c>
      <c r="AC1796"/>
    </row>
    <row r="1797" spans="21:29" ht="15">
      <c r="U1797" s="203">
        <v>39364</v>
      </c>
      <c r="V1797" t="str">
        <f t="shared" si="177"/>
        <v>10</v>
      </c>
      <c r="W1797" t="str">
        <f t="shared" si="178"/>
        <v>09</v>
      </c>
      <c r="X1797" t="str">
        <f t="shared" si="179"/>
        <v>07</v>
      </c>
      <c r="Y1797" t="str">
        <f t="shared" si="181"/>
        <v>2007</v>
      </c>
      <c r="Z1797"/>
      <c r="AA1797" s="2">
        <f t="shared" si="162"/>
        <v>39335</v>
      </c>
      <c r="AB1797" t="str">
        <f t="shared" si="180"/>
        <v>10/09/2007</v>
      </c>
      <c r="AC1797"/>
    </row>
    <row r="1798" spans="21:29" ht="15">
      <c r="U1798" s="203">
        <v>39364</v>
      </c>
      <c r="V1798" t="str">
        <f t="shared" si="177"/>
        <v>10</v>
      </c>
      <c r="W1798" t="str">
        <f t="shared" si="178"/>
        <v>09</v>
      </c>
      <c r="X1798" t="str">
        <f t="shared" si="179"/>
        <v>07</v>
      </c>
      <c r="Y1798" t="str">
        <f t="shared" si="181"/>
        <v>2007</v>
      </c>
      <c r="Z1798"/>
      <c r="AA1798" s="2">
        <f t="shared" si="162"/>
        <v>39335</v>
      </c>
      <c r="AB1798" t="str">
        <f t="shared" si="180"/>
        <v>10/09/2007</v>
      </c>
      <c r="AC1798"/>
    </row>
    <row r="1799" spans="21:29" ht="15">
      <c r="U1799" s="203">
        <v>39092</v>
      </c>
      <c r="V1799" t="str">
        <f t="shared" si="177"/>
        <v>01</v>
      </c>
      <c r="W1799" t="str">
        <f t="shared" si="178"/>
        <v>10</v>
      </c>
      <c r="X1799" t="str">
        <f t="shared" si="179"/>
        <v>07</v>
      </c>
      <c r="Y1799" t="str">
        <f t="shared" si="181"/>
        <v>2007</v>
      </c>
      <c r="Z1799"/>
      <c r="AA1799" s="2">
        <f t="shared" si="162"/>
        <v>39356</v>
      </c>
      <c r="AB1799" t="str">
        <f t="shared" si="180"/>
        <v>01/10/2007</v>
      </c>
      <c r="AC1799"/>
    </row>
    <row r="1800" spans="21:29" ht="15">
      <c r="U1800" s="203">
        <v>39092</v>
      </c>
      <c r="V1800" t="str">
        <f t="shared" si="177"/>
        <v>01</v>
      </c>
      <c r="W1800" t="str">
        <f t="shared" si="178"/>
        <v>10</v>
      </c>
      <c r="X1800" t="str">
        <f t="shared" si="179"/>
        <v>07</v>
      </c>
      <c r="Y1800" t="str">
        <f t="shared" si="181"/>
        <v>2007</v>
      </c>
      <c r="Z1800"/>
      <c r="AA1800" s="2">
        <f t="shared" ref="AA1800:AA1863" si="182">DATE(Y1800,W1800,V1800)</f>
        <v>39356</v>
      </c>
      <c r="AB1800" t="str">
        <f t="shared" si="180"/>
        <v>01/10/2007</v>
      </c>
      <c r="AC1800"/>
    </row>
    <row r="1801" spans="21:29" ht="15">
      <c r="U1801" s="203">
        <v>39151</v>
      </c>
      <c r="V1801" t="str">
        <f t="shared" si="177"/>
        <v>03</v>
      </c>
      <c r="W1801" t="str">
        <f t="shared" si="178"/>
        <v>10</v>
      </c>
      <c r="X1801" t="str">
        <f t="shared" si="179"/>
        <v>07</v>
      </c>
      <c r="Y1801" t="str">
        <f t="shared" si="181"/>
        <v>2007</v>
      </c>
      <c r="Z1801"/>
      <c r="AA1801" s="2">
        <f t="shared" si="182"/>
        <v>39358</v>
      </c>
      <c r="AB1801" t="str">
        <f t="shared" si="180"/>
        <v>03/10/2007</v>
      </c>
      <c r="AC1801"/>
    </row>
    <row r="1802" spans="21:29" ht="15">
      <c r="U1802" s="203">
        <v>39151</v>
      </c>
      <c r="V1802" t="str">
        <f t="shared" si="177"/>
        <v>03</v>
      </c>
      <c r="W1802" t="str">
        <f t="shared" si="178"/>
        <v>10</v>
      </c>
      <c r="X1802" t="str">
        <f t="shared" si="179"/>
        <v>07</v>
      </c>
      <c r="Y1802" t="str">
        <f t="shared" si="181"/>
        <v>2007</v>
      </c>
      <c r="Z1802"/>
      <c r="AA1802" s="2">
        <f t="shared" si="182"/>
        <v>39358</v>
      </c>
      <c r="AB1802" t="str">
        <f t="shared" si="180"/>
        <v>03/10/2007</v>
      </c>
      <c r="AC1802"/>
    </row>
    <row r="1803" spans="21:29" ht="15">
      <c r="U1803" s="203">
        <v>39182</v>
      </c>
      <c r="V1803" t="str">
        <f t="shared" si="177"/>
        <v>04</v>
      </c>
      <c r="W1803" t="str">
        <f t="shared" si="178"/>
        <v>10</v>
      </c>
      <c r="X1803" t="str">
        <f t="shared" si="179"/>
        <v>07</v>
      </c>
      <c r="Y1803" t="str">
        <f t="shared" si="181"/>
        <v>2007</v>
      </c>
      <c r="Z1803"/>
      <c r="AA1803" s="2">
        <f t="shared" si="182"/>
        <v>39359</v>
      </c>
      <c r="AB1803" t="str">
        <f t="shared" si="180"/>
        <v>04/10/2007</v>
      </c>
      <c r="AC1803"/>
    </row>
    <row r="1804" spans="21:29" ht="15">
      <c r="U1804" s="203">
        <v>39304</v>
      </c>
      <c r="V1804" t="str">
        <f t="shared" si="177"/>
        <v>08</v>
      </c>
      <c r="W1804" t="str">
        <f t="shared" si="178"/>
        <v>10</v>
      </c>
      <c r="X1804" t="str">
        <f t="shared" si="179"/>
        <v>07</v>
      </c>
      <c r="Y1804" t="str">
        <f t="shared" si="181"/>
        <v>2007</v>
      </c>
      <c r="Z1804"/>
      <c r="AA1804" s="2">
        <f t="shared" si="182"/>
        <v>39363</v>
      </c>
      <c r="AB1804" t="str">
        <f t="shared" si="180"/>
        <v>08/10/2007</v>
      </c>
      <c r="AC1804"/>
    </row>
    <row r="1805" spans="21:29" ht="15">
      <c r="U1805" s="203">
        <v>39335</v>
      </c>
      <c r="V1805" t="str">
        <f t="shared" si="177"/>
        <v>09</v>
      </c>
      <c r="W1805" t="str">
        <f t="shared" si="178"/>
        <v>10</v>
      </c>
      <c r="X1805" t="str">
        <f t="shared" si="179"/>
        <v>07</v>
      </c>
      <c r="Y1805" t="str">
        <f t="shared" si="181"/>
        <v>2007</v>
      </c>
      <c r="Z1805"/>
      <c r="AA1805" s="2">
        <f t="shared" si="182"/>
        <v>39364</v>
      </c>
      <c r="AB1805" t="str">
        <f t="shared" si="180"/>
        <v>09/10/2007</v>
      </c>
      <c r="AC1805"/>
    </row>
    <row r="1806" spans="21:29" ht="15">
      <c r="U1806" s="203">
        <v>39396</v>
      </c>
      <c r="V1806" t="str">
        <f t="shared" si="177"/>
        <v>11</v>
      </c>
      <c r="W1806" t="str">
        <f t="shared" si="178"/>
        <v>10</v>
      </c>
      <c r="X1806" t="str">
        <f t="shared" si="179"/>
        <v>07</v>
      </c>
      <c r="Y1806" t="str">
        <f t="shared" si="181"/>
        <v>2007</v>
      </c>
      <c r="Z1806"/>
      <c r="AA1806" s="2">
        <f t="shared" si="182"/>
        <v>39366</v>
      </c>
      <c r="AB1806" t="str">
        <f t="shared" si="180"/>
        <v>11/10/2007</v>
      </c>
      <c r="AC1806"/>
    </row>
    <row r="1807" spans="21:29" ht="15">
      <c r="U1807" s="203" t="s">
        <v>10072</v>
      </c>
      <c r="V1807" t="str">
        <f t="shared" ref="V1807:V1810" si="183">LEFT(U1807,2)</f>
        <v>19</v>
      </c>
      <c r="W1807" t="str">
        <f t="shared" ref="W1807:W1810" si="184">MID(U1807,4,2)</f>
        <v>10</v>
      </c>
      <c r="X1807" t="str">
        <f t="shared" ref="X1807:X1810" si="185">RIGHT(U1807,2)</f>
        <v>07</v>
      </c>
      <c r="Y1807" t="str">
        <f t="shared" si="181"/>
        <v>2007</v>
      </c>
      <c r="Z1807"/>
      <c r="AA1807" s="2">
        <f t="shared" si="182"/>
        <v>39374</v>
      </c>
      <c r="AB1807"/>
      <c r="AC1807"/>
    </row>
    <row r="1808" spans="21:29" ht="15">
      <c r="U1808" s="203" t="s">
        <v>10073</v>
      </c>
      <c r="V1808" t="str">
        <f t="shared" si="183"/>
        <v>26</v>
      </c>
      <c r="W1808" t="str">
        <f t="shared" si="184"/>
        <v>10</v>
      </c>
      <c r="X1808" t="str">
        <f t="shared" si="185"/>
        <v>07</v>
      </c>
      <c r="Y1808" t="str">
        <f t="shared" si="181"/>
        <v>2007</v>
      </c>
      <c r="Z1808"/>
      <c r="AA1808" s="2">
        <f t="shared" si="182"/>
        <v>39381</v>
      </c>
      <c r="AB1808"/>
      <c r="AC1808"/>
    </row>
    <row r="1809" spans="21:29" ht="15">
      <c r="U1809" s="203" t="s">
        <v>10073</v>
      </c>
      <c r="V1809" t="str">
        <f t="shared" si="183"/>
        <v>26</v>
      </c>
      <c r="W1809" t="str">
        <f t="shared" si="184"/>
        <v>10</v>
      </c>
      <c r="X1809" t="str">
        <f t="shared" si="185"/>
        <v>07</v>
      </c>
      <c r="Y1809" t="str">
        <f t="shared" si="181"/>
        <v>2007</v>
      </c>
      <c r="Z1809"/>
      <c r="AA1809" s="2">
        <f t="shared" si="182"/>
        <v>39381</v>
      </c>
      <c r="AB1809"/>
      <c r="AC1809"/>
    </row>
    <row r="1810" spans="21:29" ht="15">
      <c r="U1810" s="203" t="s">
        <v>10074</v>
      </c>
      <c r="V1810" t="str">
        <f t="shared" si="183"/>
        <v>29</v>
      </c>
      <c r="W1810" t="str">
        <f t="shared" si="184"/>
        <v>10</v>
      </c>
      <c r="X1810" t="str">
        <f t="shared" si="185"/>
        <v>07</v>
      </c>
      <c r="Y1810" t="str">
        <f t="shared" si="181"/>
        <v>2007</v>
      </c>
      <c r="Z1810"/>
      <c r="AA1810" s="2">
        <f t="shared" si="182"/>
        <v>39384</v>
      </c>
      <c r="AB1810"/>
      <c r="AC1810"/>
    </row>
    <row r="1811" spans="21:29" ht="15">
      <c r="U1811" s="203">
        <v>39093</v>
      </c>
      <c r="V1811" t="str">
        <f t="shared" ref="V1811:V1816" si="186">LEFT(AB1811,2)</f>
        <v>01</v>
      </c>
      <c r="W1811" t="str">
        <f t="shared" ref="W1811:W1816" si="187">MID(AB1811,4,2)</f>
        <v>11</v>
      </c>
      <c r="X1811" t="str">
        <f t="shared" ref="X1811:X1816" si="188">RIGHT(AB1811,2)</f>
        <v>07</v>
      </c>
      <c r="Y1811" t="str">
        <f t="shared" si="181"/>
        <v>2007</v>
      </c>
      <c r="Z1811"/>
      <c r="AA1811" s="2">
        <f t="shared" si="182"/>
        <v>39387</v>
      </c>
      <c r="AB1811" t="str">
        <f t="shared" ref="AB1811:AB1816" si="189">TEXT(U1811, "mm/dd/yyyy")</f>
        <v>01/11/2007</v>
      </c>
      <c r="AC1811"/>
    </row>
    <row r="1812" spans="21:29" ht="15">
      <c r="U1812" s="203">
        <v>39093</v>
      </c>
      <c r="V1812" t="str">
        <f t="shared" si="186"/>
        <v>01</v>
      </c>
      <c r="W1812" t="str">
        <f t="shared" si="187"/>
        <v>11</v>
      </c>
      <c r="X1812" t="str">
        <f t="shared" si="188"/>
        <v>07</v>
      </c>
      <c r="Y1812" t="str">
        <f t="shared" si="181"/>
        <v>2007</v>
      </c>
      <c r="Z1812"/>
      <c r="AA1812" s="2">
        <f t="shared" si="182"/>
        <v>39387</v>
      </c>
      <c r="AB1812" t="str">
        <f t="shared" si="189"/>
        <v>01/11/2007</v>
      </c>
      <c r="AC1812"/>
    </row>
    <row r="1813" spans="21:29" ht="15">
      <c r="U1813" s="203">
        <v>39124</v>
      </c>
      <c r="V1813" t="str">
        <f t="shared" si="186"/>
        <v>02</v>
      </c>
      <c r="W1813" t="str">
        <f t="shared" si="187"/>
        <v>11</v>
      </c>
      <c r="X1813" t="str">
        <f t="shared" si="188"/>
        <v>07</v>
      </c>
      <c r="Y1813" t="str">
        <f t="shared" si="181"/>
        <v>2007</v>
      </c>
      <c r="Z1813"/>
      <c r="AA1813" s="2">
        <f t="shared" si="182"/>
        <v>39388</v>
      </c>
      <c r="AB1813" t="str">
        <f t="shared" si="189"/>
        <v>02/11/2007</v>
      </c>
      <c r="AC1813"/>
    </row>
    <row r="1814" spans="21:29" ht="15">
      <c r="U1814" s="203">
        <v>39152</v>
      </c>
      <c r="V1814" t="str">
        <f t="shared" si="186"/>
        <v>03</v>
      </c>
      <c r="W1814" t="str">
        <f t="shared" si="187"/>
        <v>11</v>
      </c>
      <c r="X1814" t="str">
        <f t="shared" si="188"/>
        <v>07</v>
      </c>
      <c r="Y1814" t="str">
        <f t="shared" si="181"/>
        <v>2007</v>
      </c>
      <c r="Z1814"/>
      <c r="AA1814" s="2">
        <f t="shared" si="182"/>
        <v>39389</v>
      </c>
      <c r="AB1814" t="str">
        <f t="shared" si="189"/>
        <v>03/11/2007</v>
      </c>
      <c r="AC1814"/>
    </row>
    <row r="1815" spans="21:29" ht="15">
      <c r="U1815" s="203">
        <v>39152</v>
      </c>
      <c r="V1815" t="str">
        <f t="shared" si="186"/>
        <v>03</v>
      </c>
      <c r="W1815" t="str">
        <f t="shared" si="187"/>
        <v>11</v>
      </c>
      <c r="X1815" t="str">
        <f t="shared" si="188"/>
        <v>07</v>
      </c>
      <c r="Y1815" t="str">
        <f t="shared" si="181"/>
        <v>2007</v>
      </c>
      <c r="Z1815"/>
      <c r="AA1815" s="2">
        <f t="shared" si="182"/>
        <v>39389</v>
      </c>
      <c r="AB1815" t="str">
        <f t="shared" si="189"/>
        <v>03/11/2007</v>
      </c>
      <c r="AC1815"/>
    </row>
    <row r="1816" spans="21:29" ht="15">
      <c r="U1816" s="203">
        <v>39366</v>
      </c>
      <c r="V1816" t="str">
        <f t="shared" si="186"/>
        <v>10</v>
      </c>
      <c r="W1816" t="str">
        <f t="shared" si="187"/>
        <v>11</v>
      </c>
      <c r="X1816" t="str">
        <f t="shared" si="188"/>
        <v>07</v>
      </c>
      <c r="Y1816" t="str">
        <f t="shared" si="181"/>
        <v>2007</v>
      </c>
      <c r="Z1816"/>
      <c r="AA1816" s="2">
        <f t="shared" si="182"/>
        <v>39396</v>
      </c>
      <c r="AB1816" t="str">
        <f t="shared" si="189"/>
        <v>10/11/2007</v>
      </c>
      <c r="AC1816"/>
    </row>
    <row r="1817" spans="21:29" ht="15">
      <c r="U1817" s="203" t="s">
        <v>10075</v>
      </c>
      <c r="V1817" t="str">
        <f t="shared" ref="V1817:V1820" si="190">LEFT(U1817,2)</f>
        <v>19</v>
      </c>
      <c r="W1817" t="str">
        <f t="shared" ref="W1817:W1820" si="191">MID(U1817,4,2)</f>
        <v>11</v>
      </c>
      <c r="X1817" t="str">
        <f t="shared" ref="X1817:X1820" si="192">RIGHT(U1817,2)</f>
        <v>07</v>
      </c>
      <c r="Y1817" t="str">
        <f t="shared" si="181"/>
        <v>2007</v>
      </c>
      <c r="Z1817"/>
      <c r="AA1817" s="2">
        <f t="shared" si="182"/>
        <v>39405</v>
      </c>
      <c r="AB1817"/>
      <c r="AC1817"/>
    </row>
    <row r="1818" spans="21:29" ht="15">
      <c r="U1818" s="203" t="s">
        <v>10076</v>
      </c>
      <c r="V1818" t="str">
        <f t="shared" si="190"/>
        <v>22</v>
      </c>
      <c r="W1818" t="str">
        <f t="shared" si="191"/>
        <v>11</v>
      </c>
      <c r="X1818" t="str">
        <f t="shared" si="192"/>
        <v>07</v>
      </c>
      <c r="Y1818" t="str">
        <f t="shared" si="181"/>
        <v>2007</v>
      </c>
      <c r="Z1818"/>
      <c r="AA1818" s="2">
        <f t="shared" si="182"/>
        <v>39408</v>
      </c>
      <c r="AB1818"/>
      <c r="AC1818"/>
    </row>
    <row r="1819" spans="21:29" ht="15">
      <c r="U1819" s="203" t="s">
        <v>10077</v>
      </c>
      <c r="V1819" t="str">
        <f t="shared" si="190"/>
        <v>26</v>
      </c>
      <c r="W1819" t="str">
        <f t="shared" si="191"/>
        <v>11</v>
      </c>
      <c r="X1819" t="str">
        <f t="shared" si="192"/>
        <v>07</v>
      </c>
      <c r="Y1819" t="str">
        <f t="shared" si="181"/>
        <v>2007</v>
      </c>
      <c r="Z1819"/>
      <c r="AA1819" s="2">
        <f t="shared" si="182"/>
        <v>39412</v>
      </c>
      <c r="AB1819"/>
      <c r="AC1819"/>
    </row>
    <row r="1820" spans="21:29" ht="15">
      <c r="U1820" s="203" t="s">
        <v>10078</v>
      </c>
      <c r="V1820" t="str">
        <f t="shared" si="190"/>
        <v>28</v>
      </c>
      <c r="W1820" t="str">
        <f t="shared" si="191"/>
        <v>11</v>
      </c>
      <c r="X1820" t="str">
        <f t="shared" si="192"/>
        <v>07</v>
      </c>
      <c r="Y1820" t="str">
        <f t="shared" si="181"/>
        <v>2007</v>
      </c>
      <c r="Z1820"/>
      <c r="AA1820" s="2">
        <f t="shared" si="182"/>
        <v>39414</v>
      </c>
      <c r="AB1820"/>
      <c r="AC1820"/>
    </row>
    <row r="1821" spans="21:29" ht="15">
      <c r="U1821" s="203">
        <v>39094</v>
      </c>
      <c r="V1821" t="str">
        <f t="shared" ref="V1821:V1830" si="193">LEFT(AB1821,2)</f>
        <v>01</v>
      </c>
      <c r="W1821" t="str">
        <f t="shared" ref="W1821:W1830" si="194">MID(AB1821,4,2)</f>
        <v>12</v>
      </c>
      <c r="X1821" t="str">
        <f t="shared" ref="X1821:X1830" si="195">RIGHT(AB1821,2)</f>
        <v>07</v>
      </c>
      <c r="Y1821" t="str">
        <f t="shared" si="181"/>
        <v>2007</v>
      </c>
      <c r="Z1821"/>
      <c r="AA1821" s="2">
        <f t="shared" si="182"/>
        <v>39417</v>
      </c>
      <c r="AB1821" t="str">
        <f t="shared" ref="AB1821:AB1830" si="196">TEXT(U1821, "mm/dd/yyyy")</f>
        <v>01/12/2007</v>
      </c>
      <c r="AC1821"/>
    </row>
    <row r="1822" spans="21:29" ht="15">
      <c r="U1822" s="203">
        <v>39184</v>
      </c>
      <c r="V1822" t="str">
        <f t="shared" si="193"/>
        <v>04</v>
      </c>
      <c r="W1822" t="str">
        <f t="shared" si="194"/>
        <v>12</v>
      </c>
      <c r="X1822" t="str">
        <f t="shared" si="195"/>
        <v>07</v>
      </c>
      <c r="Y1822" t="str">
        <f t="shared" si="181"/>
        <v>2007</v>
      </c>
      <c r="Z1822"/>
      <c r="AA1822" s="2">
        <f t="shared" si="182"/>
        <v>39420</v>
      </c>
      <c r="AB1822" t="str">
        <f t="shared" si="196"/>
        <v>04/12/2007</v>
      </c>
      <c r="AC1822"/>
    </row>
    <row r="1823" spans="21:29" ht="15">
      <c r="U1823" s="203">
        <v>39184</v>
      </c>
      <c r="V1823" t="str">
        <f t="shared" si="193"/>
        <v>04</v>
      </c>
      <c r="W1823" t="str">
        <f t="shared" si="194"/>
        <v>12</v>
      </c>
      <c r="X1823" t="str">
        <f t="shared" si="195"/>
        <v>07</v>
      </c>
      <c r="Y1823" t="str">
        <f t="shared" si="181"/>
        <v>2007</v>
      </c>
      <c r="Z1823"/>
      <c r="AA1823" s="2">
        <f t="shared" si="182"/>
        <v>39420</v>
      </c>
      <c r="AB1823" t="str">
        <f t="shared" si="196"/>
        <v>04/12/2007</v>
      </c>
      <c r="AC1823"/>
    </row>
    <row r="1824" spans="21:29" ht="15">
      <c r="U1824" s="203">
        <v>39184</v>
      </c>
      <c r="V1824" t="str">
        <f t="shared" si="193"/>
        <v>04</v>
      </c>
      <c r="W1824" t="str">
        <f t="shared" si="194"/>
        <v>12</v>
      </c>
      <c r="X1824" t="str">
        <f t="shared" si="195"/>
        <v>07</v>
      </c>
      <c r="Y1824" t="str">
        <f t="shared" si="181"/>
        <v>2007</v>
      </c>
      <c r="Z1824"/>
      <c r="AA1824" s="2">
        <f t="shared" si="182"/>
        <v>39420</v>
      </c>
      <c r="AB1824" t="str">
        <f t="shared" si="196"/>
        <v>04/12/2007</v>
      </c>
      <c r="AC1824"/>
    </row>
    <row r="1825" spans="21:29" ht="15">
      <c r="U1825" s="203">
        <v>39275</v>
      </c>
      <c r="V1825" t="str">
        <f t="shared" si="193"/>
        <v>07</v>
      </c>
      <c r="W1825" t="str">
        <f t="shared" si="194"/>
        <v>12</v>
      </c>
      <c r="X1825" t="str">
        <f t="shared" si="195"/>
        <v>07</v>
      </c>
      <c r="Y1825" t="str">
        <f t="shared" si="181"/>
        <v>2007</v>
      </c>
      <c r="Z1825"/>
      <c r="AA1825" s="2">
        <f t="shared" si="182"/>
        <v>39423</v>
      </c>
      <c r="AB1825" t="str">
        <f t="shared" si="196"/>
        <v>07/12/2007</v>
      </c>
      <c r="AC1825"/>
    </row>
    <row r="1826" spans="21:29" ht="15">
      <c r="U1826" s="203">
        <v>39448</v>
      </c>
      <c r="V1826" t="str">
        <f t="shared" si="193"/>
        <v>01</v>
      </c>
      <c r="W1826" t="str">
        <f t="shared" si="194"/>
        <v>01</v>
      </c>
      <c r="X1826" t="str">
        <f t="shared" si="195"/>
        <v>08</v>
      </c>
      <c r="Y1826" t="str">
        <f t="shared" si="181"/>
        <v>2008</v>
      </c>
      <c r="Z1826"/>
      <c r="AA1826" s="2">
        <f t="shared" si="182"/>
        <v>39448</v>
      </c>
      <c r="AB1826" t="str">
        <f t="shared" si="196"/>
        <v>01/01/2008</v>
      </c>
      <c r="AC1826"/>
    </row>
    <row r="1827" spans="21:29" ht="15">
      <c r="U1827" s="203">
        <v>39448</v>
      </c>
      <c r="V1827" t="str">
        <f t="shared" si="193"/>
        <v>01</v>
      </c>
      <c r="W1827" t="str">
        <f t="shared" si="194"/>
        <v>01</v>
      </c>
      <c r="X1827" t="str">
        <f t="shared" si="195"/>
        <v>08</v>
      </c>
      <c r="Y1827" t="str">
        <f t="shared" si="181"/>
        <v>2008</v>
      </c>
      <c r="Z1827"/>
      <c r="AA1827" s="2">
        <f t="shared" si="182"/>
        <v>39448</v>
      </c>
      <c r="AB1827" t="str">
        <f t="shared" si="196"/>
        <v>01/01/2008</v>
      </c>
      <c r="AC1827"/>
    </row>
    <row r="1828" spans="21:29" ht="15">
      <c r="U1828" s="203">
        <v>39479</v>
      </c>
      <c r="V1828" t="str">
        <f t="shared" si="193"/>
        <v>02</v>
      </c>
      <c r="W1828" t="str">
        <f t="shared" si="194"/>
        <v>01</v>
      </c>
      <c r="X1828" t="str">
        <f t="shared" si="195"/>
        <v>08</v>
      </c>
      <c r="Y1828" t="str">
        <f t="shared" si="181"/>
        <v>2008</v>
      </c>
      <c r="Z1828"/>
      <c r="AA1828" s="2">
        <f t="shared" si="182"/>
        <v>39449</v>
      </c>
      <c r="AB1828" t="str">
        <f t="shared" si="196"/>
        <v>02/01/2008</v>
      </c>
      <c r="AC1828"/>
    </row>
    <row r="1829" spans="21:29" ht="15">
      <c r="U1829" s="203">
        <v>39508</v>
      </c>
      <c r="V1829" t="str">
        <f t="shared" si="193"/>
        <v>03</v>
      </c>
      <c r="W1829" t="str">
        <f t="shared" si="194"/>
        <v>01</v>
      </c>
      <c r="X1829" t="str">
        <f t="shared" si="195"/>
        <v>08</v>
      </c>
      <c r="Y1829" t="str">
        <f t="shared" si="181"/>
        <v>2008</v>
      </c>
      <c r="Z1829"/>
      <c r="AA1829" s="2">
        <f t="shared" si="182"/>
        <v>39450</v>
      </c>
      <c r="AB1829" t="str">
        <f t="shared" si="196"/>
        <v>03/01/2008</v>
      </c>
      <c r="AC1829"/>
    </row>
    <row r="1830" spans="21:29" ht="15">
      <c r="U1830" s="203">
        <v>39630</v>
      </c>
      <c r="V1830" t="str">
        <f t="shared" si="193"/>
        <v>07</v>
      </c>
      <c r="W1830" t="str">
        <f t="shared" si="194"/>
        <v>01</v>
      </c>
      <c r="X1830" t="str">
        <f t="shared" si="195"/>
        <v>08</v>
      </c>
      <c r="Y1830" t="str">
        <f t="shared" si="181"/>
        <v>2008</v>
      </c>
      <c r="Z1830"/>
      <c r="AA1830" s="2">
        <f t="shared" si="182"/>
        <v>39454</v>
      </c>
      <c r="AB1830" t="str">
        <f t="shared" si="196"/>
        <v>07/01/2008</v>
      </c>
      <c r="AC1830"/>
    </row>
    <row r="1831" spans="21:29" ht="15">
      <c r="U1831" s="203" t="s">
        <v>10079</v>
      </c>
      <c r="V1831" t="str">
        <f t="shared" ref="V1831:V1838" si="197">LEFT(U1831,2)</f>
        <v>14</v>
      </c>
      <c r="W1831" t="str">
        <f t="shared" ref="W1831:W1838" si="198">MID(U1831,4,2)</f>
        <v>01</v>
      </c>
      <c r="X1831" t="str">
        <f t="shared" ref="X1831:X1838" si="199">RIGHT(U1831,2)</f>
        <v>08</v>
      </c>
      <c r="Y1831" t="str">
        <f t="shared" si="181"/>
        <v>2008</v>
      </c>
      <c r="Z1831"/>
      <c r="AA1831" s="2">
        <f t="shared" si="182"/>
        <v>39461</v>
      </c>
      <c r="AB1831"/>
      <c r="AC1831"/>
    </row>
    <row r="1832" spans="21:29" ht="15">
      <c r="U1832" s="203" t="s">
        <v>10079</v>
      </c>
      <c r="V1832" t="str">
        <f t="shared" si="197"/>
        <v>14</v>
      </c>
      <c r="W1832" t="str">
        <f t="shared" si="198"/>
        <v>01</v>
      </c>
      <c r="X1832" t="str">
        <f t="shared" si="199"/>
        <v>08</v>
      </c>
      <c r="Y1832" t="str">
        <f t="shared" si="181"/>
        <v>2008</v>
      </c>
      <c r="Z1832"/>
      <c r="AA1832" s="2">
        <f t="shared" si="182"/>
        <v>39461</v>
      </c>
      <c r="AB1832"/>
      <c r="AC1832"/>
    </row>
    <row r="1833" spans="21:29" ht="15">
      <c r="U1833" s="203" t="s">
        <v>10079</v>
      </c>
      <c r="V1833" t="str">
        <f t="shared" si="197"/>
        <v>14</v>
      </c>
      <c r="W1833" t="str">
        <f t="shared" si="198"/>
        <v>01</v>
      </c>
      <c r="X1833" t="str">
        <f t="shared" si="199"/>
        <v>08</v>
      </c>
      <c r="Y1833" t="str">
        <f t="shared" si="181"/>
        <v>2008</v>
      </c>
      <c r="Z1833"/>
      <c r="AA1833" s="2">
        <f t="shared" si="182"/>
        <v>39461</v>
      </c>
      <c r="AB1833"/>
      <c r="AC1833"/>
    </row>
    <row r="1834" spans="21:29" ht="15">
      <c r="U1834" s="203" t="s">
        <v>10080</v>
      </c>
      <c r="V1834" t="str">
        <f t="shared" si="197"/>
        <v>16</v>
      </c>
      <c r="W1834" t="str">
        <f t="shared" si="198"/>
        <v>01</v>
      </c>
      <c r="X1834" t="str">
        <f t="shared" si="199"/>
        <v>08</v>
      </c>
      <c r="Y1834" t="str">
        <f t="shared" si="181"/>
        <v>2008</v>
      </c>
      <c r="Z1834"/>
      <c r="AA1834" s="2">
        <f t="shared" si="182"/>
        <v>39463</v>
      </c>
      <c r="AB1834"/>
      <c r="AC1834"/>
    </row>
    <row r="1835" spans="21:29" ht="15">
      <c r="U1835" s="203" t="s">
        <v>10081</v>
      </c>
      <c r="V1835" t="str">
        <f t="shared" si="197"/>
        <v>19</v>
      </c>
      <c r="W1835" t="str">
        <f t="shared" si="198"/>
        <v>01</v>
      </c>
      <c r="X1835" t="str">
        <f t="shared" si="199"/>
        <v>08</v>
      </c>
      <c r="Y1835" t="str">
        <f t="shared" si="181"/>
        <v>2008</v>
      </c>
      <c r="Z1835"/>
      <c r="AA1835" s="2">
        <f t="shared" si="182"/>
        <v>39466</v>
      </c>
      <c r="AB1835"/>
      <c r="AC1835"/>
    </row>
    <row r="1836" spans="21:29" ht="15">
      <c r="U1836" s="203" t="s">
        <v>10081</v>
      </c>
      <c r="V1836" t="str">
        <f t="shared" si="197"/>
        <v>19</v>
      </c>
      <c r="W1836" t="str">
        <f t="shared" si="198"/>
        <v>01</v>
      </c>
      <c r="X1836" t="str">
        <f t="shared" si="199"/>
        <v>08</v>
      </c>
      <c r="Y1836" t="str">
        <f t="shared" si="181"/>
        <v>2008</v>
      </c>
      <c r="Z1836"/>
      <c r="AA1836" s="2">
        <f t="shared" si="182"/>
        <v>39466</v>
      </c>
      <c r="AB1836"/>
      <c r="AC1836"/>
    </row>
    <row r="1837" spans="21:29" ht="15">
      <c r="U1837" s="203" t="s">
        <v>10082</v>
      </c>
      <c r="V1837" t="str">
        <f t="shared" si="197"/>
        <v>28</v>
      </c>
      <c r="W1837" t="str">
        <f t="shared" si="198"/>
        <v>01</v>
      </c>
      <c r="X1837" t="str">
        <f t="shared" si="199"/>
        <v>08</v>
      </c>
      <c r="Y1837" t="str">
        <f t="shared" si="181"/>
        <v>2008</v>
      </c>
      <c r="Z1837"/>
      <c r="AA1837" s="2">
        <f t="shared" si="182"/>
        <v>39475</v>
      </c>
      <c r="AB1837"/>
      <c r="AC1837"/>
    </row>
    <row r="1838" spans="21:29" ht="15">
      <c r="U1838" s="203" t="s">
        <v>10083</v>
      </c>
      <c r="V1838" t="str">
        <f t="shared" si="197"/>
        <v>30</v>
      </c>
      <c r="W1838" t="str">
        <f t="shared" si="198"/>
        <v>01</v>
      </c>
      <c r="X1838" t="str">
        <f t="shared" si="199"/>
        <v>08</v>
      </c>
      <c r="Y1838" t="str">
        <f t="shared" si="181"/>
        <v>2008</v>
      </c>
      <c r="Z1838"/>
      <c r="AA1838" s="2">
        <f t="shared" si="182"/>
        <v>39477</v>
      </c>
      <c r="AB1838"/>
      <c r="AC1838"/>
    </row>
    <row r="1839" spans="21:29" ht="15">
      <c r="U1839" s="203">
        <v>39449</v>
      </c>
      <c r="V1839" t="str">
        <f t="shared" ref="V1839:V1852" si="200">LEFT(AB1839,2)</f>
        <v>01</v>
      </c>
      <c r="W1839" t="str">
        <f t="shared" ref="W1839:W1852" si="201">MID(AB1839,4,2)</f>
        <v>02</v>
      </c>
      <c r="X1839" t="str">
        <f t="shared" ref="X1839:X1852" si="202">RIGHT(AB1839,2)</f>
        <v>08</v>
      </c>
      <c r="Y1839" t="str">
        <f t="shared" si="181"/>
        <v>2008</v>
      </c>
      <c r="Z1839"/>
      <c r="AA1839" s="2">
        <f t="shared" si="182"/>
        <v>39479</v>
      </c>
      <c r="AB1839" t="str">
        <f t="shared" ref="AB1839:AB1852" si="203">TEXT(U1839, "mm/dd/yyyy")</f>
        <v>01/02/2008</v>
      </c>
      <c r="AC1839"/>
    </row>
    <row r="1840" spans="21:29" ht="15">
      <c r="U1840" s="203">
        <v>39449</v>
      </c>
      <c r="V1840" t="str">
        <f t="shared" si="200"/>
        <v>01</v>
      </c>
      <c r="W1840" t="str">
        <f t="shared" si="201"/>
        <v>02</v>
      </c>
      <c r="X1840" t="str">
        <f t="shared" si="202"/>
        <v>08</v>
      </c>
      <c r="Y1840" t="str">
        <f t="shared" si="181"/>
        <v>2008</v>
      </c>
      <c r="Z1840"/>
      <c r="AA1840" s="2">
        <f t="shared" si="182"/>
        <v>39479</v>
      </c>
      <c r="AB1840" t="str">
        <f t="shared" si="203"/>
        <v>01/02/2008</v>
      </c>
      <c r="AC1840"/>
    </row>
    <row r="1841" spans="21:29" ht="15">
      <c r="U1841" s="203">
        <v>39540</v>
      </c>
      <c r="V1841" t="str">
        <f t="shared" si="200"/>
        <v>04</v>
      </c>
      <c r="W1841" t="str">
        <f t="shared" si="201"/>
        <v>02</v>
      </c>
      <c r="X1841" t="str">
        <f t="shared" si="202"/>
        <v>08</v>
      </c>
      <c r="Y1841" t="str">
        <f t="shared" si="181"/>
        <v>2008</v>
      </c>
      <c r="Z1841"/>
      <c r="AA1841" s="2">
        <f t="shared" si="182"/>
        <v>39482</v>
      </c>
      <c r="AB1841" t="str">
        <f t="shared" si="203"/>
        <v>04/02/2008</v>
      </c>
      <c r="AC1841"/>
    </row>
    <row r="1842" spans="21:29" ht="15">
      <c r="U1842" s="203">
        <v>39570</v>
      </c>
      <c r="V1842" t="str">
        <f t="shared" si="200"/>
        <v>05</v>
      </c>
      <c r="W1842" t="str">
        <f t="shared" si="201"/>
        <v>02</v>
      </c>
      <c r="X1842" t="str">
        <f t="shared" si="202"/>
        <v>08</v>
      </c>
      <c r="Y1842" t="str">
        <f t="shared" si="181"/>
        <v>2008</v>
      </c>
      <c r="Z1842"/>
      <c r="AA1842" s="2">
        <f t="shared" si="182"/>
        <v>39483</v>
      </c>
      <c r="AB1842" t="str">
        <f t="shared" si="203"/>
        <v>05/02/2008</v>
      </c>
      <c r="AC1842"/>
    </row>
    <row r="1843" spans="21:29" ht="15">
      <c r="U1843" s="203">
        <v>39662</v>
      </c>
      <c r="V1843" t="str">
        <f t="shared" si="200"/>
        <v>08</v>
      </c>
      <c r="W1843" t="str">
        <f t="shared" si="201"/>
        <v>02</v>
      </c>
      <c r="X1843" t="str">
        <f t="shared" si="202"/>
        <v>08</v>
      </c>
      <c r="Y1843" t="str">
        <f t="shared" si="181"/>
        <v>2008</v>
      </c>
      <c r="Z1843"/>
      <c r="AA1843" s="2">
        <f t="shared" si="182"/>
        <v>39486</v>
      </c>
      <c r="AB1843" t="str">
        <f t="shared" si="203"/>
        <v>08/02/2008</v>
      </c>
      <c r="AC1843"/>
    </row>
    <row r="1844" spans="21:29" ht="15">
      <c r="U1844" s="203">
        <v>39662</v>
      </c>
      <c r="V1844" t="str">
        <f t="shared" si="200"/>
        <v>08</v>
      </c>
      <c r="W1844" t="str">
        <f t="shared" si="201"/>
        <v>02</v>
      </c>
      <c r="X1844" t="str">
        <f t="shared" si="202"/>
        <v>08</v>
      </c>
      <c r="Y1844" t="str">
        <f t="shared" si="181"/>
        <v>2008</v>
      </c>
      <c r="Z1844"/>
      <c r="AA1844" s="2">
        <f t="shared" si="182"/>
        <v>39486</v>
      </c>
      <c r="AB1844" t="str">
        <f t="shared" si="203"/>
        <v>08/02/2008</v>
      </c>
      <c r="AC1844"/>
    </row>
    <row r="1845" spans="21:29" ht="15">
      <c r="U1845" s="203">
        <v>39450</v>
      </c>
      <c r="V1845" t="str">
        <f t="shared" si="200"/>
        <v>01</v>
      </c>
      <c r="W1845" t="str">
        <f t="shared" si="201"/>
        <v>03</v>
      </c>
      <c r="X1845" t="str">
        <f t="shared" si="202"/>
        <v>08</v>
      </c>
      <c r="Y1845" t="str">
        <f t="shared" si="181"/>
        <v>2008</v>
      </c>
      <c r="Z1845"/>
      <c r="AA1845" s="2">
        <f t="shared" si="182"/>
        <v>39508</v>
      </c>
      <c r="AB1845" t="str">
        <f t="shared" si="203"/>
        <v>01/03/2008</v>
      </c>
      <c r="AC1845"/>
    </row>
    <row r="1846" spans="21:29" ht="15">
      <c r="U1846" s="203">
        <v>39450</v>
      </c>
      <c r="V1846" t="str">
        <f t="shared" si="200"/>
        <v>01</v>
      </c>
      <c r="W1846" t="str">
        <f t="shared" si="201"/>
        <v>03</v>
      </c>
      <c r="X1846" t="str">
        <f t="shared" si="202"/>
        <v>08</v>
      </c>
      <c r="Y1846" t="str">
        <f t="shared" si="181"/>
        <v>2008</v>
      </c>
      <c r="Z1846"/>
      <c r="AA1846" s="2">
        <f t="shared" si="182"/>
        <v>39508</v>
      </c>
      <c r="AB1846" t="str">
        <f t="shared" si="203"/>
        <v>01/03/2008</v>
      </c>
      <c r="AC1846"/>
    </row>
    <row r="1847" spans="21:29" ht="15">
      <c r="U1847" s="203">
        <v>39510</v>
      </c>
      <c r="V1847" t="str">
        <f t="shared" si="200"/>
        <v>03</v>
      </c>
      <c r="W1847" t="str">
        <f t="shared" si="201"/>
        <v>03</v>
      </c>
      <c r="X1847" t="str">
        <f t="shared" si="202"/>
        <v>08</v>
      </c>
      <c r="Y1847" t="str">
        <f t="shared" si="181"/>
        <v>2008</v>
      </c>
      <c r="Z1847"/>
      <c r="AA1847" s="2">
        <f t="shared" si="182"/>
        <v>39510</v>
      </c>
      <c r="AB1847" t="str">
        <f t="shared" si="203"/>
        <v>03/03/2008</v>
      </c>
      <c r="AC1847"/>
    </row>
    <row r="1848" spans="21:29" ht="15">
      <c r="U1848" s="203">
        <v>39571</v>
      </c>
      <c r="V1848" t="str">
        <f t="shared" si="200"/>
        <v>05</v>
      </c>
      <c r="W1848" t="str">
        <f t="shared" si="201"/>
        <v>03</v>
      </c>
      <c r="X1848" t="str">
        <f t="shared" si="202"/>
        <v>08</v>
      </c>
      <c r="Y1848" t="str">
        <f t="shared" si="181"/>
        <v>2008</v>
      </c>
      <c r="Z1848"/>
      <c r="AA1848" s="2">
        <f t="shared" si="182"/>
        <v>39512</v>
      </c>
      <c r="AB1848" t="str">
        <f t="shared" si="203"/>
        <v>05/03/2008</v>
      </c>
      <c r="AC1848"/>
    </row>
    <row r="1849" spans="21:29" ht="15">
      <c r="U1849" s="203">
        <v>39632</v>
      </c>
      <c r="V1849" t="str">
        <f t="shared" si="200"/>
        <v>07</v>
      </c>
      <c r="W1849" t="str">
        <f t="shared" si="201"/>
        <v>03</v>
      </c>
      <c r="X1849" t="str">
        <f t="shared" si="202"/>
        <v>08</v>
      </c>
      <c r="Y1849" t="str">
        <f t="shared" si="181"/>
        <v>2008</v>
      </c>
      <c r="Z1849"/>
      <c r="AA1849" s="2">
        <f t="shared" si="182"/>
        <v>39514</v>
      </c>
      <c r="AB1849" t="str">
        <f t="shared" si="203"/>
        <v>07/03/2008</v>
      </c>
      <c r="AC1849"/>
    </row>
    <row r="1850" spans="21:29" ht="15">
      <c r="U1850" s="203">
        <v>39663</v>
      </c>
      <c r="V1850" t="str">
        <f t="shared" si="200"/>
        <v>08</v>
      </c>
      <c r="W1850" t="str">
        <f t="shared" si="201"/>
        <v>03</v>
      </c>
      <c r="X1850" t="str">
        <f t="shared" si="202"/>
        <v>08</v>
      </c>
      <c r="Y1850" t="str">
        <f t="shared" si="181"/>
        <v>2008</v>
      </c>
      <c r="Z1850"/>
      <c r="AA1850" s="2">
        <f t="shared" si="182"/>
        <v>39515</v>
      </c>
      <c r="AB1850" t="str">
        <f t="shared" si="203"/>
        <v>08/03/2008</v>
      </c>
      <c r="AC1850"/>
    </row>
    <row r="1851" spans="21:29" ht="15">
      <c r="U1851" s="203">
        <v>39755</v>
      </c>
      <c r="V1851" t="str">
        <f t="shared" si="200"/>
        <v>11</v>
      </c>
      <c r="W1851" t="str">
        <f t="shared" si="201"/>
        <v>03</v>
      </c>
      <c r="X1851" t="str">
        <f t="shared" si="202"/>
        <v>08</v>
      </c>
      <c r="Y1851" t="str">
        <f t="shared" si="181"/>
        <v>2008</v>
      </c>
      <c r="Z1851"/>
      <c r="AA1851" s="2">
        <f t="shared" si="182"/>
        <v>39518</v>
      </c>
      <c r="AB1851" t="str">
        <f t="shared" si="203"/>
        <v>11/03/2008</v>
      </c>
      <c r="AC1851"/>
    </row>
    <row r="1852" spans="21:29" ht="15">
      <c r="U1852" s="203">
        <v>39755</v>
      </c>
      <c r="V1852" t="str">
        <f t="shared" si="200"/>
        <v>11</v>
      </c>
      <c r="W1852" t="str">
        <f t="shared" si="201"/>
        <v>03</v>
      </c>
      <c r="X1852" t="str">
        <f t="shared" si="202"/>
        <v>08</v>
      </c>
      <c r="Y1852" t="str">
        <f t="shared" si="181"/>
        <v>2008</v>
      </c>
      <c r="Z1852"/>
      <c r="AA1852" s="2">
        <f t="shared" si="182"/>
        <v>39518</v>
      </c>
      <c r="AB1852" t="str">
        <f t="shared" si="203"/>
        <v>11/03/2008</v>
      </c>
      <c r="AC1852"/>
    </row>
    <row r="1853" spans="21:29" ht="15">
      <c r="U1853" s="203" t="s">
        <v>10084</v>
      </c>
      <c r="V1853" t="str">
        <f t="shared" ref="V1853:V1859" si="204">LEFT(U1853,2)</f>
        <v>15</v>
      </c>
      <c r="W1853" t="str">
        <f t="shared" ref="W1853:W1859" si="205">MID(U1853,4,2)</f>
        <v>03</v>
      </c>
      <c r="X1853" t="str">
        <f t="shared" ref="X1853:X1859" si="206">RIGHT(U1853,2)</f>
        <v>08</v>
      </c>
      <c r="Y1853" t="str">
        <f t="shared" si="181"/>
        <v>2008</v>
      </c>
      <c r="Z1853"/>
      <c r="AA1853" s="2">
        <f t="shared" si="182"/>
        <v>39522</v>
      </c>
      <c r="AB1853"/>
      <c r="AC1853"/>
    </row>
    <row r="1854" spans="21:29" ht="15">
      <c r="U1854" s="203" t="s">
        <v>10085</v>
      </c>
      <c r="V1854" t="str">
        <f t="shared" si="204"/>
        <v>21</v>
      </c>
      <c r="W1854" t="str">
        <f t="shared" si="205"/>
        <v>03</v>
      </c>
      <c r="X1854" t="str">
        <f t="shared" si="206"/>
        <v>08</v>
      </c>
      <c r="Y1854" t="str">
        <f t="shared" si="181"/>
        <v>2008</v>
      </c>
      <c r="Z1854"/>
      <c r="AA1854" s="2">
        <f t="shared" si="182"/>
        <v>39528</v>
      </c>
      <c r="AB1854"/>
      <c r="AC1854"/>
    </row>
    <row r="1855" spans="21:29" ht="15">
      <c r="U1855" s="203" t="s">
        <v>10086</v>
      </c>
      <c r="V1855" t="str">
        <f t="shared" si="204"/>
        <v>25</v>
      </c>
      <c r="W1855" t="str">
        <f t="shared" si="205"/>
        <v>03</v>
      </c>
      <c r="X1855" t="str">
        <f t="shared" si="206"/>
        <v>08</v>
      </c>
      <c r="Y1855" t="str">
        <f t="shared" si="181"/>
        <v>2008</v>
      </c>
      <c r="Z1855"/>
      <c r="AA1855" s="2">
        <f t="shared" si="182"/>
        <v>39532</v>
      </c>
      <c r="AB1855"/>
      <c r="AC1855"/>
    </row>
    <row r="1856" spans="21:29" ht="15">
      <c r="U1856" s="203" t="s">
        <v>10087</v>
      </c>
      <c r="V1856" t="str">
        <f t="shared" si="204"/>
        <v>26</v>
      </c>
      <c r="W1856" t="str">
        <f t="shared" si="205"/>
        <v>03</v>
      </c>
      <c r="X1856" t="str">
        <f t="shared" si="206"/>
        <v>08</v>
      </c>
      <c r="Y1856" t="str">
        <f t="shared" si="181"/>
        <v>2008</v>
      </c>
      <c r="Z1856"/>
      <c r="AA1856" s="2">
        <f t="shared" si="182"/>
        <v>39533</v>
      </c>
      <c r="AB1856"/>
      <c r="AC1856"/>
    </row>
    <row r="1857" spans="21:29" ht="15">
      <c r="U1857" s="203" t="s">
        <v>10088</v>
      </c>
      <c r="V1857" t="str">
        <f t="shared" si="204"/>
        <v>28</v>
      </c>
      <c r="W1857" t="str">
        <f t="shared" si="205"/>
        <v>03</v>
      </c>
      <c r="X1857" t="str">
        <f t="shared" si="206"/>
        <v>08</v>
      </c>
      <c r="Y1857" t="str">
        <f t="shared" si="181"/>
        <v>2008</v>
      </c>
      <c r="Z1857"/>
      <c r="AA1857" s="2">
        <f t="shared" si="182"/>
        <v>39535</v>
      </c>
      <c r="AB1857"/>
      <c r="AC1857"/>
    </row>
    <row r="1858" spans="21:29" ht="15">
      <c r="U1858" s="203" t="s">
        <v>10088</v>
      </c>
      <c r="V1858" t="str">
        <f t="shared" si="204"/>
        <v>28</v>
      </c>
      <c r="W1858" t="str">
        <f t="shared" si="205"/>
        <v>03</v>
      </c>
      <c r="X1858" t="str">
        <f t="shared" si="206"/>
        <v>08</v>
      </c>
      <c r="Y1858" t="str">
        <f t="shared" si="181"/>
        <v>2008</v>
      </c>
      <c r="Z1858"/>
      <c r="AA1858" s="2">
        <f t="shared" si="182"/>
        <v>39535</v>
      </c>
      <c r="AB1858"/>
      <c r="AC1858"/>
    </row>
    <row r="1859" spans="21:29" ht="15">
      <c r="U1859" s="203" t="s">
        <v>10089</v>
      </c>
      <c r="V1859" t="str">
        <f t="shared" si="204"/>
        <v>31</v>
      </c>
      <c r="W1859" t="str">
        <f t="shared" si="205"/>
        <v>03</v>
      </c>
      <c r="X1859" t="str">
        <f t="shared" si="206"/>
        <v>08</v>
      </c>
      <c r="Y1859" t="str">
        <f t="shared" ref="Y1859:Y1922" si="207">"20" &amp; X1859</f>
        <v>2008</v>
      </c>
      <c r="Z1859"/>
      <c r="AA1859" s="2">
        <f t="shared" si="182"/>
        <v>39538</v>
      </c>
      <c r="AB1859"/>
      <c r="AC1859"/>
    </row>
    <row r="1860" spans="21:29" ht="15">
      <c r="U1860" s="203">
        <v>39451</v>
      </c>
      <c r="V1860" t="str">
        <f t="shared" ref="V1860:V1865" si="208">LEFT(AB1860,2)</f>
        <v>01</v>
      </c>
      <c r="W1860" t="str">
        <f t="shared" ref="W1860:W1865" si="209">MID(AB1860,4,2)</f>
        <v>04</v>
      </c>
      <c r="X1860" t="str">
        <f t="shared" ref="X1860:X1865" si="210">RIGHT(AB1860,2)</f>
        <v>08</v>
      </c>
      <c r="Y1860" t="str">
        <f t="shared" si="207"/>
        <v>2008</v>
      </c>
      <c r="Z1860"/>
      <c r="AA1860" s="2">
        <f t="shared" si="182"/>
        <v>39539</v>
      </c>
      <c r="AB1860" t="str">
        <f t="shared" ref="AB1860:AB1865" si="211">TEXT(U1860, "mm/dd/yyyy")</f>
        <v>01/04/2008</v>
      </c>
      <c r="AC1860"/>
    </row>
    <row r="1861" spans="21:29" ht="15">
      <c r="U1861" s="203">
        <v>39633</v>
      </c>
      <c r="V1861" t="str">
        <f t="shared" si="208"/>
        <v>07</v>
      </c>
      <c r="W1861" t="str">
        <f t="shared" si="209"/>
        <v>04</v>
      </c>
      <c r="X1861" t="str">
        <f t="shared" si="210"/>
        <v>08</v>
      </c>
      <c r="Y1861" t="str">
        <f t="shared" si="207"/>
        <v>2008</v>
      </c>
      <c r="Z1861"/>
      <c r="AA1861" s="2">
        <f t="shared" si="182"/>
        <v>39545</v>
      </c>
      <c r="AB1861" t="str">
        <f t="shared" si="211"/>
        <v>07/04/2008</v>
      </c>
      <c r="AC1861"/>
    </row>
    <row r="1862" spans="21:29" ht="15">
      <c r="U1862" s="203">
        <v>39664</v>
      </c>
      <c r="V1862" t="str">
        <f t="shared" si="208"/>
        <v>08</v>
      </c>
      <c r="W1862" t="str">
        <f t="shared" si="209"/>
        <v>04</v>
      </c>
      <c r="X1862" t="str">
        <f t="shared" si="210"/>
        <v>08</v>
      </c>
      <c r="Y1862" t="str">
        <f t="shared" si="207"/>
        <v>2008</v>
      </c>
      <c r="Z1862"/>
      <c r="AA1862" s="2">
        <f t="shared" si="182"/>
        <v>39546</v>
      </c>
      <c r="AB1862" t="str">
        <f t="shared" si="211"/>
        <v>08/04/2008</v>
      </c>
      <c r="AC1862"/>
    </row>
    <row r="1863" spans="21:29" ht="15">
      <c r="U1863" s="203">
        <v>39664</v>
      </c>
      <c r="V1863" t="str">
        <f t="shared" si="208"/>
        <v>08</v>
      </c>
      <c r="W1863" t="str">
        <f t="shared" si="209"/>
        <v>04</v>
      </c>
      <c r="X1863" t="str">
        <f t="shared" si="210"/>
        <v>08</v>
      </c>
      <c r="Y1863" t="str">
        <f t="shared" si="207"/>
        <v>2008</v>
      </c>
      <c r="Z1863"/>
      <c r="AA1863" s="2">
        <f t="shared" si="182"/>
        <v>39546</v>
      </c>
      <c r="AB1863" t="str">
        <f t="shared" si="211"/>
        <v>08/04/2008</v>
      </c>
      <c r="AC1863"/>
    </row>
    <row r="1864" spans="21:29" ht="15">
      <c r="U1864" s="203">
        <v>39664</v>
      </c>
      <c r="V1864" t="str">
        <f t="shared" si="208"/>
        <v>08</v>
      </c>
      <c r="W1864" t="str">
        <f t="shared" si="209"/>
        <v>04</v>
      </c>
      <c r="X1864" t="str">
        <f t="shared" si="210"/>
        <v>08</v>
      </c>
      <c r="Y1864" t="str">
        <f t="shared" si="207"/>
        <v>2008</v>
      </c>
      <c r="Z1864"/>
      <c r="AA1864" s="2">
        <f t="shared" ref="AA1864:AA1927" si="212">DATE(Y1864,W1864,V1864)</f>
        <v>39546</v>
      </c>
      <c r="AB1864" t="str">
        <f t="shared" si="211"/>
        <v>08/04/2008</v>
      </c>
      <c r="AC1864"/>
    </row>
    <row r="1865" spans="21:29" ht="15">
      <c r="U1865" s="203">
        <v>39756</v>
      </c>
      <c r="V1865" t="str">
        <f t="shared" si="208"/>
        <v>11</v>
      </c>
      <c r="W1865" t="str">
        <f t="shared" si="209"/>
        <v>04</v>
      </c>
      <c r="X1865" t="str">
        <f t="shared" si="210"/>
        <v>08</v>
      </c>
      <c r="Y1865" t="str">
        <f t="shared" si="207"/>
        <v>2008</v>
      </c>
      <c r="Z1865"/>
      <c r="AA1865" s="2">
        <f t="shared" si="212"/>
        <v>39549</v>
      </c>
      <c r="AB1865" t="str">
        <f t="shared" si="211"/>
        <v>11/04/2008</v>
      </c>
      <c r="AC1865"/>
    </row>
    <row r="1866" spans="21:29" ht="15">
      <c r="U1866" s="203" t="s">
        <v>10090</v>
      </c>
      <c r="V1866" t="str">
        <f t="shared" ref="V1866:V1870" si="213">LEFT(U1866,2)</f>
        <v>21</v>
      </c>
      <c r="W1866" t="str">
        <f t="shared" ref="W1866:W1870" si="214">MID(U1866,4,2)</f>
        <v>04</v>
      </c>
      <c r="X1866" t="str">
        <f t="shared" ref="X1866:X1870" si="215">RIGHT(U1866,2)</f>
        <v>08</v>
      </c>
      <c r="Y1866" t="str">
        <f t="shared" si="207"/>
        <v>2008</v>
      </c>
      <c r="Z1866"/>
      <c r="AA1866" s="2">
        <f t="shared" si="212"/>
        <v>39559</v>
      </c>
      <c r="AB1866"/>
      <c r="AC1866"/>
    </row>
    <row r="1867" spans="21:29" ht="15">
      <c r="U1867" s="203" t="s">
        <v>10091</v>
      </c>
      <c r="V1867" t="str">
        <f t="shared" si="213"/>
        <v>25</v>
      </c>
      <c r="W1867" t="str">
        <f t="shared" si="214"/>
        <v>04</v>
      </c>
      <c r="X1867" t="str">
        <f t="shared" si="215"/>
        <v>08</v>
      </c>
      <c r="Y1867" t="str">
        <f t="shared" si="207"/>
        <v>2008</v>
      </c>
      <c r="Z1867"/>
      <c r="AA1867" s="2">
        <f t="shared" si="212"/>
        <v>39563</v>
      </c>
      <c r="AB1867"/>
      <c r="AC1867"/>
    </row>
    <row r="1868" spans="21:29" ht="15">
      <c r="U1868" s="203" t="s">
        <v>10092</v>
      </c>
      <c r="V1868" t="str">
        <f t="shared" si="213"/>
        <v>28</v>
      </c>
      <c r="W1868" t="str">
        <f t="shared" si="214"/>
        <v>04</v>
      </c>
      <c r="X1868" t="str">
        <f t="shared" si="215"/>
        <v>08</v>
      </c>
      <c r="Y1868" t="str">
        <f t="shared" si="207"/>
        <v>2008</v>
      </c>
      <c r="Z1868"/>
      <c r="AA1868" s="2">
        <f t="shared" si="212"/>
        <v>39566</v>
      </c>
      <c r="AB1868"/>
      <c r="AC1868"/>
    </row>
    <row r="1869" spans="21:29" ht="15">
      <c r="U1869" s="203" t="s">
        <v>10092</v>
      </c>
      <c r="V1869" t="str">
        <f t="shared" si="213"/>
        <v>28</v>
      </c>
      <c r="W1869" t="str">
        <f t="shared" si="214"/>
        <v>04</v>
      </c>
      <c r="X1869" t="str">
        <f t="shared" si="215"/>
        <v>08</v>
      </c>
      <c r="Y1869" t="str">
        <f t="shared" si="207"/>
        <v>2008</v>
      </c>
      <c r="Z1869"/>
      <c r="AA1869" s="2">
        <f t="shared" si="212"/>
        <v>39566</v>
      </c>
      <c r="AB1869"/>
      <c r="AC1869"/>
    </row>
    <row r="1870" spans="21:29" ht="15">
      <c r="U1870" s="203" t="s">
        <v>10093</v>
      </c>
      <c r="V1870" t="str">
        <f t="shared" si="213"/>
        <v>29</v>
      </c>
      <c r="W1870" t="str">
        <f t="shared" si="214"/>
        <v>04</v>
      </c>
      <c r="X1870" t="str">
        <f t="shared" si="215"/>
        <v>08</v>
      </c>
      <c r="Y1870" t="str">
        <f t="shared" si="207"/>
        <v>2008</v>
      </c>
      <c r="Z1870"/>
      <c r="AA1870" s="2">
        <f t="shared" si="212"/>
        <v>39567</v>
      </c>
      <c r="AB1870"/>
      <c r="AC1870"/>
    </row>
    <row r="1871" spans="21:29" ht="15">
      <c r="U1871" s="203">
        <v>39600</v>
      </c>
      <c r="V1871" t="str">
        <f t="shared" ref="V1871:V1934" si="216">LEFT(AB1871,2)</f>
        <v>06</v>
      </c>
      <c r="W1871" t="str">
        <f t="shared" ref="W1871:W1934" si="217">MID(AB1871,4,2)</f>
        <v>01</v>
      </c>
      <c r="X1871" t="str">
        <f t="shared" ref="X1871:X1934" si="218">RIGHT(AB1871,2)</f>
        <v>08</v>
      </c>
      <c r="Y1871" t="str">
        <f t="shared" si="207"/>
        <v>2008</v>
      </c>
      <c r="Z1871"/>
      <c r="AA1871" s="2">
        <f t="shared" si="212"/>
        <v>39453</v>
      </c>
      <c r="AB1871" t="str">
        <f t="shared" ref="AB1871:AB1934" si="219">TEXT(U1871, "mm/dd/yyyy")</f>
        <v>06/01/2008</v>
      </c>
      <c r="AC1871"/>
    </row>
    <row r="1872" spans="21:29" ht="15">
      <c r="U1872" s="203">
        <v>39601</v>
      </c>
      <c r="V1872" t="str">
        <f t="shared" si="216"/>
        <v>06</v>
      </c>
      <c r="W1872" t="str">
        <f t="shared" si="217"/>
        <v>02</v>
      </c>
      <c r="X1872" t="str">
        <f t="shared" si="218"/>
        <v>08</v>
      </c>
      <c r="Y1872" t="str">
        <f t="shared" si="207"/>
        <v>2008</v>
      </c>
      <c r="Z1872"/>
      <c r="AA1872" s="2">
        <f t="shared" si="212"/>
        <v>39484</v>
      </c>
      <c r="AB1872" t="str">
        <f t="shared" si="219"/>
        <v>06/02/2008</v>
      </c>
      <c r="AC1872"/>
    </row>
    <row r="1873" spans="21:29" ht="15">
      <c r="U1873" s="203">
        <v>39601</v>
      </c>
      <c r="V1873" t="str">
        <f t="shared" si="216"/>
        <v>06</v>
      </c>
      <c r="W1873" t="str">
        <f t="shared" si="217"/>
        <v>02</v>
      </c>
      <c r="X1873" t="str">
        <f t="shared" si="218"/>
        <v>08</v>
      </c>
      <c r="Y1873" t="str">
        <f t="shared" si="207"/>
        <v>2008</v>
      </c>
      <c r="Z1873"/>
      <c r="AA1873" s="2">
        <f t="shared" si="212"/>
        <v>39484</v>
      </c>
      <c r="AB1873" t="str">
        <f t="shared" si="219"/>
        <v>06/02/2008</v>
      </c>
      <c r="AC1873"/>
    </row>
    <row r="1874" spans="21:29" ht="15">
      <c r="U1874" s="203">
        <v>39601</v>
      </c>
      <c r="V1874" t="str">
        <f t="shared" si="216"/>
        <v>06</v>
      </c>
      <c r="W1874" t="str">
        <f t="shared" si="217"/>
        <v>02</v>
      </c>
      <c r="X1874" t="str">
        <f t="shared" si="218"/>
        <v>08</v>
      </c>
      <c r="Y1874" t="str">
        <f t="shared" si="207"/>
        <v>2008</v>
      </c>
      <c r="Z1874"/>
      <c r="AA1874" s="2">
        <f t="shared" si="212"/>
        <v>39484</v>
      </c>
      <c r="AB1874" t="str">
        <f t="shared" si="219"/>
        <v>06/02/2008</v>
      </c>
      <c r="AC1874"/>
    </row>
    <row r="1875" spans="21:29" ht="15">
      <c r="U1875" s="203">
        <v>39606</v>
      </c>
      <c r="V1875" t="str">
        <f t="shared" si="216"/>
        <v>06</v>
      </c>
      <c r="W1875" t="str">
        <f t="shared" si="217"/>
        <v>07</v>
      </c>
      <c r="X1875" t="str">
        <f t="shared" si="218"/>
        <v>08</v>
      </c>
      <c r="Y1875" t="str">
        <f t="shared" si="207"/>
        <v>2008</v>
      </c>
      <c r="Z1875"/>
      <c r="AA1875" s="2">
        <f t="shared" si="212"/>
        <v>39635</v>
      </c>
      <c r="AB1875" t="str">
        <f t="shared" si="219"/>
        <v>06/07/2008</v>
      </c>
      <c r="AC1875"/>
    </row>
    <row r="1876" spans="21:29" ht="15">
      <c r="U1876" s="203">
        <v>39609</v>
      </c>
      <c r="V1876" t="str">
        <f t="shared" si="216"/>
        <v>06</v>
      </c>
      <c r="W1876" t="str">
        <f t="shared" si="217"/>
        <v>10</v>
      </c>
      <c r="X1876" t="str">
        <f t="shared" si="218"/>
        <v>08</v>
      </c>
      <c r="Y1876" t="str">
        <f t="shared" si="207"/>
        <v>2008</v>
      </c>
      <c r="Z1876"/>
      <c r="AA1876" s="2">
        <f t="shared" si="212"/>
        <v>39727</v>
      </c>
      <c r="AB1876" t="str">
        <f t="shared" si="219"/>
        <v>06/10/2008</v>
      </c>
      <c r="AC1876"/>
    </row>
    <row r="1877" spans="21:29" ht="15">
      <c r="U1877" s="203">
        <v>39610</v>
      </c>
      <c r="V1877" t="str">
        <f t="shared" si="216"/>
        <v>06</v>
      </c>
      <c r="W1877" t="str">
        <f t="shared" si="217"/>
        <v>11</v>
      </c>
      <c r="X1877" t="str">
        <f t="shared" si="218"/>
        <v>08</v>
      </c>
      <c r="Y1877" t="str">
        <f t="shared" si="207"/>
        <v>2008</v>
      </c>
      <c r="Z1877"/>
      <c r="AA1877" s="2">
        <f t="shared" si="212"/>
        <v>39758</v>
      </c>
      <c r="AB1877" t="str">
        <f t="shared" si="219"/>
        <v>06/11/2008</v>
      </c>
      <c r="AC1877"/>
    </row>
    <row r="1878" spans="21:29" ht="15">
      <c r="U1878" s="203">
        <v>39615</v>
      </c>
      <c r="V1878" t="str">
        <f t="shared" si="216"/>
        <v>06</v>
      </c>
      <c r="W1878" t="str">
        <f t="shared" si="217"/>
        <v>16</v>
      </c>
      <c r="X1878" t="str">
        <f t="shared" si="218"/>
        <v>08</v>
      </c>
      <c r="Y1878" t="str">
        <f t="shared" si="207"/>
        <v>2008</v>
      </c>
      <c r="Z1878"/>
      <c r="AA1878" s="2">
        <f t="shared" si="212"/>
        <v>39909</v>
      </c>
      <c r="AB1878" t="str">
        <f t="shared" si="219"/>
        <v>06/16/2008</v>
      </c>
      <c r="AC1878"/>
    </row>
    <row r="1879" spans="21:29" ht="15">
      <c r="U1879" s="203">
        <v>39615</v>
      </c>
      <c r="V1879" t="str">
        <f t="shared" si="216"/>
        <v>06</v>
      </c>
      <c r="W1879" t="str">
        <f t="shared" si="217"/>
        <v>16</v>
      </c>
      <c r="X1879" t="str">
        <f t="shared" si="218"/>
        <v>08</v>
      </c>
      <c r="Y1879" t="str">
        <f t="shared" si="207"/>
        <v>2008</v>
      </c>
      <c r="Z1879"/>
      <c r="AA1879" s="2">
        <f t="shared" si="212"/>
        <v>39909</v>
      </c>
      <c r="AB1879" t="str">
        <f t="shared" si="219"/>
        <v>06/16/2008</v>
      </c>
      <c r="AC1879"/>
    </row>
    <row r="1880" spans="21:29" ht="15">
      <c r="U1880" s="203">
        <v>39625</v>
      </c>
      <c r="V1880" t="str">
        <f t="shared" si="216"/>
        <v>06</v>
      </c>
      <c r="W1880" t="str">
        <f t="shared" si="217"/>
        <v>26</v>
      </c>
      <c r="X1880" t="str">
        <f t="shared" si="218"/>
        <v>08</v>
      </c>
      <c r="Y1880" t="str">
        <f t="shared" si="207"/>
        <v>2008</v>
      </c>
      <c r="Z1880"/>
      <c r="AA1880" s="2">
        <f t="shared" si="212"/>
        <v>40215</v>
      </c>
      <c r="AB1880" t="str">
        <f t="shared" si="219"/>
        <v>06/26/2008</v>
      </c>
      <c r="AC1880"/>
    </row>
    <row r="1881" spans="21:29" ht="15">
      <c r="U1881" s="203">
        <v>39630</v>
      </c>
      <c r="V1881" t="str">
        <f t="shared" si="216"/>
        <v>07</v>
      </c>
      <c r="W1881" t="str">
        <f t="shared" si="217"/>
        <v>01</v>
      </c>
      <c r="X1881" t="str">
        <f t="shared" si="218"/>
        <v>08</v>
      </c>
      <c r="Y1881" t="str">
        <f t="shared" si="207"/>
        <v>2008</v>
      </c>
      <c r="Z1881"/>
      <c r="AA1881" s="2">
        <f t="shared" si="212"/>
        <v>39454</v>
      </c>
      <c r="AB1881" t="str">
        <f t="shared" si="219"/>
        <v>07/01/2008</v>
      </c>
      <c r="AC1881"/>
    </row>
    <row r="1882" spans="21:29" ht="15">
      <c r="U1882" s="203">
        <v>39632</v>
      </c>
      <c r="V1882" t="str">
        <f t="shared" si="216"/>
        <v>07</v>
      </c>
      <c r="W1882" t="str">
        <f t="shared" si="217"/>
        <v>03</v>
      </c>
      <c r="X1882" t="str">
        <f t="shared" si="218"/>
        <v>08</v>
      </c>
      <c r="Y1882" t="str">
        <f t="shared" si="207"/>
        <v>2008</v>
      </c>
      <c r="Z1882"/>
      <c r="AA1882" s="2">
        <f t="shared" si="212"/>
        <v>39514</v>
      </c>
      <c r="AB1882" t="str">
        <f t="shared" si="219"/>
        <v>07/03/2008</v>
      </c>
      <c r="AC1882"/>
    </row>
    <row r="1883" spans="21:29" ht="15">
      <c r="U1883" s="203">
        <v>39633</v>
      </c>
      <c r="V1883" t="str">
        <f t="shared" si="216"/>
        <v>07</v>
      </c>
      <c r="W1883" t="str">
        <f t="shared" si="217"/>
        <v>04</v>
      </c>
      <c r="X1883" t="str">
        <f t="shared" si="218"/>
        <v>08</v>
      </c>
      <c r="Y1883" t="str">
        <f t="shared" si="207"/>
        <v>2008</v>
      </c>
      <c r="Z1883"/>
      <c r="AA1883" s="2">
        <f t="shared" si="212"/>
        <v>39545</v>
      </c>
      <c r="AB1883" t="str">
        <f t="shared" si="219"/>
        <v>07/04/2008</v>
      </c>
      <c r="AC1883"/>
    </row>
    <row r="1884" spans="21:29" ht="15">
      <c r="U1884" s="203">
        <v>39644</v>
      </c>
      <c r="V1884" t="str">
        <f t="shared" si="216"/>
        <v>07</v>
      </c>
      <c r="W1884" t="str">
        <f t="shared" si="217"/>
        <v>15</v>
      </c>
      <c r="X1884" t="str">
        <f t="shared" si="218"/>
        <v>08</v>
      </c>
      <c r="Y1884" t="str">
        <f t="shared" si="207"/>
        <v>2008</v>
      </c>
      <c r="Z1884"/>
      <c r="AA1884" s="2">
        <f t="shared" si="212"/>
        <v>39879</v>
      </c>
      <c r="AB1884" t="str">
        <f t="shared" si="219"/>
        <v>07/15/2008</v>
      </c>
      <c r="AC1884"/>
    </row>
    <row r="1885" spans="21:29" ht="15">
      <c r="U1885" s="203">
        <v>39661</v>
      </c>
      <c r="V1885" t="str">
        <f t="shared" si="216"/>
        <v>08</v>
      </c>
      <c r="W1885" t="str">
        <f t="shared" si="217"/>
        <v>01</v>
      </c>
      <c r="X1885" t="str">
        <f t="shared" si="218"/>
        <v>08</v>
      </c>
      <c r="Y1885" t="str">
        <f t="shared" si="207"/>
        <v>2008</v>
      </c>
      <c r="Z1885"/>
      <c r="AA1885" s="2">
        <f t="shared" si="212"/>
        <v>39455</v>
      </c>
      <c r="AB1885" t="str">
        <f t="shared" si="219"/>
        <v>08/01/2008</v>
      </c>
      <c r="AC1885"/>
    </row>
    <row r="1886" spans="21:29" ht="15">
      <c r="U1886" s="203">
        <v>39666</v>
      </c>
      <c r="V1886" t="str">
        <f t="shared" si="216"/>
        <v>08</v>
      </c>
      <c r="W1886" t="str">
        <f t="shared" si="217"/>
        <v>06</v>
      </c>
      <c r="X1886" t="str">
        <f t="shared" si="218"/>
        <v>08</v>
      </c>
      <c r="Y1886" t="str">
        <f t="shared" si="207"/>
        <v>2008</v>
      </c>
      <c r="Z1886"/>
      <c r="AA1886" s="2">
        <f t="shared" si="212"/>
        <v>39607</v>
      </c>
      <c r="AB1886" t="str">
        <f t="shared" si="219"/>
        <v>08/06/2008</v>
      </c>
      <c r="AC1886"/>
    </row>
    <row r="1887" spans="21:29" ht="15">
      <c r="U1887" s="203">
        <v>39666</v>
      </c>
      <c r="V1887" t="str">
        <f t="shared" si="216"/>
        <v>08</v>
      </c>
      <c r="W1887" t="str">
        <f t="shared" si="217"/>
        <v>06</v>
      </c>
      <c r="X1887" t="str">
        <f t="shared" si="218"/>
        <v>08</v>
      </c>
      <c r="Y1887" t="str">
        <f t="shared" si="207"/>
        <v>2008</v>
      </c>
      <c r="Z1887"/>
      <c r="AA1887" s="2">
        <f t="shared" si="212"/>
        <v>39607</v>
      </c>
      <c r="AB1887" t="str">
        <f t="shared" si="219"/>
        <v>08/06/2008</v>
      </c>
      <c r="AC1887"/>
    </row>
    <row r="1888" spans="21:29" ht="15">
      <c r="U1888" s="203">
        <v>39672</v>
      </c>
      <c r="V1888" t="str">
        <f t="shared" si="216"/>
        <v>08</v>
      </c>
      <c r="W1888" t="str">
        <f t="shared" si="217"/>
        <v>12</v>
      </c>
      <c r="X1888" t="str">
        <f t="shared" si="218"/>
        <v>08</v>
      </c>
      <c r="Y1888" t="str">
        <f t="shared" si="207"/>
        <v>2008</v>
      </c>
      <c r="Z1888"/>
      <c r="AA1888" s="2">
        <f t="shared" si="212"/>
        <v>39790</v>
      </c>
      <c r="AB1888" t="str">
        <f t="shared" si="219"/>
        <v>08/12/2008</v>
      </c>
      <c r="AC1888"/>
    </row>
    <row r="1889" spans="21:29" ht="15">
      <c r="U1889" s="203">
        <v>39674</v>
      </c>
      <c r="V1889" t="str">
        <f t="shared" si="216"/>
        <v>08</v>
      </c>
      <c r="W1889" t="str">
        <f t="shared" si="217"/>
        <v>14</v>
      </c>
      <c r="X1889" t="str">
        <f t="shared" si="218"/>
        <v>08</v>
      </c>
      <c r="Y1889" t="str">
        <f t="shared" si="207"/>
        <v>2008</v>
      </c>
      <c r="Z1889"/>
      <c r="AA1889" s="2">
        <f t="shared" si="212"/>
        <v>39852</v>
      </c>
      <c r="AB1889" t="str">
        <f t="shared" si="219"/>
        <v>08/14/2008</v>
      </c>
      <c r="AC1889"/>
    </row>
    <row r="1890" spans="21:29" ht="15">
      <c r="U1890" s="203">
        <v>39681</v>
      </c>
      <c r="V1890" t="str">
        <f t="shared" si="216"/>
        <v>08</v>
      </c>
      <c r="W1890" t="str">
        <f t="shared" si="217"/>
        <v>21</v>
      </c>
      <c r="X1890" t="str">
        <f t="shared" si="218"/>
        <v>08</v>
      </c>
      <c r="Y1890" t="str">
        <f t="shared" si="207"/>
        <v>2008</v>
      </c>
      <c r="Z1890"/>
      <c r="AA1890" s="2">
        <f t="shared" si="212"/>
        <v>40064</v>
      </c>
      <c r="AB1890" t="str">
        <f t="shared" si="219"/>
        <v>08/21/2008</v>
      </c>
      <c r="AC1890"/>
    </row>
    <row r="1891" spans="21:29" ht="15">
      <c r="U1891" s="203">
        <v>39683</v>
      </c>
      <c r="V1891" t="str">
        <f t="shared" si="216"/>
        <v>08</v>
      </c>
      <c r="W1891" t="str">
        <f t="shared" si="217"/>
        <v>23</v>
      </c>
      <c r="X1891" t="str">
        <f t="shared" si="218"/>
        <v>08</v>
      </c>
      <c r="Y1891" t="str">
        <f t="shared" si="207"/>
        <v>2008</v>
      </c>
      <c r="Z1891"/>
      <c r="AA1891" s="2">
        <f t="shared" si="212"/>
        <v>40125</v>
      </c>
      <c r="AB1891" t="str">
        <f t="shared" si="219"/>
        <v>08/23/2008</v>
      </c>
      <c r="AC1891"/>
    </row>
    <row r="1892" spans="21:29" ht="15">
      <c r="U1892" s="203">
        <v>39687</v>
      </c>
      <c r="V1892" t="str">
        <f t="shared" si="216"/>
        <v>08</v>
      </c>
      <c r="W1892" t="str">
        <f t="shared" si="217"/>
        <v>27</v>
      </c>
      <c r="X1892" t="str">
        <f t="shared" si="218"/>
        <v>08</v>
      </c>
      <c r="Y1892" t="str">
        <f t="shared" si="207"/>
        <v>2008</v>
      </c>
      <c r="Z1892"/>
      <c r="AA1892" s="2">
        <f t="shared" si="212"/>
        <v>40245</v>
      </c>
      <c r="AB1892" t="str">
        <f t="shared" si="219"/>
        <v>08/27/2008</v>
      </c>
      <c r="AC1892"/>
    </row>
    <row r="1893" spans="21:29" ht="15">
      <c r="U1893" s="203">
        <v>39689</v>
      </c>
      <c r="V1893" t="str">
        <f t="shared" si="216"/>
        <v>08</v>
      </c>
      <c r="W1893" t="str">
        <f t="shared" si="217"/>
        <v>29</v>
      </c>
      <c r="X1893" t="str">
        <f t="shared" si="218"/>
        <v>08</v>
      </c>
      <c r="Y1893" t="str">
        <f t="shared" si="207"/>
        <v>2008</v>
      </c>
      <c r="Z1893"/>
      <c r="AA1893" s="2">
        <f t="shared" si="212"/>
        <v>40306</v>
      </c>
      <c r="AB1893" t="str">
        <f t="shared" si="219"/>
        <v>08/29/2008</v>
      </c>
      <c r="AC1893"/>
    </row>
    <row r="1894" spans="21:29" ht="15">
      <c r="U1894" s="203">
        <v>39692</v>
      </c>
      <c r="V1894" t="str">
        <f t="shared" si="216"/>
        <v>09</v>
      </c>
      <c r="W1894" t="str">
        <f t="shared" si="217"/>
        <v>01</v>
      </c>
      <c r="X1894" t="str">
        <f t="shared" si="218"/>
        <v>08</v>
      </c>
      <c r="Y1894" t="str">
        <f t="shared" si="207"/>
        <v>2008</v>
      </c>
      <c r="Z1894"/>
      <c r="AA1894" s="2">
        <f t="shared" si="212"/>
        <v>39456</v>
      </c>
      <c r="AB1894" t="str">
        <f t="shared" si="219"/>
        <v>09/01/2008</v>
      </c>
      <c r="AC1894"/>
    </row>
    <row r="1895" spans="21:29" ht="15">
      <c r="U1895" s="203">
        <v>39692</v>
      </c>
      <c r="V1895" t="str">
        <f t="shared" si="216"/>
        <v>09</v>
      </c>
      <c r="W1895" t="str">
        <f t="shared" si="217"/>
        <v>01</v>
      </c>
      <c r="X1895" t="str">
        <f t="shared" si="218"/>
        <v>08</v>
      </c>
      <c r="Y1895" t="str">
        <f t="shared" si="207"/>
        <v>2008</v>
      </c>
      <c r="Z1895"/>
      <c r="AA1895" s="2">
        <f t="shared" si="212"/>
        <v>39456</v>
      </c>
      <c r="AB1895" t="str">
        <f t="shared" si="219"/>
        <v>09/01/2008</v>
      </c>
      <c r="AC1895"/>
    </row>
    <row r="1896" spans="21:29" ht="15">
      <c r="U1896" s="203">
        <v>39695</v>
      </c>
      <c r="V1896" t="str">
        <f t="shared" si="216"/>
        <v>09</v>
      </c>
      <c r="W1896" t="str">
        <f t="shared" si="217"/>
        <v>04</v>
      </c>
      <c r="X1896" t="str">
        <f t="shared" si="218"/>
        <v>08</v>
      </c>
      <c r="Y1896" t="str">
        <f t="shared" si="207"/>
        <v>2008</v>
      </c>
      <c r="Z1896"/>
      <c r="AA1896" s="2">
        <f t="shared" si="212"/>
        <v>39547</v>
      </c>
      <c r="AB1896" t="str">
        <f t="shared" si="219"/>
        <v>09/04/2008</v>
      </c>
      <c r="AC1896"/>
    </row>
    <row r="1897" spans="21:29" ht="15">
      <c r="U1897" s="203">
        <v>39695</v>
      </c>
      <c r="V1897" t="str">
        <f t="shared" si="216"/>
        <v>09</v>
      </c>
      <c r="W1897" t="str">
        <f t="shared" si="217"/>
        <v>04</v>
      </c>
      <c r="X1897" t="str">
        <f t="shared" si="218"/>
        <v>08</v>
      </c>
      <c r="Y1897" t="str">
        <f t="shared" si="207"/>
        <v>2008</v>
      </c>
      <c r="Z1897"/>
      <c r="AA1897" s="2">
        <f t="shared" si="212"/>
        <v>39547</v>
      </c>
      <c r="AB1897" t="str">
        <f t="shared" si="219"/>
        <v>09/04/2008</v>
      </c>
      <c r="AC1897"/>
    </row>
    <row r="1898" spans="21:29" ht="15">
      <c r="U1898" s="203">
        <v>39695</v>
      </c>
      <c r="V1898" t="str">
        <f t="shared" si="216"/>
        <v>09</v>
      </c>
      <c r="W1898" t="str">
        <f t="shared" si="217"/>
        <v>04</v>
      </c>
      <c r="X1898" t="str">
        <f t="shared" si="218"/>
        <v>08</v>
      </c>
      <c r="Y1898" t="str">
        <f t="shared" si="207"/>
        <v>2008</v>
      </c>
      <c r="Z1898"/>
      <c r="AA1898" s="2">
        <f t="shared" si="212"/>
        <v>39547</v>
      </c>
      <c r="AB1898" t="str">
        <f t="shared" si="219"/>
        <v>09/04/2008</v>
      </c>
      <c r="AC1898"/>
    </row>
    <row r="1899" spans="21:29" ht="15">
      <c r="U1899" s="203">
        <v>39696</v>
      </c>
      <c r="V1899" t="str">
        <f t="shared" si="216"/>
        <v>09</v>
      </c>
      <c r="W1899" t="str">
        <f t="shared" si="217"/>
        <v>05</v>
      </c>
      <c r="X1899" t="str">
        <f t="shared" si="218"/>
        <v>08</v>
      </c>
      <c r="Y1899" t="str">
        <f t="shared" si="207"/>
        <v>2008</v>
      </c>
      <c r="Z1899"/>
      <c r="AA1899" s="2">
        <f t="shared" si="212"/>
        <v>39577</v>
      </c>
      <c r="AB1899" t="str">
        <f t="shared" si="219"/>
        <v>09/05/2008</v>
      </c>
      <c r="AC1899"/>
    </row>
    <row r="1900" spans="21:29" ht="15">
      <c r="U1900" s="203">
        <v>39697</v>
      </c>
      <c r="V1900" t="str">
        <f t="shared" si="216"/>
        <v>09</v>
      </c>
      <c r="W1900" t="str">
        <f t="shared" si="217"/>
        <v>06</v>
      </c>
      <c r="X1900" t="str">
        <f t="shared" si="218"/>
        <v>08</v>
      </c>
      <c r="Y1900" t="str">
        <f t="shared" si="207"/>
        <v>2008</v>
      </c>
      <c r="Z1900"/>
      <c r="AA1900" s="2">
        <f t="shared" si="212"/>
        <v>39608</v>
      </c>
      <c r="AB1900" t="str">
        <f t="shared" si="219"/>
        <v>09/06/2008</v>
      </c>
      <c r="AC1900"/>
    </row>
    <row r="1901" spans="21:29" ht="15">
      <c r="U1901" s="203">
        <v>39699</v>
      </c>
      <c r="V1901" t="str">
        <f t="shared" si="216"/>
        <v>09</v>
      </c>
      <c r="W1901" t="str">
        <f t="shared" si="217"/>
        <v>08</v>
      </c>
      <c r="X1901" t="str">
        <f t="shared" si="218"/>
        <v>08</v>
      </c>
      <c r="Y1901" t="str">
        <f t="shared" si="207"/>
        <v>2008</v>
      </c>
      <c r="Z1901"/>
      <c r="AA1901" s="2">
        <f t="shared" si="212"/>
        <v>39669</v>
      </c>
      <c r="AB1901" t="str">
        <f t="shared" si="219"/>
        <v>09/08/2008</v>
      </c>
      <c r="AC1901"/>
    </row>
    <row r="1902" spans="21:29" ht="15">
      <c r="U1902" s="203">
        <v>39699</v>
      </c>
      <c r="V1902" t="str">
        <f t="shared" si="216"/>
        <v>09</v>
      </c>
      <c r="W1902" t="str">
        <f t="shared" si="217"/>
        <v>08</v>
      </c>
      <c r="X1902" t="str">
        <f t="shared" si="218"/>
        <v>08</v>
      </c>
      <c r="Y1902" t="str">
        <f t="shared" si="207"/>
        <v>2008</v>
      </c>
      <c r="Z1902"/>
      <c r="AA1902" s="2">
        <f t="shared" si="212"/>
        <v>39669</v>
      </c>
      <c r="AB1902" t="str">
        <f t="shared" si="219"/>
        <v>09/08/2008</v>
      </c>
      <c r="AC1902"/>
    </row>
    <row r="1903" spans="21:29" ht="15">
      <c r="U1903" s="203">
        <v>39700</v>
      </c>
      <c r="V1903" t="str">
        <f t="shared" si="216"/>
        <v>09</v>
      </c>
      <c r="W1903" t="str">
        <f t="shared" si="217"/>
        <v>09</v>
      </c>
      <c r="X1903" t="str">
        <f t="shared" si="218"/>
        <v>08</v>
      </c>
      <c r="Y1903" t="str">
        <f t="shared" si="207"/>
        <v>2008</v>
      </c>
      <c r="Z1903"/>
      <c r="AA1903" s="2">
        <f t="shared" si="212"/>
        <v>39700</v>
      </c>
      <c r="AB1903" t="str">
        <f t="shared" si="219"/>
        <v>09/09/2008</v>
      </c>
      <c r="AC1903"/>
    </row>
    <row r="1904" spans="21:29" ht="15">
      <c r="U1904" s="203">
        <v>39701</v>
      </c>
      <c r="V1904" t="str">
        <f t="shared" si="216"/>
        <v>09</v>
      </c>
      <c r="W1904" t="str">
        <f t="shared" si="217"/>
        <v>10</v>
      </c>
      <c r="X1904" t="str">
        <f t="shared" si="218"/>
        <v>08</v>
      </c>
      <c r="Y1904" t="str">
        <f t="shared" si="207"/>
        <v>2008</v>
      </c>
      <c r="Z1904"/>
      <c r="AA1904" s="2">
        <f t="shared" si="212"/>
        <v>39730</v>
      </c>
      <c r="AB1904" t="str">
        <f t="shared" si="219"/>
        <v>09/10/2008</v>
      </c>
      <c r="AC1904"/>
    </row>
    <row r="1905" spans="21:29" ht="15">
      <c r="U1905" s="203">
        <v>39701</v>
      </c>
      <c r="V1905" t="str">
        <f t="shared" si="216"/>
        <v>09</v>
      </c>
      <c r="W1905" t="str">
        <f t="shared" si="217"/>
        <v>10</v>
      </c>
      <c r="X1905" t="str">
        <f t="shared" si="218"/>
        <v>08</v>
      </c>
      <c r="Y1905" t="str">
        <f t="shared" si="207"/>
        <v>2008</v>
      </c>
      <c r="Z1905"/>
      <c r="AA1905" s="2">
        <f t="shared" si="212"/>
        <v>39730</v>
      </c>
      <c r="AB1905" t="str">
        <f t="shared" si="219"/>
        <v>09/10/2008</v>
      </c>
      <c r="AC1905"/>
    </row>
    <row r="1906" spans="21:29" ht="15">
      <c r="U1906" s="203">
        <v>39701</v>
      </c>
      <c r="V1906" t="str">
        <f t="shared" si="216"/>
        <v>09</v>
      </c>
      <c r="W1906" t="str">
        <f t="shared" si="217"/>
        <v>10</v>
      </c>
      <c r="X1906" t="str">
        <f t="shared" si="218"/>
        <v>08</v>
      </c>
      <c r="Y1906" t="str">
        <f t="shared" si="207"/>
        <v>2008</v>
      </c>
      <c r="Z1906"/>
      <c r="AA1906" s="2">
        <f t="shared" si="212"/>
        <v>39730</v>
      </c>
      <c r="AB1906" t="str">
        <f t="shared" si="219"/>
        <v>09/10/2008</v>
      </c>
      <c r="AC1906"/>
    </row>
    <row r="1907" spans="21:29" ht="15">
      <c r="U1907" s="203">
        <v>39701</v>
      </c>
      <c r="V1907" t="str">
        <f t="shared" si="216"/>
        <v>09</v>
      </c>
      <c r="W1907" t="str">
        <f t="shared" si="217"/>
        <v>10</v>
      </c>
      <c r="X1907" t="str">
        <f t="shared" si="218"/>
        <v>08</v>
      </c>
      <c r="Y1907" t="str">
        <f t="shared" si="207"/>
        <v>2008</v>
      </c>
      <c r="Z1907"/>
      <c r="AA1907" s="2">
        <f t="shared" si="212"/>
        <v>39730</v>
      </c>
      <c r="AB1907" t="str">
        <f t="shared" si="219"/>
        <v>09/10/2008</v>
      </c>
      <c r="AC1907"/>
    </row>
    <row r="1908" spans="21:29" ht="15">
      <c r="U1908" s="203">
        <v>39713</v>
      </c>
      <c r="V1908" t="str">
        <f t="shared" si="216"/>
        <v>09</v>
      </c>
      <c r="W1908" t="str">
        <f t="shared" si="217"/>
        <v>22</v>
      </c>
      <c r="X1908" t="str">
        <f t="shared" si="218"/>
        <v>08</v>
      </c>
      <c r="Y1908" t="str">
        <f t="shared" si="207"/>
        <v>2008</v>
      </c>
      <c r="Z1908"/>
      <c r="AA1908" s="2">
        <f t="shared" si="212"/>
        <v>40095</v>
      </c>
      <c r="AB1908" t="str">
        <f t="shared" si="219"/>
        <v>09/22/2008</v>
      </c>
      <c r="AC1908"/>
    </row>
    <row r="1909" spans="21:29" ht="15">
      <c r="U1909" s="203">
        <v>39717</v>
      </c>
      <c r="V1909" t="str">
        <f t="shared" si="216"/>
        <v>09</v>
      </c>
      <c r="W1909" t="str">
        <f t="shared" si="217"/>
        <v>26</v>
      </c>
      <c r="X1909" t="str">
        <f t="shared" si="218"/>
        <v>08</v>
      </c>
      <c r="Y1909" t="str">
        <f t="shared" si="207"/>
        <v>2008</v>
      </c>
      <c r="Z1909"/>
      <c r="AA1909" s="2">
        <f t="shared" si="212"/>
        <v>40218</v>
      </c>
      <c r="AB1909" t="str">
        <f t="shared" si="219"/>
        <v>09/26/2008</v>
      </c>
      <c r="AC1909"/>
    </row>
    <row r="1910" spans="21:29" ht="15">
      <c r="U1910" s="203">
        <v>39718</v>
      </c>
      <c r="V1910" t="str">
        <f t="shared" si="216"/>
        <v>09</v>
      </c>
      <c r="W1910" t="str">
        <f t="shared" si="217"/>
        <v>27</v>
      </c>
      <c r="X1910" t="str">
        <f t="shared" si="218"/>
        <v>08</v>
      </c>
      <c r="Y1910" t="str">
        <f t="shared" si="207"/>
        <v>2008</v>
      </c>
      <c r="Z1910"/>
      <c r="AA1910" s="2">
        <f t="shared" si="212"/>
        <v>40246</v>
      </c>
      <c r="AB1910" t="str">
        <f t="shared" si="219"/>
        <v>09/27/2008</v>
      </c>
      <c r="AC1910"/>
    </row>
    <row r="1911" spans="21:29" ht="15">
      <c r="U1911" s="203">
        <v>39722</v>
      </c>
      <c r="V1911" t="str">
        <f t="shared" si="216"/>
        <v>10</v>
      </c>
      <c r="W1911" t="str">
        <f t="shared" si="217"/>
        <v>01</v>
      </c>
      <c r="X1911" t="str">
        <f t="shared" si="218"/>
        <v>08</v>
      </c>
      <c r="Y1911" t="str">
        <f t="shared" si="207"/>
        <v>2008</v>
      </c>
      <c r="Z1911"/>
      <c r="AA1911" s="2">
        <f t="shared" si="212"/>
        <v>39457</v>
      </c>
      <c r="AB1911" t="str">
        <f t="shared" si="219"/>
        <v>10/01/2008</v>
      </c>
      <c r="AC1911"/>
    </row>
    <row r="1912" spans="21:29" ht="15">
      <c r="U1912" s="203">
        <v>39722</v>
      </c>
      <c r="V1912" t="str">
        <f t="shared" si="216"/>
        <v>10</v>
      </c>
      <c r="W1912" t="str">
        <f t="shared" si="217"/>
        <v>01</v>
      </c>
      <c r="X1912" t="str">
        <f t="shared" si="218"/>
        <v>08</v>
      </c>
      <c r="Y1912" t="str">
        <f t="shared" si="207"/>
        <v>2008</v>
      </c>
      <c r="Z1912"/>
      <c r="AA1912" s="2">
        <f t="shared" si="212"/>
        <v>39457</v>
      </c>
      <c r="AB1912" t="str">
        <f t="shared" si="219"/>
        <v>10/01/2008</v>
      </c>
      <c r="AC1912"/>
    </row>
    <row r="1913" spans="21:29" ht="15">
      <c r="U1913" s="203">
        <v>39725</v>
      </c>
      <c r="V1913" t="str">
        <f t="shared" si="216"/>
        <v>10</v>
      </c>
      <c r="W1913" t="str">
        <f t="shared" si="217"/>
        <v>04</v>
      </c>
      <c r="X1913" t="str">
        <f t="shared" si="218"/>
        <v>08</v>
      </c>
      <c r="Y1913" t="str">
        <f t="shared" si="207"/>
        <v>2008</v>
      </c>
      <c r="Z1913"/>
      <c r="AA1913" s="2">
        <f t="shared" si="212"/>
        <v>39548</v>
      </c>
      <c r="AB1913" t="str">
        <f t="shared" si="219"/>
        <v>10/04/2008</v>
      </c>
      <c r="AC1913"/>
    </row>
    <row r="1914" spans="21:29" ht="15">
      <c r="U1914" s="203">
        <v>39731</v>
      </c>
      <c r="V1914" t="str">
        <f t="shared" si="216"/>
        <v>10</v>
      </c>
      <c r="W1914" t="str">
        <f t="shared" si="217"/>
        <v>10</v>
      </c>
      <c r="X1914" t="str">
        <f t="shared" si="218"/>
        <v>08</v>
      </c>
      <c r="Y1914" t="str">
        <f t="shared" si="207"/>
        <v>2008</v>
      </c>
      <c r="Z1914"/>
      <c r="AA1914" s="2">
        <f t="shared" si="212"/>
        <v>39731</v>
      </c>
      <c r="AB1914" t="str">
        <f t="shared" si="219"/>
        <v>10/10/2008</v>
      </c>
      <c r="AC1914"/>
    </row>
    <row r="1915" spans="21:29" ht="15">
      <c r="U1915" s="203">
        <v>39731</v>
      </c>
      <c r="V1915" t="str">
        <f t="shared" si="216"/>
        <v>10</v>
      </c>
      <c r="W1915" t="str">
        <f t="shared" si="217"/>
        <v>10</v>
      </c>
      <c r="X1915" t="str">
        <f t="shared" si="218"/>
        <v>08</v>
      </c>
      <c r="Y1915" t="str">
        <f t="shared" si="207"/>
        <v>2008</v>
      </c>
      <c r="Z1915"/>
      <c r="AA1915" s="2">
        <f t="shared" si="212"/>
        <v>39731</v>
      </c>
      <c r="AB1915" t="str">
        <f t="shared" si="219"/>
        <v>10/10/2008</v>
      </c>
      <c r="AC1915"/>
    </row>
    <row r="1916" spans="21:29" ht="15">
      <c r="U1916" s="203">
        <v>39736</v>
      </c>
      <c r="V1916" t="str">
        <f t="shared" si="216"/>
        <v>10</v>
      </c>
      <c r="W1916" t="str">
        <f t="shared" si="217"/>
        <v>15</v>
      </c>
      <c r="X1916" t="str">
        <f t="shared" si="218"/>
        <v>08</v>
      </c>
      <c r="Y1916" t="str">
        <f t="shared" si="207"/>
        <v>2008</v>
      </c>
      <c r="Z1916"/>
      <c r="AA1916" s="2">
        <f t="shared" si="212"/>
        <v>39882</v>
      </c>
      <c r="AB1916" t="str">
        <f t="shared" si="219"/>
        <v>10/15/2008</v>
      </c>
      <c r="AC1916"/>
    </row>
    <row r="1917" spans="21:29" ht="15">
      <c r="U1917" s="203">
        <v>39743</v>
      </c>
      <c r="V1917" t="str">
        <f t="shared" si="216"/>
        <v>10</v>
      </c>
      <c r="W1917" t="str">
        <f t="shared" si="217"/>
        <v>22</v>
      </c>
      <c r="X1917" t="str">
        <f t="shared" si="218"/>
        <v>08</v>
      </c>
      <c r="Y1917" t="str">
        <f t="shared" si="207"/>
        <v>2008</v>
      </c>
      <c r="Z1917"/>
      <c r="AA1917" s="2">
        <f t="shared" si="212"/>
        <v>40096</v>
      </c>
      <c r="AB1917" t="str">
        <f t="shared" si="219"/>
        <v>10/22/2008</v>
      </c>
      <c r="AC1917"/>
    </row>
    <row r="1918" spans="21:29" ht="15">
      <c r="U1918" s="203">
        <v>39744</v>
      </c>
      <c r="V1918" t="str">
        <f t="shared" si="216"/>
        <v>10</v>
      </c>
      <c r="W1918" t="str">
        <f t="shared" si="217"/>
        <v>23</v>
      </c>
      <c r="X1918" t="str">
        <f t="shared" si="218"/>
        <v>08</v>
      </c>
      <c r="Y1918" t="str">
        <f t="shared" si="207"/>
        <v>2008</v>
      </c>
      <c r="Z1918"/>
      <c r="AA1918" s="2">
        <f t="shared" si="212"/>
        <v>40127</v>
      </c>
      <c r="AB1918" t="str">
        <f t="shared" si="219"/>
        <v>10/23/2008</v>
      </c>
      <c r="AC1918"/>
    </row>
    <row r="1919" spans="21:29" ht="15">
      <c r="U1919" s="203">
        <v>39746</v>
      </c>
      <c r="V1919" t="str">
        <f t="shared" si="216"/>
        <v>10</v>
      </c>
      <c r="W1919" t="str">
        <f t="shared" si="217"/>
        <v>25</v>
      </c>
      <c r="X1919" t="str">
        <f t="shared" si="218"/>
        <v>08</v>
      </c>
      <c r="Y1919" t="str">
        <f t="shared" si="207"/>
        <v>2008</v>
      </c>
      <c r="Z1919"/>
      <c r="AA1919" s="2">
        <f t="shared" si="212"/>
        <v>40188</v>
      </c>
      <c r="AB1919" t="str">
        <f t="shared" si="219"/>
        <v>10/25/2008</v>
      </c>
      <c r="AC1919"/>
    </row>
    <row r="1920" spans="21:29" ht="15">
      <c r="U1920" s="203">
        <v>39746</v>
      </c>
      <c r="V1920" t="str">
        <f t="shared" si="216"/>
        <v>10</v>
      </c>
      <c r="W1920" t="str">
        <f t="shared" si="217"/>
        <v>25</v>
      </c>
      <c r="X1920" t="str">
        <f t="shared" si="218"/>
        <v>08</v>
      </c>
      <c r="Y1920" t="str">
        <f t="shared" si="207"/>
        <v>2008</v>
      </c>
      <c r="Z1920"/>
      <c r="AA1920" s="2">
        <f t="shared" si="212"/>
        <v>40188</v>
      </c>
      <c r="AB1920" t="str">
        <f t="shared" si="219"/>
        <v>10/25/2008</v>
      </c>
      <c r="AC1920"/>
    </row>
    <row r="1921" spans="21:29" ht="15">
      <c r="U1921" s="203">
        <v>39751</v>
      </c>
      <c r="V1921" t="str">
        <f t="shared" si="216"/>
        <v>10</v>
      </c>
      <c r="W1921" t="str">
        <f t="shared" si="217"/>
        <v>30</v>
      </c>
      <c r="X1921" t="str">
        <f t="shared" si="218"/>
        <v>08</v>
      </c>
      <c r="Y1921" t="str">
        <f t="shared" si="207"/>
        <v>2008</v>
      </c>
      <c r="Z1921"/>
      <c r="AA1921" s="2">
        <f t="shared" si="212"/>
        <v>40339</v>
      </c>
      <c r="AB1921" t="str">
        <f t="shared" si="219"/>
        <v>10/30/2008</v>
      </c>
      <c r="AC1921"/>
    </row>
    <row r="1922" spans="21:29" ht="15">
      <c r="U1922" s="203">
        <v>39753</v>
      </c>
      <c r="V1922" t="str">
        <f t="shared" si="216"/>
        <v>11</v>
      </c>
      <c r="W1922" t="str">
        <f t="shared" si="217"/>
        <v>01</v>
      </c>
      <c r="X1922" t="str">
        <f t="shared" si="218"/>
        <v>08</v>
      </c>
      <c r="Y1922" t="str">
        <f t="shared" si="207"/>
        <v>2008</v>
      </c>
      <c r="Z1922"/>
      <c r="AA1922" s="2">
        <f t="shared" si="212"/>
        <v>39458</v>
      </c>
      <c r="AB1922" t="str">
        <f t="shared" si="219"/>
        <v>11/01/2008</v>
      </c>
      <c r="AC1922"/>
    </row>
    <row r="1923" spans="21:29" ht="15">
      <c r="U1923" s="203">
        <v>39762</v>
      </c>
      <c r="V1923" t="str">
        <f t="shared" si="216"/>
        <v>11</v>
      </c>
      <c r="W1923" t="str">
        <f t="shared" si="217"/>
        <v>10</v>
      </c>
      <c r="X1923" t="str">
        <f t="shared" si="218"/>
        <v>08</v>
      </c>
      <c r="Y1923" t="str">
        <f t="shared" ref="Y1923:Y1986" si="220">"20" &amp; X1923</f>
        <v>2008</v>
      </c>
      <c r="Z1923"/>
      <c r="AA1923" s="2">
        <f t="shared" si="212"/>
        <v>39732</v>
      </c>
      <c r="AB1923" t="str">
        <f t="shared" si="219"/>
        <v>11/10/2008</v>
      </c>
      <c r="AC1923"/>
    </row>
    <row r="1924" spans="21:29" ht="15">
      <c r="U1924" s="203">
        <v>39774</v>
      </c>
      <c r="V1924" t="str">
        <f t="shared" si="216"/>
        <v>11</v>
      </c>
      <c r="W1924" t="str">
        <f t="shared" si="217"/>
        <v>22</v>
      </c>
      <c r="X1924" t="str">
        <f t="shared" si="218"/>
        <v>08</v>
      </c>
      <c r="Y1924" t="str">
        <f t="shared" si="220"/>
        <v>2008</v>
      </c>
      <c r="Z1924"/>
      <c r="AA1924" s="2">
        <f t="shared" si="212"/>
        <v>40097</v>
      </c>
      <c r="AB1924" t="str">
        <f t="shared" si="219"/>
        <v>11/22/2008</v>
      </c>
      <c r="AC1924"/>
    </row>
    <row r="1925" spans="21:29" ht="15">
      <c r="U1925" s="203">
        <v>39780</v>
      </c>
      <c r="V1925" t="str">
        <f t="shared" si="216"/>
        <v>11</v>
      </c>
      <c r="W1925" t="str">
        <f t="shared" si="217"/>
        <v>28</v>
      </c>
      <c r="X1925" t="str">
        <f t="shared" si="218"/>
        <v>08</v>
      </c>
      <c r="Y1925" t="str">
        <f t="shared" si="220"/>
        <v>2008</v>
      </c>
      <c r="Z1925"/>
      <c r="AA1925" s="2">
        <f t="shared" si="212"/>
        <v>40279</v>
      </c>
      <c r="AB1925" t="str">
        <f t="shared" si="219"/>
        <v>11/28/2008</v>
      </c>
      <c r="AC1925"/>
    </row>
    <row r="1926" spans="21:29" ht="15">
      <c r="U1926" s="203">
        <v>39781</v>
      </c>
      <c r="V1926" t="str">
        <f t="shared" si="216"/>
        <v>11</v>
      </c>
      <c r="W1926" t="str">
        <f t="shared" si="217"/>
        <v>29</v>
      </c>
      <c r="X1926" t="str">
        <f t="shared" si="218"/>
        <v>08</v>
      </c>
      <c r="Y1926" t="str">
        <f t="shared" si="220"/>
        <v>2008</v>
      </c>
      <c r="Z1926"/>
      <c r="AA1926" s="2">
        <f t="shared" si="212"/>
        <v>40309</v>
      </c>
      <c r="AB1926" t="str">
        <f t="shared" si="219"/>
        <v>11/29/2008</v>
      </c>
      <c r="AC1926"/>
    </row>
    <row r="1927" spans="21:29" ht="15">
      <c r="U1927" s="203">
        <v>39783</v>
      </c>
      <c r="V1927" t="str">
        <f t="shared" si="216"/>
        <v>12</v>
      </c>
      <c r="W1927" t="str">
        <f t="shared" si="217"/>
        <v>01</v>
      </c>
      <c r="X1927" t="str">
        <f t="shared" si="218"/>
        <v>08</v>
      </c>
      <c r="Y1927" t="str">
        <f t="shared" si="220"/>
        <v>2008</v>
      </c>
      <c r="Z1927"/>
      <c r="AA1927" s="2">
        <f t="shared" si="212"/>
        <v>39459</v>
      </c>
      <c r="AB1927" t="str">
        <f t="shared" si="219"/>
        <v>12/01/2008</v>
      </c>
      <c r="AC1927"/>
    </row>
    <row r="1928" spans="21:29" ht="15">
      <c r="U1928" s="203">
        <v>39785</v>
      </c>
      <c r="V1928" t="str">
        <f t="shared" si="216"/>
        <v>12</v>
      </c>
      <c r="W1928" t="str">
        <f t="shared" si="217"/>
        <v>03</v>
      </c>
      <c r="X1928" t="str">
        <f t="shared" si="218"/>
        <v>08</v>
      </c>
      <c r="Y1928" t="str">
        <f t="shared" si="220"/>
        <v>2008</v>
      </c>
      <c r="Z1928"/>
      <c r="AA1928" s="2">
        <f t="shared" ref="AA1928:AA1991" si="221">DATE(Y1928,W1928,V1928)</f>
        <v>39519</v>
      </c>
      <c r="AB1928" t="str">
        <f t="shared" si="219"/>
        <v>12/03/2008</v>
      </c>
      <c r="AC1928"/>
    </row>
    <row r="1929" spans="21:29" ht="15">
      <c r="U1929" s="203">
        <v>39787</v>
      </c>
      <c r="V1929" t="str">
        <f t="shared" si="216"/>
        <v>12</v>
      </c>
      <c r="W1929" t="str">
        <f t="shared" si="217"/>
        <v>05</v>
      </c>
      <c r="X1929" t="str">
        <f t="shared" si="218"/>
        <v>08</v>
      </c>
      <c r="Y1929" t="str">
        <f t="shared" si="220"/>
        <v>2008</v>
      </c>
      <c r="Z1929"/>
      <c r="AA1929" s="2">
        <f t="shared" si="221"/>
        <v>39580</v>
      </c>
      <c r="AB1929" t="str">
        <f t="shared" si="219"/>
        <v>12/05/2008</v>
      </c>
      <c r="AC1929"/>
    </row>
    <row r="1930" spans="21:29" ht="15">
      <c r="U1930" s="203">
        <v>39788</v>
      </c>
      <c r="V1930" t="str">
        <f t="shared" si="216"/>
        <v>12</v>
      </c>
      <c r="W1930" t="str">
        <f t="shared" si="217"/>
        <v>06</v>
      </c>
      <c r="X1930" t="str">
        <f t="shared" si="218"/>
        <v>08</v>
      </c>
      <c r="Y1930" t="str">
        <f t="shared" si="220"/>
        <v>2008</v>
      </c>
      <c r="Z1930"/>
      <c r="AA1930" s="2">
        <f t="shared" si="221"/>
        <v>39611</v>
      </c>
      <c r="AB1930" t="str">
        <f t="shared" si="219"/>
        <v>12/06/2008</v>
      </c>
      <c r="AC1930"/>
    </row>
    <row r="1931" spans="21:29" ht="15">
      <c r="U1931" s="203">
        <v>39792</v>
      </c>
      <c r="V1931" t="str">
        <f t="shared" si="216"/>
        <v>12</v>
      </c>
      <c r="W1931" t="str">
        <f t="shared" si="217"/>
        <v>10</v>
      </c>
      <c r="X1931" t="str">
        <f t="shared" si="218"/>
        <v>08</v>
      </c>
      <c r="Y1931" t="str">
        <f t="shared" si="220"/>
        <v>2008</v>
      </c>
      <c r="Z1931"/>
      <c r="AA1931" s="2">
        <f t="shared" si="221"/>
        <v>39733</v>
      </c>
      <c r="AB1931" t="str">
        <f t="shared" si="219"/>
        <v>12/10/2008</v>
      </c>
      <c r="AC1931"/>
    </row>
    <row r="1932" spans="21:29" ht="15">
      <c r="U1932" s="203">
        <v>39800</v>
      </c>
      <c r="V1932" t="str">
        <f t="shared" si="216"/>
        <v>12</v>
      </c>
      <c r="W1932" t="str">
        <f t="shared" si="217"/>
        <v>18</v>
      </c>
      <c r="X1932" t="str">
        <f t="shared" si="218"/>
        <v>08</v>
      </c>
      <c r="Y1932" t="str">
        <f t="shared" si="220"/>
        <v>2008</v>
      </c>
      <c r="Z1932"/>
      <c r="AA1932" s="2">
        <f t="shared" si="221"/>
        <v>39976</v>
      </c>
      <c r="AB1932" t="str">
        <f t="shared" si="219"/>
        <v>12/18/2008</v>
      </c>
      <c r="AC1932"/>
    </row>
    <row r="1933" spans="21:29" ht="15">
      <c r="U1933" s="203">
        <v>39804</v>
      </c>
      <c r="V1933" t="str">
        <f t="shared" si="216"/>
        <v>12</v>
      </c>
      <c r="W1933" t="str">
        <f t="shared" si="217"/>
        <v>22</v>
      </c>
      <c r="X1933" t="str">
        <f t="shared" si="218"/>
        <v>08</v>
      </c>
      <c r="Y1933" t="str">
        <f t="shared" si="220"/>
        <v>2008</v>
      </c>
      <c r="Z1933"/>
      <c r="AA1933" s="2">
        <f t="shared" si="221"/>
        <v>40098</v>
      </c>
      <c r="AB1933" t="str">
        <f t="shared" si="219"/>
        <v>12/22/2008</v>
      </c>
      <c r="AC1933"/>
    </row>
    <row r="1934" spans="21:29" ht="15">
      <c r="U1934" s="203">
        <v>39805</v>
      </c>
      <c r="V1934" t="str">
        <f t="shared" si="216"/>
        <v>12</v>
      </c>
      <c r="W1934" t="str">
        <f t="shared" si="217"/>
        <v>23</v>
      </c>
      <c r="X1934" t="str">
        <f t="shared" si="218"/>
        <v>08</v>
      </c>
      <c r="Y1934" t="str">
        <f t="shared" si="220"/>
        <v>2008</v>
      </c>
      <c r="Z1934"/>
      <c r="AA1934" s="2">
        <f t="shared" si="221"/>
        <v>40129</v>
      </c>
      <c r="AB1934" t="str">
        <f t="shared" si="219"/>
        <v>12/23/2008</v>
      </c>
      <c r="AC1934"/>
    </row>
    <row r="1935" spans="21:29" ht="15">
      <c r="U1935" s="203">
        <v>39805</v>
      </c>
      <c r="V1935" t="str">
        <f t="shared" ref="V1935:V1998" si="222">LEFT(AB1935,2)</f>
        <v>12</v>
      </c>
      <c r="W1935" t="str">
        <f t="shared" ref="W1935:W1998" si="223">MID(AB1935,4,2)</f>
        <v>23</v>
      </c>
      <c r="X1935" t="str">
        <f t="shared" ref="X1935:X1998" si="224">RIGHT(AB1935,2)</f>
        <v>08</v>
      </c>
      <c r="Y1935" t="str">
        <f t="shared" si="220"/>
        <v>2008</v>
      </c>
      <c r="Z1935"/>
      <c r="AA1935" s="2">
        <f t="shared" si="221"/>
        <v>40129</v>
      </c>
      <c r="AB1935" t="str">
        <f t="shared" ref="AB1935:AB1998" si="225">TEXT(U1935, "mm/dd/yyyy")</f>
        <v>12/23/2008</v>
      </c>
      <c r="AC1935"/>
    </row>
    <row r="1936" spans="21:29" ht="15">
      <c r="U1936" s="203">
        <v>39805</v>
      </c>
      <c r="V1936" t="str">
        <f t="shared" si="222"/>
        <v>12</v>
      </c>
      <c r="W1936" t="str">
        <f t="shared" si="223"/>
        <v>23</v>
      </c>
      <c r="X1936" t="str">
        <f t="shared" si="224"/>
        <v>08</v>
      </c>
      <c r="Y1936" t="str">
        <f t="shared" si="220"/>
        <v>2008</v>
      </c>
      <c r="Z1936"/>
      <c r="AA1936" s="2">
        <f t="shared" si="221"/>
        <v>40129</v>
      </c>
      <c r="AB1936" t="str">
        <f t="shared" si="225"/>
        <v>12/23/2008</v>
      </c>
      <c r="AC1936"/>
    </row>
    <row r="1937" spans="21:29" ht="15">
      <c r="U1937" s="203">
        <v>39806</v>
      </c>
      <c r="V1937" t="str">
        <f t="shared" si="222"/>
        <v>12</v>
      </c>
      <c r="W1937" t="str">
        <f t="shared" si="223"/>
        <v>24</v>
      </c>
      <c r="X1937" t="str">
        <f t="shared" si="224"/>
        <v>08</v>
      </c>
      <c r="Y1937" t="str">
        <f t="shared" si="220"/>
        <v>2008</v>
      </c>
      <c r="Z1937"/>
      <c r="AA1937" s="2">
        <f t="shared" si="221"/>
        <v>40159</v>
      </c>
      <c r="AB1937" t="str">
        <f t="shared" si="225"/>
        <v>12/24/2008</v>
      </c>
      <c r="AC1937"/>
    </row>
    <row r="1938" spans="21:29" ht="15">
      <c r="U1938" s="203">
        <v>39806</v>
      </c>
      <c r="V1938" t="str">
        <f t="shared" si="222"/>
        <v>12</v>
      </c>
      <c r="W1938" t="str">
        <f t="shared" si="223"/>
        <v>24</v>
      </c>
      <c r="X1938" t="str">
        <f t="shared" si="224"/>
        <v>08</v>
      </c>
      <c r="Y1938" t="str">
        <f t="shared" si="220"/>
        <v>2008</v>
      </c>
      <c r="Z1938"/>
      <c r="AA1938" s="2">
        <f t="shared" si="221"/>
        <v>40159</v>
      </c>
      <c r="AB1938" t="str">
        <f t="shared" si="225"/>
        <v>12/24/2008</v>
      </c>
      <c r="AC1938"/>
    </row>
    <row r="1939" spans="21:29" ht="15">
      <c r="U1939" s="203">
        <v>39806</v>
      </c>
      <c r="V1939" t="str">
        <f t="shared" si="222"/>
        <v>12</v>
      </c>
      <c r="W1939" t="str">
        <f t="shared" si="223"/>
        <v>24</v>
      </c>
      <c r="X1939" t="str">
        <f t="shared" si="224"/>
        <v>08</v>
      </c>
      <c r="Y1939" t="str">
        <f t="shared" si="220"/>
        <v>2008</v>
      </c>
      <c r="Z1939"/>
      <c r="AA1939" s="2">
        <f t="shared" si="221"/>
        <v>40159</v>
      </c>
      <c r="AB1939" t="str">
        <f t="shared" si="225"/>
        <v>12/24/2008</v>
      </c>
      <c r="AC1939"/>
    </row>
    <row r="1940" spans="21:29" ht="15">
      <c r="U1940" s="203">
        <v>39808</v>
      </c>
      <c r="V1940" t="str">
        <f t="shared" si="222"/>
        <v>12</v>
      </c>
      <c r="W1940" t="str">
        <f t="shared" si="223"/>
        <v>26</v>
      </c>
      <c r="X1940" t="str">
        <f t="shared" si="224"/>
        <v>08</v>
      </c>
      <c r="Y1940" t="str">
        <f t="shared" si="220"/>
        <v>2008</v>
      </c>
      <c r="Z1940"/>
      <c r="AA1940" s="2">
        <f t="shared" si="221"/>
        <v>40221</v>
      </c>
      <c r="AB1940" t="str">
        <f t="shared" si="225"/>
        <v>12/26/2008</v>
      </c>
      <c r="AC1940"/>
    </row>
    <row r="1941" spans="21:29" ht="15">
      <c r="U1941" s="203">
        <v>39808</v>
      </c>
      <c r="V1941" t="str">
        <f t="shared" si="222"/>
        <v>12</v>
      </c>
      <c r="W1941" t="str">
        <f t="shared" si="223"/>
        <v>26</v>
      </c>
      <c r="X1941" t="str">
        <f t="shared" si="224"/>
        <v>08</v>
      </c>
      <c r="Y1941" t="str">
        <f t="shared" si="220"/>
        <v>2008</v>
      </c>
      <c r="Z1941"/>
      <c r="AA1941" s="2">
        <f t="shared" si="221"/>
        <v>40221</v>
      </c>
      <c r="AB1941" t="str">
        <f t="shared" si="225"/>
        <v>12/26/2008</v>
      </c>
      <c r="AC1941"/>
    </row>
    <row r="1942" spans="21:29" ht="15">
      <c r="U1942" s="203">
        <v>39814</v>
      </c>
      <c r="V1942" t="str">
        <f t="shared" si="222"/>
        <v>01</v>
      </c>
      <c r="W1942" t="str">
        <f t="shared" si="223"/>
        <v>01</v>
      </c>
      <c r="X1942" t="str">
        <f t="shared" si="224"/>
        <v>09</v>
      </c>
      <c r="Y1942" t="str">
        <f t="shared" si="220"/>
        <v>2009</v>
      </c>
      <c r="Z1942"/>
      <c r="AA1942" s="2">
        <f t="shared" si="221"/>
        <v>39814</v>
      </c>
      <c r="AB1942" t="str">
        <f t="shared" si="225"/>
        <v>01/01/2009</v>
      </c>
      <c r="AC1942"/>
    </row>
    <row r="1943" spans="21:29" ht="15">
      <c r="U1943" s="203">
        <v>39814</v>
      </c>
      <c r="V1943" t="str">
        <f t="shared" si="222"/>
        <v>01</v>
      </c>
      <c r="W1943" t="str">
        <f t="shared" si="223"/>
        <v>01</v>
      </c>
      <c r="X1943" t="str">
        <f t="shared" si="224"/>
        <v>09</v>
      </c>
      <c r="Y1943" t="str">
        <f t="shared" si="220"/>
        <v>2009</v>
      </c>
      <c r="Z1943"/>
      <c r="AA1943" s="2">
        <f t="shared" si="221"/>
        <v>39814</v>
      </c>
      <c r="AB1943" t="str">
        <f t="shared" si="225"/>
        <v>01/01/2009</v>
      </c>
      <c r="AC1943"/>
    </row>
    <row r="1944" spans="21:29" ht="15">
      <c r="U1944" s="203">
        <v>39818</v>
      </c>
      <c r="V1944" t="str">
        <f t="shared" si="222"/>
        <v>01</v>
      </c>
      <c r="W1944" t="str">
        <f t="shared" si="223"/>
        <v>05</v>
      </c>
      <c r="X1944" t="str">
        <f t="shared" si="224"/>
        <v>09</v>
      </c>
      <c r="Y1944" t="str">
        <f t="shared" si="220"/>
        <v>2009</v>
      </c>
      <c r="Z1944"/>
      <c r="AA1944" s="2">
        <f t="shared" si="221"/>
        <v>39934</v>
      </c>
      <c r="AB1944" t="str">
        <f t="shared" si="225"/>
        <v>01/05/2009</v>
      </c>
      <c r="AC1944"/>
    </row>
    <row r="1945" spans="21:29" ht="15">
      <c r="U1945" s="203">
        <v>39819</v>
      </c>
      <c r="V1945" t="str">
        <f t="shared" si="222"/>
        <v>01</v>
      </c>
      <c r="W1945" t="str">
        <f t="shared" si="223"/>
        <v>06</v>
      </c>
      <c r="X1945" t="str">
        <f t="shared" si="224"/>
        <v>09</v>
      </c>
      <c r="Y1945" t="str">
        <f t="shared" si="220"/>
        <v>2009</v>
      </c>
      <c r="Z1945"/>
      <c r="AA1945" s="2">
        <f t="shared" si="221"/>
        <v>39965</v>
      </c>
      <c r="AB1945" t="str">
        <f t="shared" si="225"/>
        <v>01/06/2009</v>
      </c>
      <c r="AC1945"/>
    </row>
    <row r="1946" spans="21:29" ht="15">
      <c r="U1946" s="203">
        <v>39819</v>
      </c>
      <c r="V1946" t="str">
        <f t="shared" si="222"/>
        <v>01</v>
      </c>
      <c r="W1946" t="str">
        <f t="shared" si="223"/>
        <v>06</v>
      </c>
      <c r="X1946" t="str">
        <f t="shared" si="224"/>
        <v>09</v>
      </c>
      <c r="Y1946" t="str">
        <f t="shared" si="220"/>
        <v>2009</v>
      </c>
      <c r="Z1946"/>
      <c r="AA1946" s="2">
        <f t="shared" si="221"/>
        <v>39965</v>
      </c>
      <c r="AB1946" t="str">
        <f t="shared" si="225"/>
        <v>01/06/2009</v>
      </c>
      <c r="AC1946"/>
    </row>
    <row r="1947" spans="21:29" ht="15">
      <c r="U1947" s="203">
        <v>39819</v>
      </c>
      <c r="V1947" t="str">
        <f t="shared" si="222"/>
        <v>01</v>
      </c>
      <c r="W1947" t="str">
        <f t="shared" si="223"/>
        <v>06</v>
      </c>
      <c r="X1947" t="str">
        <f t="shared" si="224"/>
        <v>09</v>
      </c>
      <c r="Y1947" t="str">
        <f t="shared" si="220"/>
        <v>2009</v>
      </c>
      <c r="Z1947"/>
      <c r="AA1947" s="2">
        <f t="shared" si="221"/>
        <v>39965</v>
      </c>
      <c r="AB1947" t="str">
        <f t="shared" si="225"/>
        <v>01/06/2009</v>
      </c>
      <c r="AC1947"/>
    </row>
    <row r="1948" spans="21:29" ht="15">
      <c r="U1948" s="203">
        <v>39822</v>
      </c>
      <c r="V1948" t="str">
        <f t="shared" si="222"/>
        <v>01</v>
      </c>
      <c r="W1948" t="str">
        <f t="shared" si="223"/>
        <v>09</v>
      </c>
      <c r="X1948" t="str">
        <f t="shared" si="224"/>
        <v>09</v>
      </c>
      <c r="Y1948" t="str">
        <f t="shared" si="220"/>
        <v>2009</v>
      </c>
      <c r="Z1948"/>
      <c r="AA1948" s="2">
        <f t="shared" si="221"/>
        <v>40057</v>
      </c>
      <c r="AB1948" t="str">
        <f t="shared" si="225"/>
        <v>01/09/2009</v>
      </c>
      <c r="AC1948"/>
    </row>
    <row r="1949" spans="21:29" ht="15">
      <c r="U1949" s="203">
        <v>39823</v>
      </c>
      <c r="V1949" t="str">
        <f t="shared" si="222"/>
        <v>01</v>
      </c>
      <c r="W1949" t="str">
        <f t="shared" si="223"/>
        <v>10</v>
      </c>
      <c r="X1949" t="str">
        <f t="shared" si="224"/>
        <v>09</v>
      </c>
      <c r="Y1949" t="str">
        <f t="shared" si="220"/>
        <v>2009</v>
      </c>
      <c r="Z1949"/>
      <c r="AA1949" s="2">
        <f t="shared" si="221"/>
        <v>40087</v>
      </c>
      <c r="AB1949" t="str">
        <f t="shared" si="225"/>
        <v>01/10/2009</v>
      </c>
      <c r="AC1949"/>
    </row>
    <row r="1950" spans="21:29" ht="15">
      <c r="U1950" s="203">
        <v>39823</v>
      </c>
      <c r="V1950" t="str">
        <f t="shared" si="222"/>
        <v>01</v>
      </c>
      <c r="W1950" t="str">
        <f t="shared" si="223"/>
        <v>10</v>
      </c>
      <c r="X1950" t="str">
        <f t="shared" si="224"/>
        <v>09</v>
      </c>
      <c r="Y1950" t="str">
        <f t="shared" si="220"/>
        <v>2009</v>
      </c>
      <c r="Z1950"/>
      <c r="AA1950" s="2">
        <f t="shared" si="221"/>
        <v>40087</v>
      </c>
      <c r="AB1950" t="str">
        <f t="shared" si="225"/>
        <v>01/10/2009</v>
      </c>
      <c r="AC1950"/>
    </row>
    <row r="1951" spans="21:29" ht="15">
      <c r="U1951" s="203">
        <v>39826</v>
      </c>
      <c r="V1951" t="str">
        <f t="shared" si="222"/>
        <v>01</v>
      </c>
      <c r="W1951" t="str">
        <f t="shared" si="223"/>
        <v>13</v>
      </c>
      <c r="X1951" t="str">
        <f t="shared" si="224"/>
        <v>09</v>
      </c>
      <c r="Y1951" t="str">
        <f t="shared" si="220"/>
        <v>2009</v>
      </c>
      <c r="Z1951"/>
      <c r="AA1951" s="2">
        <f t="shared" si="221"/>
        <v>40179</v>
      </c>
      <c r="AB1951" t="str">
        <f t="shared" si="225"/>
        <v>01/13/2009</v>
      </c>
      <c r="AC1951"/>
    </row>
    <row r="1952" spans="21:29" ht="15">
      <c r="U1952" s="203">
        <v>39826</v>
      </c>
      <c r="V1952" t="str">
        <f t="shared" si="222"/>
        <v>01</v>
      </c>
      <c r="W1952" t="str">
        <f t="shared" si="223"/>
        <v>13</v>
      </c>
      <c r="X1952" t="str">
        <f t="shared" si="224"/>
        <v>09</v>
      </c>
      <c r="Y1952" t="str">
        <f t="shared" si="220"/>
        <v>2009</v>
      </c>
      <c r="Z1952"/>
      <c r="AA1952" s="2">
        <f t="shared" si="221"/>
        <v>40179</v>
      </c>
      <c r="AB1952" t="str">
        <f t="shared" si="225"/>
        <v>01/13/2009</v>
      </c>
      <c r="AC1952"/>
    </row>
    <row r="1953" spans="21:29" ht="15">
      <c r="U1953" s="203">
        <v>39828</v>
      </c>
      <c r="V1953" t="str">
        <f t="shared" si="222"/>
        <v>01</v>
      </c>
      <c r="W1953" t="str">
        <f t="shared" si="223"/>
        <v>15</v>
      </c>
      <c r="X1953" t="str">
        <f t="shared" si="224"/>
        <v>09</v>
      </c>
      <c r="Y1953" t="str">
        <f t="shared" si="220"/>
        <v>2009</v>
      </c>
      <c r="Z1953"/>
      <c r="AA1953" s="2">
        <f t="shared" si="221"/>
        <v>40238</v>
      </c>
      <c r="AB1953" t="str">
        <f t="shared" si="225"/>
        <v>01/15/2009</v>
      </c>
      <c r="AC1953"/>
    </row>
    <row r="1954" spans="21:29" ht="15">
      <c r="U1954" s="203">
        <v>39830</v>
      </c>
      <c r="V1954" t="str">
        <f t="shared" si="222"/>
        <v>01</v>
      </c>
      <c r="W1954" t="str">
        <f t="shared" si="223"/>
        <v>17</v>
      </c>
      <c r="X1954" t="str">
        <f t="shared" si="224"/>
        <v>09</v>
      </c>
      <c r="Y1954" t="str">
        <f t="shared" si="220"/>
        <v>2009</v>
      </c>
      <c r="Z1954"/>
      <c r="AA1954" s="2">
        <f t="shared" si="221"/>
        <v>40299</v>
      </c>
      <c r="AB1954" t="str">
        <f t="shared" si="225"/>
        <v>01/17/2009</v>
      </c>
      <c r="AC1954"/>
    </row>
    <row r="1955" spans="21:29" ht="15">
      <c r="U1955" s="203">
        <v>39837</v>
      </c>
      <c r="V1955" t="str">
        <f t="shared" si="222"/>
        <v>01</v>
      </c>
      <c r="W1955" t="str">
        <f t="shared" si="223"/>
        <v>24</v>
      </c>
      <c r="X1955" t="str">
        <f t="shared" si="224"/>
        <v>09</v>
      </c>
      <c r="Y1955" t="str">
        <f t="shared" si="220"/>
        <v>2009</v>
      </c>
      <c r="Z1955"/>
      <c r="AA1955" s="2">
        <f t="shared" si="221"/>
        <v>40513</v>
      </c>
      <c r="AB1955" t="str">
        <f t="shared" si="225"/>
        <v>01/24/2009</v>
      </c>
      <c r="AC1955"/>
    </row>
    <row r="1956" spans="21:29" ht="15">
      <c r="U1956" s="203">
        <v>39841</v>
      </c>
      <c r="V1956" t="str">
        <f t="shared" si="222"/>
        <v>01</v>
      </c>
      <c r="W1956" t="str">
        <f t="shared" si="223"/>
        <v>28</v>
      </c>
      <c r="X1956" t="str">
        <f t="shared" si="224"/>
        <v>09</v>
      </c>
      <c r="Y1956" t="str">
        <f t="shared" si="220"/>
        <v>2009</v>
      </c>
      <c r="Z1956"/>
      <c r="AA1956" s="2">
        <f t="shared" si="221"/>
        <v>40634</v>
      </c>
      <c r="AB1956" t="str">
        <f t="shared" si="225"/>
        <v>01/28/2009</v>
      </c>
      <c r="AC1956"/>
    </row>
    <row r="1957" spans="21:29" ht="15">
      <c r="U1957" s="203">
        <v>39845</v>
      </c>
      <c r="V1957" t="str">
        <f t="shared" si="222"/>
        <v>02</v>
      </c>
      <c r="W1957" t="str">
        <f t="shared" si="223"/>
        <v>01</v>
      </c>
      <c r="X1957" t="str">
        <f t="shared" si="224"/>
        <v>09</v>
      </c>
      <c r="Y1957" t="str">
        <f t="shared" si="220"/>
        <v>2009</v>
      </c>
      <c r="Z1957"/>
      <c r="AA1957" s="2">
        <f t="shared" si="221"/>
        <v>39815</v>
      </c>
      <c r="AB1957" t="str">
        <f t="shared" si="225"/>
        <v>02/01/2009</v>
      </c>
      <c r="AC1957"/>
    </row>
    <row r="1958" spans="21:29" ht="15">
      <c r="U1958" s="203">
        <v>39847</v>
      </c>
      <c r="V1958" t="str">
        <f t="shared" si="222"/>
        <v>02</v>
      </c>
      <c r="W1958" t="str">
        <f t="shared" si="223"/>
        <v>03</v>
      </c>
      <c r="X1958" t="str">
        <f t="shared" si="224"/>
        <v>09</v>
      </c>
      <c r="Y1958" t="str">
        <f t="shared" si="220"/>
        <v>2009</v>
      </c>
      <c r="Z1958"/>
      <c r="AA1958" s="2">
        <f t="shared" si="221"/>
        <v>39874</v>
      </c>
      <c r="AB1958" t="str">
        <f t="shared" si="225"/>
        <v>02/03/2009</v>
      </c>
      <c r="AC1958"/>
    </row>
    <row r="1959" spans="21:29" ht="15">
      <c r="U1959" s="203">
        <v>39849</v>
      </c>
      <c r="V1959" t="str">
        <f t="shared" si="222"/>
        <v>02</v>
      </c>
      <c r="W1959" t="str">
        <f t="shared" si="223"/>
        <v>05</v>
      </c>
      <c r="X1959" t="str">
        <f t="shared" si="224"/>
        <v>09</v>
      </c>
      <c r="Y1959" t="str">
        <f t="shared" si="220"/>
        <v>2009</v>
      </c>
      <c r="Z1959"/>
      <c r="AA1959" s="2">
        <f t="shared" si="221"/>
        <v>39935</v>
      </c>
      <c r="AB1959" t="str">
        <f t="shared" si="225"/>
        <v>02/05/2009</v>
      </c>
      <c r="AC1959"/>
    </row>
    <row r="1960" spans="21:29" ht="15">
      <c r="U1960" s="203">
        <v>39855</v>
      </c>
      <c r="V1960" t="str">
        <f t="shared" si="222"/>
        <v>02</v>
      </c>
      <c r="W1960" t="str">
        <f t="shared" si="223"/>
        <v>11</v>
      </c>
      <c r="X1960" t="str">
        <f t="shared" si="224"/>
        <v>09</v>
      </c>
      <c r="Y1960" t="str">
        <f t="shared" si="220"/>
        <v>2009</v>
      </c>
      <c r="Z1960"/>
      <c r="AA1960" s="2">
        <f t="shared" si="221"/>
        <v>40119</v>
      </c>
      <c r="AB1960" t="str">
        <f t="shared" si="225"/>
        <v>02/11/2009</v>
      </c>
      <c r="AC1960"/>
    </row>
    <row r="1961" spans="21:29" ht="15">
      <c r="U1961" s="203">
        <v>39860</v>
      </c>
      <c r="V1961" t="str">
        <f t="shared" si="222"/>
        <v>02</v>
      </c>
      <c r="W1961" t="str">
        <f t="shared" si="223"/>
        <v>16</v>
      </c>
      <c r="X1961" t="str">
        <f t="shared" si="224"/>
        <v>09</v>
      </c>
      <c r="Y1961" t="str">
        <f t="shared" si="220"/>
        <v>2009</v>
      </c>
      <c r="Z1961"/>
      <c r="AA1961" s="2">
        <f t="shared" si="221"/>
        <v>40270</v>
      </c>
      <c r="AB1961" t="str">
        <f t="shared" si="225"/>
        <v>02/16/2009</v>
      </c>
      <c r="AC1961"/>
    </row>
    <row r="1962" spans="21:29" ht="15">
      <c r="U1962" s="203">
        <v>39863</v>
      </c>
      <c r="V1962" t="str">
        <f t="shared" si="222"/>
        <v>02</v>
      </c>
      <c r="W1962" t="str">
        <f t="shared" si="223"/>
        <v>19</v>
      </c>
      <c r="X1962" t="str">
        <f t="shared" si="224"/>
        <v>09</v>
      </c>
      <c r="Y1962" t="str">
        <f t="shared" si="220"/>
        <v>2009</v>
      </c>
      <c r="Z1962"/>
      <c r="AA1962" s="2">
        <f t="shared" si="221"/>
        <v>40361</v>
      </c>
      <c r="AB1962" t="str">
        <f t="shared" si="225"/>
        <v>02/19/2009</v>
      </c>
      <c r="AC1962"/>
    </row>
    <row r="1963" spans="21:29" ht="15">
      <c r="U1963" s="203">
        <v>39871</v>
      </c>
      <c r="V1963" t="str">
        <f t="shared" si="222"/>
        <v>02</v>
      </c>
      <c r="W1963" t="str">
        <f t="shared" si="223"/>
        <v>27</v>
      </c>
      <c r="X1963" t="str">
        <f t="shared" si="224"/>
        <v>09</v>
      </c>
      <c r="Y1963" t="str">
        <f t="shared" si="220"/>
        <v>2009</v>
      </c>
      <c r="Z1963"/>
      <c r="AA1963" s="2">
        <f t="shared" si="221"/>
        <v>40604</v>
      </c>
      <c r="AB1963" t="str">
        <f t="shared" si="225"/>
        <v>02/27/2009</v>
      </c>
      <c r="AC1963"/>
    </row>
    <row r="1964" spans="21:29" ht="15">
      <c r="U1964" s="203">
        <v>39873</v>
      </c>
      <c r="V1964" t="str">
        <f t="shared" si="222"/>
        <v>03</v>
      </c>
      <c r="W1964" t="str">
        <f t="shared" si="223"/>
        <v>01</v>
      </c>
      <c r="X1964" t="str">
        <f t="shared" si="224"/>
        <v>09</v>
      </c>
      <c r="Y1964" t="str">
        <f t="shared" si="220"/>
        <v>2009</v>
      </c>
      <c r="Z1964"/>
      <c r="AA1964" s="2">
        <f t="shared" si="221"/>
        <v>39816</v>
      </c>
      <c r="AB1964" t="str">
        <f t="shared" si="225"/>
        <v>03/01/2009</v>
      </c>
      <c r="AC1964"/>
    </row>
    <row r="1965" spans="21:29" ht="15">
      <c r="U1965" s="203">
        <v>39874</v>
      </c>
      <c r="V1965" t="str">
        <f t="shared" si="222"/>
        <v>03</v>
      </c>
      <c r="W1965" t="str">
        <f t="shared" si="223"/>
        <v>02</v>
      </c>
      <c r="X1965" t="str">
        <f t="shared" si="224"/>
        <v>09</v>
      </c>
      <c r="Y1965" t="str">
        <f t="shared" si="220"/>
        <v>2009</v>
      </c>
      <c r="Z1965"/>
      <c r="AA1965" s="2">
        <f t="shared" si="221"/>
        <v>39847</v>
      </c>
      <c r="AB1965" t="str">
        <f t="shared" si="225"/>
        <v>03/02/2009</v>
      </c>
      <c r="AC1965"/>
    </row>
    <row r="1966" spans="21:29" ht="15">
      <c r="U1966" s="203">
        <v>39879</v>
      </c>
      <c r="V1966" t="str">
        <f t="shared" si="222"/>
        <v>03</v>
      </c>
      <c r="W1966" t="str">
        <f t="shared" si="223"/>
        <v>07</v>
      </c>
      <c r="X1966" t="str">
        <f t="shared" si="224"/>
        <v>09</v>
      </c>
      <c r="Y1966" t="str">
        <f t="shared" si="220"/>
        <v>2009</v>
      </c>
      <c r="Z1966"/>
      <c r="AA1966" s="2">
        <f t="shared" si="221"/>
        <v>39997</v>
      </c>
      <c r="AB1966" t="str">
        <f t="shared" si="225"/>
        <v>03/07/2009</v>
      </c>
      <c r="AC1966"/>
    </row>
    <row r="1967" spans="21:29" ht="15">
      <c r="U1967" s="203">
        <v>39881</v>
      </c>
      <c r="V1967" t="str">
        <f t="shared" si="222"/>
        <v>03</v>
      </c>
      <c r="W1967" t="str">
        <f t="shared" si="223"/>
        <v>09</v>
      </c>
      <c r="X1967" t="str">
        <f t="shared" si="224"/>
        <v>09</v>
      </c>
      <c r="Y1967" t="str">
        <f t="shared" si="220"/>
        <v>2009</v>
      </c>
      <c r="Z1967"/>
      <c r="AA1967" s="2">
        <f t="shared" si="221"/>
        <v>40059</v>
      </c>
      <c r="AB1967" t="str">
        <f t="shared" si="225"/>
        <v>03/09/2009</v>
      </c>
      <c r="AC1967"/>
    </row>
    <row r="1968" spans="21:29" ht="15">
      <c r="U1968" s="203">
        <v>39884</v>
      </c>
      <c r="V1968" t="str">
        <f t="shared" si="222"/>
        <v>03</v>
      </c>
      <c r="W1968" t="str">
        <f t="shared" si="223"/>
        <v>12</v>
      </c>
      <c r="X1968" t="str">
        <f t="shared" si="224"/>
        <v>09</v>
      </c>
      <c r="Y1968" t="str">
        <f t="shared" si="220"/>
        <v>2009</v>
      </c>
      <c r="Z1968"/>
      <c r="AA1968" s="2">
        <f t="shared" si="221"/>
        <v>40150</v>
      </c>
      <c r="AB1968" t="str">
        <f t="shared" si="225"/>
        <v>03/12/2009</v>
      </c>
      <c r="AC1968"/>
    </row>
    <row r="1969" spans="21:29" ht="15">
      <c r="U1969" s="203">
        <v>39888</v>
      </c>
      <c r="V1969" t="str">
        <f t="shared" si="222"/>
        <v>03</v>
      </c>
      <c r="W1969" t="str">
        <f t="shared" si="223"/>
        <v>16</v>
      </c>
      <c r="X1969" t="str">
        <f t="shared" si="224"/>
        <v>09</v>
      </c>
      <c r="Y1969" t="str">
        <f t="shared" si="220"/>
        <v>2009</v>
      </c>
      <c r="Z1969"/>
      <c r="AA1969" s="2">
        <f t="shared" si="221"/>
        <v>40271</v>
      </c>
      <c r="AB1969" t="str">
        <f t="shared" si="225"/>
        <v>03/16/2009</v>
      </c>
      <c r="AC1969"/>
    </row>
    <row r="1970" spans="21:29" ht="15">
      <c r="U1970" s="203">
        <v>39890</v>
      </c>
      <c r="V1970" t="str">
        <f t="shared" si="222"/>
        <v>03</v>
      </c>
      <c r="W1970" t="str">
        <f t="shared" si="223"/>
        <v>18</v>
      </c>
      <c r="X1970" t="str">
        <f t="shared" si="224"/>
        <v>09</v>
      </c>
      <c r="Y1970" t="str">
        <f t="shared" si="220"/>
        <v>2009</v>
      </c>
      <c r="Z1970"/>
      <c r="AA1970" s="2">
        <f t="shared" si="221"/>
        <v>40332</v>
      </c>
      <c r="AB1970" t="str">
        <f t="shared" si="225"/>
        <v>03/18/2009</v>
      </c>
      <c r="AC1970"/>
    </row>
    <row r="1971" spans="21:29" ht="15">
      <c r="U1971" s="203">
        <v>39890</v>
      </c>
      <c r="V1971" t="str">
        <f t="shared" si="222"/>
        <v>03</v>
      </c>
      <c r="W1971" t="str">
        <f t="shared" si="223"/>
        <v>18</v>
      </c>
      <c r="X1971" t="str">
        <f t="shared" si="224"/>
        <v>09</v>
      </c>
      <c r="Y1971" t="str">
        <f t="shared" si="220"/>
        <v>2009</v>
      </c>
      <c r="Z1971"/>
      <c r="AA1971" s="2">
        <f t="shared" si="221"/>
        <v>40332</v>
      </c>
      <c r="AB1971" t="str">
        <f t="shared" si="225"/>
        <v>03/18/2009</v>
      </c>
      <c r="AC1971"/>
    </row>
    <row r="1972" spans="21:29" ht="15">
      <c r="U1972" s="203">
        <v>39892</v>
      </c>
      <c r="V1972" t="str">
        <f t="shared" si="222"/>
        <v>03</v>
      </c>
      <c r="W1972" t="str">
        <f t="shared" si="223"/>
        <v>20</v>
      </c>
      <c r="X1972" t="str">
        <f t="shared" si="224"/>
        <v>09</v>
      </c>
      <c r="Y1972" t="str">
        <f t="shared" si="220"/>
        <v>2009</v>
      </c>
      <c r="Z1972"/>
      <c r="AA1972" s="2">
        <f t="shared" si="221"/>
        <v>40393</v>
      </c>
      <c r="AB1972" t="str">
        <f t="shared" si="225"/>
        <v>03/20/2009</v>
      </c>
      <c r="AC1972"/>
    </row>
    <row r="1973" spans="21:29" ht="15">
      <c r="U1973" s="203">
        <v>39892</v>
      </c>
      <c r="V1973" t="str">
        <f t="shared" si="222"/>
        <v>03</v>
      </c>
      <c r="W1973" t="str">
        <f t="shared" si="223"/>
        <v>20</v>
      </c>
      <c r="X1973" t="str">
        <f t="shared" si="224"/>
        <v>09</v>
      </c>
      <c r="Y1973" t="str">
        <f t="shared" si="220"/>
        <v>2009</v>
      </c>
      <c r="Z1973"/>
      <c r="AA1973" s="2">
        <f t="shared" si="221"/>
        <v>40393</v>
      </c>
      <c r="AB1973" t="str">
        <f t="shared" si="225"/>
        <v>03/20/2009</v>
      </c>
      <c r="AC1973"/>
    </row>
    <row r="1974" spans="21:29" ht="15">
      <c r="U1974" s="203">
        <v>39897</v>
      </c>
      <c r="V1974" t="str">
        <f t="shared" si="222"/>
        <v>03</v>
      </c>
      <c r="W1974" t="str">
        <f t="shared" si="223"/>
        <v>25</v>
      </c>
      <c r="X1974" t="str">
        <f t="shared" si="224"/>
        <v>09</v>
      </c>
      <c r="Y1974" t="str">
        <f t="shared" si="220"/>
        <v>2009</v>
      </c>
      <c r="Z1974"/>
      <c r="AA1974" s="2">
        <f t="shared" si="221"/>
        <v>40546</v>
      </c>
      <c r="AB1974" t="str">
        <f t="shared" si="225"/>
        <v>03/25/2009</v>
      </c>
      <c r="AC1974"/>
    </row>
    <row r="1975" spans="21:29" ht="15">
      <c r="U1975" s="203">
        <v>39898</v>
      </c>
      <c r="V1975" t="str">
        <f t="shared" si="222"/>
        <v>03</v>
      </c>
      <c r="W1975" t="str">
        <f t="shared" si="223"/>
        <v>26</v>
      </c>
      <c r="X1975" t="str">
        <f t="shared" si="224"/>
        <v>09</v>
      </c>
      <c r="Y1975" t="str">
        <f t="shared" si="220"/>
        <v>2009</v>
      </c>
      <c r="Z1975"/>
      <c r="AA1975" s="2">
        <f t="shared" si="221"/>
        <v>40577</v>
      </c>
      <c r="AB1975" t="str">
        <f t="shared" si="225"/>
        <v>03/26/2009</v>
      </c>
      <c r="AC1975"/>
    </row>
    <row r="1976" spans="21:29" ht="15">
      <c r="U1976" s="203">
        <v>39903</v>
      </c>
      <c r="V1976" t="str">
        <f t="shared" si="222"/>
        <v>03</v>
      </c>
      <c r="W1976" t="str">
        <f t="shared" si="223"/>
        <v>31</v>
      </c>
      <c r="X1976" t="str">
        <f t="shared" si="224"/>
        <v>09</v>
      </c>
      <c r="Y1976" t="str">
        <f t="shared" si="220"/>
        <v>2009</v>
      </c>
      <c r="Z1976"/>
      <c r="AA1976" s="2">
        <f t="shared" si="221"/>
        <v>40727</v>
      </c>
      <c r="AB1976" t="str">
        <f t="shared" si="225"/>
        <v>03/31/2009</v>
      </c>
      <c r="AC1976"/>
    </row>
    <row r="1977" spans="21:29" ht="15">
      <c r="U1977" s="2">
        <v>37093</v>
      </c>
      <c r="V1977" t="str">
        <f t="shared" si="222"/>
        <v>07</v>
      </c>
      <c r="W1977" t="str">
        <f t="shared" si="223"/>
        <v>21</v>
      </c>
      <c r="X1977" t="str">
        <f t="shared" si="224"/>
        <v>01</v>
      </c>
      <c r="Y1977" t="str">
        <f t="shared" si="220"/>
        <v>2001</v>
      </c>
      <c r="Z1977"/>
      <c r="AA1977" s="2">
        <f t="shared" si="221"/>
        <v>37506</v>
      </c>
      <c r="AB1977" t="str">
        <f t="shared" si="225"/>
        <v>07/21/2001</v>
      </c>
      <c r="AC1977"/>
    </row>
    <row r="1978" spans="21:29" ht="15">
      <c r="U1978" s="2">
        <v>37127</v>
      </c>
      <c r="V1978" t="str">
        <f t="shared" si="222"/>
        <v>08</v>
      </c>
      <c r="W1978" t="str">
        <f t="shared" si="223"/>
        <v>24</v>
      </c>
      <c r="X1978" t="str">
        <f t="shared" si="224"/>
        <v>01</v>
      </c>
      <c r="Y1978" t="str">
        <f t="shared" si="220"/>
        <v>2001</v>
      </c>
      <c r="Z1978"/>
      <c r="AA1978" s="2">
        <f t="shared" si="221"/>
        <v>37598</v>
      </c>
      <c r="AB1978" t="str">
        <f t="shared" si="225"/>
        <v>08/24/2001</v>
      </c>
      <c r="AC1978"/>
    </row>
    <row r="1979" spans="21:29" ht="15">
      <c r="U1979" s="2">
        <v>37127</v>
      </c>
      <c r="V1979" t="str">
        <f t="shared" si="222"/>
        <v>08</v>
      </c>
      <c r="W1979" t="str">
        <f t="shared" si="223"/>
        <v>24</v>
      </c>
      <c r="X1979" t="str">
        <f t="shared" si="224"/>
        <v>01</v>
      </c>
      <c r="Y1979" t="str">
        <f t="shared" si="220"/>
        <v>2001</v>
      </c>
      <c r="Z1979"/>
      <c r="AA1979" s="2">
        <f t="shared" si="221"/>
        <v>37598</v>
      </c>
      <c r="AB1979" t="str">
        <f t="shared" si="225"/>
        <v>08/24/2001</v>
      </c>
      <c r="AC1979"/>
    </row>
    <row r="1980" spans="21:29" ht="15">
      <c r="U1980" s="2">
        <v>37134</v>
      </c>
      <c r="V1980" t="str">
        <f t="shared" si="222"/>
        <v>08</v>
      </c>
      <c r="W1980" t="str">
        <f t="shared" si="223"/>
        <v>31</v>
      </c>
      <c r="X1980" t="str">
        <f t="shared" si="224"/>
        <v>01</v>
      </c>
      <c r="Y1980" t="str">
        <f t="shared" si="220"/>
        <v>2001</v>
      </c>
      <c r="Z1980"/>
      <c r="AA1980" s="2">
        <f t="shared" si="221"/>
        <v>37810</v>
      </c>
      <c r="AB1980" t="str">
        <f t="shared" si="225"/>
        <v>08/31/2001</v>
      </c>
      <c r="AC1980"/>
    </row>
    <row r="1981" spans="21:29" ht="15">
      <c r="U1981" s="2">
        <v>37156</v>
      </c>
      <c r="V1981" t="str">
        <f t="shared" si="222"/>
        <v>09</v>
      </c>
      <c r="W1981" t="str">
        <f t="shared" si="223"/>
        <v>22</v>
      </c>
      <c r="X1981" t="str">
        <f t="shared" si="224"/>
        <v>01</v>
      </c>
      <c r="Y1981" t="str">
        <f t="shared" si="220"/>
        <v>2001</v>
      </c>
      <c r="Z1981"/>
      <c r="AA1981" s="2">
        <f t="shared" si="221"/>
        <v>37538</v>
      </c>
      <c r="AB1981" t="str">
        <f t="shared" si="225"/>
        <v>09/22/2001</v>
      </c>
      <c r="AC1981"/>
    </row>
    <row r="1982" spans="21:29" ht="15">
      <c r="U1982" s="2">
        <v>37159</v>
      </c>
      <c r="V1982" t="str">
        <f t="shared" si="222"/>
        <v>09</v>
      </c>
      <c r="W1982" t="str">
        <f t="shared" si="223"/>
        <v>25</v>
      </c>
      <c r="X1982" t="str">
        <f t="shared" si="224"/>
        <v>01</v>
      </c>
      <c r="Y1982" t="str">
        <f t="shared" si="220"/>
        <v>2001</v>
      </c>
      <c r="Z1982"/>
      <c r="AA1982" s="2">
        <f t="shared" si="221"/>
        <v>37630</v>
      </c>
      <c r="AB1982" t="str">
        <f t="shared" si="225"/>
        <v>09/25/2001</v>
      </c>
      <c r="AC1982"/>
    </row>
    <row r="1983" spans="21:29" ht="15">
      <c r="U1983" s="2">
        <v>37159</v>
      </c>
      <c r="V1983" t="str">
        <f t="shared" si="222"/>
        <v>09</v>
      </c>
      <c r="W1983" t="str">
        <f t="shared" si="223"/>
        <v>25</v>
      </c>
      <c r="X1983" t="str">
        <f t="shared" si="224"/>
        <v>01</v>
      </c>
      <c r="Y1983" t="str">
        <f t="shared" si="220"/>
        <v>2001</v>
      </c>
      <c r="Z1983"/>
      <c r="AA1983" s="2">
        <f t="shared" si="221"/>
        <v>37630</v>
      </c>
      <c r="AB1983" t="str">
        <f t="shared" si="225"/>
        <v>09/25/2001</v>
      </c>
      <c r="AC1983"/>
    </row>
    <row r="1984" spans="21:29" ht="15">
      <c r="U1984" s="2">
        <v>37188</v>
      </c>
      <c r="V1984" t="str">
        <f t="shared" si="222"/>
        <v>10</v>
      </c>
      <c r="W1984" t="str">
        <f t="shared" si="223"/>
        <v>24</v>
      </c>
      <c r="X1984" t="str">
        <f t="shared" si="224"/>
        <v>01</v>
      </c>
      <c r="Y1984" t="str">
        <f t="shared" si="220"/>
        <v>2001</v>
      </c>
      <c r="Z1984"/>
      <c r="AA1984" s="2">
        <f t="shared" si="221"/>
        <v>37600</v>
      </c>
      <c r="AB1984" t="str">
        <f t="shared" si="225"/>
        <v>10/24/2001</v>
      </c>
      <c r="AC1984"/>
    </row>
    <row r="1985" spans="21:29" ht="15">
      <c r="U1985" s="2">
        <v>37188</v>
      </c>
      <c r="V1985" t="str">
        <f t="shared" si="222"/>
        <v>10</v>
      </c>
      <c r="W1985" t="str">
        <f t="shared" si="223"/>
        <v>24</v>
      </c>
      <c r="X1985" t="str">
        <f t="shared" si="224"/>
        <v>01</v>
      </c>
      <c r="Y1985" t="str">
        <f t="shared" si="220"/>
        <v>2001</v>
      </c>
      <c r="Z1985"/>
      <c r="AA1985" s="2">
        <f t="shared" si="221"/>
        <v>37600</v>
      </c>
      <c r="AB1985" t="str">
        <f t="shared" si="225"/>
        <v>10/24/2001</v>
      </c>
      <c r="AC1985"/>
    </row>
    <row r="1986" spans="21:29" ht="15">
      <c r="U1986" s="2">
        <v>37216</v>
      </c>
      <c r="V1986" t="str">
        <f t="shared" si="222"/>
        <v>11</v>
      </c>
      <c r="W1986" t="str">
        <f t="shared" si="223"/>
        <v>21</v>
      </c>
      <c r="X1986" t="str">
        <f t="shared" si="224"/>
        <v>01</v>
      </c>
      <c r="Y1986" t="str">
        <f t="shared" si="220"/>
        <v>2001</v>
      </c>
      <c r="Z1986"/>
      <c r="AA1986" s="2">
        <f t="shared" si="221"/>
        <v>37510</v>
      </c>
      <c r="AB1986" t="str">
        <f t="shared" si="225"/>
        <v>11/21/2001</v>
      </c>
      <c r="AC1986"/>
    </row>
    <row r="1987" spans="21:29" ht="15">
      <c r="U1987" s="2">
        <v>37218</v>
      </c>
      <c r="V1987" t="str">
        <f t="shared" si="222"/>
        <v>11</v>
      </c>
      <c r="W1987" t="str">
        <f t="shared" si="223"/>
        <v>23</v>
      </c>
      <c r="X1987" t="str">
        <f t="shared" si="224"/>
        <v>01</v>
      </c>
      <c r="Y1987" t="str">
        <f t="shared" ref="Y1987:Y2050" si="226">"20" &amp; X1987</f>
        <v>2001</v>
      </c>
      <c r="Z1987"/>
      <c r="AA1987" s="2">
        <f t="shared" si="221"/>
        <v>37571</v>
      </c>
      <c r="AB1987" t="str">
        <f t="shared" si="225"/>
        <v>11/23/2001</v>
      </c>
      <c r="AC1987"/>
    </row>
    <row r="1988" spans="21:29" ht="15">
      <c r="U1988" s="2">
        <v>37218</v>
      </c>
      <c r="V1988" t="str">
        <f t="shared" si="222"/>
        <v>11</v>
      </c>
      <c r="W1988" t="str">
        <f t="shared" si="223"/>
        <v>23</v>
      </c>
      <c r="X1988" t="str">
        <f t="shared" si="224"/>
        <v>01</v>
      </c>
      <c r="Y1988" t="str">
        <f t="shared" si="226"/>
        <v>2001</v>
      </c>
      <c r="Z1988"/>
      <c r="AA1988" s="2">
        <f t="shared" si="221"/>
        <v>37571</v>
      </c>
      <c r="AB1988" t="str">
        <f t="shared" si="225"/>
        <v>11/23/2001</v>
      </c>
      <c r="AC1988"/>
    </row>
    <row r="1989" spans="21:29" ht="15">
      <c r="U1989" s="2">
        <v>37225</v>
      </c>
      <c r="V1989" t="str">
        <f t="shared" si="222"/>
        <v>11</v>
      </c>
      <c r="W1989" t="str">
        <f t="shared" si="223"/>
        <v>30</v>
      </c>
      <c r="X1989" t="str">
        <f t="shared" si="224"/>
        <v>01</v>
      </c>
      <c r="Y1989" t="str">
        <f t="shared" si="226"/>
        <v>2001</v>
      </c>
      <c r="Z1989"/>
      <c r="AA1989" s="2">
        <f t="shared" si="221"/>
        <v>37783</v>
      </c>
      <c r="AB1989" t="str">
        <f t="shared" si="225"/>
        <v>11/30/2001</v>
      </c>
      <c r="AC1989"/>
    </row>
    <row r="1990" spans="21:29" ht="15">
      <c r="U1990" s="2">
        <v>37252</v>
      </c>
      <c r="V1990" t="str">
        <f t="shared" si="222"/>
        <v>12</v>
      </c>
      <c r="W1990" t="str">
        <f t="shared" si="223"/>
        <v>27</v>
      </c>
      <c r="X1990" t="str">
        <f t="shared" si="224"/>
        <v>01</v>
      </c>
      <c r="Y1990" t="str">
        <f t="shared" si="226"/>
        <v>2001</v>
      </c>
      <c r="Z1990"/>
      <c r="AA1990" s="2">
        <f t="shared" si="221"/>
        <v>37692</v>
      </c>
      <c r="AB1990" t="str">
        <f t="shared" si="225"/>
        <v>12/27/2001</v>
      </c>
      <c r="AC1990"/>
    </row>
    <row r="1991" spans="21:29" ht="15">
      <c r="U1991" s="2">
        <v>37252</v>
      </c>
      <c r="V1991" t="str">
        <f t="shared" si="222"/>
        <v>12</v>
      </c>
      <c r="W1991" t="str">
        <f t="shared" si="223"/>
        <v>27</v>
      </c>
      <c r="X1991" t="str">
        <f t="shared" si="224"/>
        <v>01</v>
      </c>
      <c r="Y1991" t="str">
        <f t="shared" si="226"/>
        <v>2001</v>
      </c>
      <c r="Z1991"/>
      <c r="AA1991" s="2">
        <f t="shared" si="221"/>
        <v>37692</v>
      </c>
      <c r="AB1991" t="str">
        <f t="shared" si="225"/>
        <v>12/27/2001</v>
      </c>
      <c r="AC1991"/>
    </row>
    <row r="1992" spans="21:29" ht="15">
      <c r="U1992" s="2">
        <v>37267</v>
      </c>
      <c r="V1992" t="str">
        <f t="shared" si="222"/>
        <v>01</v>
      </c>
      <c r="W1992" t="str">
        <f t="shared" si="223"/>
        <v>11</v>
      </c>
      <c r="X1992" t="str">
        <f t="shared" si="224"/>
        <v>02</v>
      </c>
      <c r="Y1992" t="str">
        <f t="shared" si="226"/>
        <v>2002</v>
      </c>
      <c r="Z1992"/>
      <c r="AA1992" s="2">
        <f t="shared" ref="AA1992:AA2055" si="227">DATE(Y1992,W1992,V1992)</f>
        <v>37561</v>
      </c>
      <c r="AB1992" t="str">
        <f t="shared" si="225"/>
        <v>01/11/2002</v>
      </c>
      <c r="AC1992"/>
    </row>
    <row r="1993" spans="21:29" ht="15">
      <c r="U1993" s="2">
        <v>37272</v>
      </c>
      <c r="V1993" t="str">
        <f t="shared" si="222"/>
        <v>01</v>
      </c>
      <c r="W1993" t="str">
        <f t="shared" si="223"/>
        <v>16</v>
      </c>
      <c r="X1993" t="str">
        <f t="shared" si="224"/>
        <v>02</v>
      </c>
      <c r="Y1993" t="str">
        <f t="shared" si="226"/>
        <v>2002</v>
      </c>
      <c r="Z1993"/>
      <c r="AA1993" s="2">
        <f t="shared" si="227"/>
        <v>37712</v>
      </c>
      <c r="AB1993" t="str">
        <f t="shared" si="225"/>
        <v>01/16/2002</v>
      </c>
      <c r="AC1993"/>
    </row>
    <row r="1994" spans="21:29" ht="15">
      <c r="U1994" s="2">
        <v>37278</v>
      </c>
      <c r="V1994" t="str">
        <f t="shared" si="222"/>
        <v>01</v>
      </c>
      <c r="W1994" t="str">
        <f t="shared" si="223"/>
        <v>22</v>
      </c>
      <c r="X1994" t="str">
        <f t="shared" si="224"/>
        <v>02</v>
      </c>
      <c r="Y1994" t="str">
        <f t="shared" si="226"/>
        <v>2002</v>
      </c>
      <c r="Z1994"/>
      <c r="AA1994" s="2">
        <f t="shared" si="227"/>
        <v>37895</v>
      </c>
      <c r="AB1994" t="str">
        <f t="shared" si="225"/>
        <v>01/22/2002</v>
      </c>
      <c r="AC1994"/>
    </row>
    <row r="1995" spans="21:29" ht="15">
      <c r="U1995" s="2">
        <v>37278</v>
      </c>
      <c r="V1995" t="str">
        <f t="shared" si="222"/>
        <v>01</v>
      </c>
      <c r="W1995" t="str">
        <f t="shared" si="223"/>
        <v>22</v>
      </c>
      <c r="X1995" t="str">
        <f t="shared" si="224"/>
        <v>02</v>
      </c>
      <c r="Y1995" t="str">
        <f t="shared" si="226"/>
        <v>2002</v>
      </c>
      <c r="Z1995"/>
      <c r="AA1995" s="2">
        <f t="shared" si="227"/>
        <v>37895</v>
      </c>
      <c r="AB1995" t="str">
        <f t="shared" si="225"/>
        <v>01/22/2002</v>
      </c>
      <c r="AC1995"/>
    </row>
    <row r="1996" spans="21:29" ht="15">
      <c r="U1996" s="2">
        <v>37287</v>
      </c>
      <c r="V1996" t="str">
        <f t="shared" si="222"/>
        <v>01</v>
      </c>
      <c r="W1996" t="str">
        <f t="shared" si="223"/>
        <v>31</v>
      </c>
      <c r="X1996" t="str">
        <f t="shared" si="224"/>
        <v>02</v>
      </c>
      <c r="Y1996" t="str">
        <f t="shared" si="226"/>
        <v>2002</v>
      </c>
      <c r="Z1996"/>
      <c r="AA1996" s="2">
        <f t="shared" si="227"/>
        <v>38169</v>
      </c>
      <c r="AB1996" t="str">
        <f t="shared" si="225"/>
        <v>01/31/2002</v>
      </c>
      <c r="AC1996"/>
    </row>
    <row r="1997" spans="21:29" ht="15">
      <c r="U1997" s="2">
        <v>37287</v>
      </c>
      <c r="V1997" t="str">
        <f t="shared" si="222"/>
        <v>01</v>
      </c>
      <c r="W1997" t="str">
        <f t="shared" si="223"/>
        <v>31</v>
      </c>
      <c r="X1997" t="str">
        <f t="shared" si="224"/>
        <v>02</v>
      </c>
      <c r="Y1997" t="str">
        <f t="shared" si="226"/>
        <v>2002</v>
      </c>
      <c r="Z1997"/>
      <c r="AA1997" s="2">
        <f t="shared" si="227"/>
        <v>38169</v>
      </c>
      <c r="AB1997" t="str">
        <f t="shared" si="225"/>
        <v>01/31/2002</v>
      </c>
      <c r="AC1997"/>
    </row>
    <row r="1998" spans="21:29" ht="15">
      <c r="U1998" s="2">
        <v>37292</v>
      </c>
      <c r="V1998" t="str">
        <f t="shared" si="222"/>
        <v>02</v>
      </c>
      <c r="W1998" t="str">
        <f t="shared" si="223"/>
        <v>05</v>
      </c>
      <c r="X1998" t="str">
        <f t="shared" si="224"/>
        <v>02</v>
      </c>
      <c r="Y1998" t="str">
        <f t="shared" si="226"/>
        <v>2002</v>
      </c>
      <c r="Z1998"/>
      <c r="AA1998" s="2">
        <f t="shared" si="227"/>
        <v>37378</v>
      </c>
      <c r="AB1998" t="str">
        <f t="shared" si="225"/>
        <v>02/05/2002</v>
      </c>
      <c r="AC1998"/>
    </row>
    <row r="1999" spans="21:29" ht="15">
      <c r="U1999" s="2">
        <v>37313</v>
      </c>
      <c r="V1999" t="str">
        <f t="shared" ref="V1999:V2062" si="228">LEFT(AB1999,2)</f>
        <v>02</v>
      </c>
      <c r="W1999" t="str">
        <f t="shared" ref="W1999:W2062" si="229">MID(AB1999,4,2)</f>
        <v>26</v>
      </c>
      <c r="X1999" t="str">
        <f t="shared" ref="X1999:X2062" si="230">RIGHT(AB1999,2)</f>
        <v>02</v>
      </c>
      <c r="Y1999" t="str">
        <f t="shared" si="226"/>
        <v>2002</v>
      </c>
      <c r="Z1999"/>
      <c r="AA1999" s="2">
        <f t="shared" si="227"/>
        <v>38019</v>
      </c>
      <c r="AB1999" t="str">
        <f t="shared" ref="AB1999:AB2062" si="231">TEXT(U1999, "mm/dd/yyyy")</f>
        <v>02/26/2002</v>
      </c>
      <c r="AC1999"/>
    </row>
    <row r="2000" spans="21:29" ht="15">
      <c r="U2000" s="2">
        <v>37313</v>
      </c>
      <c r="V2000" t="str">
        <f t="shared" si="228"/>
        <v>02</v>
      </c>
      <c r="W2000" t="str">
        <f t="shared" si="229"/>
        <v>26</v>
      </c>
      <c r="X2000" t="str">
        <f t="shared" si="230"/>
        <v>02</v>
      </c>
      <c r="Y2000" t="str">
        <f t="shared" si="226"/>
        <v>2002</v>
      </c>
      <c r="Z2000"/>
      <c r="AA2000" s="2">
        <f t="shared" si="227"/>
        <v>38019</v>
      </c>
      <c r="AB2000" t="str">
        <f t="shared" si="231"/>
        <v>02/26/2002</v>
      </c>
      <c r="AC2000"/>
    </row>
    <row r="2001" spans="21:29" ht="15">
      <c r="U2001" s="2">
        <v>37315</v>
      </c>
      <c r="V2001" t="str">
        <f t="shared" si="228"/>
        <v>02</v>
      </c>
      <c r="W2001" t="str">
        <f t="shared" si="229"/>
        <v>28</v>
      </c>
      <c r="X2001" t="str">
        <f t="shared" si="230"/>
        <v>02</v>
      </c>
      <c r="Y2001" t="str">
        <f t="shared" si="226"/>
        <v>2002</v>
      </c>
      <c r="Z2001"/>
      <c r="AA2001" s="2">
        <f t="shared" si="227"/>
        <v>38079</v>
      </c>
      <c r="AB2001" t="str">
        <f t="shared" si="231"/>
        <v>02/28/2002</v>
      </c>
      <c r="AC2001"/>
    </row>
    <row r="2002" spans="21:29" ht="15">
      <c r="U2002" s="2">
        <v>37341</v>
      </c>
      <c r="V2002" t="str">
        <f t="shared" si="228"/>
        <v>03</v>
      </c>
      <c r="W2002" t="str">
        <f t="shared" si="229"/>
        <v>26</v>
      </c>
      <c r="X2002" t="str">
        <f t="shared" si="230"/>
        <v>02</v>
      </c>
      <c r="Y2002" t="str">
        <f t="shared" si="226"/>
        <v>2002</v>
      </c>
      <c r="Z2002"/>
      <c r="AA2002" s="2">
        <f t="shared" si="227"/>
        <v>38020</v>
      </c>
      <c r="AB2002" t="str">
        <f t="shared" si="231"/>
        <v>03/26/2002</v>
      </c>
      <c r="AC2002"/>
    </row>
    <row r="2003" spans="21:29" ht="15">
      <c r="U2003" s="2">
        <v>37341</v>
      </c>
      <c r="V2003" t="str">
        <f t="shared" si="228"/>
        <v>03</v>
      </c>
      <c r="W2003" t="str">
        <f t="shared" si="229"/>
        <v>26</v>
      </c>
      <c r="X2003" t="str">
        <f t="shared" si="230"/>
        <v>02</v>
      </c>
      <c r="Y2003" t="str">
        <f t="shared" si="226"/>
        <v>2002</v>
      </c>
      <c r="Z2003"/>
      <c r="AA2003" s="2">
        <f t="shared" si="227"/>
        <v>38020</v>
      </c>
      <c r="AB2003" t="str">
        <f t="shared" si="231"/>
        <v>03/26/2002</v>
      </c>
      <c r="AC2003"/>
    </row>
    <row r="2004" spans="21:29" ht="15">
      <c r="U2004" s="2">
        <v>37343</v>
      </c>
      <c r="V2004" t="str">
        <f t="shared" si="228"/>
        <v>03</v>
      </c>
      <c r="W2004" t="str">
        <f t="shared" si="229"/>
        <v>28</v>
      </c>
      <c r="X2004" t="str">
        <f t="shared" si="230"/>
        <v>02</v>
      </c>
      <c r="Y2004" t="str">
        <f t="shared" si="226"/>
        <v>2002</v>
      </c>
      <c r="Z2004"/>
      <c r="AA2004" s="2">
        <f t="shared" si="227"/>
        <v>38080</v>
      </c>
      <c r="AB2004" t="str">
        <f t="shared" si="231"/>
        <v>03/28/2002</v>
      </c>
      <c r="AC2004"/>
    </row>
    <row r="2005" spans="21:29" ht="15">
      <c r="U2005"/>
      <c r="V2005" t="str">
        <f t="shared" si="228"/>
        <v>01</v>
      </c>
      <c r="W2005" t="str">
        <f t="shared" si="229"/>
        <v>00</v>
      </c>
      <c r="X2005" t="str">
        <f t="shared" si="230"/>
        <v>00</v>
      </c>
      <c r="Y2005" t="str">
        <f t="shared" si="226"/>
        <v>2000</v>
      </c>
      <c r="Z2005"/>
      <c r="AA2005" s="2">
        <f t="shared" si="227"/>
        <v>36495</v>
      </c>
      <c r="AB2005" t="str">
        <f t="shared" si="231"/>
        <v>01/00/1900</v>
      </c>
      <c r="AC2005"/>
    </row>
    <row r="2006" spans="21:29" ht="15">
      <c r="U2006" s="2">
        <v>37127</v>
      </c>
      <c r="V2006" t="str">
        <f t="shared" si="228"/>
        <v>08</v>
      </c>
      <c r="W2006" t="str">
        <f t="shared" si="229"/>
        <v>24</v>
      </c>
      <c r="X2006" t="str">
        <f t="shared" si="230"/>
        <v>01</v>
      </c>
      <c r="Y2006" t="str">
        <f t="shared" si="226"/>
        <v>2001</v>
      </c>
      <c r="Z2006"/>
      <c r="AA2006" s="2">
        <f t="shared" si="227"/>
        <v>37598</v>
      </c>
      <c r="AB2006" t="str">
        <f t="shared" si="231"/>
        <v>08/24/2001</v>
      </c>
      <c r="AC2006"/>
    </row>
    <row r="2007" spans="21:29" ht="15">
      <c r="U2007" s="2">
        <v>37345</v>
      </c>
      <c r="V2007" t="str">
        <f t="shared" si="228"/>
        <v>03</v>
      </c>
      <c r="W2007" t="str">
        <f t="shared" si="229"/>
        <v>30</v>
      </c>
      <c r="X2007" t="str">
        <f t="shared" si="230"/>
        <v>02</v>
      </c>
      <c r="Y2007" t="str">
        <f t="shared" si="226"/>
        <v>2002</v>
      </c>
      <c r="Z2007"/>
      <c r="AA2007" s="2">
        <f t="shared" si="227"/>
        <v>38141</v>
      </c>
      <c r="AB2007" t="str">
        <f t="shared" si="231"/>
        <v>03/30/2002</v>
      </c>
      <c r="AC2007"/>
    </row>
    <row r="2008" spans="21:29" ht="15">
      <c r="U2008"/>
      <c r="V2008" t="str">
        <f t="shared" si="228"/>
        <v>01</v>
      </c>
      <c r="W2008" t="str">
        <f t="shared" si="229"/>
        <v>00</v>
      </c>
      <c r="X2008" t="str">
        <f t="shared" si="230"/>
        <v>00</v>
      </c>
      <c r="Y2008" t="str">
        <f t="shared" si="226"/>
        <v>2000</v>
      </c>
      <c r="Z2008"/>
      <c r="AA2008" s="2">
        <f t="shared" si="227"/>
        <v>36495</v>
      </c>
      <c r="AB2008" t="str">
        <f t="shared" si="231"/>
        <v>01/00/1900</v>
      </c>
      <c r="AC2008"/>
    </row>
    <row r="2009" spans="21:29" ht="15">
      <c r="U2009" s="2">
        <v>37369</v>
      </c>
      <c r="V2009" t="str">
        <f t="shared" si="228"/>
        <v>04</v>
      </c>
      <c r="W2009" t="str">
        <f t="shared" si="229"/>
        <v>23</v>
      </c>
      <c r="X2009" t="str">
        <f t="shared" si="230"/>
        <v>02</v>
      </c>
      <c r="Y2009" t="str">
        <f t="shared" si="226"/>
        <v>2002</v>
      </c>
      <c r="Z2009"/>
      <c r="AA2009" s="2">
        <f t="shared" si="227"/>
        <v>37929</v>
      </c>
      <c r="AB2009" t="str">
        <f t="shared" si="231"/>
        <v>04/23/2002</v>
      </c>
      <c r="AC2009"/>
    </row>
    <row r="2010" spans="21:29" ht="15">
      <c r="U2010" s="2">
        <v>37369</v>
      </c>
      <c r="V2010" t="str">
        <f t="shared" si="228"/>
        <v>04</v>
      </c>
      <c r="W2010" t="str">
        <f t="shared" si="229"/>
        <v>23</v>
      </c>
      <c r="X2010" t="str">
        <f t="shared" si="230"/>
        <v>02</v>
      </c>
      <c r="Y2010" t="str">
        <f t="shared" si="226"/>
        <v>2002</v>
      </c>
      <c r="Z2010"/>
      <c r="AA2010" s="2">
        <f t="shared" si="227"/>
        <v>37929</v>
      </c>
      <c r="AB2010" t="str">
        <f t="shared" si="231"/>
        <v>04/23/2002</v>
      </c>
      <c r="AC2010"/>
    </row>
    <row r="2011" spans="21:29" ht="15">
      <c r="U2011" s="2">
        <v>37376</v>
      </c>
      <c r="V2011" t="str">
        <f t="shared" si="228"/>
        <v>04</v>
      </c>
      <c r="W2011" t="str">
        <f t="shared" si="229"/>
        <v>30</v>
      </c>
      <c r="X2011" t="str">
        <f t="shared" si="230"/>
        <v>02</v>
      </c>
      <c r="Y2011" t="str">
        <f t="shared" si="226"/>
        <v>2002</v>
      </c>
      <c r="Z2011"/>
      <c r="AA2011" s="2">
        <f t="shared" si="227"/>
        <v>38142</v>
      </c>
      <c r="AB2011" t="str">
        <f t="shared" si="231"/>
        <v>04/30/2002</v>
      </c>
      <c r="AC2011"/>
    </row>
    <row r="2012" spans="21:29" ht="15">
      <c r="U2012" s="2">
        <v>37376</v>
      </c>
      <c r="V2012" t="str">
        <f t="shared" si="228"/>
        <v>04</v>
      </c>
      <c r="W2012" t="str">
        <f t="shared" si="229"/>
        <v>30</v>
      </c>
      <c r="X2012" t="str">
        <f t="shared" si="230"/>
        <v>02</v>
      </c>
      <c r="Y2012" t="str">
        <f t="shared" si="226"/>
        <v>2002</v>
      </c>
      <c r="Z2012"/>
      <c r="AA2012" s="2">
        <f t="shared" si="227"/>
        <v>38142</v>
      </c>
      <c r="AB2012" t="str">
        <f t="shared" si="231"/>
        <v>04/30/2002</v>
      </c>
      <c r="AC2012"/>
    </row>
    <row r="2013" spans="21:29" ht="15">
      <c r="U2013" s="2">
        <v>37376</v>
      </c>
      <c r="V2013" t="str">
        <f t="shared" si="228"/>
        <v>04</v>
      </c>
      <c r="W2013" t="str">
        <f t="shared" si="229"/>
        <v>30</v>
      </c>
      <c r="X2013" t="str">
        <f t="shared" si="230"/>
        <v>02</v>
      </c>
      <c r="Y2013" t="str">
        <f t="shared" si="226"/>
        <v>2002</v>
      </c>
      <c r="Z2013"/>
      <c r="AA2013" s="2">
        <f t="shared" si="227"/>
        <v>38142</v>
      </c>
      <c r="AB2013" t="str">
        <f t="shared" si="231"/>
        <v>04/30/2002</v>
      </c>
      <c r="AC2013"/>
    </row>
    <row r="2014" spans="21:29" ht="15">
      <c r="U2014" s="2">
        <v>37380</v>
      </c>
      <c r="V2014" t="str">
        <f t="shared" si="228"/>
        <v>05</v>
      </c>
      <c r="W2014" t="str">
        <f t="shared" si="229"/>
        <v>04</v>
      </c>
      <c r="X2014" t="str">
        <f t="shared" si="230"/>
        <v>02</v>
      </c>
      <c r="Y2014" t="str">
        <f t="shared" si="226"/>
        <v>2002</v>
      </c>
      <c r="Z2014"/>
      <c r="AA2014" s="2">
        <f t="shared" si="227"/>
        <v>37351</v>
      </c>
      <c r="AB2014" t="str">
        <f t="shared" si="231"/>
        <v>05/04/2002</v>
      </c>
      <c r="AC2014"/>
    </row>
    <row r="2015" spans="21:29" ht="15">
      <c r="U2015" s="2">
        <v>37400</v>
      </c>
      <c r="V2015" t="str">
        <f t="shared" si="228"/>
        <v>05</v>
      </c>
      <c r="W2015" t="str">
        <f t="shared" si="229"/>
        <v>24</v>
      </c>
      <c r="X2015" t="str">
        <f t="shared" si="230"/>
        <v>02</v>
      </c>
      <c r="Y2015" t="str">
        <f t="shared" si="226"/>
        <v>2002</v>
      </c>
      <c r="Z2015"/>
      <c r="AA2015" s="2">
        <f t="shared" si="227"/>
        <v>37960</v>
      </c>
      <c r="AB2015" t="str">
        <f t="shared" si="231"/>
        <v>05/24/2002</v>
      </c>
      <c r="AC2015"/>
    </row>
    <row r="2016" spans="21:29" ht="15">
      <c r="U2016" s="2">
        <v>37400</v>
      </c>
      <c r="V2016" t="str">
        <f t="shared" si="228"/>
        <v>05</v>
      </c>
      <c r="W2016" t="str">
        <f t="shared" si="229"/>
        <v>24</v>
      </c>
      <c r="X2016" t="str">
        <f t="shared" si="230"/>
        <v>02</v>
      </c>
      <c r="Y2016" t="str">
        <f t="shared" si="226"/>
        <v>2002</v>
      </c>
      <c r="Z2016"/>
      <c r="AA2016" s="2">
        <f t="shared" si="227"/>
        <v>37960</v>
      </c>
      <c r="AB2016" t="str">
        <f t="shared" si="231"/>
        <v>05/24/2002</v>
      </c>
      <c r="AC2016"/>
    </row>
    <row r="2017" spans="21:29" ht="15">
      <c r="U2017" s="2">
        <v>37434</v>
      </c>
      <c r="V2017" t="str">
        <f t="shared" si="228"/>
        <v>06</v>
      </c>
      <c r="W2017" t="str">
        <f t="shared" si="229"/>
        <v>27</v>
      </c>
      <c r="X2017" t="str">
        <f t="shared" si="230"/>
        <v>02</v>
      </c>
      <c r="Y2017" t="str">
        <f t="shared" si="226"/>
        <v>2002</v>
      </c>
      <c r="Z2017"/>
      <c r="AA2017" s="2">
        <f t="shared" si="227"/>
        <v>38052</v>
      </c>
      <c r="AB2017" t="str">
        <f t="shared" si="231"/>
        <v>06/27/2002</v>
      </c>
      <c r="AC2017"/>
    </row>
    <row r="2018" spans="21:29" ht="15">
      <c r="U2018" s="2">
        <v>37434</v>
      </c>
      <c r="V2018" t="str">
        <f t="shared" si="228"/>
        <v>06</v>
      </c>
      <c r="W2018" t="str">
        <f t="shared" si="229"/>
        <v>27</v>
      </c>
      <c r="X2018" t="str">
        <f t="shared" si="230"/>
        <v>02</v>
      </c>
      <c r="Y2018" t="str">
        <f t="shared" si="226"/>
        <v>2002</v>
      </c>
      <c r="Z2018"/>
      <c r="AA2018" s="2">
        <f t="shared" si="227"/>
        <v>38052</v>
      </c>
      <c r="AB2018" t="str">
        <f t="shared" si="231"/>
        <v>06/27/2002</v>
      </c>
      <c r="AC2018"/>
    </row>
    <row r="2019" spans="21:29" ht="15">
      <c r="U2019" s="2">
        <v>37442</v>
      </c>
      <c r="V2019" t="str">
        <f t="shared" si="228"/>
        <v>07</v>
      </c>
      <c r="W2019" t="str">
        <f t="shared" si="229"/>
        <v>05</v>
      </c>
      <c r="X2019" t="str">
        <f t="shared" si="230"/>
        <v>02</v>
      </c>
      <c r="Y2019" t="str">
        <f t="shared" si="226"/>
        <v>2002</v>
      </c>
      <c r="Z2019"/>
      <c r="AA2019" s="2">
        <f t="shared" si="227"/>
        <v>37383</v>
      </c>
      <c r="AB2019" t="str">
        <f t="shared" si="231"/>
        <v>07/05/2002</v>
      </c>
      <c r="AC2019"/>
    </row>
    <row r="2020" spans="21:29" ht="15">
      <c r="U2020" s="2">
        <v>37460</v>
      </c>
      <c r="V2020" t="str">
        <f t="shared" si="228"/>
        <v>07</v>
      </c>
      <c r="W2020" t="str">
        <f t="shared" si="229"/>
        <v>23</v>
      </c>
      <c r="X2020" t="str">
        <f t="shared" si="230"/>
        <v>02</v>
      </c>
      <c r="Y2020" t="str">
        <f t="shared" si="226"/>
        <v>2002</v>
      </c>
      <c r="Z2020"/>
      <c r="AA2020" s="2">
        <f t="shared" si="227"/>
        <v>37932</v>
      </c>
      <c r="AB2020" t="str">
        <f t="shared" si="231"/>
        <v>07/23/2002</v>
      </c>
      <c r="AC2020"/>
    </row>
    <row r="2021" spans="21:29" ht="15">
      <c r="U2021" s="2">
        <v>37460</v>
      </c>
      <c r="V2021" t="str">
        <f t="shared" si="228"/>
        <v>07</v>
      </c>
      <c r="W2021" t="str">
        <f t="shared" si="229"/>
        <v>23</v>
      </c>
      <c r="X2021" t="str">
        <f t="shared" si="230"/>
        <v>02</v>
      </c>
      <c r="Y2021" t="str">
        <f t="shared" si="226"/>
        <v>2002</v>
      </c>
      <c r="Z2021"/>
      <c r="AA2021" s="2">
        <f t="shared" si="227"/>
        <v>37932</v>
      </c>
      <c r="AB2021" t="str">
        <f t="shared" si="231"/>
        <v>07/23/2002</v>
      </c>
      <c r="AC2021"/>
    </row>
    <row r="2022" spans="21:29" ht="15">
      <c r="U2022" s="2">
        <v>37470</v>
      </c>
      <c r="V2022" t="str">
        <f t="shared" si="228"/>
        <v>08</v>
      </c>
      <c r="W2022" t="str">
        <f t="shared" si="229"/>
        <v>02</v>
      </c>
      <c r="X2022" t="str">
        <f t="shared" si="230"/>
        <v>02</v>
      </c>
      <c r="Y2022" t="str">
        <f t="shared" si="226"/>
        <v>2002</v>
      </c>
      <c r="Z2022"/>
      <c r="AA2022" s="2">
        <f t="shared" si="227"/>
        <v>37295</v>
      </c>
      <c r="AB2022" t="str">
        <f t="shared" si="231"/>
        <v>08/02/2002</v>
      </c>
      <c r="AC2022"/>
    </row>
    <row r="2023" spans="21:29" ht="15">
      <c r="U2023" s="2">
        <v>37474</v>
      </c>
      <c r="V2023" t="str">
        <f t="shared" si="228"/>
        <v>08</v>
      </c>
      <c r="W2023" t="str">
        <f t="shared" si="229"/>
        <v>06</v>
      </c>
      <c r="X2023" t="str">
        <f t="shared" si="230"/>
        <v>02</v>
      </c>
      <c r="Y2023" t="str">
        <f t="shared" si="226"/>
        <v>2002</v>
      </c>
      <c r="Z2023"/>
      <c r="AA2023" s="2">
        <f t="shared" si="227"/>
        <v>37415</v>
      </c>
      <c r="AB2023" t="str">
        <f t="shared" si="231"/>
        <v>08/06/2002</v>
      </c>
      <c r="AC2023"/>
    </row>
    <row r="2024" spans="21:29" ht="15">
      <c r="U2024" s="2">
        <v>37474</v>
      </c>
      <c r="V2024" t="str">
        <f t="shared" si="228"/>
        <v>08</v>
      </c>
      <c r="W2024" t="str">
        <f t="shared" si="229"/>
        <v>06</v>
      </c>
      <c r="X2024" t="str">
        <f t="shared" si="230"/>
        <v>02</v>
      </c>
      <c r="Y2024" t="str">
        <f t="shared" si="226"/>
        <v>2002</v>
      </c>
      <c r="Z2024"/>
      <c r="AA2024" s="2">
        <f t="shared" si="227"/>
        <v>37415</v>
      </c>
      <c r="AB2024" t="str">
        <f t="shared" si="231"/>
        <v>08/06/2002</v>
      </c>
      <c r="AC2024"/>
    </row>
    <row r="2025" spans="21:29" ht="15">
      <c r="U2025" s="2">
        <v>37489</v>
      </c>
      <c r="V2025" t="str">
        <f t="shared" si="228"/>
        <v>08</v>
      </c>
      <c r="W2025" t="str">
        <f t="shared" si="229"/>
        <v>21</v>
      </c>
      <c r="X2025" t="str">
        <f t="shared" si="230"/>
        <v>02</v>
      </c>
      <c r="Y2025" t="str">
        <f t="shared" si="226"/>
        <v>2002</v>
      </c>
      <c r="Z2025"/>
      <c r="AA2025" s="2">
        <f t="shared" si="227"/>
        <v>37872</v>
      </c>
      <c r="AB2025" t="str">
        <f t="shared" si="231"/>
        <v>08/21/2002</v>
      </c>
      <c r="AC2025"/>
    </row>
    <row r="2026" spans="21:29" ht="15">
      <c r="U2026" s="2">
        <v>37491</v>
      </c>
      <c r="V2026" t="str">
        <f t="shared" si="228"/>
        <v>08</v>
      </c>
      <c r="W2026" t="str">
        <f t="shared" si="229"/>
        <v>23</v>
      </c>
      <c r="X2026" t="str">
        <f t="shared" si="230"/>
        <v>02</v>
      </c>
      <c r="Y2026" t="str">
        <f t="shared" si="226"/>
        <v>2002</v>
      </c>
      <c r="Z2026"/>
      <c r="AA2026" s="2">
        <f t="shared" si="227"/>
        <v>37933</v>
      </c>
      <c r="AB2026" t="str">
        <f t="shared" si="231"/>
        <v>08/23/2002</v>
      </c>
      <c r="AC2026"/>
    </row>
    <row r="2027" spans="21:29" ht="15">
      <c r="U2027" s="2">
        <v>37491</v>
      </c>
      <c r="V2027" t="str">
        <f t="shared" si="228"/>
        <v>08</v>
      </c>
      <c r="W2027" t="str">
        <f t="shared" si="229"/>
        <v>23</v>
      </c>
      <c r="X2027" t="str">
        <f t="shared" si="230"/>
        <v>02</v>
      </c>
      <c r="Y2027" t="str">
        <f t="shared" si="226"/>
        <v>2002</v>
      </c>
      <c r="Z2027"/>
      <c r="AA2027" s="2">
        <f t="shared" si="227"/>
        <v>37933</v>
      </c>
      <c r="AB2027" t="str">
        <f t="shared" si="231"/>
        <v>08/23/2002</v>
      </c>
      <c r="AC2027"/>
    </row>
    <row r="2028" spans="21:29" ht="15">
      <c r="U2028" s="2">
        <v>37499</v>
      </c>
      <c r="V2028" t="str">
        <f t="shared" si="228"/>
        <v>08</v>
      </c>
      <c r="W2028" t="str">
        <f t="shared" si="229"/>
        <v>31</v>
      </c>
      <c r="X2028" t="str">
        <f t="shared" si="230"/>
        <v>02</v>
      </c>
      <c r="Y2028" t="str">
        <f t="shared" si="226"/>
        <v>2002</v>
      </c>
      <c r="Z2028"/>
      <c r="AA2028" s="2">
        <f t="shared" si="227"/>
        <v>38176</v>
      </c>
      <c r="AB2028" t="str">
        <f t="shared" si="231"/>
        <v>08/31/2002</v>
      </c>
      <c r="AC2028"/>
    </row>
    <row r="2029" spans="21:29" ht="15">
      <c r="U2029" s="2">
        <v>37522</v>
      </c>
      <c r="V2029" t="str">
        <f t="shared" si="228"/>
        <v>09</v>
      </c>
      <c r="W2029" t="str">
        <f t="shared" si="229"/>
        <v>23</v>
      </c>
      <c r="X2029" t="str">
        <f t="shared" si="230"/>
        <v>02</v>
      </c>
      <c r="Y2029" t="str">
        <f t="shared" si="226"/>
        <v>2002</v>
      </c>
      <c r="Z2029"/>
      <c r="AA2029" s="2">
        <f t="shared" si="227"/>
        <v>37934</v>
      </c>
      <c r="AB2029" t="str">
        <f t="shared" si="231"/>
        <v>09/23/2002</v>
      </c>
      <c r="AC2029"/>
    </row>
    <row r="2030" spans="21:29" ht="15">
      <c r="U2030" s="2">
        <v>37522</v>
      </c>
      <c r="V2030" t="str">
        <f t="shared" si="228"/>
        <v>09</v>
      </c>
      <c r="W2030" t="str">
        <f t="shared" si="229"/>
        <v>23</v>
      </c>
      <c r="X2030" t="str">
        <f t="shared" si="230"/>
        <v>02</v>
      </c>
      <c r="Y2030" t="str">
        <f t="shared" si="226"/>
        <v>2002</v>
      </c>
      <c r="Z2030"/>
      <c r="AA2030" s="2">
        <f t="shared" si="227"/>
        <v>37934</v>
      </c>
      <c r="AB2030" t="str">
        <f t="shared" si="231"/>
        <v>09/23/2002</v>
      </c>
      <c r="AC2030"/>
    </row>
    <row r="2031" spans="21:29" ht="15">
      <c r="U2031" s="2">
        <v>37540</v>
      </c>
      <c r="V2031" t="str">
        <f t="shared" si="228"/>
        <v>10</v>
      </c>
      <c r="W2031" t="str">
        <f t="shared" si="229"/>
        <v>11</v>
      </c>
      <c r="X2031" t="str">
        <f t="shared" si="230"/>
        <v>02</v>
      </c>
      <c r="Y2031" t="str">
        <f t="shared" si="226"/>
        <v>2002</v>
      </c>
      <c r="Z2031"/>
      <c r="AA2031" s="2">
        <f t="shared" si="227"/>
        <v>37570</v>
      </c>
      <c r="AB2031" t="str">
        <f t="shared" si="231"/>
        <v>10/11/2002</v>
      </c>
      <c r="AC2031"/>
    </row>
    <row r="2032" spans="21:29" ht="15">
      <c r="U2032" s="2">
        <v>37546</v>
      </c>
      <c r="V2032" t="str">
        <f t="shared" si="228"/>
        <v>10</v>
      </c>
      <c r="W2032" t="str">
        <f t="shared" si="229"/>
        <v>17</v>
      </c>
      <c r="X2032" t="str">
        <f t="shared" si="230"/>
        <v>02</v>
      </c>
      <c r="Y2032" t="str">
        <f t="shared" si="226"/>
        <v>2002</v>
      </c>
      <c r="Z2032"/>
      <c r="AA2032" s="2">
        <f t="shared" si="227"/>
        <v>37751</v>
      </c>
      <c r="AB2032" t="str">
        <f t="shared" si="231"/>
        <v>10/17/2002</v>
      </c>
      <c r="AC2032"/>
    </row>
    <row r="2033" spans="21:29" ht="15">
      <c r="U2033" s="2">
        <v>37552</v>
      </c>
      <c r="V2033" t="str">
        <f t="shared" si="228"/>
        <v>10</v>
      </c>
      <c r="W2033" t="str">
        <f t="shared" si="229"/>
        <v>23</v>
      </c>
      <c r="X2033" t="str">
        <f t="shared" si="230"/>
        <v>02</v>
      </c>
      <c r="Y2033" t="str">
        <f t="shared" si="226"/>
        <v>2002</v>
      </c>
      <c r="Z2033"/>
      <c r="AA2033" s="2">
        <f t="shared" si="227"/>
        <v>37935</v>
      </c>
      <c r="AB2033" t="str">
        <f t="shared" si="231"/>
        <v>10/23/2002</v>
      </c>
      <c r="AC2033"/>
    </row>
    <row r="2034" spans="21:29" ht="15">
      <c r="U2034" s="2">
        <v>37552</v>
      </c>
      <c r="V2034" t="str">
        <f t="shared" si="228"/>
        <v>10</v>
      </c>
      <c r="W2034" t="str">
        <f t="shared" si="229"/>
        <v>23</v>
      </c>
      <c r="X2034" t="str">
        <f t="shared" si="230"/>
        <v>02</v>
      </c>
      <c r="Y2034" t="str">
        <f t="shared" si="226"/>
        <v>2002</v>
      </c>
      <c r="Z2034"/>
      <c r="AA2034" s="2">
        <f t="shared" si="227"/>
        <v>37935</v>
      </c>
      <c r="AB2034" t="str">
        <f t="shared" si="231"/>
        <v>10/23/2002</v>
      </c>
      <c r="AC2034"/>
    </row>
    <row r="2035" spans="21:29" ht="15">
      <c r="U2035" s="2">
        <v>37566</v>
      </c>
      <c r="V2035" t="str">
        <f t="shared" si="228"/>
        <v>11</v>
      </c>
      <c r="W2035" t="str">
        <f t="shared" si="229"/>
        <v>06</v>
      </c>
      <c r="X2035" t="str">
        <f t="shared" si="230"/>
        <v>02</v>
      </c>
      <c r="Y2035" t="str">
        <f t="shared" si="226"/>
        <v>2002</v>
      </c>
      <c r="Z2035"/>
      <c r="AA2035" s="2">
        <f t="shared" si="227"/>
        <v>37418</v>
      </c>
      <c r="AB2035" t="str">
        <f t="shared" si="231"/>
        <v>11/06/2002</v>
      </c>
      <c r="AC2035"/>
    </row>
    <row r="2036" spans="21:29" ht="15">
      <c r="U2036" s="2">
        <v>37582</v>
      </c>
      <c r="V2036" t="str">
        <f t="shared" si="228"/>
        <v>11</v>
      </c>
      <c r="W2036" t="str">
        <f t="shared" si="229"/>
        <v>22</v>
      </c>
      <c r="X2036" t="str">
        <f t="shared" si="230"/>
        <v>02</v>
      </c>
      <c r="Y2036" t="str">
        <f t="shared" si="226"/>
        <v>2002</v>
      </c>
      <c r="Z2036"/>
      <c r="AA2036" s="2">
        <f t="shared" si="227"/>
        <v>37905</v>
      </c>
      <c r="AB2036" t="str">
        <f t="shared" si="231"/>
        <v>11/22/2002</v>
      </c>
      <c r="AC2036"/>
    </row>
    <row r="2037" spans="21:29" ht="15">
      <c r="U2037" s="2">
        <v>37582</v>
      </c>
      <c r="V2037" t="str">
        <f t="shared" si="228"/>
        <v>11</v>
      </c>
      <c r="W2037" t="str">
        <f t="shared" si="229"/>
        <v>22</v>
      </c>
      <c r="X2037" t="str">
        <f t="shared" si="230"/>
        <v>02</v>
      </c>
      <c r="Y2037" t="str">
        <f t="shared" si="226"/>
        <v>2002</v>
      </c>
      <c r="Z2037"/>
      <c r="AA2037" s="2">
        <f t="shared" si="227"/>
        <v>37905</v>
      </c>
      <c r="AB2037" t="str">
        <f t="shared" si="231"/>
        <v>11/22/2002</v>
      </c>
      <c r="AC2037"/>
    </row>
    <row r="2038" spans="21:29" ht="15">
      <c r="U2038" s="2">
        <v>37588</v>
      </c>
      <c r="V2038" t="str">
        <f t="shared" si="228"/>
        <v>11</v>
      </c>
      <c r="W2038" t="str">
        <f t="shared" si="229"/>
        <v>28</v>
      </c>
      <c r="X2038" t="str">
        <f t="shared" si="230"/>
        <v>02</v>
      </c>
      <c r="Y2038" t="str">
        <f t="shared" si="226"/>
        <v>2002</v>
      </c>
      <c r="Z2038"/>
      <c r="AA2038" s="2">
        <f t="shared" si="227"/>
        <v>38088</v>
      </c>
      <c r="AB2038" t="str">
        <f t="shared" si="231"/>
        <v>11/28/2002</v>
      </c>
      <c r="AC2038"/>
    </row>
    <row r="2039" spans="21:29" ht="15">
      <c r="U2039" s="2">
        <v>37588</v>
      </c>
      <c r="V2039" t="str">
        <f t="shared" si="228"/>
        <v>11</v>
      </c>
      <c r="W2039" t="str">
        <f t="shared" si="229"/>
        <v>28</v>
      </c>
      <c r="X2039" t="str">
        <f t="shared" si="230"/>
        <v>02</v>
      </c>
      <c r="Y2039" t="str">
        <f t="shared" si="226"/>
        <v>2002</v>
      </c>
      <c r="Z2039"/>
      <c r="AA2039" s="2">
        <f t="shared" si="227"/>
        <v>38088</v>
      </c>
      <c r="AB2039" t="str">
        <f t="shared" si="231"/>
        <v>11/28/2002</v>
      </c>
      <c r="AC2039"/>
    </row>
    <row r="2040" spans="21:29" ht="15">
      <c r="U2040" s="2">
        <v>37599</v>
      </c>
      <c r="V2040" t="str">
        <f t="shared" si="228"/>
        <v>12</v>
      </c>
      <c r="W2040" t="str">
        <f t="shared" si="229"/>
        <v>09</v>
      </c>
      <c r="X2040" t="str">
        <f t="shared" si="230"/>
        <v>02</v>
      </c>
      <c r="Y2040" t="str">
        <f t="shared" si="226"/>
        <v>2002</v>
      </c>
      <c r="Z2040"/>
      <c r="AA2040" s="2">
        <f t="shared" si="227"/>
        <v>37511</v>
      </c>
      <c r="AB2040" t="str">
        <f t="shared" si="231"/>
        <v>12/09/2002</v>
      </c>
      <c r="AC2040"/>
    </row>
    <row r="2041" spans="21:29" ht="15">
      <c r="U2041" s="2">
        <v>37599</v>
      </c>
      <c r="V2041" t="str">
        <f t="shared" si="228"/>
        <v>12</v>
      </c>
      <c r="W2041" t="str">
        <f t="shared" si="229"/>
        <v>09</v>
      </c>
      <c r="X2041" t="str">
        <f t="shared" si="230"/>
        <v>02</v>
      </c>
      <c r="Y2041" t="str">
        <f t="shared" si="226"/>
        <v>2002</v>
      </c>
      <c r="Z2041"/>
      <c r="AA2041" s="2">
        <f t="shared" si="227"/>
        <v>37511</v>
      </c>
      <c r="AB2041" t="str">
        <f t="shared" si="231"/>
        <v>12/09/2002</v>
      </c>
      <c r="AC2041"/>
    </row>
    <row r="2042" spans="21:29" ht="15">
      <c r="U2042" s="2">
        <v>37616</v>
      </c>
      <c r="V2042" t="str">
        <f t="shared" si="228"/>
        <v>12</v>
      </c>
      <c r="W2042" t="str">
        <f t="shared" si="229"/>
        <v>26</v>
      </c>
      <c r="X2042" t="str">
        <f t="shared" si="230"/>
        <v>02</v>
      </c>
      <c r="Y2042" t="str">
        <f t="shared" si="226"/>
        <v>2002</v>
      </c>
      <c r="Z2042"/>
      <c r="AA2042" s="2">
        <f t="shared" si="227"/>
        <v>38029</v>
      </c>
      <c r="AB2042" t="str">
        <f t="shared" si="231"/>
        <v>12/26/2002</v>
      </c>
      <c r="AC2042"/>
    </row>
    <row r="2043" spans="21:29" ht="15">
      <c r="U2043" s="2">
        <v>37616</v>
      </c>
      <c r="V2043" t="str">
        <f t="shared" si="228"/>
        <v>12</v>
      </c>
      <c r="W2043" t="str">
        <f t="shared" si="229"/>
        <v>26</v>
      </c>
      <c r="X2043" t="str">
        <f t="shared" si="230"/>
        <v>02</v>
      </c>
      <c r="Y2043" t="str">
        <f t="shared" si="226"/>
        <v>2002</v>
      </c>
      <c r="Z2043"/>
      <c r="AA2043" s="2">
        <f t="shared" si="227"/>
        <v>38029</v>
      </c>
      <c r="AB2043" t="str">
        <f t="shared" si="231"/>
        <v>12/26/2002</v>
      </c>
      <c r="AC2043"/>
    </row>
    <row r="2044" spans="21:29" ht="15">
      <c r="U2044" s="2">
        <v>37645</v>
      </c>
      <c r="V2044" t="str">
        <f t="shared" si="228"/>
        <v>01</v>
      </c>
      <c r="W2044" t="str">
        <f t="shared" si="229"/>
        <v>24</v>
      </c>
      <c r="X2044" t="str">
        <f t="shared" si="230"/>
        <v>03</v>
      </c>
      <c r="Y2044" t="str">
        <f t="shared" si="226"/>
        <v>2003</v>
      </c>
      <c r="Z2044"/>
      <c r="AA2044" s="2">
        <f t="shared" si="227"/>
        <v>38322</v>
      </c>
      <c r="AB2044" t="str">
        <f t="shared" si="231"/>
        <v>01/24/2003</v>
      </c>
      <c r="AC2044"/>
    </row>
    <row r="2045" spans="21:29" ht="15">
      <c r="U2045" s="2">
        <v>37645</v>
      </c>
      <c r="V2045" t="str">
        <f t="shared" si="228"/>
        <v>01</v>
      </c>
      <c r="W2045" t="str">
        <f t="shared" si="229"/>
        <v>24</v>
      </c>
      <c r="X2045" t="str">
        <f t="shared" si="230"/>
        <v>03</v>
      </c>
      <c r="Y2045" t="str">
        <f t="shared" si="226"/>
        <v>2003</v>
      </c>
      <c r="Z2045"/>
      <c r="AA2045" s="2">
        <f t="shared" si="227"/>
        <v>38322</v>
      </c>
      <c r="AB2045" t="str">
        <f t="shared" si="231"/>
        <v>01/24/2003</v>
      </c>
      <c r="AC2045"/>
    </row>
    <row r="2046" spans="21:29" ht="15">
      <c r="U2046" s="2">
        <v>37649</v>
      </c>
      <c r="V2046" t="str">
        <f t="shared" si="228"/>
        <v>01</v>
      </c>
      <c r="W2046" t="str">
        <f t="shared" si="229"/>
        <v>28</v>
      </c>
      <c r="X2046" t="str">
        <f t="shared" si="230"/>
        <v>03</v>
      </c>
      <c r="Y2046" t="str">
        <f t="shared" si="226"/>
        <v>2003</v>
      </c>
      <c r="Z2046"/>
      <c r="AA2046" s="2">
        <f t="shared" si="227"/>
        <v>38443</v>
      </c>
      <c r="AB2046" t="str">
        <f t="shared" si="231"/>
        <v>01/28/2003</v>
      </c>
      <c r="AC2046"/>
    </row>
    <row r="2047" spans="21:29" ht="15">
      <c r="U2047" s="2">
        <v>37649</v>
      </c>
      <c r="V2047" t="str">
        <f t="shared" si="228"/>
        <v>01</v>
      </c>
      <c r="W2047" t="str">
        <f t="shared" si="229"/>
        <v>28</v>
      </c>
      <c r="X2047" t="str">
        <f t="shared" si="230"/>
        <v>03</v>
      </c>
      <c r="Y2047" t="str">
        <f t="shared" si="226"/>
        <v>2003</v>
      </c>
      <c r="Z2047"/>
      <c r="AA2047" s="2">
        <f t="shared" si="227"/>
        <v>38443</v>
      </c>
      <c r="AB2047" t="str">
        <f t="shared" si="231"/>
        <v>01/28/2003</v>
      </c>
      <c r="AC2047"/>
    </row>
    <row r="2048" spans="21:29" ht="15">
      <c r="U2048" s="2">
        <v>37649</v>
      </c>
      <c r="V2048" t="str">
        <f t="shared" si="228"/>
        <v>01</v>
      </c>
      <c r="W2048" t="str">
        <f t="shared" si="229"/>
        <v>28</v>
      </c>
      <c r="X2048" t="str">
        <f t="shared" si="230"/>
        <v>03</v>
      </c>
      <c r="Y2048" t="str">
        <f t="shared" si="226"/>
        <v>2003</v>
      </c>
      <c r="Z2048"/>
      <c r="AA2048" s="2">
        <f t="shared" si="227"/>
        <v>38443</v>
      </c>
      <c r="AB2048" t="str">
        <f t="shared" si="231"/>
        <v>01/28/2003</v>
      </c>
      <c r="AC2048"/>
    </row>
    <row r="2049" spans="21:29" ht="15">
      <c r="U2049" s="2">
        <v>37649</v>
      </c>
      <c r="V2049" t="str">
        <f t="shared" si="228"/>
        <v>01</v>
      </c>
      <c r="W2049" t="str">
        <f t="shared" si="229"/>
        <v>28</v>
      </c>
      <c r="X2049" t="str">
        <f t="shared" si="230"/>
        <v>03</v>
      </c>
      <c r="Y2049" t="str">
        <f t="shared" si="226"/>
        <v>2003</v>
      </c>
      <c r="Z2049"/>
      <c r="AA2049" s="2">
        <f t="shared" si="227"/>
        <v>38443</v>
      </c>
      <c r="AB2049" t="str">
        <f t="shared" si="231"/>
        <v>01/28/2003</v>
      </c>
      <c r="AC2049"/>
    </row>
    <row r="2050" spans="21:29" ht="15">
      <c r="U2050" s="2">
        <v>37649</v>
      </c>
      <c r="V2050" t="str">
        <f t="shared" si="228"/>
        <v>01</v>
      </c>
      <c r="W2050" t="str">
        <f t="shared" si="229"/>
        <v>28</v>
      </c>
      <c r="X2050" t="str">
        <f t="shared" si="230"/>
        <v>03</v>
      </c>
      <c r="Y2050" t="str">
        <f t="shared" si="226"/>
        <v>2003</v>
      </c>
      <c r="Z2050"/>
      <c r="AA2050" s="2">
        <f t="shared" si="227"/>
        <v>38443</v>
      </c>
      <c r="AB2050" t="str">
        <f t="shared" si="231"/>
        <v>01/28/2003</v>
      </c>
      <c r="AC2050"/>
    </row>
    <row r="2051" spans="21:29" ht="15">
      <c r="U2051" s="2">
        <v>37655</v>
      </c>
      <c r="V2051" t="str">
        <f t="shared" si="228"/>
        <v>02</v>
      </c>
      <c r="W2051" t="str">
        <f t="shared" si="229"/>
        <v>03</v>
      </c>
      <c r="X2051" t="str">
        <f t="shared" si="230"/>
        <v>03</v>
      </c>
      <c r="Y2051" t="str">
        <f t="shared" ref="Y2051:Y2114" si="232">"20" &amp; X2051</f>
        <v>2003</v>
      </c>
      <c r="Z2051"/>
      <c r="AA2051" s="2">
        <f t="shared" si="227"/>
        <v>37682</v>
      </c>
      <c r="AB2051" t="str">
        <f t="shared" si="231"/>
        <v>02/03/2003</v>
      </c>
      <c r="AC2051"/>
    </row>
    <row r="2052" spans="21:29" ht="15">
      <c r="U2052" s="2">
        <v>37656</v>
      </c>
      <c r="V2052" t="str">
        <f t="shared" si="228"/>
        <v>02</v>
      </c>
      <c r="W2052" t="str">
        <f t="shared" si="229"/>
        <v>04</v>
      </c>
      <c r="X2052" t="str">
        <f t="shared" si="230"/>
        <v>03</v>
      </c>
      <c r="Y2052" t="str">
        <f t="shared" si="232"/>
        <v>2003</v>
      </c>
      <c r="Z2052"/>
      <c r="AA2052" s="2">
        <f t="shared" si="227"/>
        <v>37713</v>
      </c>
      <c r="AB2052" t="str">
        <f t="shared" si="231"/>
        <v>02/04/2003</v>
      </c>
      <c r="AC2052"/>
    </row>
    <row r="2053" spans="21:29" ht="15">
      <c r="U2053" s="2">
        <v>37656</v>
      </c>
      <c r="V2053" t="str">
        <f t="shared" si="228"/>
        <v>02</v>
      </c>
      <c r="W2053" t="str">
        <f t="shared" si="229"/>
        <v>04</v>
      </c>
      <c r="X2053" t="str">
        <f t="shared" si="230"/>
        <v>03</v>
      </c>
      <c r="Y2053" t="str">
        <f t="shared" si="232"/>
        <v>2003</v>
      </c>
      <c r="Z2053"/>
      <c r="AA2053" s="2">
        <f t="shared" si="227"/>
        <v>37713</v>
      </c>
      <c r="AB2053" t="str">
        <f t="shared" si="231"/>
        <v>02/04/2003</v>
      </c>
      <c r="AC2053"/>
    </row>
    <row r="2054" spans="21:29" ht="15">
      <c r="U2054" s="2">
        <v>37656</v>
      </c>
      <c r="V2054" t="str">
        <f t="shared" si="228"/>
        <v>02</v>
      </c>
      <c r="W2054" t="str">
        <f t="shared" si="229"/>
        <v>04</v>
      </c>
      <c r="X2054" t="str">
        <f t="shared" si="230"/>
        <v>03</v>
      </c>
      <c r="Y2054" t="str">
        <f t="shared" si="232"/>
        <v>2003</v>
      </c>
      <c r="Z2054"/>
      <c r="AA2054" s="2">
        <f t="shared" si="227"/>
        <v>37713</v>
      </c>
      <c r="AB2054" t="str">
        <f t="shared" si="231"/>
        <v>02/04/2003</v>
      </c>
      <c r="AC2054"/>
    </row>
    <row r="2055" spans="21:29" ht="15">
      <c r="U2055" s="2">
        <v>37659</v>
      </c>
      <c r="V2055" t="str">
        <f t="shared" si="228"/>
        <v>02</v>
      </c>
      <c r="W2055" t="str">
        <f t="shared" si="229"/>
        <v>07</v>
      </c>
      <c r="X2055" t="str">
        <f t="shared" si="230"/>
        <v>03</v>
      </c>
      <c r="Y2055" t="str">
        <f t="shared" si="232"/>
        <v>2003</v>
      </c>
      <c r="Z2055"/>
      <c r="AA2055" s="2">
        <f t="shared" si="227"/>
        <v>37804</v>
      </c>
      <c r="AB2055" t="str">
        <f t="shared" si="231"/>
        <v>02/07/2003</v>
      </c>
      <c r="AC2055"/>
    </row>
    <row r="2056" spans="21:29" ht="15">
      <c r="U2056" s="2">
        <v>37659</v>
      </c>
      <c r="V2056" t="str">
        <f t="shared" si="228"/>
        <v>02</v>
      </c>
      <c r="W2056" t="str">
        <f t="shared" si="229"/>
        <v>07</v>
      </c>
      <c r="X2056" t="str">
        <f t="shared" si="230"/>
        <v>03</v>
      </c>
      <c r="Y2056" t="str">
        <f t="shared" si="232"/>
        <v>2003</v>
      </c>
      <c r="Z2056"/>
      <c r="AA2056" s="2">
        <f t="shared" ref="AA2056:AA2119" si="233">DATE(Y2056,W2056,V2056)</f>
        <v>37804</v>
      </c>
      <c r="AB2056" t="str">
        <f t="shared" si="231"/>
        <v>02/07/2003</v>
      </c>
      <c r="AC2056"/>
    </row>
    <row r="2057" spans="21:29" ht="15">
      <c r="U2057" s="2">
        <v>37678</v>
      </c>
      <c r="V2057" t="str">
        <f t="shared" si="228"/>
        <v>02</v>
      </c>
      <c r="W2057" t="str">
        <f t="shared" si="229"/>
        <v>26</v>
      </c>
      <c r="X2057" t="str">
        <f t="shared" si="230"/>
        <v>03</v>
      </c>
      <c r="Y2057" t="str">
        <f t="shared" si="232"/>
        <v>2003</v>
      </c>
      <c r="Z2057"/>
      <c r="AA2057" s="2">
        <f t="shared" si="233"/>
        <v>38385</v>
      </c>
      <c r="AB2057" t="str">
        <f t="shared" si="231"/>
        <v>02/26/2003</v>
      </c>
      <c r="AC2057"/>
    </row>
    <row r="2058" spans="21:29" ht="15">
      <c r="U2058" s="2">
        <v>37678</v>
      </c>
      <c r="V2058" t="str">
        <f t="shared" si="228"/>
        <v>02</v>
      </c>
      <c r="W2058" t="str">
        <f t="shared" si="229"/>
        <v>26</v>
      </c>
      <c r="X2058" t="str">
        <f t="shared" si="230"/>
        <v>03</v>
      </c>
      <c r="Y2058" t="str">
        <f t="shared" si="232"/>
        <v>2003</v>
      </c>
      <c r="Z2058"/>
      <c r="AA2058" s="2">
        <f t="shared" si="233"/>
        <v>38385</v>
      </c>
      <c r="AB2058" t="str">
        <f t="shared" si="231"/>
        <v>02/26/2003</v>
      </c>
      <c r="AC2058"/>
    </row>
    <row r="2059" spans="21:29" ht="15">
      <c r="U2059" s="2">
        <v>37681</v>
      </c>
      <c r="V2059" t="str">
        <f t="shared" si="228"/>
        <v>03</v>
      </c>
      <c r="W2059" t="str">
        <f t="shared" si="229"/>
        <v>01</v>
      </c>
      <c r="X2059" t="str">
        <f t="shared" si="230"/>
        <v>03</v>
      </c>
      <c r="Y2059" t="str">
        <f t="shared" si="232"/>
        <v>2003</v>
      </c>
      <c r="Z2059"/>
      <c r="AA2059" s="2">
        <f t="shared" si="233"/>
        <v>37624</v>
      </c>
      <c r="AB2059" t="str">
        <f t="shared" si="231"/>
        <v>03/01/2003</v>
      </c>
      <c r="AC2059"/>
    </row>
    <row r="2060" spans="21:29" ht="15">
      <c r="U2060" s="2">
        <v>37681</v>
      </c>
      <c r="V2060" t="str">
        <f t="shared" si="228"/>
        <v>03</v>
      </c>
      <c r="W2060" t="str">
        <f t="shared" si="229"/>
        <v>01</v>
      </c>
      <c r="X2060" t="str">
        <f t="shared" si="230"/>
        <v>03</v>
      </c>
      <c r="Y2060" t="str">
        <f t="shared" si="232"/>
        <v>2003</v>
      </c>
      <c r="Z2060"/>
      <c r="AA2060" s="2">
        <f t="shared" si="233"/>
        <v>37624</v>
      </c>
      <c r="AB2060" t="str">
        <f t="shared" si="231"/>
        <v>03/01/2003</v>
      </c>
      <c r="AC2060"/>
    </row>
    <row r="2061" spans="21:29" ht="15">
      <c r="U2061" s="2">
        <v>37683</v>
      </c>
      <c r="V2061" t="str">
        <f t="shared" si="228"/>
        <v>03</v>
      </c>
      <c r="W2061" t="str">
        <f t="shared" si="229"/>
        <v>03</v>
      </c>
      <c r="X2061" t="str">
        <f t="shared" si="230"/>
        <v>03</v>
      </c>
      <c r="Y2061" t="str">
        <f t="shared" si="232"/>
        <v>2003</v>
      </c>
      <c r="Z2061"/>
      <c r="AA2061" s="2">
        <f t="shared" si="233"/>
        <v>37683</v>
      </c>
      <c r="AB2061" t="str">
        <f t="shared" si="231"/>
        <v>03/03/2003</v>
      </c>
      <c r="AC2061"/>
    </row>
    <row r="2062" spans="21:29" ht="15">
      <c r="U2062" s="2">
        <v>37708</v>
      </c>
      <c r="V2062" t="str">
        <f t="shared" si="228"/>
        <v>03</v>
      </c>
      <c r="W2062" t="str">
        <f t="shared" si="229"/>
        <v>28</v>
      </c>
      <c r="X2062" t="str">
        <f t="shared" si="230"/>
        <v>03</v>
      </c>
      <c r="Y2062" t="str">
        <f t="shared" si="232"/>
        <v>2003</v>
      </c>
      <c r="Z2062"/>
      <c r="AA2062" s="2">
        <f t="shared" si="233"/>
        <v>38445</v>
      </c>
      <c r="AB2062" t="str">
        <f t="shared" si="231"/>
        <v>03/28/2003</v>
      </c>
      <c r="AC2062"/>
    </row>
    <row r="2063" spans="21:29" ht="15">
      <c r="U2063" s="2">
        <v>37708</v>
      </c>
      <c r="V2063" t="str">
        <f t="shared" ref="V2063:V2126" si="234">LEFT(AB2063,2)</f>
        <v>03</v>
      </c>
      <c r="W2063" t="str">
        <f t="shared" ref="W2063:W2126" si="235">MID(AB2063,4,2)</f>
        <v>28</v>
      </c>
      <c r="X2063" t="str">
        <f t="shared" ref="X2063:X2126" si="236">RIGHT(AB2063,2)</f>
        <v>03</v>
      </c>
      <c r="Y2063" t="str">
        <f t="shared" si="232"/>
        <v>2003</v>
      </c>
      <c r="Z2063"/>
      <c r="AA2063" s="2">
        <f t="shared" si="233"/>
        <v>38445</v>
      </c>
      <c r="AB2063" t="str">
        <f t="shared" ref="AB2063:AB2126" si="237">TEXT(U2063, "mm/dd/yyyy")</f>
        <v>03/28/2003</v>
      </c>
      <c r="AC2063"/>
    </row>
    <row r="2064" spans="21:29" ht="15">
      <c r="U2064" s="2">
        <v>37712</v>
      </c>
      <c r="V2064" t="str">
        <f t="shared" si="234"/>
        <v>04</v>
      </c>
      <c r="W2064" t="str">
        <f t="shared" si="235"/>
        <v>01</v>
      </c>
      <c r="X2064" t="str">
        <f t="shared" si="236"/>
        <v>03</v>
      </c>
      <c r="Y2064" t="str">
        <f t="shared" si="232"/>
        <v>2003</v>
      </c>
      <c r="Z2064"/>
      <c r="AA2064" s="2">
        <f t="shared" si="233"/>
        <v>37625</v>
      </c>
      <c r="AB2064" t="str">
        <f t="shared" si="237"/>
        <v>04/01/2003</v>
      </c>
      <c r="AC2064"/>
    </row>
    <row r="2065" spans="21:29" ht="15">
      <c r="U2065" s="2">
        <v>37721</v>
      </c>
      <c r="V2065" t="str">
        <f t="shared" si="234"/>
        <v>04</v>
      </c>
      <c r="W2065" t="str">
        <f t="shared" si="235"/>
        <v>10</v>
      </c>
      <c r="X2065" t="str">
        <f t="shared" si="236"/>
        <v>03</v>
      </c>
      <c r="Y2065" t="str">
        <f t="shared" si="232"/>
        <v>2003</v>
      </c>
      <c r="Z2065"/>
      <c r="AA2065" s="2">
        <f t="shared" si="233"/>
        <v>37898</v>
      </c>
      <c r="AB2065" t="str">
        <f t="shared" si="237"/>
        <v>04/10/2003</v>
      </c>
      <c r="AC2065"/>
    </row>
    <row r="2066" spans="21:29" ht="15">
      <c r="U2066" s="2">
        <v>37721</v>
      </c>
      <c r="V2066" t="str">
        <f t="shared" si="234"/>
        <v>04</v>
      </c>
      <c r="W2066" t="str">
        <f t="shared" si="235"/>
        <v>10</v>
      </c>
      <c r="X2066" t="str">
        <f t="shared" si="236"/>
        <v>03</v>
      </c>
      <c r="Y2066" t="str">
        <f t="shared" si="232"/>
        <v>2003</v>
      </c>
      <c r="Z2066"/>
      <c r="AA2066" s="2">
        <f t="shared" si="233"/>
        <v>37898</v>
      </c>
      <c r="AB2066" t="str">
        <f t="shared" si="237"/>
        <v>04/10/2003</v>
      </c>
      <c r="AC2066"/>
    </row>
    <row r="2067" spans="21:29" ht="15">
      <c r="U2067" s="2">
        <v>37736</v>
      </c>
      <c r="V2067" t="str">
        <f t="shared" si="234"/>
        <v>04</v>
      </c>
      <c r="W2067" t="str">
        <f t="shared" si="235"/>
        <v>25</v>
      </c>
      <c r="X2067" t="str">
        <f t="shared" si="236"/>
        <v>03</v>
      </c>
      <c r="Y2067" t="str">
        <f t="shared" si="232"/>
        <v>2003</v>
      </c>
      <c r="Z2067"/>
      <c r="AA2067" s="2">
        <f t="shared" si="233"/>
        <v>38356</v>
      </c>
      <c r="AB2067" t="str">
        <f t="shared" si="237"/>
        <v>04/25/2003</v>
      </c>
      <c r="AC2067"/>
    </row>
    <row r="2068" spans="21:29" ht="15">
      <c r="U2068" s="2">
        <v>37736</v>
      </c>
      <c r="V2068" t="str">
        <f t="shared" si="234"/>
        <v>04</v>
      </c>
      <c r="W2068" t="str">
        <f t="shared" si="235"/>
        <v>25</v>
      </c>
      <c r="X2068" t="str">
        <f t="shared" si="236"/>
        <v>03</v>
      </c>
      <c r="Y2068" t="str">
        <f t="shared" si="232"/>
        <v>2003</v>
      </c>
      <c r="Z2068"/>
      <c r="AA2068" s="2">
        <f t="shared" si="233"/>
        <v>38356</v>
      </c>
      <c r="AB2068" t="str">
        <f t="shared" si="237"/>
        <v>04/25/2003</v>
      </c>
      <c r="AC2068"/>
    </row>
    <row r="2069" spans="21:29" ht="15">
      <c r="U2069" s="2">
        <v>37744</v>
      </c>
      <c r="V2069" t="str">
        <f t="shared" si="234"/>
        <v>05</v>
      </c>
      <c r="W2069" t="str">
        <f t="shared" si="235"/>
        <v>03</v>
      </c>
      <c r="X2069" t="str">
        <f t="shared" si="236"/>
        <v>03</v>
      </c>
      <c r="Y2069" t="str">
        <f t="shared" si="232"/>
        <v>2003</v>
      </c>
      <c r="Z2069"/>
      <c r="AA2069" s="2">
        <f t="shared" si="233"/>
        <v>37685</v>
      </c>
      <c r="AB2069" t="str">
        <f t="shared" si="237"/>
        <v>05/03/2003</v>
      </c>
      <c r="AC2069"/>
    </row>
    <row r="2070" spans="21:29" ht="15">
      <c r="U2070" s="2">
        <v>37744</v>
      </c>
      <c r="V2070" t="str">
        <f t="shared" si="234"/>
        <v>05</v>
      </c>
      <c r="W2070" t="str">
        <f t="shared" si="235"/>
        <v>03</v>
      </c>
      <c r="X2070" t="str">
        <f t="shared" si="236"/>
        <v>03</v>
      </c>
      <c r="Y2070" t="str">
        <f t="shared" si="232"/>
        <v>2003</v>
      </c>
      <c r="Z2070"/>
      <c r="AA2070" s="2">
        <f t="shared" si="233"/>
        <v>37685</v>
      </c>
      <c r="AB2070" t="str">
        <f t="shared" si="237"/>
        <v>05/03/2003</v>
      </c>
      <c r="AC2070"/>
    </row>
    <row r="2071" spans="21:29" ht="15">
      <c r="U2071" s="2">
        <v>37749</v>
      </c>
      <c r="V2071" t="str">
        <f t="shared" si="234"/>
        <v>05</v>
      </c>
      <c r="W2071" t="str">
        <f t="shared" si="235"/>
        <v>08</v>
      </c>
      <c r="X2071" t="str">
        <f t="shared" si="236"/>
        <v>03</v>
      </c>
      <c r="Y2071" t="str">
        <f t="shared" si="232"/>
        <v>2003</v>
      </c>
      <c r="Z2071"/>
      <c r="AA2071" s="2">
        <f t="shared" si="233"/>
        <v>37838</v>
      </c>
      <c r="AB2071" t="str">
        <f t="shared" si="237"/>
        <v>05/08/2003</v>
      </c>
      <c r="AC2071"/>
    </row>
    <row r="2072" spans="21:29" ht="15">
      <c r="U2072" s="2">
        <v>37749</v>
      </c>
      <c r="V2072" t="str">
        <f t="shared" si="234"/>
        <v>05</v>
      </c>
      <c r="W2072" t="str">
        <f t="shared" si="235"/>
        <v>08</v>
      </c>
      <c r="X2072" t="str">
        <f t="shared" si="236"/>
        <v>03</v>
      </c>
      <c r="Y2072" t="str">
        <f t="shared" si="232"/>
        <v>2003</v>
      </c>
      <c r="Z2072"/>
      <c r="AA2072" s="2">
        <f t="shared" si="233"/>
        <v>37838</v>
      </c>
      <c r="AB2072" t="str">
        <f t="shared" si="237"/>
        <v>05/08/2003</v>
      </c>
      <c r="AC2072"/>
    </row>
    <row r="2073" spans="21:29" ht="15">
      <c r="U2073" s="2">
        <v>37768</v>
      </c>
      <c r="V2073" t="str">
        <f t="shared" si="234"/>
        <v>05</v>
      </c>
      <c r="W2073" t="str">
        <f t="shared" si="235"/>
        <v>27</v>
      </c>
      <c r="X2073" t="str">
        <f t="shared" si="236"/>
        <v>03</v>
      </c>
      <c r="Y2073" t="str">
        <f t="shared" si="232"/>
        <v>2003</v>
      </c>
      <c r="Z2073"/>
      <c r="AA2073" s="2">
        <f t="shared" si="233"/>
        <v>38416</v>
      </c>
      <c r="AB2073" t="str">
        <f t="shared" si="237"/>
        <v>05/27/2003</v>
      </c>
      <c r="AC2073"/>
    </row>
    <row r="2074" spans="21:29" ht="15">
      <c r="U2074" s="2">
        <v>37768</v>
      </c>
      <c r="V2074" t="str">
        <f t="shared" si="234"/>
        <v>05</v>
      </c>
      <c r="W2074" t="str">
        <f t="shared" si="235"/>
        <v>27</v>
      </c>
      <c r="X2074" t="str">
        <f t="shared" si="236"/>
        <v>03</v>
      </c>
      <c r="Y2074" t="str">
        <f t="shared" si="232"/>
        <v>2003</v>
      </c>
      <c r="Z2074"/>
      <c r="AA2074" s="2">
        <f t="shared" si="233"/>
        <v>38416</v>
      </c>
      <c r="AB2074" t="str">
        <f t="shared" si="237"/>
        <v>05/27/2003</v>
      </c>
      <c r="AC2074"/>
    </row>
    <row r="2075" spans="21:29" ht="15">
      <c r="U2075" s="2">
        <v>37781</v>
      </c>
      <c r="V2075" t="str">
        <f t="shared" si="234"/>
        <v>06</v>
      </c>
      <c r="W2075" t="str">
        <f t="shared" si="235"/>
        <v>09</v>
      </c>
      <c r="X2075" t="str">
        <f t="shared" si="236"/>
        <v>03</v>
      </c>
      <c r="Y2075" t="str">
        <f t="shared" si="232"/>
        <v>2003</v>
      </c>
      <c r="Z2075"/>
      <c r="AA2075" s="2">
        <f t="shared" si="233"/>
        <v>37870</v>
      </c>
      <c r="AB2075" t="str">
        <f t="shared" si="237"/>
        <v>06/09/2003</v>
      </c>
      <c r="AC2075"/>
    </row>
    <row r="2076" spans="21:29" ht="15">
      <c r="U2076" s="2">
        <v>37781</v>
      </c>
      <c r="V2076" t="str">
        <f t="shared" si="234"/>
        <v>06</v>
      </c>
      <c r="W2076" t="str">
        <f t="shared" si="235"/>
        <v>09</v>
      </c>
      <c r="X2076" t="str">
        <f t="shared" si="236"/>
        <v>03</v>
      </c>
      <c r="Y2076" t="str">
        <f t="shared" si="232"/>
        <v>2003</v>
      </c>
      <c r="Z2076"/>
      <c r="AA2076" s="2">
        <f t="shared" si="233"/>
        <v>37870</v>
      </c>
      <c r="AB2076" t="str">
        <f t="shared" si="237"/>
        <v>06/09/2003</v>
      </c>
      <c r="AC2076"/>
    </row>
    <row r="2077" spans="21:29" ht="15">
      <c r="U2077" s="2">
        <v>37781</v>
      </c>
      <c r="V2077" t="str">
        <f t="shared" si="234"/>
        <v>06</v>
      </c>
      <c r="W2077" t="str">
        <f t="shared" si="235"/>
        <v>09</v>
      </c>
      <c r="X2077" t="str">
        <f t="shared" si="236"/>
        <v>03</v>
      </c>
      <c r="Y2077" t="str">
        <f t="shared" si="232"/>
        <v>2003</v>
      </c>
      <c r="Z2077"/>
      <c r="AA2077" s="2">
        <f t="shared" si="233"/>
        <v>37870</v>
      </c>
      <c r="AB2077" t="str">
        <f t="shared" si="237"/>
        <v>06/09/2003</v>
      </c>
      <c r="AC2077"/>
    </row>
    <row r="2078" spans="21:29" ht="15">
      <c r="U2078" s="2">
        <v>37799</v>
      </c>
      <c r="V2078" t="str">
        <f t="shared" si="234"/>
        <v>06</v>
      </c>
      <c r="W2078" t="str">
        <f t="shared" si="235"/>
        <v>27</v>
      </c>
      <c r="X2078" t="str">
        <f t="shared" si="236"/>
        <v>03</v>
      </c>
      <c r="Y2078" t="str">
        <f t="shared" si="232"/>
        <v>2003</v>
      </c>
      <c r="Z2078"/>
      <c r="AA2078" s="2">
        <f t="shared" si="233"/>
        <v>38417</v>
      </c>
      <c r="AB2078" t="str">
        <f t="shared" si="237"/>
        <v>06/27/2003</v>
      </c>
      <c r="AC2078"/>
    </row>
    <row r="2079" spans="21:29" ht="15">
      <c r="U2079" s="2">
        <v>37799</v>
      </c>
      <c r="V2079" t="str">
        <f t="shared" si="234"/>
        <v>06</v>
      </c>
      <c r="W2079" t="str">
        <f t="shared" si="235"/>
        <v>27</v>
      </c>
      <c r="X2079" t="str">
        <f t="shared" si="236"/>
        <v>03</v>
      </c>
      <c r="Y2079" t="str">
        <f t="shared" si="232"/>
        <v>2003</v>
      </c>
      <c r="Z2079"/>
      <c r="AA2079" s="2">
        <f t="shared" si="233"/>
        <v>38417</v>
      </c>
      <c r="AB2079" t="str">
        <f t="shared" si="237"/>
        <v>06/27/2003</v>
      </c>
      <c r="AC2079"/>
    </row>
    <row r="2080" spans="21:29" ht="15">
      <c r="U2080" s="2">
        <v>37712</v>
      </c>
      <c r="V2080" t="str">
        <f t="shared" si="234"/>
        <v>04</v>
      </c>
      <c r="W2080" t="str">
        <f t="shared" si="235"/>
        <v>01</v>
      </c>
      <c r="X2080" t="str">
        <f t="shared" si="236"/>
        <v>03</v>
      </c>
      <c r="Y2080" t="str">
        <f t="shared" si="232"/>
        <v>2003</v>
      </c>
      <c r="Z2080"/>
      <c r="AA2080" s="2">
        <f t="shared" si="233"/>
        <v>37625</v>
      </c>
      <c r="AB2080" t="str">
        <f t="shared" si="237"/>
        <v>04/01/2003</v>
      </c>
      <c r="AC2080"/>
    </row>
    <row r="2081" spans="21:29" ht="15">
      <c r="U2081" s="2">
        <v>37734</v>
      </c>
      <c r="V2081" t="str">
        <f t="shared" si="234"/>
        <v>04</v>
      </c>
      <c r="W2081" t="str">
        <f t="shared" si="235"/>
        <v>23</v>
      </c>
      <c r="X2081" t="str">
        <f t="shared" si="236"/>
        <v>03</v>
      </c>
      <c r="Y2081" t="str">
        <f t="shared" si="232"/>
        <v>2003</v>
      </c>
      <c r="Z2081"/>
      <c r="AA2081" s="2">
        <f t="shared" si="233"/>
        <v>38295</v>
      </c>
      <c r="AB2081" t="str">
        <f t="shared" si="237"/>
        <v>04/23/2003</v>
      </c>
      <c r="AC2081"/>
    </row>
    <row r="2082" spans="21:29" ht="15">
      <c r="U2082" s="2">
        <v>37734</v>
      </c>
      <c r="V2082" t="str">
        <f t="shared" si="234"/>
        <v>04</v>
      </c>
      <c r="W2082" t="str">
        <f t="shared" si="235"/>
        <v>23</v>
      </c>
      <c r="X2082" t="str">
        <f t="shared" si="236"/>
        <v>03</v>
      </c>
      <c r="Y2082" t="str">
        <f t="shared" si="232"/>
        <v>2003</v>
      </c>
      <c r="Z2082"/>
      <c r="AA2082" s="2">
        <f t="shared" si="233"/>
        <v>38295</v>
      </c>
      <c r="AB2082" t="str">
        <f t="shared" si="237"/>
        <v>04/23/2003</v>
      </c>
      <c r="AC2082"/>
    </row>
    <row r="2083" spans="21:29" ht="15">
      <c r="U2083" s="2">
        <v>37895</v>
      </c>
      <c r="V2083" t="str">
        <f t="shared" si="234"/>
        <v>10</v>
      </c>
      <c r="W2083" t="str">
        <f t="shared" si="235"/>
        <v>01</v>
      </c>
      <c r="X2083" t="str">
        <f t="shared" si="236"/>
        <v>03</v>
      </c>
      <c r="Y2083" t="str">
        <f t="shared" si="232"/>
        <v>2003</v>
      </c>
      <c r="Z2083"/>
      <c r="AA2083" s="2">
        <f t="shared" si="233"/>
        <v>37631</v>
      </c>
      <c r="AB2083" t="str">
        <f t="shared" si="237"/>
        <v>10/01/2003</v>
      </c>
      <c r="AC2083"/>
    </row>
    <row r="2084" spans="21:29" ht="15">
      <c r="U2084" s="2">
        <v>37902</v>
      </c>
      <c r="V2084" t="str">
        <f t="shared" si="234"/>
        <v>10</v>
      </c>
      <c r="W2084" t="str">
        <f t="shared" si="235"/>
        <v>08</v>
      </c>
      <c r="X2084" t="str">
        <f t="shared" si="236"/>
        <v>03</v>
      </c>
      <c r="Y2084" t="str">
        <f t="shared" si="232"/>
        <v>2003</v>
      </c>
      <c r="Z2084"/>
      <c r="AA2084" s="2">
        <f t="shared" si="233"/>
        <v>37843</v>
      </c>
      <c r="AB2084" t="str">
        <f t="shared" si="237"/>
        <v>10/08/2003</v>
      </c>
      <c r="AC2084"/>
    </row>
    <row r="2085" spans="21:29" ht="15">
      <c r="U2085" s="2">
        <v>37902</v>
      </c>
      <c r="V2085" t="str">
        <f t="shared" si="234"/>
        <v>10</v>
      </c>
      <c r="W2085" t="str">
        <f t="shared" si="235"/>
        <v>08</v>
      </c>
      <c r="X2085" t="str">
        <f t="shared" si="236"/>
        <v>03</v>
      </c>
      <c r="Y2085" t="str">
        <f t="shared" si="232"/>
        <v>2003</v>
      </c>
      <c r="Z2085"/>
      <c r="AA2085" s="2">
        <f t="shared" si="233"/>
        <v>37843</v>
      </c>
      <c r="AB2085" t="str">
        <f t="shared" si="237"/>
        <v>10/08/2003</v>
      </c>
      <c r="AC2085"/>
    </row>
    <row r="2086" spans="21:29" ht="15">
      <c r="U2086" s="2">
        <v>37902</v>
      </c>
      <c r="V2086" t="str">
        <f t="shared" si="234"/>
        <v>10</v>
      </c>
      <c r="W2086" t="str">
        <f t="shared" si="235"/>
        <v>08</v>
      </c>
      <c r="X2086" t="str">
        <f t="shared" si="236"/>
        <v>03</v>
      </c>
      <c r="Y2086" t="str">
        <f t="shared" si="232"/>
        <v>2003</v>
      </c>
      <c r="Z2086"/>
      <c r="AA2086" s="2">
        <f t="shared" si="233"/>
        <v>37843</v>
      </c>
      <c r="AB2086" t="str">
        <f t="shared" si="237"/>
        <v>10/08/2003</v>
      </c>
      <c r="AC2086"/>
    </row>
    <row r="2087" spans="21:29" ht="15">
      <c r="U2087" s="2">
        <v>37915</v>
      </c>
      <c r="V2087" t="str">
        <f t="shared" si="234"/>
        <v>10</v>
      </c>
      <c r="W2087" t="str">
        <f t="shared" si="235"/>
        <v>21</v>
      </c>
      <c r="X2087" t="str">
        <f t="shared" si="236"/>
        <v>03</v>
      </c>
      <c r="Y2087" t="str">
        <f t="shared" si="232"/>
        <v>2003</v>
      </c>
      <c r="Z2087"/>
      <c r="AA2087" s="2">
        <f t="shared" si="233"/>
        <v>38240</v>
      </c>
      <c r="AB2087" t="str">
        <f t="shared" si="237"/>
        <v>10/21/2003</v>
      </c>
      <c r="AC2087"/>
    </row>
    <row r="2088" spans="21:29" ht="15">
      <c r="U2088" s="2">
        <v>37921</v>
      </c>
      <c r="V2088" t="str">
        <f t="shared" si="234"/>
        <v>10</v>
      </c>
      <c r="W2088" t="str">
        <f t="shared" si="235"/>
        <v>27</v>
      </c>
      <c r="X2088" t="str">
        <f t="shared" si="236"/>
        <v>03</v>
      </c>
      <c r="Y2088" t="str">
        <f t="shared" si="232"/>
        <v>2003</v>
      </c>
      <c r="Z2088"/>
      <c r="AA2088" s="2">
        <f t="shared" si="233"/>
        <v>38421</v>
      </c>
      <c r="AB2088" t="str">
        <f t="shared" si="237"/>
        <v>10/27/2003</v>
      </c>
      <c r="AC2088"/>
    </row>
    <row r="2089" spans="21:29" ht="15">
      <c r="U2089" s="2">
        <v>37928</v>
      </c>
      <c r="V2089" t="str">
        <f t="shared" si="234"/>
        <v>11</v>
      </c>
      <c r="W2089" t="str">
        <f t="shared" si="235"/>
        <v>03</v>
      </c>
      <c r="X2089" t="str">
        <f t="shared" si="236"/>
        <v>03</v>
      </c>
      <c r="Y2089" t="str">
        <f t="shared" si="232"/>
        <v>2003</v>
      </c>
      <c r="Z2089"/>
      <c r="AA2089" s="2">
        <f t="shared" si="233"/>
        <v>37691</v>
      </c>
      <c r="AB2089" t="str">
        <f t="shared" si="237"/>
        <v>11/03/2003</v>
      </c>
      <c r="AC2089"/>
    </row>
    <row r="2090" spans="21:29" ht="15">
      <c r="U2090" s="2">
        <v>37928</v>
      </c>
      <c r="V2090" t="str">
        <f t="shared" si="234"/>
        <v>11</v>
      </c>
      <c r="W2090" t="str">
        <f t="shared" si="235"/>
        <v>03</v>
      </c>
      <c r="X2090" t="str">
        <f t="shared" si="236"/>
        <v>03</v>
      </c>
      <c r="Y2090" t="str">
        <f t="shared" si="232"/>
        <v>2003</v>
      </c>
      <c r="Z2090"/>
      <c r="AA2090" s="2">
        <f t="shared" si="233"/>
        <v>37691</v>
      </c>
      <c r="AB2090" t="str">
        <f t="shared" si="237"/>
        <v>11/03/2003</v>
      </c>
      <c r="AC2090"/>
    </row>
    <row r="2091" spans="21:29" ht="15">
      <c r="U2091" s="2">
        <v>37930</v>
      </c>
      <c r="V2091" t="str">
        <f t="shared" si="234"/>
        <v>11</v>
      </c>
      <c r="W2091" t="str">
        <f t="shared" si="235"/>
        <v>05</v>
      </c>
      <c r="X2091" t="str">
        <f t="shared" si="236"/>
        <v>03</v>
      </c>
      <c r="Y2091" t="str">
        <f t="shared" si="232"/>
        <v>2003</v>
      </c>
      <c r="Z2091"/>
      <c r="AA2091" s="2">
        <f t="shared" si="233"/>
        <v>37752</v>
      </c>
      <c r="AB2091" t="str">
        <f t="shared" si="237"/>
        <v>11/05/2003</v>
      </c>
      <c r="AC2091"/>
    </row>
    <row r="2092" spans="21:29" ht="15">
      <c r="U2092" s="2">
        <v>37930</v>
      </c>
      <c r="V2092" t="str">
        <f t="shared" si="234"/>
        <v>11</v>
      </c>
      <c r="W2092" t="str">
        <f t="shared" si="235"/>
        <v>05</v>
      </c>
      <c r="X2092" t="str">
        <f t="shared" si="236"/>
        <v>03</v>
      </c>
      <c r="Y2092" t="str">
        <f t="shared" si="232"/>
        <v>2003</v>
      </c>
      <c r="Z2092"/>
      <c r="AA2092" s="2">
        <f t="shared" si="233"/>
        <v>37752</v>
      </c>
      <c r="AB2092" t="str">
        <f t="shared" si="237"/>
        <v>11/05/2003</v>
      </c>
      <c r="AC2092"/>
    </row>
    <row r="2093" spans="21:29" ht="15">
      <c r="U2093" s="2">
        <v>37930</v>
      </c>
      <c r="V2093" t="str">
        <f t="shared" si="234"/>
        <v>11</v>
      </c>
      <c r="W2093" t="str">
        <f t="shared" si="235"/>
        <v>05</v>
      </c>
      <c r="X2093" t="str">
        <f t="shared" si="236"/>
        <v>03</v>
      </c>
      <c r="Y2093" t="str">
        <f t="shared" si="232"/>
        <v>2003</v>
      </c>
      <c r="Z2093"/>
      <c r="AA2093" s="2">
        <f t="shared" si="233"/>
        <v>37752</v>
      </c>
      <c r="AB2093" t="str">
        <f t="shared" si="237"/>
        <v>11/05/2003</v>
      </c>
      <c r="AC2093"/>
    </row>
    <row r="2094" spans="21:29" ht="15">
      <c r="U2094" s="2">
        <v>37930</v>
      </c>
      <c r="V2094" t="str">
        <f t="shared" si="234"/>
        <v>11</v>
      </c>
      <c r="W2094" t="str">
        <f t="shared" si="235"/>
        <v>05</v>
      </c>
      <c r="X2094" t="str">
        <f t="shared" si="236"/>
        <v>03</v>
      </c>
      <c r="Y2094" t="str">
        <f t="shared" si="232"/>
        <v>2003</v>
      </c>
      <c r="Z2094"/>
      <c r="AA2094" s="2">
        <f t="shared" si="233"/>
        <v>37752</v>
      </c>
      <c r="AB2094" t="str">
        <f t="shared" si="237"/>
        <v>11/05/2003</v>
      </c>
      <c r="AC2094"/>
    </row>
    <row r="2095" spans="21:29" ht="15">
      <c r="U2095" s="2">
        <v>37950</v>
      </c>
      <c r="V2095" t="str">
        <f t="shared" si="234"/>
        <v>11</v>
      </c>
      <c r="W2095" t="str">
        <f t="shared" si="235"/>
        <v>25</v>
      </c>
      <c r="X2095" t="str">
        <f t="shared" si="236"/>
        <v>03</v>
      </c>
      <c r="Y2095" t="str">
        <f t="shared" si="232"/>
        <v>2003</v>
      </c>
      <c r="Z2095"/>
      <c r="AA2095" s="2">
        <f t="shared" si="233"/>
        <v>38363</v>
      </c>
      <c r="AB2095" t="str">
        <f t="shared" si="237"/>
        <v>11/25/2003</v>
      </c>
      <c r="AC2095"/>
    </row>
    <row r="2096" spans="21:29" ht="15">
      <c r="U2096" s="2">
        <v>37952</v>
      </c>
      <c r="V2096" t="str">
        <f t="shared" si="234"/>
        <v>11</v>
      </c>
      <c r="W2096" t="str">
        <f t="shared" si="235"/>
        <v>27</v>
      </c>
      <c r="X2096" t="str">
        <f t="shared" si="236"/>
        <v>03</v>
      </c>
      <c r="Y2096" t="str">
        <f t="shared" si="232"/>
        <v>2003</v>
      </c>
      <c r="Z2096"/>
      <c r="AA2096" s="2">
        <f t="shared" si="233"/>
        <v>38422</v>
      </c>
      <c r="AB2096" t="str">
        <f t="shared" si="237"/>
        <v>11/27/2003</v>
      </c>
      <c r="AC2096"/>
    </row>
    <row r="2097" spans="21:29" ht="15">
      <c r="U2097" s="2">
        <v>37954</v>
      </c>
      <c r="V2097" t="str">
        <f t="shared" si="234"/>
        <v>11</v>
      </c>
      <c r="W2097" t="str">
        <f t="shared" si="235"/>
        <v>29</v>
      </c>
      <c r="X2097" t="str">
        <f t="shared" si="236"/>
        <v>03</v>
      </c>
      <c r="Y2097" t="str">
        <f t="shared" si="232"/>
        <v>2003</v>
      </c>
      <c r="Z2097"/>
      <c r="AA2097" s="2">
        <f t="shared" si="233"/>
        <v>38483</v>
      </c>
      <c r="AB2097" t="str">
        <f t="shared" si="237"/>
        <v>11/29/2003</v>
      </c>
      <c r="AC2097"/>
    </row>
    <row r="2098" spans="21:29" ht="15">
      <c r="U2098" s="2">
        <v>37959</v>
      </c>
      <c r="V2098" t="str">
        <f t="shared" si="234"/>
        <v>12</v>
      </c>
      <c r="W2098" t="str">
        <f t="shared" si="235"/>
        <v>04</v>
      </c>
      <c r="X2098" t="str">
        <f t="shared" si="236"/>
        <v>03</v>
      </c>
      <c r="Y2098" t="str">
        <f t="shared" si="232"/>
        <v>2003</v>
      </c>
      <c r="Z2098"/>
      <c r="AA2098" s="2">
        <f t="shared" si="233"/>
        <v>37723</v>
      </c>
      <c r="AB2098" t="str">
        <f t="shared" si="237"/>
        <v>12/04/2003</v>
      </c>
      <c r="AC2098"/>
    </row>
    <row r="2099" spans="21:29" ht="15">
      <c r="U2099" s="2">
        <v>37959</v>
      </c>
      <c r="V2099" t="str">
        <f t="shared" si="234"/>
        <v>12</v>
      </c>
      <c r="W2099" t="str">
        <f t="shared" si="235"/>
        <v>04</v>
      </c>
      <c r="X2099" t="str">
        <f t="shared" si="236"/>
        <v>03</v>
      </c>
      <c r="Y2099" t="str">
        <f t="shared" si="232"/>
        <v>2003</v>
      </c>
      <c r="Z2099"/>
      <c r="AA2099" s="2">
        <f t="shared" si="233"/>
        <v>37723</v>
      </c>
      <c r="AB2099" t="str">
        <f t="shared" si="237"/>
        <v>12/04/2003</v>
      </c>
      <c r="AC2099"/>
    </row>
    <row r="2100" spans="21:29" ht="15">
      <c r="U2100" s="2">
        <v>37959</v>
      </c>
      <c r="V2100" t="str">
        <f t="shared" si="234"/>
        <v>12</v>
      </c>
      <c r="W2100" t="str">
        <f t="shared" si="235"/>
        <v>04</v>
      </c>
      <c r="X2100" t="str">
        <f t="shared" si="236"/>
        <v>03</v>
      </c>
      <c r="Y2100" t="str">
        <f t="shared" si="232"/>
        <v>2003</v>
      </c>
      <c r="Z2100"/>
      <c r="AA2100" s="2">
        <f t="shared" si="233"/>
        <v>37723</v>
      </c>
      <c r="AB2100" t="str">
        <f t="shared" si="237"/>
        <v>12/04/2003</v>
      </c>
      <c r="AC2100"/>
    </row>
    <row r="2101" spans="21:29" ht="15">
      <c r="U2101" s="2">
        <v>37961</v>
      </c>
      <c r="V2101" t="str">
        <f t="shared" si="234"/>
        <v>12</v>
      </c>
      <c r="W2101" t="str">
        <f t="shared" si="235"/>
        <v>06</v>
      </c>
      <c r="X2101" t="str">
        <f t="shared" si="236"/>
        <v>03</v>
      </c>
      <c r="Y2101" t="str">
        <f t="shared" si="232"/>
        <v>2003</v>
      </c>
      <c r="Z2101"/>
      <c r="AA2101" s="2">
        <f t="shared" si="233"/>
        <v>37784</v>
      </c>
      <c r="AB2101" t="str">
        <f t="shared" si="237"/>
        <v>12/06/2003</v>
      </c>
      <c r="AC2101"/>
    </row>
    <row r="2102" spans="21:29" ht="15">
      <c r="U2102" s="2">
        <v>37979</v>
      </c>
      <c r="V2102" t="str">
        <f t="shared" si="234"/>
        <v>12</v>
      </c>
      <c r="W2102" t="str">
        <f t="shared" si="235"/>
        <v>24</v>
      </c>
      <c r="X2102" t="str">
        <f t="shared" si="236"/>
        <v>03</v>
      </c>
      <c r="Y2102" t="str">
        <f t="shared" si="232"/>
        <v>2003</v>
      </c>
      <c r="Z2102"/>
      <c r="AA2102" s="2">
        <f t="shared" si="233"/>
        <v>38333</v>
      </c>
      <c r="AB2102" t="str">
        <f t="shared" si="237"/>
        <v>12/24/2003</v>
      </c>
      <c r="AC2102"/>
    </row>
    <row r="2103" spans="21:29" ht="15">
      <c r="U2103" s="2">
        <v>37982</v>
      </c>
      <c r="V2103" t="str">
        <f t="shared" si="234"/>
        <v>12</v>
      </c>
      <c r="W2103" t="str">
        <f t="shared" si="235"/>
        <v>27</v>
      </c>
      <c r="X2103" t="str">
        <f t="shared" si="236"/>
        <v>03</v>
      </c>
      <c r="Y2103" t="str">
        <f t="shared" si="232"/>
        <v>2003</v>
      </c>
      <c r="Z2103"/>
      <c r="AA2103" s="2">
        <f t="shared" si="233"/>
        <v>38423</v>
      </c>
      <c r="AB2103" t="str">
        <f t="shared" si="237"/>
        <v>12/27/2003</v>
      </c>
      <c r="AC2103"/>
    </row>
    <row r="2104" spans="21:29" ht="15">
      <c r="U2104" s="2">
        <v>37985</v>
      </c>
      <c r="V2104" t="str">
        <f t="shared" si="234"/>
        <v>12</v>
      </c>
      <c r="W2104" t="str">
        <f t="shared" si="235"/>
        <v>30</v>
      </c>
      <c r="X2104" t="str">
        <f t="shared" si="236"/>
        <v>03</v>
      </c>
      <c r="Y2104" t="str">
        <f t="shared" si="232"/>
        <v>2003</v>
      </c>
      <c r="Z2104"/>
      <c r="AA2104" s="2">
        <f t="shared" si="233"/>
        <v>38515</v>
      </c>
      <c r="AB2104" t="str">
        <f t="shared" si="237"/>
        <v>12/30/2003</v>
      </c>
      <c r="AC2104"/>
    </row>
    <row r="2105" spans="21:29" ht="15">
      <c r="U2105" s="2">
        <v>37985</v>
      </c>
      <c r="V2105" t="str">
        <f t="shared" si="234"/>
        <v>12</v>
      </c>
      <c r="W2105" t="str">
        <f t="shared" si="235"/>
        <v>30</v>
      </c>
      <c r="X2105" t="str">
        <f t="shared" si="236"/>
        <v>03</v>
      </c>
      <c r="Y2105" t="str">
        <f t="shared" si="232"/>
        <v>2003</v>
      </c>
      <c r="Z2105"/>
      <c r="AA2105" s="2">
        <f t="shared" si="233"/>
        <v>38515</v>
      </c>
      <c r="AB2105" t="str">
        <f t="shared" si="237"/>
        <v>12/30/2003</v>
      </c>
      <c r="AC2105"/>
    </row>
    <row r="2106" spans="21:29" ht="15">
      <c r="U2106" s="2">
        <v>37895</v>
      </c>
      <c r="V2106" t="str">
        <f t="shared" si="234"/>
        <v>10</v>
      </c>
      <c r="W2106" t="str">
        <f t="shared" si="235"/>
        <v>01</v>
      </c>
      <c r="X2106" t="str">
        <f t="shared" si="236"/>
        <v>03</v>
      </c>
      <c r="Y2106" t="str">
        <f t="shared" si="232"/>
        <v>2003</v>
      </c>
      <c r="Z2106"/>
      <c r="AA2106" s="2">
        <f t="shared" si="233"/>
        <v>37631</v>
      </c>
      <c r="AB2106" t="str">
        <f t="shared" si="237"/>
        <v>10/01/2003</v>
      </c>
      <c r="AC2106"/>
    </row>
    <row r="2107" spans="21:29" ht="15">
      <c r="U2107" s="2">
        <v>37917</v>
      </c>
      <c r="V2107" t="str">
        <f t="shared" si="234"/>
        <v>10</v>
      </c>
      <c r="W2107" t="str">
        <f t="shared" si="235"/>
        <v>23</v>
      </c>
      <c r="X2107" t="str">
        <f t="shared" si="236"/>
        <v>03</v>
      </c>
      <c r="Y2107" t="str">
        <f t="shared" si="232"/>
        <v>2003</v>
      </c>
      <c r="Z2107"/>
      <c r="AA2107" s="2">
        <f t="shared" si="233"/>
        <v>38301</v>
      </c>
      <c r="AB2107" t="str">
        <f t="shared" si="237"/>
        <v>10/23/2003</v>
      </c>
      <c r="AC2107"/>
    </row>
    <row r="2108" spans="21:29" ht="15">
      <c r="U2108" s="2">
        <v>37917</v>
      </c>
      <c r="V2108" t="str">
        <f t="shared" si="234"/>
        <v>10</v>
      </c>
      <c r="W2108" t="str">
        <f t="shared" si="235"/>
        <v>23</v>
      </c>
      <c r="X2108" t="str">
        <f t="shared" si="236"/>
        <v>03</v>
      </c>
      <c r="Y2108" t="str">
        <f t="shared" si="232"/>
        <v>2003</v>
      </c>
      <c r="Z2108"/>
      <c r="AA2108" s="2">
        <f t="shared" si="233"/>
        <v>38301</v>
      </c>
      <c r="AB2108" t="str">
        <f t="shared" si="237"/>
        <v>10/23/2003</v>
      </c>
      <c r="AC2108"/>
    </row>
    <row r="2109" spans="21:29" ht="15">
      <c r="U2109" s="2">
        <v>37987</v>
      </c>
      <c r="V2109" t="str">
        <f t="shared" si="234"/>
        <v>01</v>
      </c>
      <c r="W2109" t="str">
        <f t="shared" si="235"/>
        <v>01</v>
      </c>
      <c r="X2109" t="str">
        <f t="shared" si="236"/>
        <v>04</v>
      </c>
      <c r="Y2109" t="str">
        <f t="shared" si="232"/>
        <v>2004</v>
      </c>
      <c r="Z2109"/>
      <c r="AA2109" s="2">
        <f t="shared" si="233"/>
        <v>37987</v>
      </c>
      <c r="AB2109" t="str">
        <f t="shared" si="237"/>
        <v>01/01/2004</v>
      </c>
      <c r="AC2109"/>
    </row>
    <row r="2110" spans="21:29" ht="15">
      <c r="U2110" s="2">
        <v>37987</v>
      </c>
      <c r="V2110" t="str">
        <f t="shared" si="234"/>
        <v>01</v>
      </c>
      <c r="W2110" t="str">
        <f t="shared" si="235"/>
        <v>01</v>
      </c>
      <c r="X2110" t="str">
        <f t="shared" si="236"/>
        <v>04</v>
      </c>
      <c r="Y2110" t="str">
        <f t="shared" si="232"/>
        <v>2004</v>
      </c>
      <c r="Z2110"/>
      <c r="AA2110" s="2">
        <f t="shared" si="233"/>
        <v>37987</v>
      </c>
      <c r="AB2110" t="str">
        <f t="shared" si="237"/>
        <v>01/01/2004</v>
      </c>
      <c r="AC2110"/>
    </row>
    <row r="2111" spans="21:29" ht="15">
      <c r="U2111" s="2">
        <v>37987</v>
      </c>
      <c r="V2111" t="str">
        <f t="shared" si="234"/>
        <v>01</v>
      </c>
      <c r="W2111" t="str">
        <f t="shared" si="235"/>
        <v>01</v>
      </c>
      <c r="X2111" t="str">
        <f t="shared" si="236"/>
        <v>04</v>
      </c>
      <c r="Y2111" t="str">
        <f t="shared" si="232"/>
        <v>2004</v>
      </c>
      <c r="Z2111"/>
      <c r="AA2111" s="2">
        <f t="shared" si="233"/>
        <v>37987</v>
      </c>
      <c r="AB2111" t="str">
        <f t="shared" si="237"/>
        <v>01/01/2004</v>
      </c>
      <c r="AC2111"/>
    </row>
    <row r="2112" spans="21:29" ht="15">
      <c r="U2112" s="2">
        <v>37988</v>
      </c>
      <c r="V2112" t="str">
        <f t="shared" si="234"/>
        <v>01</v>
      </c>
      <c r="W2112" t="str">
        <f t="shared" si="235"/>
        <v>02</v>
      </c>
      <c r="X2112" t="str">
        <f t="shared" si="236"/>
        <v>04</v>
      </c>
      <c r="Y2112" t="str">
        <f t="shared" si="232"/>
        <v>2004</v>
      </c>
      <c r="Z2112"/>
      <c r="AA2112" s="2">
        <f t="shared" si="233"/>
        <v>38018</v>
      </c>
      <c r="AB2112" t="str">
        <f t="shared" si="237"/>
        <v>01/02/2004</v>
      </c>
      <c r="AC2112"/>
    </row>
    <row r="2113" spans="21:29" ht="15">
      <c r="U2113" s="2">
        <v>37988</v>
      </c>
      <c r="V2113" t="str">
        <f t="shared" si="234"/>
        <v>01</v>
      </c>
      <c r="W2113" t="str">
        <f t="shared" si="235"/>
        <v>02</v>
      </c>
      <c r="X2113" t="str">
        <f t="shared" si="236"/>
        <v>04</v>
      </c>
      <c r="Y2113" t="str">
        <f t="shared" si="232"/>
        <v>2004</v>
      </c>
      <c r="Z2113"/>
      <c r="AA2113" s="2">
        <f t="shared" si="233"/>
        <v>38018</v>
      </c>
      <c r="AB2113" t="str">
        <f t="shared" si="237"/>
        <v>01/02/2004</v>
      </c>
      <c r="AC2113"/>
    </row>
    <row r="2114" spans="21:29" ht="15">
      <c r="U2114" s="2">
        <v>37989</v>
      </c>
      <c r="V2114" t="str">
        <f t="shared" si="234"/>
        <v>01</v>
      </c>
      <c r="W2114" t="str">
        <f t="shared" si="235"/>
        <v>03</v>
      </c>
      <c r="X2114" t="str">
        <f t="shared" si="236"/>
        <v>04</v>
      </c>
      <c r="Y2114" t="str">
        <f t="shared" si="232"/>
        <v>2004</v>
      </c>
      <c r="Z2114"/>
      <c r="AA2114" s="2">
        <f t="shared" si="233"/>
        <v>38047</v>
      </c>
      <c r="AB2114" t="str">
        <f t="shared" si="237"/>
        <v>01/03/2004</v>
      </c>
      <c r="AC2114"/>
    </row>
    <row r="2115" spans="21:29" ht="15">
      <c r="U2115" s="2">
        <v>37989</v>
      </c>
      <c r="V2115" t="str">
        <f t="shared" si="234"/>
        <v>01</v>
      </c>
      <c r="W2115" t="str">
        <f t="shared" si="235"/>
        <v>03</v>
      </c>
      <c r="X2115" t="str">
        <f t="shared" si="236"/>
        <v>04</v>
      </c>
      <c r="Y2115" t="str">
        <f t="shared" ref="Y2115:Y2178" si="238">"20" &amp; X2115</f>
        <v>2004</v>
      </c>
      <c r="Z2115"/>
      <c r="AA2115" s="2">
        <f t="shared" si="233"/>
        <v>38047</v>
      </c>
      <c r="AB2115" t="str">
        <f t="shared" si="237"/>
        <v>01/03/2004</v>
      </c>
      <c r="AC2115"/>
    </row>
    <row r="2116" spans="21:29" ht="15">
      <c r="U2116" s="2">
        <v>37991</v>
      </c>
      <c r="V2116" t="str">
        <f t="shared" si="234"/>
        <v>01</v>
      </c>
      <c r="W2116" t="str">
        <f t="shared" si="235"/>
        <v>05</v>
      </c>
      <c r="X2116" t="str">
        <f t="shared" si="236"/>
        <v>04</v>
      </c>
      <c r="Y2116" t="str">
        <f t="shared" si="238"/>
        <v>2004</v>
      </c>
      <c r="Z2116"/>
      <c r="AA2116" s="2">
        <f t="shared" si="233"/>
        <v>38108</v>
      </c>
      <c r="AB2116" t="str">
        <f t="shared" si="237"/>
        <v>01/05/2004</v>
      </c>
      <c r="AC2116"/>
    </row>
    <row r="2117" spans="21:29" ht="15">
      <c r="U2117" s="2">
        <v>37991</v>
      </c>
      <c r="V2117" t="str">
        <f t="shared" si="234"/>
        <v>01</v>
      </c>
      <c r="W2117" t="str">
        <f t="shared" si="235"/>
        <v>05</v>
      </c>
      <c r="X2117" t="str">
        <f t="shared" si="236"/>
        <v>04</v>
      </c>
      <c r="Y2117" t="str">
        <f t="shared" si="238"/>
        <v>2004</v>
      </c>
      <c r="Z2117"/>
      <c r="AA2117" s="2">
        <f t="shared" si="233"/>
        <v>38108</v>
      </c>
      <c r="AB2117" t="str">
        <f t="shared" si="237"/>
        <v>01/05/2004</v>
      </c>
      <c r="AC2117"/>
    </row>
    <row r="2118" spans="21:29" ht="15">
      <c r="U2118" s="2">
        <v>37999</v>
      </c>
      <c r="V2118" t="str">
        <f t="shared" si="234"/>
        <v>01</v>
      </c>
      <c r="W2118" t="str">
        <f t="shared" si="235"/>
        <v>13</v>
      </c>
      <c r="X2118" t="str">
        <f t="shared" si="236"/>
        <v>04</v>
      </c>
      <c r="Y2118" t="str">
        <f t="shared" si="238"/>
        <v>2004</v>
      </c>
      <c r="Z2118"/>
      <c r="AA2118" s="2">
        <f t="shared" si="233"/>
        <v>38353</v>
      </c>
      <c r="AB2118" t="str">
        <f t="shared" si="237"/>
        <v>01/13/2004</v>
      </c>
      <c r="AC2118"/>
    </row>
    <row r="2119" spans="21:29" ht="15">
      <c r="U2119" s="2">
        <v>37999</v>
      </c>
      <c r="V2119" t="str">
        <f t="shared" si="234"/>
        <v>01</v>
      </c>
      <c r="W2119" t="str">
        <f t="shared" si="235"/>
        <v>13</v>
      </c>
      <c r="X2119" t="str">
        <f t="shared" si="236"/>
        <v>04</v>
      </c>
      <c r="Y2119" t="str">
        <f t="shared" si="238"/>
        <v>2004</v>
      </c>
      <c r="Z2119"/>
      <c r="AA2119" s="2">
        <f t="shared" si="233"/>
        <v>38353</v>
      </c>
      <c r="AB2119" t="str">
        <f t="shared" si="237"/>
        <v>01/13/2004</v>
      </c>
      <c r="AC2119"/>
    </row>
    <row r="2120" spans="21:29" ht="15">
      <c r="U2120" s="2">
        <v>38007</v>
      </c>
      <c r="V2120" t="str">
        <f t="shared" si="234"/>
        <v>01</v>
      </c>
      <c r="W2120" t="str">
        <f t="shared" si="235"/>
        <v>21</v>
      </c>
      <c r="X2120" t="str">
        <f t="shared" si="236"/>
        <v>04</v>
      </c>
      <c r="Y2120" t="str">
        <f t="shared" si="238"/>
        <v>2004</v>
      </c>
      <c r="Z2120"/>
      <c r="AA2120" s="2">
        <f t="shared" ref="AA2120:AA2183" si="239">DATE(Y2120,W2120,V2120)</f>
        <v>38596</v>
      </c>
      <c r="AB2120" t="str">
        <f t="shared" si="237"/>
        <v>01/21/2004</v>
      </c>
      <c r="AC2120"/>
    </row>
    <row r="2121" spans="21:29" ht="15">
      <c r="U2121" s="2">
        <v>38007</v>
      </c>
      <c r="V2121" t="str">
        <f t="shared" si="234"/>
        <v>01</v>
      </c>
      <c r="W2121" t="str">
        <f t="shared" si="235"/>
        <v>21</v>
      </c>
      <c r="X2121" t="str">
        <f t="shared" si="236"/>
        <v>04</v>
      </c>
      <c r="Y2121" t="str">
        <f t="shared" si="238"/>
        <v>2004</v>
      </c>
      <c r="Z2121"/>
      <c r="AA2121" s="2">
        <f t="shared" si="239"/>
        <v>38596</v>
      </c>
      <c r="AB2121" t="str">
        <f t="shared" si="237"/>
        <v>01/21/2004</v>
      </c>
      <c r="AC2121"/>
    </row>
    <row r="2122" spans="21:29" ht="15">
      <c r="U2122" s="2">
        <v>38007</v>
      </c>
      <c r="V2122" t="str">
        <f t="shared" si="234"/>
        <v>01</v>
      </c>
      <c r="W2122" t="str">
        <f t="shared" si="235"/>
        <v>21</v>
      </c>
      <c r="X2122" t="str">
        <f t="shared" si="236"/>
        <v>04</v>
      </c>
      <c r="Y2122" t="str">
        <f t="shared" si="238"/>
        <v>2004</v>
      </c>
      <c r="Z2122"/>
      <c r="AA2122" s="2">
        <f t="shared" si="239"/>
        <v>38596</v>
      </c>
      <c r="AB2122" t="str">
        <f t="shared" si="237"/>
        <v>01/21/2004</v>
      </c>
      <c r="AC2122"/>
    </row>
    <row r="2123" spans="21:29" ht="15">
      <c r="U2123" s="2">
        <v>38007</v>
      </c>
      <c r="V2123" t="str">
        <f t="shared" si="234"/>
        <v>01</v>
      </c>
      <c r="W2123" t="str">
        <f t="shared" si="235"/>
        <v>21</v>
      </c>
      <c r="X2123" t="str">
        <f t="shared" si="236"/>
        <v>04</v>
      </c>
      <c r="Y2123" t="str">
        <f t="shared" si="238"/>
        <v>2004</v>
      </c>
      <c r="Z2123"/>
      <c r="AA2123" s="2">
        <f t="shared" si="239"/>
        <v>38596</v>
      </c>
      <c r="AB2123" t="str">
        <f t="shared" si="237"/>
        <v>01/21/2004</v>
      </c>
      <c r="AC2123"/>
    </row>
    <row r="2124" spans="21:29" ht="15">
      <c r="U2124" s="2">
        <v>38010</v>
      </c>
      <c r="V2124" t="str">
        <f t="shared" si="234"/>
        <v>01</v>
      </c>
      <c r="W2124" t="str">
        <f t="shared" si="235"/>
        <v>24</v>
      </c>
      <c r="X2124" t="str">
        <f t="shared" si="236"/>
        <v>04</v>
      </c>
      <c r="Y2124" t="str">
        <f t="shared" si="238"/>
        <v>2004</v>
      </c>
      <c r="Z2124"/>
      <c r="AA2124" s="2">
        <f t="shared" si="239"/>
        <v>38687</v>
      </c>
      <c r="AB2124" t="str">
        <f t="shared" si="237"/>
        <v>01/24/2004</v>
      </c>
      <c r="AC2124"/>
    </row>
    <row r="2125" spans="21:29" ht="15">
      <c r="U2125" s="2">
        <v>38010</v>
      </c>
      <c r="V2125" t="str">
        <f t="shared" si="234"/>
        <v>01</v>
      </c>
      <c r="W2125" t="str">
        <f t="shared" si="235"/>
        <v>24</v>
      </c>
      <c r="X2125" t="str">
        <f t="shared" si="236"/>
        <v>04</v>
      </c>
      <c r="Y2125" t="str">
        <f t="shared" si="238"/>
        <v>2004</v>
      </c>
      <c r="Z2125"/>
      <c r="AA2125" s="2">
        <f t="shared" si="239"/>
        <v>38687</v>
      </c>
      <c r="AB2125" t="str">
        <f t="shared" si="237"/>
        <v>01/24/2004</v>
      </c>
      <c r="AC2125"/>
    </row>
    <row r="2126" spans="21:29" ht="15">
      <c r="U2126" s="2">
        <v>38013</v>
      </c>
      <c r="V2126" t="str">
        <f t="shared" si="234"/>
        <v>01</v>
      </c>
      <c r="W2126" t="str">
        <f t="shared" si="235"/>
        <v>27</v>
      </c>
      <c r="X2126" t="str">
        <f t="shared" si="236"/>
        <v>04</v>
      </c>
      <c r="Y2126" t="str">
        <f t="shared" si="238"/>
        <v>2004</v>
      </c>
      <c r="Z2126"/>
      <c r="AA2126" s="2">
        <f t="shared" si="239"/>
        <v>38777</v>
      </c>
      <c r="AB2126" t="str">
        <f t="shared" si="237"/>
        <v>01/27/2004</v>
      </c>
      <c r="AC2126"/>
    </row>
    <row r="2127" spans="21:29" ht="15">
      <c r="U2127" s="2">
        <v>38017</v>
      </c>
      <c r="V2127" t="str">
        <f t="shared" ref="V2127:V2190" si="240">LEFT(AB2127,2)</f>
        <v>01</v>
      </c>
      <c r="W2127" t="str">
        <f t="shared" ref="W2127:W2190" si="241">MID(AB2127,4,2)</f>
        <v>31</v>
      </c>
      <c r="X2127" t="str">
        <f t="shared" ref="X2127:X2190" si="242">RIGHT(AB2127,2)</f>
        <v>04</v>
      </c>
      <c r="Y2127" t="str">
        <f t="shared" si="238"/>
        <v>2004</v>
      </c>
      <c r="Z2127"/>
      <c r="AA2127" s="2">
        <f t="shared" si="239"/>
        <v>38899</v>
      </c>
      <c r="AB2127" t="str">
        <f t="shared" ref="AB2127:AB2190" si="243">TEXT(U2127, "mm/dd/yyyy")</f>
        <v>01/31/2004</v>
      </c>
      <c r="AC2127"/>
    </row>
    <row r="2128" spans="21:29" ht="15">
      <c r="U2128" s="2">
        <v>38021</v>
      </c>
      <c r="V2128" t="str">
        <f t="shared" si="240"/>
        <v>02</v>
      </c>
      <c r="W2128" t="str">
        <f t="shared" si="241"/>
        <v>04</v>
      </c>
      <c r="X2128" t="str">
        <f t="shared" si="242"/>
        <v>04</v>
      </c>
      <c r="Y2128" t="str">
        <f t="shared" si="238"/>
        <v>2004</v>
      </c>
      <c r="Z2128"/>
      <c r="AA2128" s="2">
        <f t="shared" si="239"/>
        <v>38079</v>
      </c>
      <c r="AB2128" t="str">
        <f t="shared" si="243"/>
        <v>02/04/2004</v>
      </c>
      <c r="AC2128"/>
    </row>
    <row r="2129" spans="21:29" ht="15">
      <c r="U2129" s="2">
        <v>38021</v>
      </c>
      <c r="V2129" t="str">
        <f t="shared" si="240"/>
        <v>02</v>
      </c>
      <c r="W2129" t="str">
        <f t="shared" si="241"/>
        <v>04</v>
      </c>
      <c r="X2129" t="str">
        <f t="shared" si="242"/>
        <v>04</v>
      </c>
      <c r="Y2129" t="str">
        <f t="shared" si="238"/>
        <v>2004</v>
      </c>
      <c r="Z2129"/>
      <c r="AA2129" s="2">
        <f t="shared" si="239"/>
        <v>38079</v>
      </c>
      <c r="AB2129" t="str">
        <f t="shared" si="243"/>
        <v>02/04/2004</v>
      </c>
      <c r="AC2129"/>
    </row>
    <row r="2130" spans="21:29" ht="15">
      <c r="U2130" s="2">
        <v>38021</v>
      </c>
      <c r="V2130" t="str">
        <f t="shared" si="240"/>
        <v>02</v>
      </c>
      <c r="W2130" t="str">
        <f t="shared" si="241"/>
        <v>04</v>
      </c>
      <c r="X2130" t="str">
        <f t="shared" si="242"/>
        <v>04</v>
      </c>
      <c r="Y2130" t="str">
        <f t="shared" si="238"/>
        <v>2004</v>
      </c>
      <c r="Z2130"/>
      <c r="AA2130" s="2">
        <f t="shared" si="239"/>
        <v>38079</v>
      </c>
      <c r="AB2130" t="str">
        <f t="shared" si="243"/>
        <v>02/04/2004</v>
      </c>
      <c r="AC2130"/>
    </row>
    <row r="2131" spans="21:29" ht="15">
      <c r="U2131" s="2">
        <v>38021</v>
      </c>
      <c r="V2131" t="str">
        <f t="shared" si="240"/>
        <v>02</v>
      </c>
      <c r="W2131" t="str">
        <f t="shared" si="241"/>
        <v>04</v>
      </c>
      <c r="X2131" t="str">
        <f t="shared" si="242"/>
        <v>04</v>
      </c>
      <c r="Y2131" t="str">
        <f t="shared" si="238"/>
        <v>2004</v>
      </c>
      <c r="Z2131"/>
      <c r="AA2131" s="2">
        <f t="shared" si="239"/>
        <v>38079</v>
      </c>
      <c r="AB2131" t="str">
        <f t="shared" si="243"/>
        <v>02/04/2004</v>
      </c>
      <c r="AC2131"/>
    </row>
    <row r="2132" spans="21:29" ht="15">
      <c r="U2132" s="2">
        <v>38021</v>
      </c>
      <c r="V2132" t="str">
        <f t="shared" si="240"/>
        <v>02</v>
      </c>
      <c r="W2132" t="str">
        <f t="shared" si="241"/>
        <v>04</v>
      </c>
      <c r="X2132" t="str">
        <f t="shared" si="242"/>
        <v>04</v>
      </c>
      <c r="Y2132" t="str">
        <f t="shared" si="238"/>
        <v>2004</v>
      </c>
      <c r="Z2132"/>
      <c r="AA2132" s="2">
        <f t="shared" si="239"/>
        <v>38079</v>
      </c>
      <c r="AB2132" t="str">
        <f t="shared" si="243"/>
        <v>02/04/2004</v>
      </c>
      <c r="AC2132"/>
    </row>
    <row r="2133" spans="21:29" ht="15">
      <c r="U2133" s="2">
        <v>38021</v>
      </c>
      <c r="V2133" t="str">
        <f t="shared" si="240"/>
        <v>02</v>
      </c>
      <c r="W2133" t="str">
        <f t="shared" si="241"/>
        <v>04</v>
      </c>
      <c r="X2133" t="str">
        <f t="shared" si="242"/>
        <v>04</v>
      </c>
      <c r="Y2133" t="str">
        <f t="shared" si="238"/>
        <v>2004</v>
      </c>
      <c r="Z2133"/>
      <c r="AA2133" s="2">
        <f t="shared" si="239"/>
        <v>38079</v>
      </c>
      <c r="AB2133" t="str">
        <f t="shared" si="243"/>
        <v>02/04/2004</v>
      </c>
      <c r="AC2133"/>
    </row>
    <row r="2134" spans="21:29" ht="15">
      <c r="U2134" s="2">
        <v>38021</v>
      </c>
      <c r="V2134" t="str">
        <f t="shared" si="240"/>
        <v>02</v>
      </c>
      <c r="W2134" t="str">
        <f t="shared" si="241"/>
        <v>04</v>
      </c>
      <c r="X2134" t="str">
        <f t="shared" si="242"/>
        <v>04</v>
      </c>
      <c r="Y2134" t="str">
        <f t="shared" si="238"/>
        <v>2004</v>
      </c>
      <c r="Z2134"/>
      <c r="AA2134" s="2">
        <f t="shared" si="239"/>
        <v>38079</v>
      </c>
      <c r="AB2134" t="str">
        <f t="shared" si="243"/>
        <v>02/04/2004</v>
      </c>
      <c r="AC2134"/>
    </row>
    <row r="2135" spans="21:29" ht="15">
      <c r="U2135" s="2">
        <v>38026</v>
      </c>
      <c r="V2135" t="str">
        <f t="shared" si="240"/>
        <v>02</v>
      </c>
      <c r="W2135" t="str">
        <f t="shared" si="241"/>
        <v>09</v>
      </c>
      <c r="X2135" t="str">
        <f t="shared" si="242"/>
        <v>04</v>
      </c>
      <c r="Y2135" t="str">
        <f t="shared" si="238"/>
        <v>2004</v>
      </c>
      <c r="Z2135"/>
      <c r="AA2135" s="2">
        <f t="shared" si="239"/>
        <v>38232</v>
      </c>
      <c r="AB2135" t="str">
        <f t="shared" si="243"/>
        <v>02/09/2004</v>
      </c>
      <c r="AC2135"/>
    </row>
    <row r="2136" spans="21:29" ht="15">
      <c r="U2136" s="2">
        <v>38026</v>
      </c>
      <c r="V2136" t="str">
        <f t="shared" si="240"/>
        <v>02</v>
      </c>
      <c r="W2136" t="str">
        <f t="shared" si="241"/>
        <v>09</v>
      </c>
      <c r="X2136" t="str">
        <f t="shared" si="242"/>
        <v>04</v>
      </c>
      <c r="Y2136" t="str">
        <f t="shared" si="238"/>
        <v>2004</v>
      </c>
      <c r="Z2136"/>
      <c r="AA2136" s="2">
        <f t="shared" si="239"/>
        <v>38232</v>
      </c>
      <c r="AB2136" t="str">
        <f t="shared" si="243"/>
        <v>02/09/2004</v>
      </c>
      <c r="AC2136"/>
    </row>
    <row r="2137" spans="21:29" ht="15">
      <c r="U2137" s="2">
        <v>38029</v>
      </c>
      <c r="V2137" t="str">
        <f t="shared" si="240"/>
        <v>02</v>
      </c>
      <c r="W2137" t="str">
        <f t="shared" si="241"/>
        <v>12</v>
      </c>
      <c r="X2137" t="str">
        <f t="shared" si="242"/>
        <v>04</v>
      </c>
      <c r="Y2137" t="str">
        <f t="shared" si="238"/>
        <v>2004</v>
      </c>
      <c r="Z2137"/>
      <c r="AA2137" s="2">
        <f t="shared" si="239"/>
        <v>38323</v>
      </c>
      <c r="AB2137" t="str">
        <f t="shared" si="243"/>
        <v>02/12/2004</v>
      </c>
      <c r="AC2137"/>
    </row>
    <row r="2138" spans="21:29" ht="15">
      <c r="U2138" s="2">
        <v>38029</v>
      </c>
      <c r="V2138" t="str">
        <f t="shared" si="240"/>
        <v>02</v>
      </c>
      <c r="W2138" t="str">
        <f t="shared" si="241"/>
        <v>12</v>
      </c>
      <c r="X2138" t="str">
        <f t="shared" si="242"/>
        <v>04</v>
      </c>
      <c r="Y2138" t="str">
        <f t="shared" si="238"/>
        <v>2004</v>
      </c>
      <c r="Z2138"/>
      <c r="AA2138" s="2">
        <f t="shared" si="239"/>
        <v>38323</v>
      </c>
      <c r="AB2138" t="str">
        <f t="shared" si="243"/>
        <v>02/12/2004</v>
      </c>
      <c r="AC2138"/>
    </row>
    <row r="2139" spans="21:29" ht="15">
      <c r="U2139" s="2">
        <v>38034</v>
      </c>
      <c r="V2139" t="str">
        <f t="shared" si="240"/>
        <v>02</v>
      </c>
      <c r="W2139" t="str">
        <f t="shared" si="241"/>
        <v>17</v>
      </c>
      <c r="X2139" t="str">
        <f t="shared" si="242"/>
        <v>04</v>
      </c>
      <c r="Y2139" t="str">
        <f t="shared" si="238"/>
        <v>2004</v>
      </c>
      <c r="Z2139"/>
      <c r="AA2139" s="2">
        <f t="shared" si="239"/>
        <v>38474</v>
      </c>
      <c r="AB2139" t="str">
        <f t="shared" si="243"/>
        <v>02/17/2004</v>
      </c>
      <c r="AC2139"/>
    </row>
    <row r="2140" spans="21:29" ht="15">
      <c r="U2140" s="2">
        <v>38036</v>
      </c>
      <c r="V2140" t="str">
        <f t="shared" si="240"/>
        <v>02</v>
      </c>
      <c r="W2140" t="str">
        <f t="shared" si="241"/>
        <v>19</v>
      </c>
      <c r="X2140" t="str">
        <f t="shared" si="242"/>
        <v>04</v>
      </c>
      <c r="Y2140" t="str">
        <f t="shared" si="238"/>
        <v>2004</v>
      </c>
      <c r="Z2140"/>
      <c r="AA2140" s="2">
        <f t="shared" si="239"/>
        <v>38535</v>
      </c>
      <c r="AB2140" t="str">
        <f t="shared" si="243"/>
        <v>02/19/2004</v>
      </c>
      <c r="AC2140"/>
    </row>
    <row r="2141" spans="21:29" ht="15">
      <c r="U2141" s="2">
        <v>38036</v>
      </c>
      <c r="V2141" t="str">
        <f t="shared" si="240"/>
        <v>02</v>
      </c>
      <c r="W2141" t="str">
        <f t="shared" si="241"/>
        <v>19</v>
      </c>
      <c r="X2141" t="str">
        <f t="shared" si="242"/>
        <v>04</v>
      </c>
      <c r="Y2141" t="str">
        <f t="shared" si="238"/>
        <v>2004</v>
      </c>
      <c r="Z2141"/>
      <c r="AA2141" s="2">
        <f t="shared" si="239"/>
        <v>38535</v>
      </c>
      <c r="AB2141" t="str">
        <f t="shared" si="243"/>
        <v>02/19/2004</v>
      </c>
      <c r="AC2141"/>
    </row>
    <row r="2142" spans="21:29" ht="15">
      <c r="U2142" s="2">
        <v>38041</v>
      </c>
      <c r="V2142" t="str">
        <f t="shared" si="240"/>
        <v>02</v>
      </c>
      <c r="W2142" t="str">
        <f t="shared" si="241"/>
        <v>24</v>
      </c>
      <c r="X2142" t="str">
        <f t="shared" si="242"/>
        <v>04</v>
      </c>
      <c r="Y2142" t="str">
        <f t="shared" si="238"/>
        <v>2004</v>
      </c>
      <c r="Z2142"/>
      <c r="AA2142" s="2">
        <f t="shared" si="239"/>
        <v>38688</v>
      </c>
      <c r="AB2142" t="str">
        <f t="shared" si="243"/>
        <v>02/24/2004</v>
      </c>
      <c r="AC2142"/>
    </row>
    <row r="2143" spans="21:29" ht="15">
      <c r="U2143" s="2">
        <v>38045</v>
      </c>
      <c r="V2143" t="str">
        <f t="shared" si="240"/>
        <v>02</v>
      </c>
      <c r="W2143" t="str">
        <f t="shared" si="241"/>
        <v>28</v>
      </c>
      <c r="X2143" t="str">
        <f t="shared" si="242"/>
        <v>04</v>
      </c>
      <c r="Y2143" t="str">
        <f t="shared" si="238"/>
        <v>2004</v>
      </c>
      <c r="Z2143"/>
      <c r="AA2143" s="2">
        <f t="shared" si="239"/>
        <v>38809</v>
      </c>
      <c r="AB2143" t="str">
        <f t="shared" si="243"/>
        <v>02/28/2004</v>
      </c>
      <c r="AC2143"/>
    </row>
    <row r="2144" spans="21:29" ht="15">
      <c r="U2144" s="2">
        <v>38045</v>
      </c>
      <c r="V2144" t="str">
        <f t="shared" si="240"/>
        <v>02</v>
      </c>
      <c r="W2144" t="str">
        <f t="shared" si="241"/>
        <v>28</v>
      </c>
      <c r="X2144" t="str">
        <f t="shared" si="242"/>
        <v>04</v>
      </c>
      <c r="Y2144" t="str">
        <f t="shared" si="238"/>
        <v>2004</v>
      </c>
      <c r="Z2144"/>
      <c r="AA2144" s="2">
        <f t="shared" si="239"/>
        <v>38809</v>
      </c>
      <c r="AB2144" t="str">
        <f t="shared" si="243"/>
        <v>02/28/2004</v>
      </c>
      <c r="AC2144"/>
    </row>
    <row r="2145" spans="21:29" ht="15">
      <c r="U2145" s="2">
        <v>38045</v>
      </c>
      <c r="V2145" t="str">
        <f t="shared" si="240"/>
        <v>02</v>
      </c>
      <c r="W2145" t="str">
        <f t="shared" si="241"/>
        <v>28</v>
      </c>
      <c r="X2145" t="str">
        <f t="shared" si="242"/>
        <v>04</v>
      </c>
      <c r="Y2145" t="str">
        <f t="shared" si="238"/>
        <v>2004</v>
      </c>
      <c r="Z2145"/>
      <c r="AA2145" s="2">
        <f t="shared" si="239"/>
        <v>38809</v>
      </c>
      <c r="AB2145" t="str">
        <f t="shared" si="243"/>
        <v>02/28/2004</v>
      </c>
      <c r="AC2145"/>
    </row>
    <row r="2146" spans="21:29" ht="15">
      <c r="U2146" s="2">
        <v>38045</v>
      </c>
      <c r="V2146" t="str">
        <f t="shared" si="240"/>
        <v>02</v>
      </c>
      <c r="W2146" t="str">
        <f t="shared" si="241"/>
        <v>28</v>
      </c>
      <c r="X2146" t="str">
        <f t="shared" si="242"/>
        <v>04</v>
      </c>
      <c r="Y2146" t="str">
        <f t="shared" si="238"/>
        <v>2004</v>
      </c>
      <c r="Z2146"/>
      <c r="AA2146" s="2">
        <f t="shared" si="239"/>
        <v>38809</v>
      </c>
      <c r="AB2146" t="str">
        <f t="shared" si="243"/>
        <v>02/28/2004</v>
      </c>
      <c r="AC2146"/>
    </row>
    <row r="2147" spans="21:29" ht="15">
      <c r="U2147" s="2">
        <v>38045</v>
      </c>
      <c r="V2147" t="str">
        <f t="shared" si="240"/>
        <v>02</v>
      </c>
      <c r="W2147" t="str">
        <f t="shared" si="241"/>
        <v>28</v>
      </c>
      <c r="X2147" t="str">
        <f t="shared" si="242"/>
        <v>04</v>
      </c>
      <c r="Y2147" t="str">
        <f t="shared" si="238"/>
        <v>2004</v>
      </c>
      <c r="Z2147"/>
      <c r="AA2147" s="2">
        <f t="shared" si="239"/>
        <v>38809</v>
      </c>
      <c r="AB2147" t="str">
        <f t="shared" si="243"/>
        <v>02/28/2004</v>
      </c>
      <c r="AC2147"/>
    </row>
    <row r="2148" spans="21:29" ht="15">
      <c r="U2148" s="2">
        <v>38049</v>
      </c>
      <c r="V2148" t="str">
        <f t="shared" si="240"/>
        <v>03</v>
      </c>
      <c r="W2148" t="str">
        <f t="shared" si="241"/>
        <v>03</v>
      </c>
      <c r="X2148" t="str">
        <f t="shared" si="242"/>
        <v>04</v>
      </c>
      <c r="Y2148" t="str">
        <f t="shared" si="238"/>
        <v>2004</v>
      </c>
      <c r="Z2148"/>
      <c r="AA2148" s="2">
        <f t="shared" si="239"/>
        <v>38049</v>
      </c>
      <c r="AB2148" t="str">
        <f t="shared" si="243"/>
        <v>03/03/2004</v>
      </c>
      <c r="AC2148"/>
    </row>
    <row r="2149" spans="21:29" ht="15">
      <c r="U2149" s="2">
        <v>38050</v>
      </c>
      <c r="V2149" t="str">
        <f t="shared" si="240"/>
        <v>03</v>
      </c>
      <c r="W2149" t="str">
        <f t="shared" si="241"/>
        <v>04</v>
      </c>
      <c r="X2149" t="str">
        <f t="shared" si="242"/>
        <v>04</v>
      </c>
      <c r="Y2149" t="str">
        <f t="shared" si="238"/>
        <v>2004</v>
      </c>
      <c r="Z2149"/>
      <c r="AA2149" s="2">
        <f t="shared" si="239"/>
        <v>38080</v>
      </c>
      <c r="AB2149" t="str">
        <f t="shared" si="243"/>
        <v>03/04/2004</v>
      </c>
      <c r="AC2149"/>
    </row>
    <row r="2150" spans="21:29" ht="15">
      <c r="U2150" s="2">
        <v>38050</v>
      </c>
      <c r="V2150" t="str">
        <f t="shared" si="240"/>
        <v>03</v>
      </c>
      <c r="W2150" t="str">
        <f t="shared" si="241"/>
        <v>04</v>
      </c>
      <c r="X2150" t="str">
        <f t="shared" si="242"/>
        <v>04</v>
      </c>
      <c r="Y2150" t="str">
        <f t="shared" si="238"/>
        <v>2004</v>
      </c>
      <c r="Z2150"/>
      <c r="AA2150" s="2">
        <f t="shared" si="239"/>
        <v>38080</v>
      </c>
      <c r="AB2150" t="str">
        <f t="shared" si="243"/>
        <v>03/04/2004</v>
      </c>
      <c r="AC2150"/>
    </row>
    <row r="2151" spans="21:29" ht="15">
      <c r="U2151" s="2">
        <v>38051</v>
      </c>
      <c r="V2151" t="str">
        <f t="shared" si="240"/>
        <v>03</v>
      </c>
      <c r="W2151" t="str">
        <f t="shared" si="241"/>
        <v>05</v>
      </c>
      <c r="X2151" t="str">
        <f t="shared" si="242"/>
        <v>04</v>
      </c>
      <c r="Y2151" t="str">
        <f t="shared" si="238"/>
        <v>2004</v>
      </c>
      <c r="Z2151"/>
      <c r="AA2151" s="2">
        <f t="shared" si="239"/>
        <v>38110</v>
      </c>
      <c r="AB2151" t="str">
        <f t="shared" si="243"/>
        <v>03/05/2004</v>
      </c>
      <c r="AC2151"/>
    </row>
    <row r="2152" spans="21:29" ht="15">
      <c r="U2152" s="2">
        <v>38058</v>
      </c>
      <c r="V2152" t="str">
        <f t="shared" si="240"/>
        <v>03</v>
      </c>
      <c r="W2152" t="str">
        <f t="shared" si="241"/>
        <v>12</v>
      </c>
      <c r="X2152" t="str">
        <f t="shared" si="242"/>
        <v>04</v>
      </c>
      <c r="Y2152" t="str">
        <f t="shared" si="238"/>
        <v>2004</v>
      </c>
      <c r="Z2152"/>
      <c r="AA2152" s="2">
        <f t="shared" si="239"/>
        <v>38324</v>
      </c>
      <c r="AB2152" t="str">
        <f t="shared" si="243"/>
        <v>03/12/2004</v>
      </c>
      <c r="AC2152"/>
    </row>
    <row r="2153" spans="21:29" ht="15">
      <c r="U2153" s="2">
        <v>38058</v>
      </c>
      <c r="V2153" t="str">
        <f t="shared" si="240"/>
        <v>03</v>
      </c>
      <c r="W2153" t="str">
        <f t="shared" si="241"/>
        <v>12</v>
      </c>
      <c r="X2153" t="str">
        <f t="shared" si="242"/>
        <v>04</v>
      </c>
      <c r="Y2153" t="str">
        <f t="shared" si="238"/>
        <v>2004</v>
      </c>
      <c r="Z2153"/>
      <c r="AA2153" s="2">
        <f t="shared" si="239"/>
        <v>38324</v>
      </c>
      <c r="AB2153" t="str">
        <f t="shared" si="243"/>
        <v>03/12/2004</v>
      </c>
      <c r="AC2153"/>
    </row>
    <row r="2154" spans="21:29" ht="15">
      <c r="U2154" s="2">
        <v>38058</v>
      </c>
      <c r="V2154" t="str">
        <f t="shared" si="240"/>
        <v>03</v>
      </c>
      <c r="W2154" t="str">
        <f t="shared" si="241"/>
        <v>12</v>
      </c>
      <c r="X2154" t="str">
        <f t="shared" si="242"/>
        <v>04</v>
      </c>
      <c r="Y2154" t="str">
        <f t="shared" si="238"/>
        <v>2004</v>
      </c>
      <c r="Z2154"/>
      <c r="AA2154" s="2">
        <f t="shared" si="239"/>
        <v>38324</v>
      </c>
      <c r="AB2154" t="str">
        <f t="shared" si="243"/>
        <v>03/12/2004</v>
      </c>
      <c r="AC2154"/>
    </row>
    <row r="2155" spans="21:29" ht="15">
      <c r="U2155" s="2">
        <v>38058</v>
      </c>
      <c r="V2155" t="str">
        <f t="shared" si="240"/>
        <v>03</v>
      </c>
      <c r="W2155" t="str">
        <f t="shared" si="241"/>
        <v>12</v>
      </c>
      <c r="X2155" t="str">
        <f t="shared" si="242"/>
        <v>04</v>
      </c>
      <c r="Y2155" t="str">
        <f t="shared" si="238"/>
        <v>2004</v>
      </c>
      <c r="Z2155"/>
      <c r="AA2155" s="2">
        <f t="shared" si="239"/>
        <v>38324</v>
      </c>
      <c r="AB2155" t="str">
        <f t="shared" si="243"/>
        <v>03/12/2004</v>
      </c>
      <c r="AC2155"/>
    </row>
    <row r="2156" spans="21:29" ht="15">
      <c r="U2156" s="2">
        <v>38058</v>
      </c>
      <c r="V2156" t="str">
        <f t="shared" si="240"/>
        <v>03</v>
      </c>
      <c r="W2156" t="str">
        <f t="shared" si="241"/>
        <v>12</v>
      </c>
      <c r="X2156" t="str">
        <f t="shared" si="242"/>
        <v>04</v>
      </c>
      <c r="Y2156" t="str">
        <f t="shared" si="238"/>
        <v>2004</v>
      </c>
      <c r="Z2156"/>
      <c r="AA2156" s="2">
        <f t="shared" si="239"/>
        <v>38324</v>
      </c>
      <c r="AB2156" t="str">
        <f t="shared" si="243"/>
        <v>03/12/2004</v>
      </c>
      <c r="AC2156"/>
    </row>
    <row r="2157" spans="21:29" ht="15">
      <c r="U2157" s="2">
        <v>38069</v>
      </c>
      <c r="V2157" t="str">
        <f t="shared" si="240"/>
        <v>03</v>
      </c>
      <c r="W2157" t="str">
        <f t="shared" si="241"/>
        <v>23</v>
      </c>
      <c r="X2157" t="str">
        <f t="shared" si="242"/>
        <v>04</v>
      </c>
      <c r="Y2157" t="str">
        <f t="shared" si="238"/>
        <v>2004</v>
      </c>
      <c r="Z2157"/>
      <c r="AA2157" s="2">
        <f t="shared" si="239"/>
        <v>38659</v>
      </c>
      <c r="AB2157" t="str">
        <f t="shared" si="243"/>
        <v>03/23/2004</v>
      </c>
      <c r="AC2157"/>
    </row>
    <row r="2158" spans="21:29" ht="15">
      <c r="U2158" s="2">
        <v>38069</v>
      </c>
      <c r="V2158" t="str">
        <f t="shared" si="240"/>
        <v>03</v>
      </c>
      <c r="W2158" t="str">
        <f t="shared" si="241"/>
        <v>23</v>
      </c>
      <c r="X2158" t="str">
        <f t="shared" si="242"/>
        <v>04</v>
      </c>
      <c r="Y2158" t="str">
        <f t="shared" si="238"/>
        <v>2004</v>
      </c>
      <c r="Z2158"/>
      <c r="AA2158" s="2">
        <f t="shared" si="239"/>
        <v>38659</v>
      </c>
      <c r="AB2158" t="str">
        <f t="shared" si="243"/>
        <v>03/23/2004</v>
      </c>
      <c r="AC2158"/>
    </row>
    <row r="2159" spans="21:29" ht="15">
      <c r="U2159" s="2">
        <v>38069</v>
      </c>
      <c r="V2159" t="str">
        <f t="shared" si="240"/>
        <v>03</v>
      </c>
      <c r="W2159" t="str">
        <f t="shared" si="241"/>
        <v>23</v>
      </c>
      <c r="X2159" t="str">
        <f t="shared" si="242"/>
        <v>04</v>
      </c>
      <c r="Y2159" t="str">
        <f t="shared" si="238"/>
        <v>2004</v>
      </c>
      <c r="Z2159"/>
      <c r="AA2159" s="2">
        <f t="shared" si="239"/>
        <v>38659</v>
      </c>
      <c r="AB2159" t="str">
        <f t="shared" si="243"/>
        <v>03/23/2004</v>
      </c>
      <c r="AC2159"/>
    </row>
    <row r="2160" spans="21:29" ht="15">
      <c r="U2160" s="2">
        <v>38069</v>
      </c>
      <c r="V2160" t="str">
        <f t="shared" si="240"/>
        <v>03</v>
      </c>
      <c r="W2160" t="str">
        <f t="shared" si="241"/>
        <v>23</v>
      </c>
      <c r="X2160" t="str">
        <f t="shared" si="242"/>
        <v>04</v>
      </c>
      <c r="Y2160" t="str">
        <f t="shared" si="238"/>
        <v>2004</v>
      </c>
      <c r="Z2160"/>
      <c r="AA2160" s="2">
        <f t="shared" si="239"/>
        <v>38659</v>
      </c>
      <c r="AB2160" t="str">
        <f t="shared" si="243"/>
        <v>03/23/2004</v>
      </c>
      <c r="AC2160"/>
    </row>
    <row r="2161" spans="21:29" ht="15">
      <c r="U2161" s="2">
        <v>38069</v>
      </c>
      <c r="V2161" t="str">
        <f t="shared" si="240"/>
        <v>03</v>
      </c>
      <c r="W2161" t="str">
        <f t="shared" si="241"/>
        <v>23</v>
      </c>
      <c r="X2161" t="str">
        <f t="shared" si="242"/>
        <v>04</v>
      </c>
      <c r="Y2161" t="str">
        <f t="shared" si="238"/>
        <v>2004</v>
      </c>
      <c r="Z2161"/>
      <c r="AA2161" s="2">
        <f t="shared" si="239"/>
        <v>38659</v>
      </c>
      <c r="AB2161" t="str">
        <f t="shared" si="243"/>
        <v>03/23/2004</v>
      </c>
      <c r="AC2161"/>
    </row>
    <row r="2162" spans="21:29" ht="15">
      <c r="U2162" s="2">
        <v>38071</v>
      </c>
      <c r="V2162" t="str">
        <f t="shared" si="240"/>
        <v>03</v>
      </c>
      <c r="W2162" t="str">
        <f t="shared" si="241"/>
        <v>25</v>
      </c>
      <c r="X2162" t="str">
        <f t="shared" si="242"/>
        <v>04</v>
      </c>
      <c r="Y2162" t="str">
        <f t="shared" si="238"/>
        <v>2004</v>
      </c>
      <c r="Z2162"/>
      <c r="AA2162" s="2">
        <f t="shared" si="239"/>
        <v>38720</v>
      </c>
      <c r="AB2162" t="str">
        <f t="shared" si="243"/>
        <v>03/25/2004</v>
      </c>
      <c r="AC2162"/>
    </row>
    <row r="2163" spans="21:29" ht="15">
      <c r="U2163" s="2">
        <v>38071</v>
      </c>
      <c r="V2163" t="str">
        <f t="shared" si="240"/>
        <v>03</v>
      </c>
      <c r="W2163" t="str">
        <f t="shared" si="241"/>
        <v>25</v>
      </c>
      <c r="X2163" t="str">
        <f t="shared" si="242"/>
        <v>04</v>
      </c>
      <c r="Y2163" t="str">
        <f t="shared" si="238"/>
        <v>2004</v>
      </c>
      <c r="Z2163"/>
      <c r="AA2163" s="2">
        <f t="shared" si="239"/>
        <v>38720</v>
      </c>
      <c r="AB2163" t="str">
        <f t="shared" si="243"/>
        <v>03/25/2004</v>
      </c>
      <c r="AC2163"/>
    </row>
    <row r="2164" spans="21:29" ht="15">
      <c r="U2164" s="2">
        <v>38071</v>
      </c>
      <c r="V2164" t="str">
        <f t="shared" si="240"/>
        <v>03</v>
      </c>
      <c r="W2164" t="str">
        <f t="shared" si="241"/>
        <v>25</v>
      </c>
      <c r="X2164" t="str">
        <f t="shared" si="242"/>
        <v>04</v>
      </c>
      <c r="Y2164" t="str">
        <f t="shared" si="238"/>
        <v>2004</v>
      </c>
      <c r="Z2164"/>
      <c r="AA2164" s="2">
        <f t="shared" si="239"/>
        <v>38720</v>
      </c>
      <c r="AB2164" t="str">
        <f t="shared" si="243"/>
        <v>03/25/2004</v>
      </c>
      <c r="AC2164"/>
    </row>
    <row r="2165" spans="21:29" ht="15">
      <c r="U2165" s="2">
        <v>38075</v>
      </c>
      <c r="V2165" t="str">
        <f t="shared" si="240"/>
        <v>03</v>
      </c>
      <c r="W2165" t="str">
        <f t="shared" si="241"/>
        <v>29</v>
      </c>
      <c r="X2165" t="str">
        <f t="shared" si="242"/>
        <v>04</v>
      </c>
      <c r="Y2165" t="str">
        <f t="shared" si="238"/>
        <v>2004</v>
      </c>
      <c r="Z2165"/>
      <c r="AA2165" s="2">
        <f t="shared" si="239"/>
        <v>38840</v>
      </c>
      <c r="AB2165" t="str">
        <f t="shared" si="243"/>
        <v>03/29/2004</v>
      </c>
      <c r="AC2165"/>
    </row>
    <row r="2166" spans="21:29" ht="15">
      <c r="U2166" s="2">
        <v>38077</v>
      </c>
      <c r="V2166" t="str">
        <f t="shared" si="240"/>
        <v>03</v>
      </c>
      <c r="W2166" t="str">
        <f t="shared" si="241"/>
        <v>31</v>
      </c>
      <c r="X2166" t="str">
        <f t="shared" si="242"/>
        <v>04</v>
      </c>
      <c r="Y2166" t="str">
        <f t="shared" si="238"/>
        <v>2004</v>
      </c>
      <c r="Z2166"/>
      <c r="AA2166" s="2">
        <f t="shared" si="239"/>
        <v>38901</v>
      </c>
      <c r="AB2166" t="str">
        <f t="shared" si="243"/>
        <v>03/31/2004</v>
      </c>
      <c r="AC2166"/>
    </row>
    <row r="2167" spans="21:29" ht="15">
      <c r="U2167" s="225" t="s">
        <v>6429</v>
      </c>
      <c r="V2167" t="str">
        <f t="shared" si="240"/>
        <v>04</v>
      </c>
      <c r="W2167" t="str">
        <f t="shared" si="241"/>
        <v>02</v>
      </c>
      <c r="X2167" t="str">
        <f t="shared" si="242"/>
        <v>21</v>
      </c>
      <c r="Y2167" t="str">
        <f t="shared" si="238"/>
        <v>2021</v>
      </c>
      <c r="Z2167"/>
      <c r="AA2167" s="2">
        <f t="shared" si="239"/>
        <v>44231</v>
      </c>
      <c r="AB2167" t="str">
        <f t="shared" si="243"/>
        <v>04/02/2021</v>
      </c>
      <c r="AC2167"/>
    </row>
    <row r="2168" spans="21:29" ht="15">
      <c r="U2168" s="225" t="s">
        <v>6429</v>
      </c>
      <c r="V2168" t="str">
        <f t="shared" si="240"/>
        <v>04</v>
      </c>
      <c r="W2168" t="str">
        <f t="shared" si="241"/>
        <v>02</v>
      </c>
      <c r="X2168" t="str">
        <f t="shared" si="242"/>
        <v>21</v>
      </c>
      <c r="Y2168" t="str">
        <f t="shared" si="238"/>
        <v>2021</v>
      </c>
      <c r="Z2168"/>
      <c r="AA2168" s="2">
        <f t="shared" si="239"/>
        <v>44231</v>
      </c>
      <c r="AB2168" t="str">
        <f t="shared" si="243"/>
        <v>04/02/2021</v>
      </c>
      <c r="AC2168"/>
    </row>
    <row r="2169" spans="21:29" ht="15">
      <c r="U2169" s="225" t="s">
        <v>6432</v>
      </c>
      <c r="V2169" t="str">
        <f t="shared" si="240"/>
        <v>04</v>
      </c>
      <c r="W2169" t="str">
        <f t="shared" si="241"/>
        <v>03</v>
      </c>
      <c r="X2169" t="str">
        <f t="shared" si="242"/>
        <v>21</v>
      </c>
      <c r="Y2169" t="str">
        <f t="shared" si="238"/>
        <v>2021</v>
      </c>
      <c r="Z2169"/>
      <c r="AA2169" s="2">
        <f t="shared" si="239"/>
        <v>44259</v>
      </c>
      <c r="AB2169" t="str">
        <f t="shared" si="243"/>
        <v>04/03/2021</v>
      </c>
      <c r="AC2169"/>
    </row>
    <row r="2170" spans="21:29" ht="15">
      <c r="U2170" s="225" t="s">
        <v>10094</v>
      </c>
      <c r="V2170" t="str">
        <f t="shared" si="240"/>
        <v>04</v>
      </c>
      <c r="W2170" t="str">
        <f t="shared" si="241"/>
        <v>05</v>
      </c>
      <c r="X2170" t="str">
        <f t="shared" si="242"/>
        <v>21</v>
      </c>
      <c r="Y2170" t="str">
        <f t="shared" si="238"/>
        <v>2021</v>
      </c>
      <c r="Z2170"/>
      <c r="AA2170" s="2">
        <f t="shared" si="239"/>
        <v>44320</v>
      </c>
      <c r="AB2170" t="str">
        <f t="shared" si="243"/>
        <v>04/05/2021</v>
      </c>
      <c r="AC2170"/>
    </row>
    <row r="2171" spans="21:29" ht="15">
      <c r="U2171" s="225" t="s">
        <v>10094</v>
      </c>
      <c r="V2171" t="str">
        <f t="shared" si="240"/>
        <v>04</v>
      </c>
      <c r="W2171" t="str">
        <f t="shared" si="241"/>
        <v>05</v>
      </c>
      <c r="X2171" t="str">
        <f t="shared" si="242"/>
        <v>21</v>
      </c>
      <c r="Y2171" t="str">
        <f t="shared" si="238"/>
        <v>2021</v>
      </c>
      <c r="Z2171"/>
      <c r="AA2171" s="2">
        <f t="shared" si="239"/>
        <v>44320</v>
      </c>
      <c r="AB2171" t="str">
        <f t="shared" si="243"/>
        <v>04/05/2021</v>
      </c>
      <c r="AC2171"/>
    </row>
    <row r="2172" spans="21:29" ht="15">
      <c r="U2172" s="225" t="s">
        <v>10094</v>
      </c>
      <c r="V2172" t="str">
        <f t="shared" si="240"/>
        <v>04</v>
      </c>
      <c r="W2172" t="str">
        <f t="shared" si="241"/>
        <v>05</v>
      </c>
      <c r="X2172" t="str">
        <f t="shared" si="242"/>
        <v>21</v>
      </c>
      <c r="Y2172" t="str">
        <f t="shared" si="238"/>
        <v>2021</v>
      </c>
      <c r="Z2172"/>
      <c r="AA2172" s="2">
        <f t="shared" si="239"/>
        <v>44320</v>
      </c>
      <c r="AB2172" t="str">
        <f t="shared" si="243"/>
        <v>04/05/2021</v>
      </c>
      <c r="AC2172"/>
    </row>
    <row r="2173" spans="21:29" ht="15">
      <c r="U2173" s="225" t="s">
        <v>6442</v>
      </c>
      <c r="V2173" t="str">
        <f t="shared" si="240"/>
        <v>04</v>
      </c>
      <c r="W2173" t="str">
        <f t="shared" si="241"/>
        <v>12</v>
      </c>
      <c r="X2173" t="str">
        <f t="shared" si="242"/>
        <v>21</v>
      </c>
      <c r="Y2173" t="str">
        <f t="shared" si="238"/>
        <v>2021</v>
      </c>
      <c r="Z2173"/>
      <c r="AA2173" s="2">
        <f t="shared" si="239"/>
        <v>44534</v>
      </c>
      <c r="AB2173" t="str">
        <f t="shared" si="243"/>
        <v>04/12/2021</v>
      </c>
      <c r="AC2173"/>
    </row>
    <row r="2174" spans="21:29" ht="15">
      <c r="U2174" s="225" t="s">
        <v>6442</v>
      </c>
      <c r="V2174" t="str">
        <f t="shared" si="240"/>
        <v>04</v>
      </c>
      <c r="W2174" t="str">
        <f t="shared" si="241"/>
        <v>12</v>
      </c>
      <c r="X2174" t="str">
        <f t="shared" si="242"/>
        <v>21</v>
      </c>
      <c r="Y2174" t="str">
        <f t="shared" si="238"/>
        <v>2021</v>
      </c>
      <c r="Z2174"/>
      <c r="AA2174" s="2">
        <f t="shared" si="239"/>
        <v>44534</v>
      </c>
      <c r="AB2174" t="str">
        <f t="shared" si="243"/>
        <v>04/12/2021</v>
      </c>
      <c r="AC2174"/>
    </row>
    <row r="2175" spans="21:29" ht="15">
      <c r="U2175" s="225" t="s">
        <v>6442</v>
      </c>
      <c r="V2175" t="str">
        <f t="shared" si="240"/>
        <v>04</v>
      </c>
      <c r="W2175" t="str">
        <f t="shared" si="241"/>
        <v>12</v>
      </c>
      <c r="X2175" t="str">
        <f t="shared" si="242"/>
        <v>21</v>
      </c>
      <c r="Y2175" t="str">
        <f t="shared" si="238"/>
        <v>2021</v>
      </c>
      <c r="Z2175"/>
      <c r="AA2175" s="2">
        <f t="shared" si="239"/>
        <v>44534</v>
      </c>
      <c r="AB2175" t="str">
        <f t="shared" si="243"/>
        <v>04/12/2021</v>
      </c>
      <c r="AC2175"/>
    </row>
    <row r="2176" spans="21:29" ht="15">
      <c r="U2176" s="225" t="s">
        <v>6450</v>
      </c>
      <c r="V2176" t="str">
        <f t="shared" si="240"/>
        <v>04</v>
      </c>
      <c r="W2176" t="str">
        <f t="shared" si="241"/>
        <v>19</v>
      </c>
      <c r="X2176" t="str">
        <f t="shared" si="242"/>
        <v>21</v>
      </c>
      <c r="Y2176" t="str">
        <f t="shared" si="238"/>
        <v>2021</v>
      </c>
      <c r="Z2176"/>
      <c r="AA2176" s="2">
        <f t="shared" si="239"/>
        <v>44746</v>
      </c>
      <c r="AB2176" t="str">
        <f t="shared" si="243"/>
        <v>04/19/2021</v>
      </c>
      <c r="AC2176"/>
    </row>
    <row r="2177" spans="21:29" ht="15">
      <c r="U2177" s="225" t="s">
        <v>6450</v>
      </c>
      <c r="V2177" t="str">
        <f t="shared" si="240"/>
        <v>04</v>
      </c>
      <c r="W2177" t="str">
        <f t="shared" si="241"/>
        <v>19</v>
      </c>
      <c r="X2177" t="str">
        <f t="shared" si="242"/>
        <v>21</v>
      </c>
      <c r="Y2177" t="str">
        <f t="shared" si="238"/>
        <v>2021</v>
      </c>
      <c r="Z2177"/>
      <c r="AA2177" s="2">
        <f t="shared" si="239"/>
        <v>44746</v>
      </c>
      <c r="AB2177" t="str">
        <f t="shared" si="243"/>
        <v>04/19/2021</v>
      </c>
      <c r="AC2177"/>
    </row>
    <row r="2178" spans="21:29" ht="15">
      <c r="U2178" s="225" t="s">
        <v>6450</v>
      </c>
      <c r="V2178" t="str">
        <f t="shared" si="240"/>
        <v>04</v>
      </c>
      <c r="W2178" t="str">
        <f t="shared" si="241"/>
        <v>19</v>
      </c>
      <c r="X2178" t="str">
        <f t="shared" si="242"/>
        <v>21</v>
      </c>
      <c r="Y2178" t="str">
        <f t="shared" si="238"/>
        <v>2021</v>
      </c>
      <c r="Z2178"/>
      <c r="AA2178" s="2">
        <f t="shared" si="239"/>
        <v>44746</v>
      </c>
      <c r="AB2178" t="str">
        <f t="shared" si="243"/>
        <v>04/19/2021</v>
      </c>
      <c r="AC2178"/>
    </row>
    <row r="2179" spans="21:29" ht="15">
      <c r="U2179" s="225" t="s">
        <v>6450</v>
      </c>
      <c r="V2179" t="str">
        <f t="shared" si="240"/>
        <v>04</v>
      </c>
      <c r="W2179" t="str">
        <f t="shared" si="241"/>
        <v>19</v>
      </c>
      <c r="X2179" t="str">
        <f t="shared" si="242"/>
        <v>21</v>
      </c>
      <c r="Y2179" t="str">
        <f t="shared" ref="Y2179:Y2242" si="244">"20" &amp; X2179</f>
        <v>2021</v>
      </c>
      <c r="Z2179"/>
      <c r="AA2179" s="2">
        <f t="shared" si="239"/>
        <v>44746</v>
      </c>
      <c r="AB2179" t="str">
        <f t="shared" si="243"/>
        <v>04/19/2021</v>
      </c>
      <c r="AC2179"/>
    </row>
    <row r="2180" spans="21:29" ht="15">
      <c r="U2180" s="225" t="s">
        <v>6450</v>
      </c>
      <c r="V2180" t="str">
        <f t="shared" si="240"/>
        <v>04</v>
      </c>
      <c r="W2180" t="str">
        <f t="shared" si="241"/>
        <v>19</v>
      </c>
      <c r="X2180" t="str">
        <f t="shared" si="242"/>
        <v>21</v>
      </c>
      <c r="Y2180" t="str">
        <f t="shared" si="244"/>
        <v>2021</v>
      </c>
      <c r="Z2180"/>
      <c r="AA2180" s="2">
        <f t="shared" si="239"/>
        <v>44746</v>
      </c>
      <c r="AB2180" t="str">
        <f t="shared" si="243"/>
        <v>04/19/2021</v>
      </c>
      <c r="AC2180"/>
    </row>
    <row r="2181" spans="21:29" ht="15">
      <c r="U2181" s="225" t="s">
        <v>6450</v>
      </c>
      <c r="V2181" t="str">
        <f t="shared" si="240"/>
        <v>04</v>
      </c>
      <c r="W2181" t="str">
        <f t="shared" si="241"/>
        <v>19</v>
      </c>
      <c r="X2181" t="str">
        <f t="shared" si="242"/>
        <v>21</v>
      </c>
      <c r="Y2181" t="str">
        <f t="shared" si="244"/>
        <v>2021</v>
      </c>
      <c r="Z2181"/>
      <c r="AA2181" s="2">
        <f t="shared" si="239"/>
        <v>44746</v>
      </c>
      <c r="AB2181" t="str">
        <f t="shared" si="243"/>
        <v>04/19/2021</v>
      </c>
      <c r="AC2181"/>
    </row>
    <row r="2182" spans="21:29" ht="15">
      <c r="U2182" s="225" t="s">
        <v>10095</v>
      </c>
      <c r="V2182" t="str">
        <f t="shared" si="240"/>
        <v>04</v>
      </c>
      <c r="W2182" t="str">
        <f t="shared" si="241"/>
        <v>26</v>
      </c>
      <c r="X2182" t="str">
        <f t="shared" si="242"/>
        <v>21</v>
      </c>
      <c r="Y2182" t="str">
        <f t="shared" si="244"/>
        <v>2021</v>
      </c>
      <c r="Z2182"/>
      <c r="AA2182" s="2">
        <f t="shared" si="239"/>
        <v>44961</v>
      </c>
      <c r="AB2182" t="str">
        <f t="shared" si="243"/>
        <v>04/26/2021</v>
      </c>
      <c r="AC2182"/>
    </row>
    <row r="2183" spans="21:29" ht="15">
      <c r="U2183" s="225" t="s">
        <v>10095</v>
      </c>
      <c r="V2183" t="str">
        <f t="shared" si="240"/>
        <v>04</v>
      </c>
      <c r="W2183" t="str">
        <f t="shared" si="241"/>
        <v>26</v>
      </c>
      <c r="X2183" t="str">
        <f t="shared" si="242"/>
        <v>21</v>
      </c>
      <c r="Y2183" t="str">
        <f t="shared" si="244"/>
        <v>2021</v>
      </c>
      <c r="Z2183"/>
      <c r="AA2183" s="2">
        <f t="shared" si="239"/>
        <v>44961</v>
      </c>
      <c r="AB2183" t="str">
        <f t="shared" si="243"/>
        <v>04/26/2021</v>
      </c>
      <c r="AC2183"/>
    </row>
    <row r="2184" spans="21:29" ht="15">
      <c r="U2184" s="225" t="s">
        <v>10095</v>
      </c>
      <c r="V2184" t="str">
        <f t="shared" si="240"/>
        <v>04</v>
      </c>
      <c r="W2184" t="str">
        <f t="shared" si="241"/>
        <v>26</v>
      </c>
      <c r="X2184" t="str">
        <f t="shared" si="242"/>
        <v>21</v>
      </c>
      <c r="Y2184" t="str">
        <f t="shared" si="244"/>
        <v>2021</v>
      </c>
      <c r="Z2184"/>
      <c r="AA2184" s="2">
        <f t="shared" ref="AA2184:AA2247" si="245">DATE(Y2184,W2184,V2184)</f>
        <v>44961</v>
      </c>
      <c r="AB2184" t="str">
        <f t="shared" si="243"/>
        <v>04/26/2021</v>
      </c>
      <c r="AC2184"/>
    </row>
    <row r="2185" spans="21:29" ht="15">
      <c r="U2185" s="225" t="s">
        <v>10095</v>
      </c>
      <c r="V2185" t="str">
        <f t="shared" si="240"/>
        <v>04</v>
      </c>
      <c r="W2185" t="str">
        <f t="shared" si="241"/>
        <v>26</v>
      </c>
      <c r="X2185" t="str">
        <f t="shared" si="242"/>
        <v>21</v>
      </c>
      <c r="Y2185" t="str">
        <f t="shared" si="244"/>
        <v>2021</v>
      </c>
      <c r="Z2185"/>
      <c r="AA2185" s="2">
        <f t="shared" si="245"/>
        <v>44961</v>
      </c>
      <c r="AB2185" t="str">
        <f t="shared" si="243"/>
        <v>04/26/2021</v>
      </c>
      <c r="AC2185"/>
    </row>
    <row r="2186" spans="21:29" ht="15">
      <c r="U2186" s="225" t="s">
        <v>10095</v>
      </c>
      <c r="V2186" t="str">
        <f t="shared" si="240"/>
        <v>04</v>
      </c>
      <c r="W2186" t="str">
        <f t="shared" si="241"/>
        <v>26</v>
      </c>
      <c r="X2186" t="str">
        <f t="shared" si="242"/>
        <v>21</v>
      </c>
      <c r="Y2186" t="str">
        <f t="shared" si="244"/>
        <v>2021</v>
      </c>
      <c r="Z2186"/>
      <c r="AA2186" s="2">
        <f t="shared" si="245"/>
        <v>44961</v>
      </c>
      <c r="AB2186" t="str">
        <f t="shared" si="243"/>
        <v>04/26/2021</v>
      </c>
      <c r="AC2186"/>
    </row>
    <row r="2187" spans="21:29" ht="15">
      <c r="U2187" s="225" t="s">
        <v>10095</v>
      </c>
      <c r="V2187" t="str">
        <f t="shared" si="240"/>
        <v>04</v>
      </c>
      <c r="W2187" t="str">
        <f t="shared" si="241"/>
        <v>26</v>
      </c>
      <c r="X2187" t="str">
        <f t="shared" si="242"/>
        <v>21</v>
      </c>
      <c r="Y2187" t="str">
        <f t="shared" si="244"/>
        <v>2021</v>
      </c>
      <c r="Z2187"/>
      <c r="AA2187" s="2">
        <f t="shared" si="245"/>
        <v>44961</v>
      </c>
      <c r="AB2187" t="str">
        <f t="shared" si="243"/>
        <v>04/26/2021</v>
      </c>
      <c r="AC2187"/>
    </row>
    <row r="2188" spans="21:29" ht="15">
      <c r="U2188" s="225" t="s">
        <v>10096</v>
      </c>
      <c r="V2188" t="str">
        <f t="shared" si="240"/>
        <v>04</v>
      </c>
      <c r="W2188" t="str">
        <f t="shared" si="241"/>
        <v>27</v>
      </c>
      <c r="X2188" t="str">
        <f t="shared" si="242"/>
        <v>21</v>
      </c>
      <c r="Y2188" t="str">
        <f t="shared" si="244"/>
        <v>2021</v>
      </c>
      <c r="Z2188"/>
      <c r="AA2188" s="2">
        <f t="shared" si="245"/>
        <v>44989</v>
      </c>
      <c r="AB2188" t="str">
        <f t="shared" si="243"/>
        <v>04/27/2021</v>
      </c>
      <c r="AC2188"/>
    </row>
    <row r="2189" spans="21:29" ht="15">
      <c r="U2189" s="225" t="s">
        <v>6457</v>
      </c>
      <c r="V2189" t="str">
        <f t="shared" si="240"/>
        <v>04</v>
      </c>
      <c r="W2189" t="str">
        <f t="shared" si="241"/>
        <v>28</v>
      </c>
      <c r="X2189" t="str">
        <f t="shared" si="242"/>
        <v>21</v>
      </c>
      <c r="Y2189" t="str">
        <f t="shared" si="244"/>
        <v>2021</v>
      </c>
      <c r="Z2189"/>
      <c r="AA2189" s="2">
        <f t="shared" si="245"/>
        <v>45020</v>
      </c>
      <c r="AB2189" t="str">
        <f t="shared" si="243"/>
        <v>04/28/2021</v>
      </c>
      <c r="AC2189"/>
    </row>
    <row r="2190" spans="21:29" ht="15">
      <c r="U2190" s="225" t="s">
        <v>10097</v>
      </c>
      <c r="V2190" t="str">
        <f t="shared" si="240"/>
        <v>04</v>
      </c>
      <c r="W2190" t="str">
        <f t="shared" si="241"/>
        <v>29</v>
      </c>
      <c r="X2190" t="str">
        <f t="shared" si="242"/>
        <v>21</v>
      </c>
      <c r="Y2190" t="str">
        <f t="shared" si="244"/>
        <v>2021</v>
      </c>
      <c r="Z2190"/>
      <c r="AA2190" s="2">
        <f t="shared" si="245"/>
        <v>45050</v>
      </c>
      <c r="AB2190" t="str">
        <f t="shared" si="243"/>
        <v>04/29/2021</v>
      </c>
      <c r="AC2190"/>
    </row>
    <row r="2191" spans="21:29" ht="15">
      <c r="U2191" s="225" t="s">
        <v>6462</v>
      </c>
      <c r="V2191" t="str">
        <f t="shared" ref="V2191:V2254" si="246">LEFT(AB2191,2)</f>
        <v>05</v>
      </c>
      <c r="W2191" t="str">
        <f t="shared" ref="W2191:W2254" si="247">MID(AB2191,4,2)</f>
        <v>01</v>
      </c>
      <c r="X2191" t="str">
        <f t="shared" ref="X2191:X2254" si="248">RIGHT(AB2191,2)</f>
        <v>21</v>
      </c>
      <c r="Y2191" t="str">
        <f t="shared" si="244"/>
        <v>2021</v>
      </c>
      <c r="Z2191"/>
      <c r="AA2191" s="2">
        <f t="shared" si="245"/>
        <v>44201</v>
      </c>
      <c r="AB2191" t="str">
        <f t="shared" ref="AB2191:AB2254" si="249">TEXT(U2191, "mm/dd/yyyy")</f>
        <v>05/01/2021</v>
      </c>
      <c r="AC2191"/>
    </row>
    <row r="2192" spans="21:29" ht="15">
      <c r="U2192" s="225" t="s">
        <v>6463</v>
      </c>
      <c r="V2192" t="str">
        <f t="shared" si="246"/>
        <v>05</v>
      </c>
      <c r="W2192" t="str">
        <f t="shared" si="247"/>
        <v>03</v>
      </c>
      <c r="X2192" t="str">
        <f t="shared" si="248"/>
        <v>21</v>
      </c>
      <c r="Y2192" t="str">
        <f t="shared" si="244"/>
        <v>2021</v>
      </c>
      <c r="Z2192"/>
      <c r="AA2192" s="2">
        <f t="shared" si="245"/>
        <v>44260</v>
      </c>
      <c r="AB2192" t="str">
        <f t="shared" si="249"/>
        <v>05/03/2021</v>
      </c>
      <c r="AC2192"/>
    </row>
    <row r="2193" spans="21:29" ht="15">
      <c r="U2193" s="225" t="s">
        <v>6463</v>
      </c>
      <c r="V2193" t="str">
        <f t="shared" si="246"/>
        <v>05</v>
      </c>
      <c r="W2193" t="str">
        <f t="shared" si="247"/>
        <v>03</v>
      </c>
      <c r="X2193" t="str">
        <f t="shared" si="248"/>
        <v>21</v>
      </c>
      <c r="Y2193" t="str">
        <f t="shared" si="244"/>
        <v>2021</v>
      </c>
      <c r="Z2193"/>
      <c r="AA2193" s="2">
        <f t="shared" si="245"/>
        <v>44260</v>
      </c>
      <c r="AB2193" t="str">
        <f t="shared" si="249"/>
        <v>05/03/2021</v>
      </c>
      <c r="AC2193"/>
    </row>
    <row r="2194" spans="21:29" ht="15">
      <c r="U2194" s="225" t="s">
        <v>10098</v>
      </c>
      <c r="V2194" t="str">
        <f t="shared" si="246"/>
        <v>05</v>
      </c>
      <c r="W2194" t="str">
        <f t="shared" si="247"/>
        <v>10</v>
      </c>
      <c r="X2194" t="str">
        <f t="shared" si="248"/>
        <v>21</v>
      </c>
      <c r="Y2194" t="str">
        <f t="shared" si="244"/>
        <v>2021</v>
      </c>
      <c r="Z2194"/>
      <c r="AA2194" s="2">
        <f t="shared" si="245"/>
        <v>44474</v>
      </c>
      <c r="AB2194" t="str">
        <f t="shared" si="249"/>
        <v>05/10/2021</v>
      </c>
      <c r="AC2194"/>
    </row>
    <row r="2195" spans="21:29" ht="15">
      <c r="U2195" s="225" t="s">
        <v>10098</v>
      </c>
      <c r="V2195" t="str">
        <f t="shared" si="246"/>
        <v>05</v>
      </c>
      <c r="W2195" t="str">
        <f t="shared" si="247"/>
        <v>10</v>
      </c>
      <c r="X2195" t="str">
        <f t="shared" si="248"/>
        <v>21</v>
      </c>
      <c r="Y2195" t="str">
        <f t="shared" si="244"/>
        <v>2021</v>
      </c>
      <c r="Z2195"/>
      <c r="AA2195" s="2">
        <f t="shared" si="245"/>
        <v>44474</v>
      </c>
      <c r="AB2195" t="str">
        <f t="shared" si="249"/>
        <v>05/10/2021</v>
      </c>
      <c r="AC2195"/>
    </row>
    <row r="2196" spans="21:29" ht="15">
      <c r="U2196" s="225" t="s">
        <v>10098</v>
      </c>
      <c r="V2196" t="str">
        <f t="shared" si="246"/>
        <v>05</v>
      </c>
      <c r="W2196" t="str">
        <f t="shared" si="247"/>
        <v>10</v>
      </c>
      <c r="X2196" t="str">
        <f t="shared" si="248"/>
        <v>21</v>
      </c>
      <c r="Y2196" t="str">
        <f t="shared" si="244"/>
        <v>2021</v>
      </c>
      <c r="Z2196"/>
      <c r="AA2196" s="2">
        <f t="shared" si="245"/>
        <v>44474</v>
      </c>
      <c r="AB2196" t="str">
        <f t="shared" si="249"/>
        <v>05/10/2021</v>
      </c>
      <c r="AC2196"/>
    </row>
    <row r="2197" spans="21:29" ht="15">
      <c r="U2197" s="225" t="s">
        <v>10099</v>
      </c>
      <c r="V2197" t="str">
        <f t="shared" si="246"/>
        <v>05</v>
      </c>
      <c r="W2197" t="str">
        <f t="shared" si="247"/>
        <v>11</v>
      </c>
      <c r="X2197" t="str">
        <f t="shared" si="248"/>
        <v>21</v>
      </c>
      <c r="Y2197" t="str">
        <f t="shared" si="244"/>
        <v>2021</v>
      </c>
      <c r="Z2197"/>
      <c r="AA2197" s="2">
        <f t="shared" si="245"/>
        <v>44505</v>
      </c>
      <c r="AB2197" t="str">
        <f t="shared" si="249"/>
        <v>05/11/2021</v>
      </c>
      <c r="AC2197"/>
    </row>
    <row r="2198" spans="21:29" ht="15">
      <c r="U2198" s="225" t="s">
        <v>10099</v>
      </c>
      <c r="V2198" t="str">
        <f t="shared" si="246"/>
        <v>05</v>
      </c>
      <c r="W2198" t="str">
        <f t="shared" si="247"/>
        <v>11</v>
      </c>
      <c r="X2198" t="str">
        <f t="shared" si="248"/>
        <v>21</v>
      </c>
      <c r="Y2198" t="str">
        <f t="shared" si="244"/>
        <v>2021</v>
      </c>
      <c r="Z2198"/>
      <c r="AA2198" s="2">
        <f t="shared" si="245"/>
        <v>44505</v>
      </c>
      <c r="AB2198" t="str">
        <f t="shared" si="249"/>
        <v>05/11/2021</v>
      </c>
      <c r="AC2198"/>
    </row>
    <row r="2199" spans="21:29" ht="15">
      <c r="U2199" s="225" t="s">
        <v>10099</v>
      </c>
      <c r="V2199" t="str">
        <f t="shared" si="246"/>
        <v>05</v>
      </c>
      <c r="W2199" t="str">
        <f t="shared" si="247"/>
        <v>11</v>
      </c>
      <c r="X2199" t="str">
        <f t="shared" si="248"/>
        <v>21</v>
      </c>
      <c r="Y2199" t="str">
        <f t="shared" si="244"/>
        <v>2021</v>
      </c>
      <c r="Z2199"/>
      <c r="AA2199" s="2">
        <f t="shared" si="245"/>
        <v>44505</v>
      </c>
      <c r="AB2199" t="str">
        <f t="shared" si="249"/>
        <v>05/11/2021</v>
      </c>
      <c r="AC2199"/>
    </row>
    <row r="2200" spans="21:29" ht="15">
      <c r="U2200" s="225" t="s">
        <v>10100</v>
      </c>
      <c r="V2200" t="str">
        <f t="shared" si="246"/>
        <v>05</v>
      </c>
      <c r="W2200" t="str">
        <f t="shared" si="247"/>
        <v>17</v>
      </c>
      <c r="X2200" t="str">
        <f t="shared" si="248"/>
        <v>21</v>
      </c>
      <c r="Y2200" t="str">
        <f t="shared" si="244"/>
        <v>2021</v>
      </c>
      <c r="Z2200"/>
      <c r="AA2200" s="2">
        <f t="shared" si="245"/>
        <v>44686</v>
      </c>
      <c r="AB2200" t="str">
        <f t="shared" si="249"/>
        <v>05/17/2021</v>
      </c>
      <c r="AC2200"/>
    </row>
    <row r="2201" spans="21:29" ht="15">
      <c r="U2201" s="225" t="s">
        <v>10101</v>
      </c>
      <c r="V2201" t="str">
        <f t="shared" si="246"/>
        <v>05</v>
      </c>
      <c r="W2201" t="str">
        <f t="shared" si="247"/>
        <v>18</v>
      </c>
      <c r="X2201" t="str">
        <f t="shared" si="248"/>
        <v>21</v>
      </c>
      <c r="Y2201" t="str">
        <f t="shared" si="244"/>
        <v>2021</v>
      </c>
      <c r="Z2201"/>
      <c r="AA2201" s="2">
        <f t="shared" si="245"/>
        <v>44717</v>
      </c>
      <c r="AB2201" t="str">
        <f t="shared" si="249"/>
        <v>05/18/2021</v>
      </c>
      <c r="AC2201"/>
    </row>
    <row r="2202" spans="21:29" ht="15">
      <c r="U2202" s="225" t="s">
        <v>10101</v>
      </c>
      <c r="V2202" t="str">
        <f t="shared" si="246"/>
        <v>05</v>
      </c>
      <c r="W2202" t="str">
        <f t="shared" si="247"/>
        <v>18</v>
      </c>
      <c r="X2202" t="str">
        <f t="shared" si="248"/>
        <v>21</v>
      </c>
      <c r="Y2202" t="str">
        <f t="shared" si="244"/>
        <v>2021</v>
      </c>
      <c r="Z2202"/>
      <c r="AA2202" s="2">
        <f t="shared" si="245"/>
        <v>44717</v>
      </c>
      <c r="AB2202" t="str">
        <f t="shared" si="249"/>
        <v>05/18/2021</v>
      </c>
      <c r="AC2202"/>
    </row>
    <row r="2203" spans="21:29" ht="15">
      <c r="U2203" s="225" t="s">
        <v>6470</v>
      </c>
      <c r="V2203" t="str">
        <f t="shared" si="246"/>
        <v>05</v>
      </c>
      <c r="W2203" t="str">
        <f t="shared" si="247"/>
        <v>19</v>
      </c>
      <c r="X2203" t="str">
        <f t="shared" si="248"/>
        <v>21</v>
      </c>
      <c r="Y2203" t="str">
        <f t="shared" si="244"/>
        <v>2021</v>
      </c>
      <c r="Z2203"/>
      <c r="AA2203" s="2">
        <f t="shared" si="245"/>
        <v>44747</v>
      </c>
      <c r="AB2203" t="str">
        <f t="shared" si="249"/>
        <v>05/19/2021</v>
      </c>
      <c r="AC2203"/>
    </row>
    <row r="2204" spans="21:29" ht="15">
      <c r="U2204" s="225" t="s">
        <v>6470</v>
      </c>
      <c r="V2204" t="str">
        <f t="shared" si="246"/>
        <v>05</v>
      </c>
      <c r="W2204" t="str">
        <f t="shared" si="247"/>
        <v>19</v>
      </c>
      <c r="X2204" t="str">
        <f t="shared" si="248"/>
        <v>21</v>
      </c>
      <c r="Y2204" t="str">
        <f t="shared" si="244"/>
        <v>2021</v>
      </c>
      <c r="Z2204"/>
      <c r="AA2204" s="2">
        <f t="shared" si="245"/>
        <v>44747</v>
      </c>
      <c r="AB2204" t="str">
        <f t="shared" si="249"/>
        <v>05/19/2021</v>
      </c>
      <c r="AC2204"/>
    </row>
    <row r="2205" spans="21:29" ht="15">
      <c r="U2205" s="225" t="s">
        <v>6470</v>
      </c>
      <c r="V2205" t="str">
        <f t="shared" si="246"/>
        <v>05</v>
      </c>
      <c r="W2205" t="str">
        <f t="shared" si="247"/>
        <v>19</v>
      </c>
      <c r="X2205" t="str">
        <f t="shared" si="248"/>
        <v>21</v>
      </c>
      <c r="Y2205" t="str">
        <f t="shared" si="244"/>
        <v>2021</v>
      </c>
      <c r="Z2205"/>
      <c r="AA2205" s="2">
        <f t="shared" si="245"/>
        <v>44747</v>
      </c>
      <c r="AB2205" t="str">
        <f t="shared" si="249"/>
        <v>05/19/2021</v>
      </c>
      <c r="AC2205"/>
    </row>
    <row r="2206" spans="21:29" ht="15">
      <c r="U2206" s="225" t="s">
        <v>6473</v>
      </c>
      <c r="V2206" t="str">
        <f t="shared" si="246"/>
        <v>05</v>
      </c>
      <c r="W2206" t="str">
        <f t="shared" si="247"/>
        <v>24</v>
      </c>
      <c r="X2206" t="str">
        <f t="shared" si="248"/>
        <v>21</v>
      </c>
      <c r="Y2206" t="str">
        <f t="shared" si="244"/>
        <v>2021</v>
      </c>
      <c r="Z2206"/>
      <c r="AA2206" s="2">
        <f t="shared" si="245"/>
        <v>44900</v>
      </c>
      <c r="AB2206" t="str">
        <f t="shared" si="249"/>
        <v>05/24/2021</v>
      </c>
      <c r="AC2206"/>
    </row>
    <row r="2207" spans="21:29" ht="15">
      <c r="U2207" s="225" t="s">
        <v>6473</v>
      </c>
      <c r="V2207" t="str">
        <f t="shared" si="246"/>
        <v>05</v>
      </c>
      <c r="W2207" t="str">
        <f t="shared" si="247"/>
        <v>24</v>
      </c>
      <c r="X2207" t="str">
        <f t="shared" si="248"/>
        <v>21</v>
      </c>
      <c r="Y2207" t="str">
        <f t="shared" si="244"/>
        <v>2021</v>
      </c>
      <c r="Z2207"/>
      <c r="AA2207" s="2">
        <f t="shared" si="245"/>
        <v>44900</v>
      </c>
      <c r="AB2207" t="str">
        <f t="shared" si="249"/>
        <v>05/24/2021</v>
      </c>
      <c r="AC2207"/>
    </row>
    <row r="2208" spans="21:29" ht="15">
      <c r="U2208" s="225" t="s">
        <v>6473</v>
      </c>
      <c r="V2208" t="str">
        <f t="shared" si="246"/>
        <v>05</v>
      </c>
      <c r="W2208" t="str">
        <f t="shared" si="247"/>
        <v>24</v>
      </c>
      <c r="X2208" t="str">
        <f t="shared" si="248"/>
        <v>21</v>
      </c>
      <c r="Y2208" t="str">
        <f t="shared" si="244"/>
        <v>2021</v>
      </c>
      <c r="Z2208"/>
      <c r="AA2208" s="2">
        <f t="shared" si="245"/>
        <v>44900</v>
      </c>
      <c r="AB2208" t="str">
        <f t="shared" si="249"/>
        <v>05/24/2021</v>
      </c>
      <c r="AC2208"/>
    </row>
    <row r="2209" spans="21:29" ht="15">
      <c r="U2209" s="225" t="s">
        <v>10102</v>
      </c>
      <c r="V2209" t="str">
        <f t="shared" si="246"/>
        <v>05</v>
      </c>
      <c r="W2209" t="str">
        <f t="shared" si="247"/>
        <v>25</v>
      </c>
      <c r="X2209" t="str">
        <f t="shared" si="248"/>
        <v>21</v>
      </c>
      <c r="Y2209" t="str">
        <f t="shared" si="244"/>
        <v>2021</v>
      </c>
      <c r="Z2209"/>
      <c r="AA2209" s="2">
        <f t="shared" si="245"/>
        <v>44931</v>
      </c>
      <c r="AB2209" t="str">
        <f t="shared" si="249"/>
        <v>05/25/2021</v>
      </c>
      <c r="AC2209"/>
    </row>
    <row r="2210" spans="21:29" ht="15">
      <c r="U2210" s="225" t="s">
        <v>10102</v>
      </c>
      <c r="V2210" t="str">
        <f t="shared" si="246"/>
        <v>05</v>
      </c>
      <c r="W2210" t="str">
        <f t="shared" si="247"/>
        <v>25</v>
      </c>
      <c r="X2210" t="str">
        <f t="shared" si="248"/>
        <v>21</v>
      </c>
      <c r="Y2210" t="str">
        <f t="shared" si="244"/>
        <v>2021</v>
      </c>
      <c r="Z2210"/>
      <c r="AA2210" s="2">
        <f t="shared" si="245"/>
        <v>44931</v>
      </c>
      <c r="AB2210" t="str">
        <f t="shared" si="249"/>
        <v>05/25/2021</v>
      </c>
      <c r="AC2210"/>
    </row>
    <row r="2211" spans="21:29" ht="15">
      <c r="U2211" s="225" t="s">
        <v>10103</v>
      </c>
      <c r="V2211" t="str">
        <f t="shared" si="246"/>
        <v>05</v>
      </c>
      <c r="W2211" t="str">
        <f t="shared" si="247"/>
        <v>28</v>
      </c>
      <c r="X2211" t="str">
        <f t="shared" si="248"/>
        <v>21</v>
      </c>
      <c r="Y2211" t="str">
        <f t="shared" si="244"/>
        <v>2021</v>
      </c>
      <c r="Z2211"/>
      <c r="AA2211" s="2">
        <f t="shared" si="245"/>
        <v>45021</v>
      </c>
      <c r="AB2211" t="str">
        <f t="shared" si="249"/>
        <v>05/28/2021</v>
      </c>
      <c r="AC2211"/>
    </row>
    <row r="2212" spans="21:29" ht="15">
      <c r="U2212" s="225" t="s">
        <v>10104</v>
      </c>
      <c r="V2212" t="str">
        <f t="shared" si="246"/>
        <v>05</v>
      </c>
      <c r="W2212" t="str">
        <f t="shared" si="247"/>
        <v>31</v>
      </c>
      <c r="X2212" t="str">
        <f t="shared" si="248"/>
        <v>21</v>
      </c>
      <c r="Y2212" t="str">
        <f t="shared" si="244"/>
        <v>2021</v>
      </c>
      <c r="Z2212"/>
      <c r="AA2212" s="2">
        <f t="shared" si="245"/>
        <v>45112</v>
      </c>
      <c r="AB2212" t="str">
        <f t="shared" si="249"/>
        <v>05/31/2021</v>
      </c>
      <c r="AC2212"/>
    </row>
    <row r="2213" spans="21:29" ht="15">
      <c r="U2213" s="225" t="s">
        <v>10105</v>
      </c>
      <c r="V2213" t="str">
        <f t="shared" si="246"/>
        <v>06</v>
      </c>
      <c r="W2213" t="str">
        <f t="shared" si="247"/>
        <v>01</v>
      </c>
      <c r="X2213" t="str">
        <f t="shared" si="248"/>
        <v>21</v>
      </c>
      <c r="Y2213" t="str">
        <f t="shared" si="244"/>
        <v>2021</v>
      </c>
      <c r="Z2213"/>
      <c r="AA2213" s="2">
        <f t="shared" si="245"/>
        <v>44202</v>
      </c>
      <c r="AB2213" t="str">
        <f t="shared" si="249"/>
        <v>06/01/2021</v>
      </c>
      <c r="AC2213"/>
    </row>
    <row r="2214" spans="21:29" ht="15">
      <c r="U2214" s="225" t="s">
        <v>6476</v>
      </c>
      <c r="V2214" t="str">
        <f t="shared" si="246"/>
        <v>06</v>
      </c>
      <c r="W2214" t="str">
        <f t="shared" si="247"/>
        <v>03</v>
      </c>
      <c r="X2214" t="str">
        <f t="shared" si="248"/>
        <v>21</v>
      </c>
      <c r="Y2214" t="str">
        <f t="shared" si="244"/>
        <v>2021</v>
      </c>
      <c r="Z2214"/>
      <c r="AA2214" s="2">
        <f t="shared" si="245"/>
        <v>44261</v>
      </c>
      <c r="AB2214" t="str">
        <f t="shared" si="249"/>
        <v>06/03/2021</v>
      </c>
      <c r="AC2214"/>
    </row>
    <row r="2215" spans="21:29" ht="15">
      <c r="U2215" s="225" t="s">
        <v>6479</v>
      </c>
      <c r="V2215" t="str">
        <f t="shared" si="246"/>
        <v>06</v>
      </c>
      <c r="W2215" t="str">
        <f t="shared" si="247"/>
        <v>04</v>
      </c>
      <c r="X2215" t="str">
        <f t="shared" si="248"/>
        <v>21</v>
      </c>
      <c r="Y2215" t="str">
        <f t="shared" si="244"/>
        <v>2021</v>
      </c>
      <c r="Z2215"/>
      <c r="AA2215" s="2">
        <f t="shared" si="245"/>
        <v>44292</v>
      </c>
      <c r="AB2215" t="str">
        <f t="shared" si="249"/>
        <v>06/04/2021</v>
      </c>
      <c r="AC2215"/>
    </row>
    <row r="2216" spans="21:29" ht="15">
      <c r="U2216" s="225" t="s">
        <v>10106</v>
      </c>
      <c r="V2216" t="str">
        <f t="shared" si="246"/>
        <v>06</v>
      </c>
      <c r="W2216" t="str">
        <f t="shared" si="247"/>
        <v>07</v>
      </c>
      <c r="X2216" t="str">
        <f t="shared" si="248"/>
        <v>21</v>
      </c>
      <c r="Y2216" t="str">
        <f t="shared" si="244"/>
        <v>2021</v>
      </c>
      <c r="Z2216"/>
      <c r="AA2216" s="2">
        <f t="shared" si="245"/>
        <v>44383</v>
      </c>
      <c r="AB2216" t="str">
        <f t="shared" si="249"/>
        <v>06/07/2021</v>
      </c>
      <c r="AC2216"/>
    </row>
    <row r="2217" spans="21:29" ht="15">
      <c r="U2217" s="225" t="s">
        <v>10107</v>
      </c>
      <c r="V2217" t="str">
        <f t="shared" si="246"/>
        <v>06</v>
      </c>
      <c r="W2217" t="str">
        <f t="shared" si="247"/>
        <v>10</v>
      </c>
      <c r="X2217" t="str">
        <f t="shared" si="248"/>
        <v>21</v>
      </c>
      <c r="Y2217" t="str">
        <f t="shared" si="244"/>
        <v>2021</v>
      </c>
      <c r="Z2217"/>
      <c r="AA2217" s="2">
        <f t="shared" si="245"/>
        <v>44475</v>
      </c>
      <c r="AB2217" t="str">
        <f t="shared" si="249"/>
        <v>06/10/2021</v>
      </c>
      <c r="AC2217"/>
    </row>
    <row r="2218" spans="21:29" ht="15">
      <c r="U2218" s="225" t="s">
        <v>10108</v>
      </c>
      <c r="V2218" t="str">
        <f t="shared" si="246"/>
        <v>06</v>
      </c>
      <c r="W2218" t="str">
        <f t="shared" si="247"/>
        <v>14</v>
      </c>
      <c r="X2218" t="str">
        <f t="shared" si="248"/>
        <v>21</v>
      </c>
      <c r="Y2218" t="str">
        <f t="shared" si="244"/>
        <v>2021</v>
      </c>
      <c r="Z2218"/>
      <c r="AA2218" s="2">
        <f t="shared" si="245"/>
        <v>44598</v>
      </c>
      <c r="AB2218" t="str">
        <f t="shared" si="249"/>
        <v>06/14/2021</v>
      </c>
      <c r="AC2218"/>
    </row>
    <row r="2219" spans="21:29" ht="15">
      <c r="U2219" s="225" t="s">
        <v>10108</v>
      </c>
      <c r="V2219" t="str">
        <f t="shared" si="246"/>
        <v>06</v>
      </c>
      <c r="W2219" t="str">
        <f t="shared" si="247"/>
        <v>14</v>
      </c>
      <c r="X2219" t="str">
        <f t="shared" si="248"/>
        <v>21</v>
      </c>
      <c r="Y2219" t="str">
        <f t="shared" si="244"/>
        <v>2021</v>
      </c>
      <c r="Z2219"/>
      <c r="AA2219" s="2">
        <f t="shared" si="245"/>
        <v>44598</v>
      </c>
      <c r="AB2219" t="str">
        <f t="shared" si="249"/>
        <v>06/14/2021</v>
      </c>
      <c r="AC2219"/>
    </row>
    <row r="2220" spans="21:29" ht="15">
      <c r="U2220" s="225" t="s">
        <v>10108</v>
      </c>
      <c r="V2220" t="str">
        <f t="shared" si="246"/>
        <v>06</v>
      </c>
      <c r="W2220" t="str">
        <f t="shared" si="247"/>
        <v>14</v>
      </c>
      <c r="X2220" t="str">
        <f t="shared" si="248"/>
        <v>21</v>
      </c>
      <c r="Y2220" t="str">
        <f t="shared" si="244"/>
        <v>2021</v>
      </c>
      <c r="Z2220"/>
      <c r="AA2220" s="2">
        <f t="shared" si="245"/>
        <v>44598</v>
      </c>
      <c r="AB2220" t="str">
        <f t="shared" si="249"/>
        <v>06/14/2021</v>
      </c>
      <c r="AC2220"/>
    </row>
    <row r="2221" spans="21:29" ht="15">
      <c r="U2221" s="225" t="s">
        <v>10109</v>
      </c>
      <c r="V2221" t="str">
        <f t="shared" si="246"/>
        <v>06</v>
      </c>
      <c r="W2221" t="str">
        <f t="shared" si="247"/>
        <v>18</v>
      </c>
      <c r="X2221" t="str">
        <f t="shared" si="248"/>
        <v>21</v>
      </c>
      <c r="Y2221" t="str">
        <f t="shared" si="244"/>
        <v>2021</v>
      </c>
      <c r="Z2221"/>
      <c r="AA2221" s="2">
        <f t="shared" si="245"/>
        <v>44718</v>
      </c>
      <c r="AB2221" t="str">
        <f t="shared" si="249"/>
        <v>06/18/2021</v>
      </c>
      <c r="AC2221"/>
    </row>
    <row r="2222" spans="21:29" ht="15">
      <c r="U2222" s="225" t="s">
        <v>10110</v>
      </c>
      <c r="V2222" t="str">
        <f t="shared" si="246"/>
        <v>06</v>
      </c>
      <c r="W2222" t="str">
        <f t="shared" si="247"/>
        <v>19</v>
      </c>
      <c r="X2222" t="str">
        <f t="shared" si="248"/>
        <v>21</v>
      </c>
      <c r="Y2222" t="str">
        <f t="shared" si="244"/>
        <v>2021</v>
      </c>
      <c r="Z2222"/>
      <c r="AA2222" s="2">
        <f t="shared" si="245"/>
        <v>44748</v>
      </c>
      <c r="AB2222" t="str">
        <f t="shared" si="249"/>
        <v>06/19/2021</v>
      </c>
      <c r="AC2222"/>
    </row>
    <row r="2223" spans="21:29" ht="15">
      <c r="U2223" s="225" t="s">
        <v>6484</v>
      </c>
      <c r="V2223" t="str">
        <f t="shared" si="246"/>
        <v>06</v>
      </c>
      <c r="W2223" t="str">
        <f t="shared" si="247"/>
        <v>21</v>
      </c>
      <c r="X2223" t="str">
        <f t="shared" si="248"/>
        <v>21</v>
      </c>
      <c r="Y2223" t="str">
        <f t="shared" si="244"/>
        <v>2021</v>
      </c>
      <c r="Z2223"/>
      <c r="AA2223" s="2">
        <f t="shared" si="245"/>
        <v>44810</v>
      </c>
      <c r="AB2223" t="str">
        <f t="shared" si="249"/>
        <v>06/21/2021</v>
      </c>
      <c r="AC2223"/>
    </row>
    <row r="2224" spans="21:29" ht="15">
      <c r="U2224" s="225" t="s">
        <v>6484</v>
      </c>
      <c r="V2224" t="str">
        <f t="shared" si="246"/>
        <v>06</v>
      </c>
      <c r="W2224" t="str">
        <f t="shared" si="247"/>
        <v>21</v>
      </c>
      <c r="X2224" t="str">
        <f t="shared" si="248"/>
        <v>21</v>
      </c>
      <c r="Y2224" t="str">
        <f t="shared" si="244"/>
        <v>2021</v>
      </c>
      <c r="Z2224"/>
      <c r="AA2224" s="2">
        <f t="shared" si="245"/>
        <v>44810</v>
      </c>
      <c r="AB2224" t="str">
        <f t="shared" si="249"/>
        <v>06/21/2021</v>
      </c>
      <c r="AC2224"/>
    </row>
    <row r="2225" spans="21:29" ht="15">
      <c r="U2225" s="225" t="s">
        <v>10111</v>
      </c>
      <c r="V2225" t="str">
        <f t="shared" si="246"/>
        <v>06</v>
      </c>
      <c r="W2225" t="str">
        <f t="shared" si="247"/>
        <v>22</v>
      </c>
      <c r="X2225" t="str">
        <f t="shared" si="248"/>
        <v>21</v>
      </c>
      <c r="Y2225" t="str">
        <f t="shared" si="244"/>
        <v>2021</v>
      </c>
      <c r="Z2225"/>
      <c r="AA2225" s="2">
        <f t="shared" si="245"/>
        <v>44840</v>
      </c>
      <c r="AB2225" t="str">
        <f t="shared" si="249"/>
        <v>06/22/2021</v>
      </c>
      <c r="AC2225"/>
    </row>
    <row r="2226" spans="21:29" ht="15">
      <c r="U2226" s="225" t="s">
        <v>10112</v>
      </c>
      <c r="V2226" t="str">
        <f t="shared" si="246"/>
        <v>06</v>
      </c>
      <c r="W2226" t="str">
        <f t="shared" si="247"/>
        <v>23</v>
      </c>
      <c r="X2226" t="str">
        <f t="shared" si="248"/>
        <v>21</v>
      </c>
      <c r="Y2226" t="str">
        <f t="shared" si="244"/>
        <v>2021</v>
      </c>
      <c r="Z2226"/>
      <c r="AA2226" s="2">
        <f t="shared" si="245"/>
        <v>44871</v>
      </c>
      <c r="AB2226" t="str">
        <f t="shared" si="249"/>
        <v>06/23/2021</v>
      </c>
      <c r="AC2226"/>
    </row>
    <row r="2227" spans="21:29" ht="15">
      <c r="U2227" s="225" t="s">
        <v>10113</v>
      </c>
      <c r="V2227" t="str">
        <f t="shared" si="246"/>
        <v>06</v>
      </c>
      <c r="W2227" t="str">
        <f t="shared" si="247"/>
        <v>25</v>
      </c>
      <c r="X2227" t="str">
        <f t="shared" si="248"/>
        <v>21</v>
      </c>
      <c r="Y2227" t="str">
        <f t="shared" si="244"/>
        <v>2021</v>
      </c>
      <c r="Z2227"/>
      <c r="AA2227" s="2">
        <f t="shared" si="245"/>
        <v>44932</v>
      </c>
      <c r="AB2227" t="str">
        <f t="shared" si="249"/>
        <v>06/25/2021</v>
      </c>
      <c r="AC2227"/>
    </row>
    <row r="2228" spans="21:29" ht="15">
      <c r="U2228" s="225" t="s">
        <v>10113</v>
      </c>
      <c r="V2228" t="str">
        <f t="shared" si="246"/>
        <v>06</v>
      </c>
      <c r="W2228" t="str">
        <f t="shared" si="247"/>
        <v>25</v>
      </c>
      <c r="X2228" t="str">
        <f t="shared" si="248"/>
        <v>21</v>
      </c>
      <c r="Y2228" t="str">
        <f t="shared" si="244"/>
        <v>2021</v>
      </c>
      <c r="Z2228"/>
      <c r="AA2228" s="2">
        <f t="shared" si="245"/>
        <v>44932</v>
      </c>
      <c r="AB2228" t="str">
        <f t="shared" si="249"/>
        <v>06/25/2021</v>
      </c>
      <c r="AC2228"/>
    </row>
    <row r="2229" spans="21:29" ht="15">
      <c r="U2229" s="225" t="s">
        <v>6486</v>
      </c>
      <c r="V2229" t="str">
        <f t="shared" si="246"/>
        <v>06</v>
      </c>
      <c r="W2229" t="str">
        <f t="shared" si="247"/>
        <v>28</v>
      </c>
      <c r="X2229" t="str">
        <f t="shared" si="248"/>
        <v>21</v>
      </c>
      <c r="Y2229" t="str">
        <f t="shared" si="244"/>
        <v>2021</v>
      </c>
      <c r="Z2229"/>
      <c r="AA2229" s="2">
        <f t="shared" si="245"/>
        <v>45022</v>
      </c>
      <c r="AB2229" t="str">
        <f t="shared" si="249"/>
        <v>06/28/2021</v>
      </c>
      <c r="AC2229"/>
    </row>
    <row r="2230" spans="21:29" ht="15">
      <c r="U2230" s="225" t="s">
        <v>6486</v>
      </c>
      <c r="V2230" t="str">
        <f t="shared" si="246"/>
        <v>06</v>
      </c>
      <c r="W2230" t="str">
        <f t="shared" si="247"/>
        <v>28</v>
      </c>
      <c r="X2230" t="str">
        <f t="shared" si="248"/>
        <v>21</v>
      </c>
      <c r="Y2230" t="str">
        <f t="shared" si="244"/>
        <v>2021</v>
      </c>
      <c r="Z2230"/>
      <c r="AA2230" s="2">
        <f t="shared" si="245"/>
        <v>45022</v>
      </c>
      <c r="AB2230" t="str">
        <f t="shared" si="249"/>
        <v>06/28/2021</v>
      </c>
      <c r="AC2230"/>
    </row>
    <row r="2231" spans="21:29" ht="15">
      <c r="U2231" s="225" t="s">
        <v>6486</v>
      </c>
      <c r="V2231" t="str">
        <f t="shared" si="246"/>
        <v>06</v>
      </c>
      <c r="W2231" t="str">
        <f t="shared" si="247"/>
        <v>28</v>
      </c>
      <c r="X2231" t="str">
        <f t="shared" si="248"/>
        <v>21</v>
      </c>
      <c r="Y2231" t="str">
        <f t="shared" si="244"/>
        <v>2021</v>
      </c>
      <c r="Z2231"/>
      <c r="AA2231" s="2">
        <f t="shared" si="245"/>
        <v>45022</v>
      </c>
      <c r="AB2231" t="str">
        <f t="shared" si="249"/>
        <v>06/28/2021</v>
      </c>
      <c r="AC2231"/>
    </row>
    <row r="2232" spans="21:29" ht="15">
      <c r="U2232" s="225" t="s">
        <v>6489</v>
      </c>
      <c r="V2232" t="str">
        <f t="shared" si="246"/>
        <v>06</v>
      </c>
      <c r="W2232" t="str">
        <f t="shared" si="247"/>
        <v>30</v>
      </c>
      <c r="X2232" t="str">
        <f t="shared" si="248"/>
        <v>21</v>
      </c>
      <c r="Y2232" t="str">
        <f t="shared" si="244"/>
        <v>2021</v>
      </c>
      <c r="Z2232"/>
      <c r="AA2232" s="2">
        <f t="shared" si="245"/>
        <v>45083</v>
      </c>
      <c r="AB2232" t="str">
        <f t="shared" si="249"/>
        <v>06/30/2021</v>
      </c>
      <c r="AC2232"/>
    </row>
    <row r="2233" spans="21:29" ht="15">
      <c r="U2233" s="225" t="s">
        <v>6489</v>
      </c>
      <c r="V2233" t="str">
        <f t="shared" si="246"/>
        <v>06</v>
      </c>
      <c r="W2233" t="str">
        <f t="shared" si="247"/>
        <v>30</v>
      </c>
      <c r="X2233" t="str">
        <f t="shared" si="248"/>
        <v>21</v>
      </c>
      <c r="Y2233" t="str">
        <f t="shared" si="244"/>
        <v>2021</v>
      </c>
      <c r="Z2233"/>
      <c r="AA2233" s="2">
        <f t="shared" si="245"/>
        <v>45083</v>
      </c>
      <c r="AB2233" t="str">
        <f t="shared" si="249"/>
        <v>06/30/2021</v>
      </c>
      <c r="AC2233"/>
    </row>
    <row r="2234" spans="21:29" ht="15">
      <c r="U2234" s="225" t="s">
        <v>10114</v>
      </c>
      <c r="V2234" t="str">
        <f t="shared" si="246"/>
        <v>07</v>
      </c>
      <c r="W2234" t="str">
        <f t="shared" si="247"/>
        <v>01</v>
      </c>
      <c r="X2234" t="str">
        <f t="shared" si="248"/>
        <v>21</v>
      </c>
      <c r="Y2234" t="str">
        <f t="shared" si="244"/>
        <v>2021</v>
      </c>
      <c r="Z2234"/>
      <c r="AA2234" s="2">
        <f t="shared" si="245"/>
        <v>44203</v>
      </c>
      <c r="AB2234" t="str">
        <f t="shared" si="249"/>
        <v>07/01/2021</v>
      </c>
      <c r="AC2234"/>
    </row>
    <row r="2235" spans="21:29" ht="15">
      <c r="U2235" s="225" t="s">
        <v>6492</v>
      </c>
      <c r="V2235" t="str">
        <f t="shared" si="246"/>
        <v>07</v>
      </c>
      <c r="W2235" t="str">
        <f t="shared" si="247"/>
        <v>03</v>
      </c>
      <c r="X2235" t="str">
        <f t="shared" si="248"/>
        <v>21</v>
      </c>
      <c r="Y2235" t="str">
        <f t="shared" si="244"/>
        <v>2021</v>
      </c>
      <c r="Z2235"/>
      <c r="AA2235" s="2">
        <f t="shared" si="245"/>
        <v>44262</v>
      </c>
      <c r="AB2235" t="str">
        <f t="shared" si="249"/>
        <v>07/03/2021</v>
      </c>
      <c r="AC2235"/>
    </row>
    <row r="2236" spans="21:29" ht="15">
      <c r="U2236" s="225" t="s">
        <v>6492</v>
      </c>
      <c r="V2236" t="str">
        <f t="shared" si="246"/>
        <v>07</v>
      </c>
      <c r="W2236" t="str">
        <f t="shared" si="247"/>
        <v>03</v>
      </c>
      <c r="X2236" t="str">
        <f t="shared" si="248"/>
        <v>21</v>
      </c>
      <c r="Y2236" t="str">
        <f t="shared" si="244"/>
        <v>2021</v>
      </c>
      <c r="Z2236"/>
      <c r="AA2236" s="2">
        <f t="shared" si="245"/>
        <v>44262</v>
      </c>
      <c r="AB2236" t="str">
        <f t="shared" si="249"/>
        <v>07/03/2021</v>
      </c>
      <c r="AC2236"/>
    </row>
    <row r="2237" spans="21:29" ht="15">
      <c r="U2237" s="225" t="s">
        <v>6494</v>
      </c>
      <c r="V2237" t="str">
        <f t="shared" si="246"/>
        <v>07</v>
      </c>
      <c r="W2237" t="str">
        <f t="shared" si="247"/>
        <v>05</v>
      </c>
      <c r="X2237" t="str">
        <f t="shared" si="248"/>
        <v>21</v>
      </c>
      <c r="Y2237" t="str">
        <f t="shared" si="244"/>
        <v>2021</v>
      </c>
      <c r="Z2237"/>
      <c r="AA2237" s="2">
        <f t="shared" si="245"/>
        <v>44323</v>
      </c>
      <c r="AB2237" t="str">
        <f t="shared" si="249"/>
        <v>07/05/2021</v>
      </c>
      <c r="AC2237"/>
    </row>
    <row r="2238" spans="21:29" ht="15">
      <c r="U2238" s="225" t="s">
        <v>10115</v>
      </c>
      <c r="V2238" t="str">
        <f t="shared" si="246"/>
        <v>07</v>
      </c>
      <c r="W2238" t="str">
        <f t="shared" si="247"/>
        <v>06</v>
      </c>
      <c r="X2238" t="str">
        <f t="shared" si="248"/>
        <v>21</v>
      </c>
      <c r="Y2238" t="str">
        <f t="shared" si="244"/>
        <v>2021</v>
      </c>
      <c r="Z2238"/>
      <c r="AA2238" s="2">
        <f t="shared" si="245"/>
        <v>44354</v>
      </c>
      <c r="AB2238" t="str">
        <f t="shared" si="249"/>
        <v>07/06/2021</v>
      </c>
      <c r="AC2238"/>
    </row>
    <row r="2239" spans="21:29" ht="15">
      <c r="U2239" s="225" t="s">
        <v>10116</v>
      </c>
      <c r="V2239" t="str">
        <f t="shared" si="246"/>
        <v>07</v>
      </c>
      <c r="W2239" t="str">
        <f t="shared" si="247"/>
        <v>09</v>
      </c>
      <c r="X2239" t="str">
        <f t="shared" si="248"/>
        <v>21</v>
      </c>
      <c r="Y2239" t="str">
        <f t="shared" si="244"/>
        <v>2021</v>
      </c>
      <c r="Z2239"/>
      <c r="AA2239" s="2">
        <f t="shared" si="245"/>
        <v>44446</v>
      </c>
      <c r="AB2239" t="str">
        <f t="shared" si="249"/>
        <v>07/09/2021</v>
      </c>
      <c r="AC2239"/>
    </row>
    <row r="2240" spans="21:29" ht="15">
      <c r="U2240" s="225" t="s">
        <v>6501</v>
      </c>
      <c r="V2240" t="str">
        <f t="shared" si="246"/>
        <v>07</v>
      </c>
      <c r="W2240" t="str">
        <f t="shared" si="247"/>
        <v>12</v>
      </c>
      <c r="X2240" t="str">
        <f t="shared" si="248"/>
        <v>21</v>
      </c>
      <c r="Y2240" t="str">
        <f t="shared" si="244"/>
        <v>2021</v>
      </c>
      <c r="Z2240"/>
      <c r="AA2240" s="2">
        <f t="shared" si="245"/>
        <v>44537</v>
      </c>
      <c r="AB2240" t="str">
        <f t="shared" si="249"/>
        <v>07/12/2021</v>
      </c>
      <c r="AC2240"/>
    </row>
    <row r="2241" spans="21:29" ht="15">
      <c r="U2241" s="225" t="s">
        <v>6501</v>
      </c>
      <c r="V2241" t="str">
        <f t="shared" si="246"/>
        <v>07</v>
      </c>
      <c r="W2241" t="str">
        <f t="shared" si="247"/>
        <v>12</v>
      </c>
      <c r="X2241" t="str">
        <f t="shared" si="248"/>
        <v>21</v>
      </c>
      <c r="Y2241" t="str">
        <f t="shared" si="244"/>
        <v>2021</v>
      </c>
      <c r="Z2241"/>
      <c r="AA2241" s="2">
        <f t="shared" si="245"/>
        <v>44537</v>
      </c>
      <c r="AB2241" t="str">
        <f t="shared" si="249"/>
        <v>07/12/2021</v>
      </c>
      <c r="AC2241"/>
    </row>
    <row r="2242" spans="21:29" ht="15">
      <c r="U2242" s="225" t="s">
        <v>10117</v>
      </c>
      <c r="V2242" t="str">
        <f t="shared" si="246"/>
        <v>07</v>
      </c>
      <c r="W2242" t="str">
        <f t="shared" si="247"/>
        <v>15</v>
      </c>
      <c r="X2242" t="str">
        <f t="shared" si="248"/>
        <v>21</v>
      </c>
      <c r="Y2242" t="str">
        <f t="shared" si="244"/>
        <v>2021</v>
      </c>
      <c r="Z2242"/>
      <c r="AA2242" s="2">
        <f t="shared" si="245"/>
        <v>44627</v>
      </c>
      <c r="AB2242" t="str">
        <f t="shared" si="249"/>
        <v>07/15/2021</v>
      </c>
      <c r="AC2242"/>
    </row>
    <row r="2243" spans="21:29" ht="15">
      <c r="U2243" s="225" t="s">
        <v>10118</v>
      </c>
      <c r="V2243" t="str">
        <f t="shared" si="246"/>
        <v>07</v>
      </c>
      <c r="W2243" t="str">
        <f t="shared" si="247"/>
        <v>19</v>
      </c>
      <c r="X2243" t="str">
        <f t="shared" si="248"/>
        <v>21</v>
      </c>
      <c r="Y2243" t="str">
        <f t="shared" ref="Y2243:Y2306" si="250">"20" &amp; X2243</f>
        <v>2021</v>
      </c>
      <c r="Z2243"/>
      <c r="AA2243" s="2">
        <f t="shared" si="245"/>
        <v>44749</v>
      </c>
      <c r="AB2243" t="str">
        <f t="shared" si="249"/>
        <v>07/19/2021</v>
      </c>
      <c r="AC2243"/>
    </row>
    <row r="2244" spans="21:29" ht="15">
      <c r="U2244" s="225" t="s">
        <v>6503</v>
      </c>
      <c r="V2244" t="str">
        <f t="shared" si="246"/>
        <v>07</v>
      </c>
      <c r="W2244" t="str">
        <f t="shared" si="247"/>
        <v>20</v>
      </c>
      <c r="X2244" t="str">
        <f t="shared" si="248"/>
        <v>21</v>
      </c>
      <c r="Y2244" t="str">
        <f t="shared" si="250"/>
        <v>2021</v>
      </c>
      <c r="Z2244"/>
      <c r="AA2244" s="2">
        <f t="shared" si="245"/>
        <v>44780</v>
      </c>
      <c r="AB2244" t="str">
        <f t="shared" si="249"/>
        <v>07/20/2021</v>
      </c>
      <c r="AC2244"/>
    </row>
    <row r="2245" spans="21:29" ht="15">
      <c r="U2245" s="225" t="s">
        <v>6505</v>
      </c>
      <c r="V2245" t="str">
        <f t="shared" si="246"/>
        <v>07</v>
      </c>
      <c r="W2245" t="str">
        <f t="shared" si="247"/>
        <v>21</v>
      </c>
      <c r="X2245" t="str">
        <f t="shared" si="248"/>
        <v>21</v>
      </c>
      <c r="Y2245" t="str">
        <f t="shared" si="250"/>
        <v>2021</v>
      </c>
      <c r="Z2245"/>
      <c r="AA2245" s="2">
        <f t="shared" si="245"/>
        <v>44811</v>
      </c>
      <c r="AB2245" t="str">
        <f t="shared" si="249"/>
        <v>07/21/2021</v>
      </c>
      <c r="AC2245"/>
    </row>
    <row r="2246" spans="21:29" ht="15">
      <c r="U2246" s="225" t="s">
        <v>6510</v>
      </c>
      <c r="V2246" t="str">
        <f t="shared" si="246"/>
        <v>07</v>
      </c>
      <c r="W2246" t="str">
        <f t="shared" si="247"/>
        <v>26</v>
      </c>
      <c r="X2246" t="str">
        <f t="shared" si="248"/>
        <v>21</v>
      </c>
      <c r="Y2246" t="str">
        <f t="shared" si="250"/>
        <v>2021</v>
      </c>
      <c r="Z2246"/>
      <c r="AA2246" s="2">
        <f t="shared" si="245"/>
        <v>44964</v>
      </c>
      <c r="AB2246" t="str">
        <f t="shared" si="249"/>
        <v>07/26/2021</v>
      </c>
      <c r="AC2246"/>
    </row>
    <row r="2247" spans="21:29" ht="15">
      <c r="U2247" s="225" t="s">
        <v>6510</v>
      </c>
      <c r="V2247" t="str">
        <f t="shared" si="246"/>
        <v>07</v>
      </c>
      <c r="W2247" t="str">
        <f t="shared" si="247"/>
        <v>26</v>
      </c>
      <c r="X2247" t="str">
        <f t="shared" si="248"/>
        <v>21</v>
      </c>
      <c r="Y2247" t="str">
        <f t="shared" si="250"/>
        <v>2021</v>
      </c>
      <c r="Z2247"/>
      <c r="AA2247" s="2">
        <f t="shared" si="245"/>
        <v>44964</v>
      </c>
      <c r="AB2247" t="str">
        <f t="shared" si="249"/>
        <v>07/26/2021</v>
      </c>
      <c r="AC2247"/>
    </row>
    <row r="2248" spans="21:29" ht="15">
      <c r="U2248" s="225" t="s">
        <v>6510</v>
      </c>
      <c r="V2248" t="str">
        <f t="shared" si="246"/>
        <v>07</v>
      </c>
      <c r="W2248" t="str">
        <f t="shared" si="247"/>
        <v>26</v>
      </c>
      <c r="X2248" t="str">
        <f t="shared" si="248"/>
        <v>21</v>
      </c>
      <c r="Y2248" t="str">
        <f t="shared" si="250"/>
        <v>2021</v>
      </c>
      <c r="Z2248"/>
      <c r="AA2248" s="2">
        <f t="shared" ref="AA2248:AA2311" si="251">DATE(Y2248,W2248,V2248)</f>
        <v>44964</v>
      </c>
      <c r="AB2248" t="str">
        <f t="shared" si="249"/>
        <v>07/26/2021</v>
      </c>
      <c r="AC2248"/>
    </row>
    <row r="2249" spans="21:29" ht="15">
      <c r="U2249" s="225" t="s">
        <v>6510</v>
      </c>
      <c r="V2249" t="str">
        <f t="shared" si="246"/>
        <v>07</v>
      </c>
      <c r="W2249" t="str">
        <f t="shared" si="247"/>
        <v>26</v>
      </c>
      <c r="X2249" t="str">
        <f t="shared" si="248"/>
        <v>21</v>
      </c>
      <c r="Y2249" t="str">
        <f t="shared" si="250"/>
        <v>2021</v>
      </c>
      <c r="Z2249"/>
      <c r="AA2249" s="2">
        <f t="shared" si="251"/>
        <v>44964</v>
      </c>
      <c r="AB2249" t="str">
        <f t="shared" si="249"/>
        <v>07/26/2021</v>
      </c>
      <c r="AC2249"/>
    </row>
    <row r="2250" spans="21:29" ht="15">
      <c r="U2250" s="225" t="s">
        <v>6514</v>
      </c>
      <c r="V2250" t="str">
        <f t="shared" si="246"/>
        <v>07</v>
      </c>
      <c r="W2250" t="str">
        <f t="shared" si="247"/>
        <v>27</v>
      </c>
      <c r="X2250" t="str">
        <f t="shared" si="248"/>
        <v>21</v>
      </c>
      <c r="Y2250" t="str">
        <f t="shared" si="250"/>
        <v>2021</v>
      </c>
      <c r="Z2250"/>
      <c r="AA2250" s="2">
        <f t="shared" si="251"/>
        <v>44992</v>
      </c>
      <c r="AB2250" t="str">
        <f t="shared" si="249"/>
        <v>07/27/2021</v>
      </c>
      <c r="AC2250"/>
    </row>
    <row r="2251" spans="21:29" ht="15">
      <c r="U2251" s="225" t="s">
        <v>6516</v>
      </c>
      <c r="V2251" t="str">
        <f t="shared" si="246"/>
        <v>07</v>
      </c>
      <c r="W2251" t="str">
        <f t="shared" si="247"/>
        <v>28</v>
      </c>
      <c r="X2251" t="str">
        <f t="shared" si="248"/>
        <v>21</v>
      </c>
      <c r="Y2251" t="str">
        <f t="shared" si="250"/>
        <v>2021</v>
      </c>
      <c r="Z2251"/>
      <c r="AA2251" s="2">
        <f t="shared" si="251"/>
        <v>45023</v>
      </c>
      <c r="AB2251" t="str">
        <f t="shared" si="249"/>
        <v>07/28/2021</v>
      </c>
      <c r="AC2251"/>
    </row>
    <row r="2252" spans="21:29" ht="15">
      <c r="U2252" s="225" t="s">
        <v>6516</v>
      </c>
      <c r="V2252" t="str">
        <f t="shared" si="246"/>
        <v>07</v>
      </c>
      <c r="W2252" t="str">
        <f t="shared" si="247"/>
        <v>28</v>
      </c>
      <c r="X2252" t="str">
        <f t="shared" si="248"/>
        <v>21</v>
      </c>
      <c r="Y2252" t="str">
        <f t="shared" si="250"/>
        <v>2021</v>
      </c>
      <c r="Z2252"/>
      <c r="AA2252" s="2">
        <f t="shared" si="251"/>
        <v>45023</v>
      </c>
      <c r="AB2252" t="str">
        <f t="shared" si="249"/>
        <v>07/28/2021</v>
      </c>
      <c r="AC2252"/>
    </row>
    <row r="2253" spans="21:29" ht="15">
      <c r="U2253" s="225" t="s">
        <v>6516</v>
      </c>
      <c r="V2253" t="str">
        <f t="shared" si="246"/>
        <v>07</v>
      </c>
      <c r="W2253" t="str">
        <f t="shared" si="247"/>
        <v>28</v>
      </c>
      <c r="X2253" t="str">
        <f t="shared" si="248"/>
        <v>21</v>
      </c>
      <c r="Y2253" t="str">
        <f t="shared" si="250"/>
        <v>2021</v>
      </c>
      <c r="Z2253"/>
      <c r="AA2253" s="2">
        <f t="shared" si="251"/>
        <v>45023</v>
      </c>
      <c r="AB2253" t="str">
        <f t="shared" si="249"/>
        <v>07/28/2021</v>
      </c>
      <c r="AC2253"/>
    </row>
    <row r="2254" spans="21:29" ht="15">
      <c r="U2254" s="225" t="s">
        <v>6518</v>
      </c>
      <c r="V2254" t="str">
        <f t="shared" si="246"/>
        <v>08</v>
      </c>
      <c r="W2254" t="str">
        <f t="shared" si="247"/>
        <v>02</v>
      </c>
      <c r="X2254" t="str">
        <f t="shared" si="248"/>
        <v>21</v>
      </c>
      <c r="Y2254" t="str">
        <f t="shared" si="250"/>
        <v>2021</v>
      </c>
      <c r="Z2254"/>
      <c r="AA2254" s="2">
        <f t="shared" si="251"/>
        <v>44235</v>
      </c>
      <c r="AB2254" t="str">
        <f t="shared" si="249"/>
        <v>08/02/2021</v>
      </c>
      <c r="AC2254"/>
    </row>
    <row r="2255" spans="21:29" ht="15">
      <c r="U2255" s="225" t="s">
        <v>6518</v>
      </c>
      <c r="V2255" t="str">
        <f t="shared" ref="V2255:V2318" si="252">LEFT(AB2255,2)</f>
        <v>08</v>
      </c>
      <c r="W2255" t="str">
        <f t="shared" ref="W2255:W2318" si="253">MID(AB2255,4,2)</f>
        <v>02</v>
      </c>
      <c r="X2255" t="str">
        <f t="shared" ref="X2255:X2318" si="254">RIGHT(AB2255,2)</f>
        <v>21</v>
      </c>
      <c r="Y2255" t="str">
        <f t="shared" si="250"/>
        <v>2021</v>
      </c>
      <c r="Z2255"/>
      <c r="AA2255" s="2">
        <f t="shared" si="251"/>
        <v>44235</v>
      </c>
      <c r="AB2255" t="str">
        <f t="shared" ref="AB2255:AB2318" si="255">TEXT(U2255, "mm/dd/yyyy")</f>
        <v>08/02/2021</v>
      </c>
      <c r="AC2255"/>
    </row>
    <row r="2256" spans="21:29" ht="15">
      <c r="U2256" s="225" t="s">
        <v>6518</v>
      </c>
      <c r="V2256" t="str">
        <f t="shared" si="252"/>
        <v>08</v>
      </c>
      <c r="W2256" t="str">
        <f t="shared" si="253"/>
        <v>02</v>
      </c>
      <c r="X2256" t="str">
        <f t="shared" si="254"/>
        <v>21</v>
      </c>
      <c r="Y2256" t="str">
        <f t="shared" si="250"/>
        <v>2021</v>
      </c>
      <c r="Z2256"/>
      <c r="AA2256" s="2">
        <f t="shared" si="251"/>
        <v>44235</v>
      </c>
      <c r="AB2256" t="str">
        <f t="shared" si="255"/>
        <v>08/02/2021</v>
      </c>
      <c r="AC2256"/>
    </row>
    <row r="2257" spans="21:29" ht="15">
      <c r="U2257" s="225" t="s">
        <v>6518</v>
      </c>
      <c r="V2257" t="str">
        <f t="shared" si="252"/>
        <v>08</v>
      </c>
      <c r="W2257" t="str">
        <f t="shared" si="253"/>
        <v>02</v>
      </c>
      <c r="X2257" t="str">
        <f t="shared" si="254"/>
        <v>21</v>
      </c>
      <c r="Y2257" t="str">
        <f t="shared" si="250"/>
        <v>2021</v>
      </c>
      <c r="Z2257"/>
      <c r="AA2257" s="2">
        <f t="shared" si="251"/>
        <v>44235</v>
      </c>
      <c r="AB2257" t="str">
        <f t="shared" si="255"/>
        <v>08/02/2021</v>
      </c>
      <c r="AC2257"/>
    </row>
    <row r="2258" spans="21:29" ht="15">
      <c r="U2258" s="225" t="s">
        <v>6519</v>
      </c>
      <c r="V2258" t="str">
        <f t="shared" si="252"/>
        <v>08</v>
      </c>
      <c r="W2258" t="str">
        <f t="shared" si="253"/>
        <v>03</v>
      </c>
      <c r="X2258" t="str">
        <f t="shared" si="254"/>
        <v>21</v>
      </c>
      <c r="Y2258" t="str">
        <f t="shared" si="250"/>
        <v>2021</v>
      </c>
      <c r="Z2258"/>
      <c r="AA2258" s="2">
        <f t="shared" si="251"/>
        <v>44263</v>
      </c>
      <c r="AB2258" t="str">
        <f t="shared" si="255"/>
        <v>08/03/2021</v>
      </c>
      <c r="AC2258"/>
    </row>
    <row r="2259" spans="21:29" ht="15">
      <c r="U2259" s="225" t="s">
        <v>10119</v>
      </c>
      <c r="V2259" t="str">
        <f t="shared" si="252"/>
        <v>08</v>
      </c>
      <c r="W2259" t="str">
        <f t="shared" si="253"/>
        <v>04</v>
      </c>
      <c r="X2259" t="str">
        <f t="shared" si="254"/>
        <v>21</v>
      </c>
      <c r="Y2259" t="str">
        <f t="shared" si="250"/>
        <v>2021</v>
      </c>
      <c r="Z2259"/>
      <c r="AA2259" s="2">
        <f t="shared" si="251"/>
        <v>44294</v>
      </c>
      <c r="AB2259" t="str">
        <f t="shared" si="255"/>
        <v>08/04/2021</v>
      </c>
      <c r="AC2259"/>
    </row>
    <row r="2260" spans="21:29" ht="15">
      <c r="U2260" s="225" t="s">
        <v>6521</v>
      </c>
      <c r="V2260" t="str">
        <f t="shared" si="252"/>
        <v>08</v>
      </c>
      <c r="W2260" t="str">
        <f t="shared" si="253"/>
        <v>05</v>
      </c>
      <c r="X2260" t="str">
        <f t="shared" si="254"/>
        <v>21</v>
      </c>
      <c r="Y2260" t="str">
        <f t="shared" si="250"/>
        <v>2021</v>
      </c>
      <c r="Z2260"/>
      <c r="AA2260" s="2">
        <f t="shared" si="251"/>
        <v>44324</v>
      </c>
      <c r="AB2260" t="str">
        <f t="shared" si="255"/>
        <v>08/05/2021</v>
      </c>
      <c r="AC2260"/>
    </row>
    <row r="2261" spans="21:29" ht="15">
      <c r="U2261" s="225" t="s">
        <v>10120</v>
      </c>
      <c r="V2261" t="str">
        <f t="shared" si="252"/>
        <v>08</v>
      </c>
      <c r="W2261" t="str">
        <f t="shared" si="253"/>
        <v>09</v>
      </c>
      <c r="X2261" t="str">
        <f t="shared" si="254"/>
        <v>21</v>
      </c>
      <c r="Y2261" t="str">
        <f t="shared" si="250"/>
        <v>2021</v>
      </c>
      <c r="Z2261"/>
      <c r="AA2261" s="2">
        <f t="shared" si="251"/>
        <v>44447</v>
      </c>
      <c r="AB2261" t="str">
        <f t="shared" si="255"/>
        <v>08/09/2021</v>
      </c>
      <c r="AC2261"/>
    </row>
    <row r="2262" spans="21:29" ht="15">
      <c r="U2262" s="225" t="s">
        <v>6527</v>
      </c>
      <c r="V2262" t="str">
        <f t="shared" si="252"/>
        <v>08</v>
      </c>
      <c r="W2262" t="str">
        <f t="shared" si="253"/>
        <v>10</v>
      </c>
      <c r="X2262" t="str">
        <f t="shared" si="254"/>
        <v>21</v>
      </c>
      <c r="Y2262" t="str">
        <f t="shared" si="250"/>
        <v>2021</v>
      </c>
      <c r="Z2262"/>
      <c r="AA2262" s="2">
        <f t="shared" si="251"/>
        <v>44477</v>
      </c>
      <c r="AB2262" t="str">
        <f t="shared" si="255"/>
        <v>08/10/2021</v>
      </c>
      <c r="AC2262"/>
    </row>
    <row r="2263" spans="21:29" ht="15">
      <c r="U2263" s="225" t="s">
        <v>10121</v>
      </c>
      <c r="V2263" t="str">
        <f t="shared" si="252"/>
        <v>08</v>
      </c>
      <c r="W2263" t="str">
        <f t="shared" si="253"/>
        <v>12</v>
      </c>
      <c r="X2263" t="str">
        <f t="shared" si="254"/>
        <v>21</v>
      </c>
      <c r="Y2263" t="str">
        <f t="shared" si="250"/>
        <v>2021</v>
      </c>
      <c r="Z2263"/>
      <c r="AA2263" s="2">
        <f t="shared" si="251"/>
        <v>44538</v>
      </c>
      <c r="AB2263" t="str">
        <f t="shared" si="255"/>
        <v>08/12/2021</v>
      </c>
      <c r="AC2263"/>
    </row>
    <row r="2264" spans="21:29" ht="15">
      <c r="U2264" s="225" t="s">
        <v>10122</v>
      </c>
      <c r="V2264" t="str">
        <f t="shared" si="252"/>
        <v>08</v>
      </c>
      <c r="W2264" t="str">
        <f t="shared" si="253"/>
        <v>16</v>
      </c>
      <c r="X2264" t="str">
        <f t="shared" si="254"/>
        <v>21</v>
      </c>
      <c r="Y2264" t="str">
        <f t="shared" si="250"/>
        <v>2021</v>
      </c>
      <c r="Z2264"/>
      <c r="AA2264" s="2">
        <f t="shared" si="251"/>
        <v>44659</v>
      </c>
      <c r="AB2264" t="str">
        <f t="shared" si="255"/>
        <v>08/16/2021</v>
      </c>
      <c r="AC2264"/>
    </row>
    <row r="2265" spans="21:29" ht="15">
      <c r="U2265" s="225" t="s">
        <v>10122</v>
      </c>
      <c r="V2265" t="str">
        <f t="shared" si="252"/>
        <v>08</v>
      </c>
      <c r="W2265" t="str">
        <f t="shared" si="253"/>
        <v>16</v>
      </c>
      <c r="X2265" t="str">
        <f t="shared" si="254"/>
        <v>21</v>
      </c>
      <c r="Y2265" t="str">
        <f t="shared" si="250"/>
        <v>2021</v>
      </c>
      <c r="Z2265"/>
      <c r="AA2265" s="2">
        <f t="shared" si="251"/>
        <v>44659</v>
      </c>
      <c r="AB2265" t="str">
        <f t="shared" si="255"/>
        <v>08/16/2021</v>
      </c>
      <c r="AC2265"/>
    </row>
    <row r="2266" spans="21:29" ht="15">
      <c r="U2266" s="225" t="s">
        <v>10122</v>
      </c>
      <c r="V2266" t="str">
        <f t="shared" si="252"/>
        <v>08</v>
      </c>
      <c r="W2266" t="str">
        <f t="shared" si="253"/>
        <v>16</v>
      </c>
      <c r="X2266" t="str">
        <f t="shared" si="254"/>
        <v>21</v>
      </c>
      <c r="Y2266" t="str">
        <f t="shared" si="250"/>
        <v>2021</v>
      </c>
      <c r="Z2266"/>
      <c r="AA2266" s="2">
        <f t="shared" si="251"/>
        <v>44659</v>
      </c>
      <c r="AB2266" t="str">
        <f t="shared" si="255"/>
        <v>08/16/2021</v>
      </c>
      <c r="AC2266"/>
    </row>
    <row r="2267" spans="21:29" ht="15">
      <c r="U2267" s="225" t="s">
        <v>6532</v>
      </c>
      <c r="V2267" t="str">
        <f t="shared" si="252"/>
        <v>08</v>
      </c>
      <c r="W2267" t="str">
        <f t="shared" si="253"/>
        <v>21</v>
      </c>
      <c r="X2267" t="str">
        <f t="shared" si="254"/>
        <v>21</v>
      </c>
      <c r="Y2267" t="str">
        <f t="shared" si="250"/>
        <v>2021</v>
      </c>
      <c r="Z2267"/>
      <c r="AA2267" s="2">
        <f t="shared" si="251"/>
        <v>44812</v>
      </c>
      <c r="AB2267" t="str">
        <f t="shared" si="255"/>
        <v>08/21/2021</v>
      </c>
      <c r="AC2267"/>
    </row>
    <row r="2268" spans="21:29" ht="15">
      <c r="U2268" s="225" t="s">
        <v>10123</v>
      </c>
      <c r="V2268" t="str">
        <f t="shared" si="252"/>
        <v>08</v>
      </c>
      <c r="W2268" t="str">
        <f t="shared" si="253"/>
        <v>23</v>
      </c>
      <c r="X2268" t="str">
        <f t="shared" si="254"/>
        <v>21</v>
      </c>
      <c r="Y2268" t="str">
        <f t="shared" si="250"/>
        <v>2021</v>
      </c>
      <c r="Z2268"/>
      <c r="AA2268" s="2">
        <f t="shared" si="251"/>
        <v>44873</v>
      </c>
      <c r="AB2268" t="str">
        <f t="shared" si="255"/>
        <v>08/23/2021</v>
      </c>
      <c r="AC2268"/>
    </row>
    <row r="2269" spans="21:29" ht="15">
      <c r="U2269" s="225" t="s">
        <v>10124</v>
      </c>
      <c r="V2269" t="str">
        <f t="shared" si="252"/>
        <v>08</v>
      </c>
      <c r="W2269" t="str">
        <f t="shared" si="253"/>
        <v>25</v>
      </c>
      <c r="X2269" t="str">
        <f t="shared" si="254"/>
        <v>21</v>
      </c>
      <c r="Y2269" t="str">
        <f t="shared" si="250"/>
        <v>2021</v>
      </c>
      <c r="Z2269"/>
      <c r="AA2269" s="2">
        <f t="shared" si="251"/>
        <v>44934</v>
      </c>
      <c r="AB2269" t="str">
        <f t="shared" si="255"/>
        <v>08/25/2021</v>
      </c>
      <c r="AC2269"/>
    </row>
    <row r="2270" spans="21:29" ht="15">
      <c r="U2270" s="225" t="s">
        <v>10125</v>
      </c>
      <c r="V2270" t="str">
        <f t="shared" si="252"/>
        <v>08</v>
      </c>
      <c r="W2270" t="str">
        <f t="shared" si="253"/>
        <v>26</v>
      </c>
      <c r="X2270" t="str">
        <f t="shared" si="254"/>
        <v>21</v>
      </c>
      <c r="Y2270" t="str">
        <f t="shared" si="250"/>
        <v>2021</v>
      </c>
      <c r="Z2270"/>
      <c r="AA2270" s="2">
        <f t="shared" si="251"/>
        <v>44965</v>
      </c>
      <c r="AB2270" t="str">
        <f t="shared" si="255"/>
        <v>08/26/2021</v>
      </c>
      <c r="AC2270"/>
    </row>
    <row r="2271" spans="21:29" ht="15">
      <c r="U2271" s="225" t="s">
        <v>10125</v>
      </c>
      <c r="V2271" t="str">
        <f t="shared" si="252"/>
        <v>08</v>
      </c>
      <c r="W2271" t="str">
        <f t="shared" si="253"/>
        <v>26</v>
      </c>
      <c r="X2271" t="str">
        <f t="shared" si="254"/>
        <v>21</v>
      </c>
      <c r="Y2271" t="str">
        <f t="shared" si="250"/>
        <v>2021</v>
      </c>
      <c r="Z2271"/>
      <c r="AA2271" s="2">
        <f t="shared" si="251"/>
        <v>44965</v>
      </c>
      <c r="AB2271" t="str">
        <f t="shared" si="255"/>
        <v>08/26/2021</v>
      </c>
      <c r="AC2271"/>
    </row>
    <row r="2272" spans="21:29" ht="15">
      <c r="U2272" s="225" t="s">
        <v>6535</v>
      </c>
      <c r="V2272" t="str">
        <f t="shared" si="252"/>
        <v>08</v>
      </c>
      <c r="W2272" t="str">
        <f t="shared" si="253"/>
        <v>30</v>
      </c>
      <c r="X2272" t="str">
        <f t="shared" si="254"/>
        <v>21</v>
      </c>
      <c r="Y2272" t="str">
        <f t="shared" si="250"/>
        <v>2021</v>
      </c>
      <c r="Z2272"/>
      <c r="AA2272" s="2">
        <f t="shared" si="251"/>
        <v>45085</v>
      </c>
      <c r="AB2272" t="str">
        <f t="shared" si="255"/>
        <v>08/30/2021</v>
      </c>
      <c r="AC2272"/>
    </row>
    <row r="2273" spans="21:29" ht="15">
      <c r="U2273" s="225" t="s">
        <v>6535</v>
      </c>
      <c r="V2273" t="str">
        <f t="shared" si="252"/>
        <v>08</v>
      </c>
      <c r="W2273" t="str">
        <f t="shared" si="253"/>
        <v>30</v>
      </c>
      <c r="X2273" t="str">
        <f t="shared" si="254"/>
        <v>21</v>
      </c>
      <c r="Y2273" t="str">
        <f t="shared" si="250"/>
        <v>2021</v>
      </c>
      <c r="Z2273"/>
      <c r="AA2273" s="2">
        <f t="shared" si="251"/>
        <v>45085</v>
      </c>
      <c r="AB2273" t="str">
        <f t="shared" si="255"/>
        <v>08/30/2021</v>
      </c>
      <c r="AC2273"/>
    </row>
    <row r="2274" spans="21:29" ht="15">
      <c r="U2274" s="225" t="s">
        <v>6535</v>
      </c>
      <c r="V2274" t="str">
        <f t="shared" si="252"/>
        <v>08</v>
      </c>
      <c r="W2274" t="str">
        <f t="shared" si="253"/>
        <v>30</v>
      </c>
      <c r="X2274" t="str">
        <f t="shared" si="254"/>
        <v>21</v>
      </c>
      <c r="Y2274" t="str">
        <f t="shared" si="250"/>
        <v>2021</v>
      </c>
      <c r="Z2274"/>
      <c r="AA2274" s="2">
        <f t="shared" si="251"/>
        <v>45085</v>
      </c>
      <c r="AB2274" t="str">
        <f t="shared" si="255"/>
        <v>08/30/2021</v>
      </c>
      <c r="AC2274"/>
    </row>
    <row r="2275" spans="21:29" ht="15">
      <c r="U2275" s="225" t="s">
        <v>6535</v>
      </c>
      <c r="V2275" t="str">
        <f t="shared" si="252"/>
        <v>08</v>
      </c>
      <c r="W2275" t="str">
        <f t="shared" si="253"/>
        <v>30</v>
      </c>
      <c r="X2275" t="str">
        <f t="shared" si="254"/>
        <v>21</v>
      </c>
      <c r="Y2275" t="str">
        <f t="shared" si="250"/>
        <v>2021</v>
      </c>
      <c r="Z2275"/>
      <c r="AA2275" s="2">
        <f t="shared" si="251"/>
        <v>45085</v>
      </c>
      <c r="AB2275" t="str">
        <f t="shared" si="255"/>
        <v>08/30/2021</v>
      </c>
      <c r="AC2275"/>
    </row>
    <row r="2276" spans="21:29" ht="15">
      <c r="U2276" s="225" t="s">
        <v>6535</v>
      </c>
      <c r="V2276" t="str">
        <f t="shared" si="252"/>
        <v>08</v>
      </c>
      <c r="W2276" t="str">
        <f t="shared" si="253"/>
        <v>30</v>
      </c>
      <c r="X2276" t="str">
        <f t="shared" si="254"/>
        <v>21</v>
      </c>
      <c r="Y2276" t="str">
        <f t="shared" si="250"/>
        <v>2021</v>
      </c>
      <c r="Z2276"/>
      <c r="AA2276" s="2">
        <f t="shared" si="251"/>
        <v>45085</v>
      </c>
      <c r="AB2276" t="str">
        <f t="shared" si="255"/>
        <v>08/30/2021</v>
      </c>
      <c r="AC2276"/>
    </row>
    <row r="2277" spans="21:29" ht="15">
      <c r="U2277" s="225" t="s">
        <v>6537</v>
      </c>
      <c r="V2277" t="str">
        <f t="shared" si="252"/>
        <v>09</v>
      </c>
      <c r="W2277" t="str">
        <f t="shared" si="253"/>
        <v>01</v>
      </c>
      <c r="X2277" t="str">
        <f t="shared" si="254"/>
        <v>21</v>
      </c>
      <c r="Y2277" t="str">
        <f t="shared" si="250"/>
        <v>2021</v>
      </c>
      <c r="Z2277"/>
      <c r="AA2277" s="2">
        <f t="shared" si="251"/>
        <v>44205</v>
      </c>
      <c r="AB2277" t="str">
        <f t="shared" si="255"/>
        <v>09/01/2021</v>
      </c>
      <c r="AC2277"/>
    </row>
    <row r="2278" spans="21:29" ht="15">
      <c r="U2278" s="225" t="s">
        <v>6538</v>
      </c>
      <c r="V2278" t="str">
        <f t="shared" si="252"/>
        <v>09</v>
      </c>
      <c r="W2278" t="str">
        <f t="shared" si="253"/>
        <v>03</v>
      </c>
      <c r="X2278" t="str">
        <f t="shared" si="254"/>
        <v>21</v>
      </c>
      <c r="Y2278" t="str">
        <f t="shared" si="250"/>
        <v>2021</v>
      </c>
      <c r="Z2278"/>
      <c r="AA2278" s="2">
        <f t="shared" si="251"/>
        <v>44264</v>
      </c>
      <c r="AB2278" t="str">
        <f t="shared" si="255"/>
        <v>09/03/2021</v>
      </c>
      <c r="AC2278"/>
    </row>
    <row r="2279" spans="21:29" ht="15">
      <c r="U2279" s="225" t="s">
        <v>10126</v>
      </c>
      <c r="V2279" t="str">
        <f t="shared" si="252"/>
        <v>09</v>
      </c>
      <c r="W2279" t="str">
        <f t="shared" si="253"/>
        <v>04</v>
      </c>
      <c r="X2279" t="str">
        <f t="shared" si="254"/>
        <v>21</v>
      </c>
      <c r="Y2279" t="str">
        <f t="shared" si="250"/>
        <v>2021</v>
      </c>
      <c r="Z2279"/>
      <c r="AA2279" s="2">
        <f t="shared" si="251"/>
        <v>44295</v>
      </c>
      <c r="AB2279" t="str">
        <f t="shared" si="255"/>
        <v>09/04/2021</v>
      </c>
      <c r="AC2279"/>
    </row>
    <row r="2280" spans="21:29" ht="15">
      <c r="U2280" s="225" t="s">
        <v>10127</v>
      </c>
      <c r="V2280" t="str">
        <f t="shared" si="252"/>
        <v>09</v>
      </c>
      <c r="W2280" t="str">
        <f t="shared" si="253"/>
        <v>06</v>
      </c>
      <c r="X2280" t="str">
        <f t="shared" si="254"/>
        <v>21</v>
      </c>
      <c r="Y2280" t="str">
        <f t="shared" si="250"/>
        <v>2021</v>
      </c>
      <c r="Z2280"/>
      <c r="AA2280" s="2">
        <f t="shared" si="251"/>
        <v>44356</v>
      </c>
      <c r="AB2280" t="str">
        <f t="shared" si="255"/>
        <v>09/06/2021</v>
      </c>
      <c r="AC2280"/>
    </row>
    <row r="2281" spans="21:29" ht="15">
      <c r="U2281" s="225" t="s">
        <v>10127</v>
      </c>
      <c r="V2281" t="str">
        <f t="shared" si="252"/>
        <v>09</v>
      </c>
      <c r="W2281" t="str">
        <f t="shared" si="253"/>
        <v>06</v>
      </c>
      <c r="X2281" t="str">
        <f t="shared" si="254"/>
        <v>21</v>
      </c>
      <c r="Y2281" t="str">
        <f t="shared" si="250"/>
        <v>2021</v>
      </c>
      <c r="Z2281"/>
      <c r="AA2281" s="2">
        <f t="shared" si="251"/>
        <v>44356</v>
      </c>
      <c r="AB2281" t="str">
        <f t="shared" si="255"/>
        <v>09/06/2021</v>
      </c>
      <c r="AC2281"/>
    </row>
    <row r="2282" spans="21:29" ht="15">
      <c r="U2282" s="225" t="s">
        <v>10127</v>
      </c>
      <c r="V2282" t="str">
        <f t="shared" si="252"/>
        <v>09</v>
      </c>
      <c r="W2282" t="str">
        <f t="shared" si="253"/>
        <v>06</v>
      </c>
      <c r="X2282" t="str">
        <f t="shared" si="254"/>
        <v>21</v>
      </c>
      <c r="Y2282" t="str">
        <f t="shared" si="250"/>
        <v>2021</v>
      </c>
      <c r="Z2282"/>
      <c r="AA2282" s="2">
        <f t="shared" si="251"/>
        <v>44356</v>
      </c>
      <c r="AB2282" t="str">
        <f t="shared" si="255"/>
        <v>09/06/2021</v>
      </c>
      <c r="AC2282"/>
    </row>
    <row r="2283" spans="21:29" ht="15">
      <c r="U2283" s="225" t="s">
        <v>10127</v>
      </c>
      <c r="V2283" t="str">
        <f t="shared" si="252"/>
        <v>09</v>
      </c>
      <c r="W2283" t="str">
        <f t="shared" si="253"/>
        <v>06</v>
      </c>
      <c r="X2283" t="str">
        <f t="shared" si="254"/>
        <v>21</v>
      </c>
      <c r="Y2283" t="str">
        <f t="shared" si="250"/>
        <v>2021</v>
      </c>
      <c r="Z2283"/>
      <c r="AA2283" s="2">
        <f t="shared" si="251"/>
        <v>44356</v>
      </c>
      <c r="AB2283" t="str">
        <f t="shared" si="255"/>
        <v>09/06/2021</v>
      </c>
      <c r="AC2283"/>
    </row>
    <row r="2284" spans="21:29" ht="15">
      <c r="U2284" s="225" t="s">
        <v>10127</v>
      </c>
      <c r="V2284" t="str">
        <f t="shared" si="252"/>
        <v>09</v>
      </c>
      <c r="W2284" t="str">
        <f t="shared" si="253"/>
        <v>06</v>
      </c>
      <c r="X2284" t="str">
        <f t="shared" si="254"/>
        <v>21</v>
      </c>
      <c r="Y2284" t="str">
        <f t="shared" si="250"/>
        <v>2021</v>
      </c>
      <c r="Z2284"/>
      <c r="AA2284" s="2">
        <f t="shared" si="251"/>
        <v>44356</v>
      </c>
      <c r="AB2284" t="str">
        <f t="shared" si="255"/>
        <v>09/06/2021</v>
      </c>
      <c r="AC2284"/>
    </row>
    <row r="2285" spans="21:29" ht="15">
      <c r="U2285" s="225" t="s">
        <v>6540</v>
      </c>
      <c r="V2285" t="str">
        <f t="shared" si="252"/>
        <v>09</v>
      </c>
      <c r="W2285" t="str">
        <f t="shared" si="253"/>
        <v>07</v>
      </c>
      <c r="X2285" t="str">
        <f t="shared" si="254"/>
        <v>21</v>
      </c>
      <c r="Y2285" t="str">
        <f t="shared" si="250"/>
        <v>2021</v>
      </c>
      <c r="Z2285"/>
      <c r="AA2285" s="2">
        <f t="shared" si="251"/>
        <v>44386</v>
      </c>
      <c r="AB2285" t="str">
        <f t="shared" si="255"/>
        <v>09/07/2021</v>
      </c>
      <c r="AC2285"/>
    </row>
    <row r="2286" spans="21:29" ht="15">
      <c r="U2286" s="225" t="s">
        <v>10128</v>
      </c>
      <c r="V2286" t="str">
        <f t="shared" si="252"/>
        <v>09</v>
      </c>
      <c r="W2286" t="str">
        <f t="shared" si="253"/>
        <v>08</v>
      </c>
      <c r="X2286" t="str">
        <f t="shared" si="254"/>
        <v>21</v>
      </c>
      <c r="Y2286" t="str">
        <f t="shared" si="250"/>
        <v>2021</v>
      </c>
      <c r="Z2286"/>
      <c r="AA2286" s="2">
        <f t="shared" si="251"/>
        <v>44417</v>
      </c>
      <c r="AB2286" t="str">
        <f t="shared" si="255"/>
        <v>09/08/2021</v>
      </c>
      <c r="AC2286"/>
    </row>
    <row r="2287" spans="21:29" ht="15">
      <c r="U2287" s="225" t="s">
        <v>10128</v>
      </c>
      <c r="V2287" t="str">
        <f t="shared" si="252"/>
        <v>09</v>
      </c>
      <c r="W2287" t="str">
        <f t="shared" si="253"/>
        <v>08</v>
      </c>
      <c r="X2287" t="str">
        <f t="shared" si="254"/>
        <v>21</v>
      </c>
      <c r="Y2287" t="str">
        <f t="shared" si="250"/>
        <v>2021</v>
      </c>
      <c r="Z2287"/>
      <c r="AA2287" s="2">
        <f t="shared" si="251"/>
        <v>44417</v>
      </c>
      <c r="AB2287" t="str">
        <f t="shared" si="255"/>
        <v>09/08/2021</v>
      </c>
      <c r="AC2287"/>
    </row>
    <row r="2288" spans="21:29" ht="15">
      <c r="U2288" s="225" t="s">
        <v>10129</v>
      </c>
      <c r="V2288" t="str">
        <f t="shared" si="252"/>
        <v>09</v>
      </c>
      <c r="W2288" t="str">
        <f t="shared" si="253"/>
        <v>09</v>
      </c>
      <c r="X2288" t="str">
        <f t="shared" si="254"/>
        <v>21</v>
      </c>
      <c r="Y2288" t="str">
        <f t="shared" si="250"/>
        <v>2021</v>
      </c>
      <c r="Z2288"/>
      <c r="AA2288" s="2">
        <f t="shared" si="251"/>
        <v>44448</v>
      </c>
      <c r="AB2288" t="str">
        <f t="shared" si="255"/>
        <v>09/09/2021</v>
      </c>
      <c r="AC2288"/>
    </row>
    <row r="2289" spans="21:29" ht="15">
      <c r="U2289" s="225" t="s">
        <v>10129</v>
      </c>
      <c r="V2289" t="str">
        <f t="shared" si="252"/>
        <v>09</v>
      </c>
      <c r="W2289" t="str">
        <f t="shared" si="253"/>
        <v>09</v>
      </c>
      <c r="X2289" t="str">
        <f t="shared" si="254"/>
        <v>21</v>
      </c>
      <c r="Y2289" t="str">
        <f t="shared" si="250"/>
        <v>2021</v>
      </c>
      <c r="Z2289"/>
      <c r="AA2289" s="2">
        <f t="shared" si="251"/>
        <v>44448</v>
      </c>
      <c r="AB2289" t="str">
        <f t="shared" si="255"/>
        <v>09/09/2021</v>
      </c>
      <c r="AC2289"/>
    </row>
    <row r="2290" spans="21:29" ht="15">
      <c r="U2290" s="225" t="s">
        <v>6541</v>
      </c>
      <c r="V2290" t="str">
        <f t="shared" si="252"/>
        <v>09</v>
      </c>
      <c r="W2290" t="str">
        <f t="shared" si="253"/>
        <v>10</v>
      </c>
      <c r="X2290" t="str">
        <f t="shared" si="254"/>
        <v>21</v>
      </c>
      <c r="Y2290" t="str">
        <f t="shared" si="250"/>
        <v>2021</v>
      </c>
      <c r="Z2290"/>
      <c r="AA2290" s="2">
        <f t="shared" si="251"/>
        <v>44478</v>
      </c>
      <c r="AB2290" t="str">
        <f t="shared" si="255"/>
        <v>09/10/2021</v>
      </c>
      <c r="AC2290"/>
    </row>
    <row r="2291" spans="21:29" ht="15">
      <c r="U2291" s="225" t="s">
        <v>10130</v>
      </c>
      <c r="V2291" t="str">
        <f t="shared" si="252"/>
        <v>09</v>
      </c>
      <c r="W2291" t="str">
        <f t="shared" si="253"/>
        <v>13</v>
      </c>
      <c r="X2291" t="str">
        <f t="shared" si="254"/>
        <v>21</v>
      </c>
      <c r="Y2291" t="str">
        <f t="shared" si="250"/>
        <v>2021</v>
      </c>
      <c r="Z2291"/>
      <c r="AA2291" s="2">
        <f t="shared" si="251"/>
        <v>44570</v>
      </c>
      <c r="AB2291" t="str">
        <f t="shared" si="255"/>
        <v>09/13/2021</v>
      </c>
      <c r="AC2291"/>
    </row>
    <row r="2292" spans="21:29" ht="15">
      <c r="U2292" s="225" t="s">
        <v>10130</v>
      </c>
      <c r="V2292" t="str">
        <f t="shared" si="252"/>
        <v>09</v>
      </c>
      <c r="W2292" t="str">
        <f t="shared" si="253"/>
        <v>13</v>
      </c>
      <c r="X2292" t="str">
        <f t="shared" si="254"/>
        <v>21</v>
      </c>
      <c r="Y2292" t="str">
        <f t="shared" si="250"/>
        <v>2021</v>
      </c>
      <c r="Z2292"/>
      <c r="AA2292" s="2">
        <f t="shared" si="251"/>
        <v>44570</v>
      </c>
      <c r="AB2292" t="str">
        <f t="shared" si="255"/>
        <v>09/13/2021</v>
      </c>
      <c r="AC2292"/>
    </row>
    <row r="2293" spans="21:29" ht="15">
      <c r="U2293" s="225" t="s">
        <v>10131</v>
      </c>
      <c r="V2293" t="str">
        <f t="shared" si="252"/>
        <v>09</v>
      </c>
      <c r="W2293" t="str">
        <f t="shared" si="253"/>
        <v>17</v>
      </c>
      <c r="X2293" t="str">
        <f t="shared" si="254"/>
        <v>21</v>
      </c>
      <c r="Y2293" t="str">
        <f t="shared" si="250"/>
        <v>2021</v>
      </c>
      <c r="Z2293"/>
      <c r="AA2293" s="2">
        <f t="shared" si="251"/>
        <v>44690</v>
      </c>
      <c r="AB2293" t="str">
        <f t="shared" si="255"/>
        <v>09/17/2021</v>
      </c>
      <c r="AC2293"/>
    </row>
    <row r="2294" spans="21:29" ht="15">
      <c r="U2294" s="225" t="s">
        <v>10132</v>
      </c>
      <c r="V2294" t="str">
        <f t="shared" si="252"/>
        <v>09</v>
      </c>
      <c r="W2294" t="str">
        <f t="shared" si="253"/>
        <v>18</v>
      </c>
      <c r="X2294" t="str">
        <f t="shared" si="254"/>
        <v>21</v>
      </c>
      <c r="Y2294" t="str">
        <f t="shared" si="250"/>
        <v>2021</v>
      </c>
      <c r="Z2294"/>
      <c r="AA2294" s="2">
        <f t="shared" si="251"/>
        <v>44721</v>
      </c>
      <c r="AB2294" t="str">
        <f t="shared" si="255"/>
        <v>09/18/2021</v>
      </c>
      <c r="AC2294"/>
    </row>
    <row r="2295" spans="21:29" ht="15">
      <c r="U2295" s="225" t="s">
        <v>10133</v>
      </c>
      <c r="V2295" t="str">
        <f t="shared" si="252"/>
        <v>09</v>
      </c>
      <c r="W2295" t="str">
        <f t="shared" si="253"/>
        <v>20</v>
      </c>
      <c r="X2295" t="str">
        <f t="shared" si="254"/>
        <v>21</v>
      </c>
      <c r="Y2295" t="str">
        <f t="shared" si="250"/>
        <v>2021</v>
      </c>
      <c r="Z2295"/>
      <c r="AA2295" s="2">
        <f t="shared" si="251"/>
        <v>44782</v>
      </c>
      <c r="AB2295" t="str">
        <f t="shared" si="255"/>
        <v>09/20/2021</v>
      </c>
      <c r="AC2295"/>
    </row>
    <row r="2296" spans="21:29" ht="15">
      <c r="U2296" s="225" t="s">
        <v>6542</v>
      </c>
      <c r="V2296" t="str">
        <f t="shared" si="252"/>
        <v>09</v>
      </c>
      <c r="W2296" t="str">
        <f t="shared" si="253"/>
        <v>21</v>
      </c>
      <c r="X2296" t="str">
        <f t="shared" si="254"/>
        <v>21</v>
      </c>
      <c r="Y2296" t="str">
        <f t="shared" si="250"/>
        <v>2021</v>
      </c>
      <c r="Z2296"/>
      <c r="AA2296" s="2">
        <f t="shared" si="251"/>
        <v>44813</v>
      </c>
      <c r="AB2296" t="str">
        <f t="shared" si="255"/>
        <v>09/21/2021</v>
      </c>
      <c r="AC2296"/>
    </row>
    <row r="2297" spans="21:29" ht="15">
      <c r="U2297" s="225" t="s">
        <v>10134</v>
      </c>
      <c r="V2297" t="str">
        <f t="shared" si="252"/>
        <v>09</v>
      </c>
      <c r="W2297" t="str">
        <f t="shared" si="253"/>
        <v>24</v>
      </c>
      <c r="X2297" t="str">
        <f t="shared" si="254"/>
        <v>21</v>
      </c>
      <c r="Y2297" t="str">
        <f t="shared" si="250"/>
        <v>2021</v>
      </c>
      <c r="Z2297"/>
      <c r="AA2297" s="2">
        <f t="shared" si="251"/>
        <v>44904</v>
      </c>
      <c r="AB2297" t="str">
        <f t="shared" si="255"/>
        <v>09/24/2021</v>
      </c>
      <c r="AC2297"/>
    </row>
    <row r="2298" spans="21:29" ht="15">
      <c r="U2298" s="225" t="s">
        <v>10134</v>
      </c>
      <c r="V2298" t="str">
        <f t="shared" si="252"/>
        <v>09</v>
      </c>
      <c r="W2298" t="str">
        <f t="shared" si="253"/>
        <v>24</v>
      </c>
      <c r="X2298" t="str">
        <f t="shared" si="254"/>
        <v>21</v>
      </c>
      <c r="Y2298" t="str">
        <f t="shared" si="250"/>
        <v>2021</v>
      </c>
      <c r="Z2298"/>
      <c r="AA2298" s="2">
        <f t="shared" si="251"/>
        <v>44904</v>
      </c>
      <c r="AB2298" t="str">
        <f t="shared" si="255"/>
        <v>09/24/2021</v>
      </c>
      <c r="AC2298"/>
    </row>
    <row r="2299" spans="21:29" ht="15">
      <c r="U2299" s="225" t="s">
        <v>10134</v>
      </c>
      <c r="V2299" t="str">
        <f t="shared" si="252"/>
        <v>09</v>
      </c>
      <c r="W2299" t="str">
        <f t="shared" si="253"/>
        <v>24</v>
      </c>
      <c r="X2299" t="str">
        <f t="shared" si="254"/>
        <v>21</v>
      </c>
      <c r="Y2299" t="str">
        <f t="shared" si="250"/>
        <v>2021</v>
      </c>
      <c r="Z2299"/>
      <c r="AA2299" s="2">
        <f t="shared" si="251"/>
        <v>44904</v>
      </c>
      <c r="AB2299" t="str">
        <f t="shared" si="255"/>
        <v>09/24/2021</v>
      </c>
      <c r="AC2299"/>
    </row>
    <row r="2300" spans="21:29" ht="15">
      <c r="U2300" s="225" t="s">
        <v>10135</v>
      </c>
      <c r="V2300" t="str">
        <f t="shared" si="252"/>
        <v>09</v>
      </c>
      <c r="W2300" t="str">
        <f t="shared" si="253"/>
        <v>27</v>
      </c>
      <c r="X2300" t="str">
        <f t="shared" si="254"/>
        <v>21</v>
      </c>
      <c r="Y2300" t="str">
        <f t="shared" si="250"/>
        <v>2021</v>
      </c>
      <c r="Z2300"/>
      <c r="AA2300" s="2">
        <f t="shared" si="251"/>
        <v>44994</v>
      </c>
      <c r="AB2300" t="str">
        <f t="shared" si="255"/>
        <v>09/27/2021</v>
      </c>
      <c r="AC2300"/>
    </row>
    <row r="2301" spans="21:29" ht="15">
      <c r="U2301" s="225" t="s">
        <v>6545</v>
      </c>
      <c r="V2301" t="str">
        <f t="shared" si="252"/>
        <v>09</v>
      </c>
      <c r="W2301" t="str">
        <f t="shared" si="253"/>
        <v>28</v>
      </c>
      <c r="X2301" t="str">
        <f t="shared" si="254"/>
        <v>21</v>
      </c>
      <c r="Y2301" t="str">
        <f t="shared" si="250"/>
        <v>2021</v>
      </c>
      <c r="Z2301"/>
      <c r="AA2301" s="2">
        <f t="shared" si="251"/>
        <v>45025</v>
      </c>
      <c r="AB2301" t="str">
        <f t="shared" si="255"/>
        <v>09/28/2021</v>
      </c>
      <c r="AC2301"/>
    </row>
    <row r="2302" spans="21:29" ht="15">
      <c r="U2302" s="225" t="s">
        <v>6545</v>
      </c>
      <c r="V2302" t="str">
        <f t="shared" si="252"/>
        <v>09</v>
      </c>
      <c r="W2302" t="str">
        <f t="shared" si="253"/>
        <v>28</v>
      </c>
      <c r="X2302" t="str">
        <f t="shared" si="254"/>
        <v>21</v>
      </c>
      <c r="Y2302" t="str">
        <f t="shared" si="250"/>
        <v>2021</v>
      </c>
      <c r="Z2302"/>
      <c r="AA2302" s="2">
        <f t="shared" si="251"/>
        <v>45025</v>
      </c>
      <c r="AB2302" t="str">
        <f t="shared" si="255"/>
        <v>09/28/2021</v>
      </c>
      <c r="AC2302"/>
    </row>
    <row r="2303" spans="21:29" ht="15">
      <c r="U2303" s="225" t="s">
        <v>6545</v>
      </c>
      <c r="V2303" t="str">
        <f t="shared" si="252"/>
        <v>09</v>
      </c>
      <c r="W2303" t="str">
        <f t="shared" si="253"/>
        <v>28</v>
      </c>
      <c r="X2303" t="str">
        <f t="shared" si="254"/>
        <v>21</v>
      </c>
      <c r="Y2303" t="str">
        <f t="shared" si="250"/>
        <v>2021</v>
      </c>
      <c r="Z2303"/>
      <c r="AA2303" s="2">
        <f t="shared" si="251"/>
        <v>45025</v>
      </c>
      <c r="AB2303" t="str">
        <f t="shared" si="255"/>
        <v>09/28/2021</v>
      </c>
      <c r="AC2303"/>
    </row>
    <row r="2304" spans="21:29" ht="15">
      <c r="U2304" s="225" t="s">
        <v>6547</v>
      </c>
      <c r="V2304" t="str">
        <f t="shared" si="252"/>
        <v>09</v>
      </c>
      <c r="W2304" t="str">
        <f t="shared" si="253"/>
        <v>30</v>
      </c>
      <c r="X2304" t="str">
        <f t="shared" si="254"/>
        <v>21</v>
      </c>
      <c r="Y2304" t="str">
        <f t="shared" si="250"/>
        <v>2021</v>
      </c>
      <c r="Z2304"/>
      <c r="AA2304" s="2">
        <f t="shared" si="251"/>
        <v>45086</v>
      </c>
      <c r="AB2304" t="str">
        <f t="shared" si="255"/>
        <v>09/30/2021</v>
      </c>
      <c r="AC2304"/>
    </row>
    <row r="2305" spans="21:29" ht="15">
      <c r="U2305" s="228" t="s">
        <v>10136</v>
      </c>
      <c r="V2305" t="str">
        <f t="shared" si="252"/>
        <v>09</v>
      </c>
      <c r="W2305" t="str">
        <f t="shared" si="253"/>
        <v>13</v>
      </c>
      <c r="X2305" t="str">
        <f t="shared" si="254"/>
        <v>16</v>
      </c>
      <c r="Y2305" t="str">
        <f t="shared" si="250"/>
        <v>2016</v>
      </c>
      <c r="Z2305"/>
      <c r="AA2305" s="2">
        <f t="shared" si="251"/>
        <v>42744</v>
      </c>
      <c r="AB2305" t="str">
        <f t="shared" si="255"/>
        <v>09/13/2016</v>
      </c>
      <c r="AC2305"/>
    </row>
    <row r="2306" spans="21:29" ht="15">
      <c r="U2306" s="228" t="s">
        <v>10137</v>
      </c>
      <c r="V2306" t="str">
        <f t="shared" si="252"/>
        <v>09</v>
      </c>
      <c r="W2306" t="str">
        <f t="shared" si="253"/>
        <v>25</v>
      </c>
      <c r="X2306" t="str">
        <f t="shared" si="254"/>
        <v>16</v>
      </c>
      <c r="Y2306" t="str">
        <f t="shared" si="250"/>
        <v>2016</v>
      </c>
      <c r="Z2306"/>
      <c r="AA2306" s="2">
        <f t="shared" si="251"/>
        <v>43109</v>
      </c>
      <c r="AB2306" t="str">
        <f t="shared" si="255"/>
        <v>09/25/2016</v>
      </c>
      <c r="AC2306"/>
    </row>
    <row r="2307" spans="21:29" ht="15">
      <c r="U2307" s="228" t="s">
        <v>10138</v>
      </c>
      <c r="V2307" t="str">
        <f t="shared" si="252"/>
        <v>09</v>
      </c>
      <c r="W2307" t="str">
        <f t="shared" si="253"/>
        <v>29</v>
      </c>
      <c r="X2307" t="str">
        <f t="shared" si="254"/>
        <v>16</v>
      </c>
      <c r="Y2307" t="str">
        <f t="shared" ref="Y2307:Y2370" si="256">"20" &amp; X2307</f>
        <v>2016</v>
      </c>
      <c r="Z2307"/>
      <c r="AA2307" s="2">
        <f t="shared" si="251"/>
        <v>43229</v>
      </c>
      <c r="AB2307" t="str">
        <f t="shared" si="255"/>
        <v>09/29/2016</v>
      </c>
      <c r="AC2307"/>
    </row>
    <row r="2308" spans="21:29" ht="15">
      <c r="U2308" s="228" t="s">
        <v>10138</v>
      </c>
      <c r="V2308" t="str">
        <f t="shared" si="252"/>
        <v>09</v>
      </c>
      <c r="W2308" t="str">
        <f t="shared" si="253"/>
        <v>29</v>
      </c>
      <c r="X2308" t="str">
        <f t="shared" si="254"/>
        <v>16</v>
      </c>
      <c r="Y2308" t="str">
        <f t="shared" si="256"/>
        <v>2016</v>
      </c>
      <c r="Z2308"/>
      <c r="AA2308" s="2">
        <f t="shared" si="251"/>
        <v>43229</v>
      </c>
      <c r="AB2308" t="str">
        <f t="shared" si="255"/>
        <v>09/29/2016</v>
      </c>
      <c r="AC2308"/>
    </row>
    <row r="2309" spans="21:29" ht="15">
      <c r="U2309" s="228" t="s">
        <v>10139</v>
      </c>
      <c r="V2309" t="str">
        <f t="shared" si="252"/>
        <v>10</v>
      </c>
      <c r="W2309" t="str">
        <f t="shared" si="253"/>
        <v>01</v>
      </c>
      <c r="X2309" t="str">
        <f t="shared" si="254"/>
        <v>16</v>
      </c>
      <c r="Y2309" t="str">
        <f t="shared" si="256"/>
        <v>2016</v>
      </c>
      <c r="Z2309"/>
      <c r="AA2309" s="2">
        <f t="shared" si="251"/>
        <v>42379</v>
      </c>
      <c r="AB2309" t="str">
        <f t="shared" si="255"/>
        <v>10/01/2016</v>
      </c>
      <c r="AC2309"/>
    </row>
    <row r="2310" spans="21:29" ht="15">
      <c r="U2310" s="228" t="s">
        <v>10140</v>
      </c>
      <c r="V2310" t="str">
        <f t="shared" si="252"/>
        <v>10</v>
      </c>
      <c r="W2310" t="str">
        <f t="shared" si="253"/>
        <v>13</v>
      </c>
      <c r="X2310" t="str">
        <f t="shared" si="254"/>
        <v>16</v>
      </c>
      <c r="Y2310" t="str">
        <f t="shared" si="256"/>
        <v>2016</v>
      </c>
      <c r="Z2310"/>
      <c r="AA2310" s="2">
        <f t="shared" si="251"/>
        <v>42745</v>
      </c>
      <c r="AB2310" t="str">
        <f t="shared" si="255"/>
        <v>10/13/2016</v>
      </c>
      <c r="AC2310"/>
    </row>
    <row r="2311" spans="21:29" ht="15">
      <c r="U2311" s="228" t="s">
        <v>10141</v>
      </c>
      <c r="V2311" t="str">
        <f t="shared" si="252"/>
        <v>10</v>
      </c>
      <c r="W2311" t="str">
        <f t="shared" si="253"/>
        <v>14</v>
      </c>
      <c r="X2311" t="str">
        <f t="shared" si="254"/>
        <v>16</v>
      </c>
      <c r="Y2311" t="str">
        <f t="shared" si="256"/>
        <v>2016</v>
      </c>
      <c r="Z2311"/>
      <c r="AA2311" s="2">
        <f t="shared" si="251"/>
        <v>42776</v>
      </c>
      <c r="AB2311" t="str">
        <f t="shared" si="255"/>
        <v>10/14/2016</v>
      </c>
      <c r="AC2311"/>
    </row>
    <row r="2312" spans="21:29" ht="15">
      <c r="U2312" s="228" t="s">
        <v>10142</v>
      </c>
      <c r="V2312" t="str">
        <f t="shared" si="252"/>
        <v>10</v>
      </c>
      <c r="W2312" t="str">
        <f t="shared" si="253"/>
        <v>15</v>
      </c>
      <c r="X2312" t="str">
        <f t="shared" si="254"/>
        <v>16</v>
      </c>
      <c r="Y2312" t="str">
        <f t="shared" si="256"/>
        <v>2016</v>
      </c>
      <c r="Z2312"/>
      <c r="AA2312" s="2">
        <f t="shared" ref="AA2312:AA2375" si="257">DATE(Y2312,W2312,V2312)</f>
        <v>42804</v>
      </c>
      <c r="AB2312" t="str">
        <f t="shared" si="255"/>
        <v>10/15/2016</v>
      </c>
      <c r="AC2312"/>
    </row>
    <row r="2313" spans="21:29" ht="15">
      <c r="U2313" s="228" t="s">
        <v>10143</v>
      </c>
      <c r="V2313" t="str">
        <f t="shared" si="252"/>
        <v>10</v>
      </c>
      <c r="W2313" t="str">
        <f t="shared" si="253"/>
        <v>25</v>
      </c>
      <c r="X2313" t="str">
        <f t="shared" si="254"/>
        <v>16</v>
      </c>
      <c r="Y2313" t="str">
        <f t="shared" si="256"/>
        <v>2016</v>
      </c>
      <c r="Z2313"/>
      <c r="AA2313" s="2">
        <f t="shared" si="257"/>
        <v>43110</v>
      </c>
      <c r="AB2313" t="str">
        <f t="shared" si="255"/>
        <v>10/25/2016</v>
      </c>
      <c r="AC2313"/>
    </row>
    <row r="2314" spans="21:29" ht="15">
      <c r="U2314" s="228" t="s">
        <v>10143</v>
      </c>
      <c r="V2314" t="str">
        <f t="shared" si="252"/>
        <v>10</v>
      </c>
      <c r="W2314" t="str">
        <f t="shared" si="253"/>
        <v>25</v>
      </c>
      <c r="X2314" t="str">
        <f t="shared" si="254"/>
        <v>16</v>
      </c>
      <c r="Y2314" t="str">
        <f t="shared" si="256"/>
        <v>2016</v>
      </c>
      <c r="Z2314"/>
      <c r="AA2314" s="2">
        <f t="shared" si="257"/>
        <v>43110</v>
      </c>
      <c r="AB2314" t="str">
        <f t="shared" si="255"/>
        <v>10/25/2016</v>
      </c>
      <c r="AC2314"/>
    </row>
    <row r="2315" spans="21:29" ht="15">
      <c r="U2315" s="228" t="s">
        <v>10144</v>
      </c>
      <c r="V2315" t="str">
        <f t="shared" si="252"/>
        <v>10</v>
      </c>
      <c r="W2315" t="str">
        <f t="shared" si="253"/>
        <v>29</v>
      </c>
      <c r="X2315" t="str">
        <f t="shared" si="254"/>
        <v>16</v>
      </c>
      <c r="Y2315" t="str">
        <f t="shared" si="256"/>
        <v>2016</v>
      </c>
      <c r="Z2315"/>
      <c r="AA2315" s="2">
        <f t="shared" si="257"/>
        <v>43230</v>
      </c>
      <c r="AB2315" t="str">
        <f t="shared" si="255"/>
        <v>10/29/2016</v>
      </c>
      <c r="AC2315"/>
    </row>
    <row r="2316" spans="21:29" ht="15">
      <c r="U2316" s="228" t="s">
        <v>10144</v>
      </c>
      <c r="V2316" t="str">
        <f t="shared" si="252"/>
        <v>10</v>
      </c>
      <c r="W2316" t="str">
        <f t="shared" si="253"/>
        <v>29</v>
      </c>
      <c r="X2316" t="str">
        <f t="shared" si="254"/>
        <v>16</v>
      </c>
      <c r="Y2316" t="str">
        <f t="shared" si="256"/>
        <v>2016</v>
      </c>
      <c r="Z2316"/>
      <c r="AA2316" s="2">
        <f t="shared" si="257"/>
        <v>43230</v>
      </c>
      <c r="AB2316" t="str">
        <f t="shared" si="255"/>
        <v>10/29/2016</v>
      </c>
      <c r="AC2316"/>
    </row>
    <row r="2317" spans="21:29" ht="15">
      <c r="U2317" s="228" t="s">
        <v>10145</v>
      </c>
      <c r="V2317" t="str">
        <f t="shared" si="252"/>
        <v>11</v>
      </c>
      <c r="W2317" t="str">
        <f t="shared" si="253"/>
        <v>01</v>
      </c>
      <c r="X2317" t="str">
        <f t="shared" si="254"/>
        <v>16</v>
      </c>
      <c r="Y2317" t="str">
        <f t="shared" si="256"/>
        <v>2016</v>
      </c>
      <c r="Z2317"/>
      <c r="AA2317" s="2">
        <f t="shared" si="257"/>
        <v>42380</v>
      </c>
      <c r="AB2317" t="str">
        <f t="shared" si="255"/>
        <v>11/01/2016</v>
      </c>
      <c r="AC2317"/>
    </row>
    <row r="2318" spans="21:29" ht="15">
      <c r="U2318" s="228" t="s">
        <v>10145</v>
      </c>
      <c r="V2318" t="str">
        <f t="shared" si="252"/>
        <v>11</v>
      </c>
      <c r="W2318" t="str">
        <f t="shared" si="253"/>
        <v>01</v>
      </c>
      <c r="X2318" t="str">
        <f t="shared" si="254"/>
        <v>16</v>
      </c>
      <c r="Y2318" t="str">
        <f t="shared" si="256"/>
        <v>2016</v>
      </c>
      <c r="Z2318"/>
      <c r="AA2318" s="2">
        <f t="shared" si="257"/>
        <v>42380</v>
      </c>
      <c r="AB2318" t="str">
        <f t="shared" si="255"/>
        <v>11/01/2016</v>
      </c>
      <c r="AC2318"/>
    </row>
    <row r="2319" spans="21:29" ht="15">
      <c r="U2319" s="228" t="s">
        <v>10146</v>
      </c>
      <c r="V2319" t="str">
        <f t="shared" ref="V2319:V2382" si="258">LEFT(AB2319,2)</f>
        <v>11</v>
      </c>
      <c r="W2319" t="str">
        <f t="shared" ref="W2319:W2382" si="259">MID(AB2319,4,2)</f>
        <v>05</v>
      </c>
      <c r="X2319" t="str">
        <f t="shared" ref="X2319:X2382" si="260">RIGHT(AB2319,2)</f>
        <v>16</v>
      </c>
      <c r="Y2319" t="str">
        <f t="shared" si="256"/>
        <v>2016</v>
      </c>
      <c r="Z2319"/>
      <c r="AA2319" s="2">
        <f t="shared" si="257"/>
        <v>42501</v>
      </c>
      <c r="AB2319" t="str">
        <f t="shared" ref="AB2319:AB2382" si="261">TEXT(U2319, "mm/dd/yyyy")</f>
        <v>11/05/2016</v>
      </c>
      <c r="AC2319"/>
    </row>
    <row r="2320" spans="21:29" ht="15">
      <c r="U2320" s="228" t="s">
        <v>10147</v>
      </c>
      <c r="V2320" t="str">
        <f t="shared" si="258"/>
        <v>11</v>
      </c>
      <c r="W2320" t="str">
        <f t="shared" si="259"/>
        <v>14</v>
      </c>
      <c r="X2320" t="str">
        <f t="shared" si="260"/>
        <v>16</v>
      </c>
      <c r="Y2320" t="str">
        <f t="shared" si="256"/>
        <v>2016</v>
      </c>
      <c r="Z2320"/>
      <c r="AA2320" s="2">
        <f t="shared" si="257"/>
        <v>42777</v>
      </c>
      <c r="AB2320" t="str">
        <f t="shared" si="261"/>
        <v>11/14/2016</v>
      </c>
      <c r="AC2320"/>
    </row>
    <row r="2321" spans="21:29" ht="15">
      <c r="U2321" s="228" t="s">
        <v>10148</v>
      </c>
      <c r="V2321" t="str">
        <f t="shared" si="258"/>
        <v>11</v>
      </c>
      <c r="W2321" t="str">
        <f t="shared" si="259"/>
        <v>29</v>
      </c>
      <c r="X2321" t="str">
        <f t="shared" si="260"/>
        <v>16</v>
      </c>
      <c r="Y2321" t="str">
        <f t="shared" si="256"/>
        <v>2016</v>
      </c>
      <c r="Z2321"/>
      <c r="AA2321" s="2">
        <f t="shared" si="257"/>
        <v>43231</v>
      </c>
      <c r="AB2321" t="str">
        <f t="shared" si="261"/>
        <v>11/29/2016</v>
      </c>
      <c r="AC2321"/>
    </row>
    <row r="2322" spans="21:29" ht="15">
      <c r="U2322" s="228" t="s">
        <v>10149</v>
      </c>
      <c r="V2322" t="str">
        <f t="shared" si="258"/>
        <v>11</v>
      </c>
      <c r="W2322" t="str">
        <f t="shared" si="259"/>
        <v>30</v>
      </c>
      <c r="X2322" t="str">
        <f t="shared" si="260"/>
        <v>16</v>
      </c>
      <c r="Y2322" t="str">
        <f t="shared" si="256"/>
        <v>2016</v>
      </c>
      <c r="Z2322"/>
      <c r="AA2322" s="2">
        <f t="shared" si="257"/>
        <v>43262</v>
      </c>
      <c r="AB2322" t="str">
        <f t="shared" si="261"/>
        <v>11/30/2016</v>
      </c>
      <c r="AC2322"/>
    </row>
    <row r="2323" spans="21:29" ht="15">
      <c r="U2323" s="228" t="s">
        <v>10150</v>
      </c>
      <c r="V2323" t="str">
        <f t="shared" si="258"/>
        <v>12</v>
      </c>
      <c r="W2323" t="str">
        <f t="shared" si="259"/>
        <v>14</v>
      </c>
      <c r="X2323" t="str">
        <f t="shared" si="260"/>
        <v>16</v>
      </c>
      <c r="Y2323" t="str">
        <f t="shared" si="256"/>
        <v>2016</v>
      </c>
      <c r="Z2323"/>
      <c r="AA2323" s="2">
        <f t="shared" si="257"/>
        <v>42778</v>
      </c>
      <c r="AB2323" t="str">
        <f t="shared" si="261"/>
        <v>12/14/2016</v>
      </c>
      <c r="AC2323"/>
    </row>
    <row r="2324" spans="21:29" ht="15">
      <c r="U2324" s="228" t="s">
        <v>10151</v>
      </c>
      <c r="V2324" t="str">
        <f t="shared" si="258"/>
        <v>12</v>
      </c>
      <c r="W2324" t="str">
        <f t="shared" si="259"/>
        <v>29</v>
      </c>
      <c r="X2324" t="str">
        <f t="shared" si="260"/>
        <v>16</v>
      </c>
      <c r="Y2324" t="str">
        <f t="shared" si="256"/>
        <v>2016</v>
      </c>
      <c r="Z2324"/>
      <c r="AA2324" s="2">
        <f t="shared" si="257"/>
        <v>43232</v>
      </c>
      <c r="AB2324" t="str">
        <f t="shared" si="261"/>
        <v>12/29/2016</v>
      </c>
      <c r="AC2324"/>
    </row>
    <row r="2325" spans="21:29" ht="15">
      <c r="U2325" s="228" t="s">
        <v>10152</v>
      </c>
      <c r="V2325" t="str">
        <f t="shared" si="258"/>
        <v>01</v>
      </c>
      <c r="W2325" t="str">
        <f t="shared" si="259"/>
        <v>01</v>
      </c>
      <c r="X2325" t="str">
        <f t="shared" si="260"/>
        <v>17</v>
      </c>
      <c r="Y2325" t="str">
        <f t="shared" si="256"/>
        <v>2017</v>
      </c>
      <c r="Z2325"/>
      <c r="AA2325" s="2">
        <f t="shared" si="257"/>
        <v>42736</v>
      </c>
      <c r="AB2325" t="str">
        <f t="shared" si="261"/>
        <v>01/01/2017</v>
      </c>
      <c r="AC2325"/>
    </row>
    <row r="2326" spans="21:29" ht="15">
      <c r="U2326" s="228" t="s">
        <v>10153</v>
      </c>
      <c r="V2326" t="str">
        <f t="shared" si="258"/>
        <v>01</v>
      </c>
      <c r="W2326" t="str">
        <f t="shared" si="259"/>
        <v>02</v>
      </c>
      <c r="X2326" t="str">
        <f t="shared" si="260"/>
        <v>17</v>
      </c>
      <c r="Y2326" t="str">
        <f t="shared" si="256"/>
        <v>2017</v>
      </c>
      <c r="Z2326"/>
      <c r="AA2326" s="2">
        <f t="shared" si="257"/>
        <v>42767</v>
      </c>
      <c r="AB2326" t="str">
        <f t="shared" si="261"/>
        <v>01/02/2017</v>
      </c>
      <c r="AC2326"/>
    </row>
    <row r="2327" spans="21:29" ht="15">
      <c r="U2327" s="228" t="s">
        <v>10154</v>
      </c>
      <c r="V2327" t="str">
        <f t="shared" si="258"/>
        <v>01</v>
      </c>
      <c r="W2327" t="str">
        <f t="shared" si="259"/>
        <v>13</v>
      </c>
      <c r="X2327" t="str">
        <f t="shared" si="260"/>
        <v>17</v>
      </c>
      <c r="Y2327" t="str">
        <f t="shared" si="256"/>
        <v>2017</v>
      </c>
      <c r="Z2327"/>
      <c r="AA2327" s="2">
        <f t="shared" si="257"/>
        <v>43101</v>
      </c>
      <c r="AB2327" t="str">
        <f t="shared" si="261"/>
        <v>01/13/2017</v>
      </c>
      <c r="AC2327"/>
    </row>
    <row r="2328" spans="21:29" ht="15">
      <c r="U2328" s="228" t="s">
        <v>10155</v>
      </c>
      <c r="V2328" t="str">
        <f t="shared" si="258"/>
        <v>01</v>
      </c>
      <c r="W2328" t="str">
        <f t="shared" si="259"/>
        <v>14</v>
      </c>
      <c r="X2328" t="str">
        <f t="shared" si="260"/>
        <v>17</v>
      </c>
      <c r="Y2328" t="str">
        <f t="shared" si="256"/>
        <v>2017</v>
      </c>
      <c r="Z2328"/>
      <c r="AA2328" s="2">
        <f t="shared" si="257"/>
        <v>43132</v>
      </c>
      <c r="AB2328" t="str">
        <f t="shared" si="261"/>
        <v>01/14/2017</v>
      </c>
      <c r="AC2328"/>
    </row>
    <row r="2329" spans="21:29" ht="15">
      <c r="U2329" s="228" t="s">
        <v>10156</v>
      </c>
      <c r="V2329" t="str">
        <f t="shared" si="258"/>
        <v>01</v>
      </c>
      <c r="W2329" t="str">
        <f t="shared" si="259"/>
        <v>21</v>
      </c>
      <c r="X2329" t="str">
        <f t="shared" si="260"/>
        <v>17</v>
      </c>
      <c r="Y2329" t="str">
        <f t="shared" si="256"/>
        <v>2017</v>
      </c>
      <c r="Z2329"/>
      <c r="AA2329" s="2">
        <f t="shared" si="257"/>
        <v>43344</v>
      </c>
      <c r="AB2329" t="str">
        <f t="shared" si="261"/>
        <v>01/21/2017</v>
      </c>
      <c r="AC2329"/>
    </row>
    <row r="2330" spans="21:29" ht="15">
      <c r="U2330" s="228" t="s">
        <v>10157</v>
      </c>
      <c r="V2330" t="str">
        <f t="shared" si="258"/>
        <v>01</v>
      </c>
      <c r="W2330" t="str">
        <f t="shared" si="259"/>
        <v>29</v>
      </c>
      <c r="X2330" t="str">
        <f t="shared" si="260"/>
        <v>17</v>
      </c>
      <c r="Y2330" t="str">
        <f t="shared" si="256"/>
        <v>2017</v>
      </c>
      <c r="Z2330"/>
      <c r="AA2330" s="2">
        <f t="shared" si="257"/>
        <v>43586</v>
      </c>
      <c r="AB2330" t="str">
        <f t="shared" si="261"/>
        <v>01/29/2017</v>
      </c>
      <c r="AC2330"/>
    </row>
    <row r="2331" spans="21:29" ht="15">
      <c r="U2331" s="228" t="s">
        <v>10157</v>
      </c>
      <c r="V2331" t="str">
        <f t="shared" si="258"/>
        <v>01</v>
      </c>
      <c r="W2331" t="str">
        <f t="shared" si="259"/>
        <v>29</v>
      </c>
      <c r="X2331" t="str">
        <f t="shared" si="260"/>
        <v>17</v>
      </c>
      <c r="Y2331" t="str">
        <f t="shared" si="256"/>
        <v>2017</v>
      </c>
      <c r="Z2331"/>
      <c r="AA2331" s="2">
        <f t="shared" si="257"/>
        <v>43586</v>
      </c>
      <c r="AB2331" t="str">
        <f t="shared" si="261"/>
        <v>01/29/2017</v>
      </c>
      <c r="AC2331"/>
    </row>
    <row r="2332" spans="21:29" ht="15">
      <c r="U2332" s="228" t="s">
        <v>10158</v>
      </c>
      <c r="V2332" t="str">
        <f t="shared" si="258"/>
        <v>01</v>
      </c>
      <c r="W2332" t="str">
        <f t="shared" si="259"/>
        <v>31</v>
      </c>
      <c r="X2332" t="str">
        <f t="shared" si="260"/>
        <v>17</v>
      </c>
      <c r="Y2332" t="str">
        <f t="shared" si="256"/>
        <v>2017</v>
      </c>
      <c r="Z2332"/>
      <c r="AA2332" s="2">
        <f t="shared" si="257"/>
        <v>43647</v>
      </c>
      <c r="AB2332" t="str">
        <f t="shared" si="261"/>
        <v>01/31/2017</v>
      </c>
      <c r="AC2332"/>
    </row>
    <row r="2333" spans="21:29" ht="15">
      <c r="U2333" s="228" t="s">
        <v>10159</v>
      </c>
      <c r="V2333" t="str">
        <f t="shared" si="258"/>
        <v>02</v>
      </c>
      <c r="W2333" t="str">
        <f t="shared" si="259"/>
        <v>02</v>
      </c>
      <c r="X2333" t="str">
        <f t="shared" si="260"/>
        <v>17</v>
      </c>
      <c r="Y2333" t="str">
        <f t="shared" si="256"/>
        <v>2017</v>
      </c>
      <c r="Z2333"/>
      <c r="AA2333" s="2">
        <f t="shared" si="257"/>
        <v>42768</v>
      </c>
      <c r="AB2333" t="str">
        <f t="shared" si="261"/>
        <v>02/02/2017</v>
      </c>
      <c r="AC2333"/>
    </row>
    <row r="2334" spans="21:29" ht="15">
      <c r="U2334" s="228" t="s">
        <v>10160</v>
      </c>
      <c r="V2334" t="str">
        <f t="shared" si="258"/>
        <v>02</v>
      </c>
      <c r="W2334" t="str">
        <f t="shared" si="259"/>
        <v>13</v>
      </c>
      <c r="X2334" t="str">
        <f t="shared" si="260"/>
        <v>17</v>
      </c>
      <c r="Y2334" t="str">
        <f t="shared" si="256"/>
        <v>2017</v>
      </c>
      <c r="Z2334"/>
      <c r="AA2334" s="2">
        <f t="shared" si="257"/>
        <v>43102</v>
      </c>
      <c r="AB2334" t="str">
        <f t="shared" si="261"/>
        <v>02/13/2017</v>
      </c>
      <c r="AC2334"/>
    </row>
    <row r="2335" spans="21:29" ht="15">
      <c r="U2335" s="228" t="s">
        <v>10161</v>
      </c>
      <c r="V2335" t="str">
        <f t="shared" si="258"/>
        <v>02</v>
      </c>
      <c r="W2335" t="str">
        <f t="shared" si="259"/>
        <v>28</v>
      </c>
      <c r="X2335" t="str">
        <f t="shared" si="260"/>
        <v>17</v>
      </c>
      <c r="Y2335" t="str">
        <f t="shared" si="256"/>
        <v>2017</v>
      </c>
      <c r="Z2335"/>
      <c r="AA2335" s="2">
        <f t="shared" si="257"/>
        <v>43557</v>
      </c>
      <c r="AB2335" t="str">
        <f t="shared" si="261"/>
        <v>02/28/2017</v>
      </c>
      <c r="AC2335"/>
    </row>
    <row r="2336" spans="21:29" ht="15">
      <c r="U2336" s="228" t="s">
        <v>10161</v>
      </c>
      <c r="V2336" t="str">
        <f t="shared" si="258"/>
        <v>02</v>
      </c>
      <c r="W2336" t="str">
        <f t="shared" si="259"/>
        <v>28</v>
      </c>
      <c r="X2336" t="str">
        <f t="shared" si="260"/>
        <v>17</v>
      </c>
      <c r="Y2336" t="str">
        <f t="shared" si="256"/>
        <v>2017</v>
      </c>
      <c r="Z2336"/>
      <c r="AA2336" s="2">
        <f t="shared" si="257"/>
        <v>43557</v>
      </c>
      <c r="AB2336" t="str">
        <f t="shared" si="261"/>
        <v>02/28/2017</v>
      </c>
      <c r="AC2336"/>
    </row>
    <row r="2337" spans="21:29" ht="15">
      <c r="U2337" s="228" t="s">
        <v>10162</v>
      </c>
      <c r="V2337" t="str">
        <f t="shared" si="258"/>
        <v>03</v>
      </c>
      <c r="W2337" t="str">
        <f t="shared" si="259"/>
        <v>13</v>
      </c>
      <c r="X2337" t="str">
        <f t="shared" si="260"/>
        <v>17</v>
      </c>
      <c r="Y2337" t="str">
        <f t="shared" si="256"/>
        <v>2017</v>
      </c>
      <c r="Z2337"/>
      <c r="AA2337" s="2">
        <f t="shared" si="257"/>
        <v>43103</v>
      </c>
      <c r="AB2337" t="str">
        <f t="shared" si="261"/>
        <v>03/13/2017</v>
      </c>
      <c r="AC2337"/>
    </row>
    <row r="2338" spans="21:29" ht="15">
      <c r="U2338" s="228" t="s">
        <v>10163</v>
      </c>
      <c r="V2338" t="str">
        <f t="shared" si="258"/>
        <v>03</v>
      </c>
      <c r="W2338" t="str">
        <f t="shared" si="259"/>
        <v>27</v>
      </c>
      <c r="X2338" t="str">
        <f t="shared" si="260"/>
        <v>17</v>
      </c>
      <c r="Y2338" t="str">
        <f t="shared" si="256"/>
        <v>2017</v>
      </c>
      <c r="Z2338"/>
      <c r="AA2338" s="2">
        <f t="shared" si="257"/>
        <v>43527</v>
      </c>
      <c r="AB2338" t="str">
        <f t="shared" si="261"/>
        <v>03/27/2017</v>
      </c>
      <c r="AC2338"/>
    </row>
    <row r="2339" spans="21:29" ht="15">
      <c r="U2339" s="228" t="s">
        <v>10164</v>
      </c>
      <c r="V2339" t="str">
        <f t="shared" si="258"/>
        <v>03</v>
      </c>
      <c r="W2339" t="str">
        <f t="shared" si="259"/>
        <v>30</v>
      </c>
      <c r="X2339" t="str">
        <f t="shared" si="260"/>
        <v>17</v>
      </c>
      <c r="Y2339" t="str">
        <f t="shared" si="256"/>
        <v>2017</v>
      </c>
      <c r="Z2339"/>
      <c r="AA2339" s="2">
        <f t="shared" si="257"/>
        <v>43619</v>
      </c>
      <c r="AB2339" t="str">
        <f t="shared" si="261"/>
        <v>03/30/2017</v>
      </c>
      <c r="AC2339"/>
    </row>
    <row r="2340" spans="21:29" ht="15">
      <c r="U2340" s="228" t="s">
        <v>10165</v>
      </c>
      <c r="V2340" t="str">
        <f t="shared" si="258"/>
        <v>04</v>
      </c>
      <c r="W2340" t="str">
        <f t="shared" si="259"/>
        <v>01</v>
      </c>
      <c r="X2340" t="str">
        <f t="shared" si="260"/>
        <v>17</v>
      </c>
      <c r="Y2340" t="str">
        <f t="shared" si="256"/>
        <v>2017</v>
      </c>
      <c r="Z2340"/>
      <c r="AA2340" s="2">
        <f t="shared" si="257"/>
        <v>42739</v>
      </c>
      <c r="AB2340" t="str">
        <f t="shared" si="261"/>
        <v>04/01/2017</v>
      </c>
      <c r="AC2340"/>
    </row>
    <row r="2341" spans="21:29" ht="15">
      <c r="U2341" s="228" t="s">
        <v>10165</v>
      </c>
      <c r="V2341" t="str">
        <f t="shared" si="258"/>
        <v>04</v>
      </c>
      <c r="W2341" t="str">
        <f t="shared" si="259"/>
        <v>01</v>
      </c>
      <c r="X2341" t="str">
        <f t="shared" si="260"/>
        <v>17</v>
      </c>
      <c r="Y2341" t="str">
        <f t="shared" si="256"/>
        <v>2017</v>
      </c>
      <c r="Z2341"/>
      <c r="AA2341" s="2">
        <f t="shared" si="257"/>
        <v>42739</v>
      </c>
      <c r="AB2341" t="str">
        <f t="shared" si="261"/>
        <v>04/01/2017</v>
      </c>
      <c r="AC2341"/>
    </row>
    <row r="2342" spans="21:29" ht="15">
      <c r="U2342" s="228" t="s">
        <v>10165</v>
      </c>
      <c r="V2342" t="str">
        <f t="shared" si="258"/>
        <v>04</v>
      </c>
      <c r="W2342" t="str">
        <f t="shared" si="259"/>
        <v>01</v>
      </c>
      <c r="X2342" t="str">
        <f t="shared" si="260"/>
        <v>17</v>
      </c>
      <c r="Y2342" t="str">
        <f t="shared" si="256"/>
        <v>2017</v>
      </c>
      <c r="Z2342"/>
      <c r="AA2342" s="2">
        <f t="shared" si="257"/>
        <v>42739</v>
      </c>
      <c r="AB2342" t="str">
        <f t="shared" si="261"/>
        <v>04/01/2017</v>
      </c>
      <c r="AC2342"/>
    </row>
    <row r="2343" spans="21:29" ht="15">
      <c r="U2343" s="228" t="s">
        <v>10166</v>
      </c>
      <c r="V2343" t="str">
        <f t="shared" si="258"/>
        <v>04</v>
      </c>
      <c r="W2343" t="str">
        <f t="shared" si="259"/>
        <v>14</v>
      </c>
      <c r="X2343" t="str">
        <f t="shared" si="260"/>
        <v>17</v>
      </c>
      <c r="Y2343" t="str">
        <f t="shared" si="256"/>
        <v>2017</v>
      </c>
      <c r="Z2343"/>
      <c r="AA2343" s="2">
        <f t="shared" si="257"/>
        <v>43135</v>
      </c>
      <c r="AB2343" t="str">
        <f t="shared" si="261"/>
        <v>04/14/2017</v>
      </c>
      <c r="AC2343"/>
    </row>
    <row r="2344" spans="21:29" ht="15">
      <c r="U2344" s="228" t="s">
        <v>10167</v>
      </c>
      <c r="V2344" t="str">
        <f t="shared" si="258"/>
        <v>04</v>
      </c>
      <c r="W2344" t="str">
        <f t="shared" si="259"/>
        <v>29</v>
      </c>
      <c r="X2344" t="str">
        <f t="shared" si="260"/>
        <v>17</v>
      </c>
      <c r="Y2344" t="str">
        <f t="shared" si="256"/>
        <v>2017</v>
      </c>
      <c r="Z2344"/>
      <c r="AA2344" s="2">
        <f t="shared" si="257"/>
        <v>43589</v>
      </c>
      <c r="AB2344" t="str">
        <f t="shared" si="261"/>
        <v>04/29/2017</v>
      </c>
      <c r="AC2344"/>
    </row>
    <row r="2345" spans="21:29" ht="15">
      <c r="U2345" s="228" t="s">
        <v>10167</v>
      </c>
      <c r="V2345" t="str">
        <f t="shared" si="258"/>
        <v>04</v>
      </c>
      <c r="W2345" t="str">
        <f t="shared" si="259"/>
        <v>29</v>
      </c>
      <c r="X2345" t="str">
        <f t="shared" si="260"/>
        <v>17</v>
      </c>
      <c r="Y2345" t="str">
        <f t="shared" si="256"/>
        <v>2017</v>
      </c>
      <c r="Z2345"/>
      <c r="AA2345" s="2">
        <f t="shared" si="257"/>
        <v>43589</v>
      </c>
      <c r="AB2345" t="str">
        <f t="shared" si="261"/>
        <v>04/29/2017</v>
      </c>
      <c r="AC2345"/>
    </row>
    <row r="2346" spans="21:29" ht="15">
      <c r="U2346" s="228" t="s">
        <v>10167</v>
      </c>
      <c r="V2346" t="str">
        <f t="shared" si="258"/>
        <v>04</v>
      </c>
      <c r="W2346" t="str">
        <f t="shared" si="259"/>
        <v>29</v>
      </c>
      <c r="X2346" t="str">
        <f t="shared" si="260"/>
        <v>17</v>
      </c>
      <c r="Y2346" t="str">
        <f t="shared" si="256"/>
        <v>2017</v>
      </c>
      <c r="Z2346"/>
      <c r="AA2346" s="2">
        <f t="shared" si="257"/>
        <v>43589</v>
      </c>
      <c r="AB2346" t="str">
        <f t="shared" si="261"/>
        <v>04/29/2017</v>
      </c>
      <c r="AC2346"/>
    </row>
    <row r="2347" spans="21:29" ht="15">
      <c r="U2347" s="228" t="s">
        <v>10168</v>
      </c>
      <c r="V2347" t="str">
        <f t="shared" si="258"/>
        <v>05</v>
      </c>
      <c r="W2347" t="str">
        <f t="shared" si="259"/>
        <v>13</v>
      </c>
      <c r="X2347" t="str">
        <f t="shared" si="260"/>
        <v>17</v>
      </c>
      <c r="Y2347" t="str">
        <f t="shared" si="256"/>
        <v>2017</v>
      </c>
      <c r="Z2347"/>
      <c r="AA2347" s="2">
        <f t="shared" si="257"/>
        <v>43105</v>
      </c>
      <c r="AB2347" t="str">
        <f t="shared" si="261"/>
        <v>05/13/2017</v>
      </c>
      <c r="AC2347"/>
    </row>
    <row r="2348" spans="21:29" ht="15">
      <c r="U2348" s="228" t="s">
        <v>10169</v>
      </c>
      <c r="V2348" t="str">
        <f t="shared" si="258"/>
        <v>05</v>
      </c>
      <c r="W2348" t="str">
        <f t="shared" si="259"/>
        <v>19</v>
      </c>
      <c r="X2348" t="str">
        <f t="shared" si="260"/>
        <v>17</v>
      </c>
      <c r="Y2348" t="str">
        <f t="shared" si="256"/>
        <v>2017</v>
      </c>
      <c r="Z2348"/>
      <c r="AA2348" s="2">
        <f t="shared" si="257"/>
        <v>43286</v>
      </c>
      <c r="AB2348" t="str">
        <f t="shared" si="261"/>
        <v>05/19/2017</v>
      </c>
      <c r="AC2348"/>
    </row>
    <row r="2349" spans="21:29" ht="15">
      <c r="U2349" s="228" t="s">
        <v>10170</v>
      </c>
      <c r="V2349" t="str">
        <f t="shared" si="258"/>
        <v>05</v>
      </c>
      <c r="W2349" t="str">
        <f t="shared" si="259"/>
        <v>29</v>
      </c>
      <c r="X2349" t="str">
        <f t="shared" si="260"/>
        <v>17</v>
      </c>
      <c r="Y2349" t="str">
        <f t="shared" si="256"/>
        <v>2017</v>
      </c>
      <c r="Z2349"/>
      <c r="AA2349" s="2">
        <f t="shared" si="257"/>
        <v>43590</v>
      </c>
      <c r="AB2349" t="str">
        <f t="shared" si="261"/>
        <v>05/29/2017</v>
      </c>
      <c r="AC2349"/>
    </row>
    <row r="2350" spans="21:29" ht="15">
      <c r="U2350" s="228" t="s">
        <v>10171</v>
      </c>
      <c r="V2350" t="str">
        <f t="shared" si="258"/>
        <v>06</v>
      </c>
      <c r="W2350" t="str">
        <f t="shared" si="259"/>
        <v>03</v>
      </c>
      <c r="X2350" t="str">
        <f t="shared" si="260"/>
        <v>17</v>
      </c>
      <c r="Y2350" t="str">
        <f t="shared" si="256"/>
        <v>2017</v>
      </c>
      <c r="Z2350"/>
      <c r="AA2350" s="2">
        <f t="shared" si="257"/>
        <v>42800</v>
      </c>
      <c r="AB2350" t="str">
        <f t="shared" si="261"/>
        <v>06/03/2017</v>
      </c>
      <c r="AC2350"/>
    </row>
    <row r="2351" spans="21:29" ht="15">
      <c r="U2351" s="228" t="s">
        <v>10172</v>
      </c>
      <c r="V2351" t="str">
        <f t="shared" si="258"/>
        <v>06</v>
      </c>
      <c r="W2351" t="str">
        <f t="shared" si="259"/>
        <v>13</v>
      </c>
      <c r="X2351" t="str">
        <f t="shared" si="260"/>
        <v>17</v>
      </c>
      <c r="Y2351" t="str">
        <f t="shared" si="256"/>
        <v>2017</v>
      </c>
      <c r="Z2351"/>
      <c r="AA2351" s="2">
        <f t="shared" si="257"/>
        <v>43106</v>
      </c>
      <c r="AB2351" t="str">
        <f t="shared" si="261"/>
        <v>06/13/2017</v>
      </c>
      <c r="AC2351"/>
    </row>
    <row r="2352" spans="21:29" ht="15">
      <c r="U2352" s="228" t="s">
        <v>10173</v>
      </c>
      <c r="V2352" t="str">
        <f t="shared" si="258"/>
        <v>06</v>
      </c>
      <c r="W2352" t="str">
        <f t="shared" si="259"/>
        <v>30</v>
      </c>
      <c r="X2352" t="str">
        <f t="shared" si="260"/>
        <v>17</v>
      </c>
      <c r="Y2352" t="str">
        <f t="shared" si="256"/>
        <v>2017</v>
      </c>
      <c r="Z2352"/>
      <c r="AA2352" s="2">
        <f t="shared" si="257"/>
        <v>43622</v>
      </c>
      <c r="AB2352" t="str">
        <f t="shared" si="261"/>
        <v>06/30/2017</v>
      </c>
      <c r="AC2352"/>
    </row>
    <row r="2353" spans="21:29" ht="15">
      <c r="U2353" s="228" t="s">
        <v>10174</v>
      </c>
      <c r="V2353" t="str">
        <f t="shared" si="258"/>
        <v>07</v>
      </c>
      <c r="W2353" t="str">
        <f t="shared" si="259"/>
        <v>01</v>
      </c>
      <c r="X2353" t="str">
        <f t="shared" si="260"/>
        <v>17</v>
      </c>
      <c r="Y2353" t="str">
        <f t="shared" si="256"/>
        <v>2017</v>
      </c>
      <c r="Z2353"/>
      <c r="AA2353" s="2">
        <f t="shared" si="257"/>
        <v>42742</v>
      </c>
      <c r="AB2353" t="str">
        <f t="shared" si="261"/>
        <v>07/01/2017</v>
      </c>
      <c r="AC2353"/>
    </row>
    <row r="2354" spans="21:29" ht="15">
      <c r="U2354" s="228" t="s">
        <v>10175</v>
      </c>
      <c r="V2354" t="str">
        <f t="shared" si="258"/>
        <v>07</v>
      </c>
      <c r="W2354" t="str">
        <f t="shared" si="259"/>
        <v>02</v>
      </c>
      <c r="X2354" t="str">
        <f t="shared" si="260"/>
        <v>17</v>
      </c>
      <c r="Y2354" t="str">
        <f t="shared" si="256"/>
        <v>2017</v>
      </c>
      <c r="Z2354"/>
      <c r="AA2354" s="2">
        <f t="shared" si="257"/>
        <v>42773</v>
      </c>
      <c r="AB2354" t="str">
        <f t="shared" si="261"/>
        <v>07/02/2017</v>
      </c>
      <c r="AC2354"/>
    </row>
    <row r="2355" spans="21:29" ht="15">
      <c r="U2355" s="228" t="s">
        <v>10176</v>
      </c>
      <c r="V2355" t="str">
        <f t="shared" si="258"/>
        <v>07</v>
      </c>
      <c r="W2355" t="str">
        <f t="shared" si="259"/>
        <v>13</v>
      </c>
      <c r="X2355" t="str">
        <f t="shared" si="260"/>
        <v>17</v>
      </c>
      <c r="Y2355" t="str">
        <f t="shared" si="256"/>
        <v>2017</v>
      </c>
      <c r="Z2355"/>
      <c r="AA2355" s="2">
        <f t="shared" si="257"/>
        <v>43107</v>
      </c>
      <c r="AB2355" t="str">
        <f t="shared" si="261"/>
        <v>07/13/2017</v>
      </c>
      <c r="AC2355"/>
    </row>
    <row r="2356" spans="21:29" ht="15">
      <c r="U2356" s="228" t="s">
        <v>10177</v>
      </c>
      <c r="V2356" t="str">
        <f t="shared" si="258"/>
        <v>07</v>
      </c>
      <c r="W2356" t="str">
        <f t="shared" si="259"/>
        <v>29</v>
      </c>
      <c r="X2356" t="str">
        <f t="shared" si="260"/>
        <v>17</v>
      </c>
      <c r="Y2356" t="str">
        <f t="shared" si="256"/>
        <v>2017</v>
      </c>
      <c r="Z2356"/>
      <c r="AA2356" s="2">
        <f t="shared" si="257"/>
        <v>43592</v>
      </c>
      <c r="AB2356" t="str">
        <f t="shared" si="261"/>
        <v>07/29/2017</v>
      </c>
      <c r="AC2356"/>
    </row>
    <row r="2357" spans="21:29" ht="15">
      <c r="U2357" s="228" t="s">
        <v>10177</v>
      </c>
      <c r="V2357" t="str">
        <f t="shared" si="258"/>
        <v>07</v>
      </c>
      <c r="W2357" t="str">
        <f t="shared" si="259"/>
        <v>29</v>
      </c>
      <c r="X2357" t="str">
        <f t="shared" si="260"/>
        <v>17</v>
      </c>
      <c r="Y2357" t="str">
        <f t="shared" si="256"/>
        <v>2017</v>
      </c>
      <c r="Z2357"/>
      <c r="AA2357" s="2">
        <f t="shared" si="257"/>
        <v>43592</v>
      </c>
      <c r="AB2357" t="str">
        <f t="shared" si="261"/>
        <v>07/29/2017</v>
      </c>
      <c r="AC2357"/>
    </row>
    <row r="2358" spans="21:29" ht="15">
      <c r="U2358" s="228" t="s">
        <v>10177</v>
      </c>
      <c r="V2358" t="str">
        <f t="shared" si="258"/>
        <v>07</v>
      </c>
      <c r="W2358" t="str">
        <f t="shared" si="259"/>
        <v>29</v>
      </c>
      <c r="X2358" t="str">
        <f t="shared" si="260"/>
        <v>17</v>
      </c>
      <c r="Y2358" t="str">
        <f t="shared" si="256"/>
        <v>2017</v>
      </c>
      <c r="Z2358"/>
      <c r="AA2358" s="2">
        <f t="shared" si="257"/>
        <v>43592</v>
      </c>
      <c r="AB2358" t="str">
        <f t="shared" si="261"/>
        <v>07/29/2017</v>
      </c>
      <c r="AC2358"/>
    </row>
    <row r="2359" spans="21:29" ht="15">
      <c r="U2359" s="228" t="s">
        <v>10178</v>
      </c>
      <c r="V2359" t="str">
        <f t="shared" si="258"/>
        <v>08</v>
      </c>
      <c r="W2359" t="str">
        <f t="shared" si="259"/>
        <v>13</v>
      </c>
      <c r="X2359" t="str">
        <f t="shared" si="260"/>
        <v>17</v>
      </c>
      <c r="Y2359" t="str">
        <f t="shared" si="256"/>
        <v>2017</v>
      </c>
      <c r="Z2359"/>
      <c r="AA2359" s="2">
        <f t="shared" si="257"/>
        <v>43108</v>
      </c>
      <c r="AB2359" t="str">
        <f t="shared" si="261"/>
        <v>08/13/2017</v>
      </c>
      <c r="AC2359"/>
    </row>
    <row r="2360" spans="21:29" ht="15">
      <c r="U2360" s="228" t="s">
        <v>10179</v>
      </c>
      <c r="V2360" t="str">
        <f t="shared" si="258"/>
        <v>08</v>
      </c>
      <c r="W2360" t="str">
        <f t="shared" si="259"/>
        <v>21</v>
      </c>
      <c r="X2360" t="str">
        <f t="shared" si="260"/>
        <v>17</v>
      </c>
      <c r="Y2360" t="str">
        <f t="shared" si="256"/>
        <v>2017</v>
      </c>
      <c r="Z2360"/>
      <c r="AA2360" s="2">
        <f t="shared" si="257"/>
        <v>43351</v>
      </c>
      <c r="AB2360" t="str">
        <f t="shared" si="261"/>
        <v>08/21/2017</v>
      </c>
      <c r="AC2360"/>
    </row>
    <row r="2361" spans="21:29" ht="15">
      <c r="U2361" s="228" t="s">
        <v>10180</v>
      </c>
      <c r="V2361" t="str">
        <f t="shared" si="258"/>
        <v>08</v>
      </c>
      <c r="W2361" t="str">
        <f t="shared" si="259"/>
        <v>29</v>
      </c>
      <c r="X2361" t="str">
        <f t="shared" si="260"/>
        <v>17</v>
      </c>
      <c r="Y2361" t="str">
        <f t="shared" si="256"/>
        <v>2017</v>
      </c>
      <c r="Z2361"/>
      <c r="AA2361" s="2">
        <f t="shared" si="257"/>
        <v>43593</v>
      </c>
      <c r="AB2361" t="str">
        <f t="shared" si="261"/>
        <v>08/29/2017</v>
      </c>
      <c r="AC2361"/>
    </row>
    <row r="2362" spans="21:29" ht="15">
      <c r="U2362" s="228" t="s">
        <v>10181</v>
      </c>
      <c r="V2362" t="str">
        <f t="shared" si="258"/>
        <v>09</v>
      </c>
      <c r="W2362" t="str">
        <f t="shared" si="259"/>
        <v>14</v>
      </c>
      <c r="X2362" t="str">
        <f t="shared" si="260"/>
        <v>17</v>
      </c>
      <c r="Y2362" t="str">
        <f t="shared" si="256"/>
        <v>2017</v>
      </c>
      <c r="Z2362"/>
      <c r="AA2362" s="2">
        <f t="shared" si="257"/>
        <v>43140</v>
      </c>
      <c r="AB2362" t="str">
        <f t="shared" si="261"/>
        <v>09/14/2017</v>
      </c>
      <c r="AC2362"/>
    </row>
    <row r="2363" spans="21:29" ht="15">
      <c r="U2363" s="228" t="s">
        <v>10182</v>
      </c>
      <c r="V2363" t="str">
        <f t="shared" si="258"/>
        <v>09</v>
      </c>
      <c r="W2363" t="str">
        <f t="shared" si="259"/>
        <v>29</v>
      </c>
      <c r="X2363" t="str">
        <f t="shared" si="260"/>
        <v>17</v>
      </c>
      <c r="Y2363" t="str">
        <f t="shared" si="256"/>
        <v>2017</v>
      </c>
      <c r="Z2363"/>
      <c r="AA2363" s="2">
        <f t="shared" si="257"/>
        <v>43594</v>
      </c>
      <c r="AB2363" t="str">
        <f t="shared" si="261"/>
        <v>09/29/2017</v>
      </c>
      <c r="AC2363"/>
    </row>
    <row r="2364" spans="21:29" ht="15">
      <c r="U2364" s="228" t="s">
        <v>10183</v>
      </c>
      <c r="V2364" t="str">
        <f t="shared" si="258"/>
        <v>10</v>
      </c>
      <c r="W2364" t="str">
        <f t="shared" si="259"/>
        <v>01</v>
      </c>
      <c r="X2364" t="str">
        <f t="shared" si="260"/>
        <v>17</v>
      </c>
      <c r="Y2364" t="str">
        <f t="shared" si="256"/>
        <v>2017</v>
      </c>
      <c r="Z2364"/>
      <c r="AA2364" s="2">
        <f t="shared" si="257"/>
        <v>42745</v>
      </c>
      <c r="AB2364" t="str">
        <f t="shared" si="261"/>
        <v>10/01/2017</v>
      </c>
      <c r="AC2364"/>
    </row>
    <row r="2365" spans="21:29" ht="15">
      <c r="U2365" s="228" t="s">
        <v>10184</v>
      </c>
      <c r="V2365" t="str">
        <f t="shared" si="258"/>
        <v>10</v>
      </c>
      <c r="W2365" t="str">
        <f t="shared" si="259"/>
        <v>03</v>
      </c>
      <c r="X2365" t="str">
        <f t="shared" si="260"/>
        <v>17</v>
      </c>
      <c r="Y2365" t="str">
        <f t="shared" si="256"/>
        <v>2017</v>
      </c>
      <c r="Z2365"/>
      <c r="AA2365" s="2">
        <f t="shared" si="257"/>
        <v>42804</v>
      </c>
      <c r="AB2365" t="str">
        <f t="shared" si="261"/>
        <v>10/03/2017</v>
      </c>
      <c r="AC2365"/>
    </row>
    <row r="2366" spans="21:29" ht="15">
      <c r="U2366" s="228" t="s">
        <v>10185</v>
      </c>
      <c r="V2366" t="str">
        <f t="shared" si="258"/>
        <v>10</v>
      </c>
      <c r="W2366" t="str">
        <f t="shared" si="259"/>
        <v>04</v>
      </c>
      <c r="X2366" t="str">
        <f t="shared" si="260"/>
        <v>17</v>
      </c>
      <c r="Y2366" t="str">
        <f t="shared" si="256"/>
        <v>2017</v>
      </c>
      <c r="Z2366"/>
      <c r="AA2366" s="2">
        <f t="shared" si="257"/>
        <v>42835</v>
      </c>
      <c r="AB2366" t="str">
        <f t="shared" si="261"/>
        <v>10/04/2017</v>
      </c>
      <c r="AC2366"/>
    </row>
    <row r="2367" spans="21:29" ht="15">
      <c r="U2367" s="228" t="s">
        <v>10186</v>
      </c>
      <c r="V2367" t="str">
        <f t="shared" si="258"/>
        <v>10</v>
      </c>
      <c r="W2367" t="str">
        <f t="shared" si="259"/>
        <v>13</v>
      </c>
      <c r="X2367" t="str">
        <f t="shared" si="260"/>
        <v>17</v>
      </c>
      <c r="Y2367" t="str">
        <f t="shared" si="256"/>
        <v>2017</v>
      </c>
      <c r="Z2367"/>
      <c r="AA2367" s="2">
        <f t="shared" si="257"/>
        <v>43110</v>
      </c>
      <c r="AB2367" t="str">
        <f t="shared" si="261"/>
        <v>10/13/2017</v>
      </c>
      <c r="AC2367"/>
    </row>
    <row r="2368" spans="21:29" ht="15">
      <c r="U2368" s="228" t="s">
        <v>10186</v>
      </c>
      <c r="V2368" t="str">
        <f t="shared" si="258"/>
        <v>10</v>
      </c>
      <c r="W2368" t="str">
        <f t="shared" si="259"/>
        <v>13</v>
      </c>
      <c r="X2368" t="str">
        <f t="shared" si="260"/>
        <v>17</v>
      </c>
      <c r="Y2368" t="str">
        <f t="shared" si="256"/>
        <v>2017</v>
      </c>
      <c r="Z2368"/>
      <c r="AA2368" s="2">
        <f t="shared" si="257"/>
        <v>43110</v>
      </c>
      <c r="AB2368" t="str">
        <f t="shared" si="261"/>
        <v>10/13/2017</v>
      </c>
      <c r="AC2368"/>
    </row>
    <row r="2369" spans="21:29" ht="15">
      <c r="U2369" s="228" t="s">
        <v>10187</v>
      </c>
      <c r="V2369" t="str">
        <f t="shared" si="258"/>
        <v>10</v>
      </c>
      <c r="W2369" t="str">
        <f t="shared" si="259"/>
        <v>17</v>
      </c>
      <c r="X2369" t="str">
        <f t="shared" si="260"/>
        <v>17</v>
      </c>
      <c r="Y2369" t="str">
        <f t="shared" si="256"/>
        <v>2017</v>
      </c>
      <c r="Z2369"/>
      <c r="AA2369" s="2">
        <f t="shared" si="257"/>
        <v>43230</v>
      </c>
      <c r="AB2369" t="str">
        <f t="shared" si="261"/>
        <v>10/17/2017</v>
      </c>
      <c r="AC2369"/>
    </row>
    <row r="2370" spans="21:29" ht="15">
      <c r="U2370" s="228" t="s">
        <v>10188</v>
      </c>
      <c r="V2370" t="str">
        <f t="shared" si="258"/>
        <v>10</v>
      </c>
      <c r="W2370" t="str">
        <f t="shared" si="259"/>
        <v>21</v>
      </c>
      <c r="X2370" t="str">
        <f t="shared" si="260"/>
        <v>17</v>
      </c>
      <c r="Y2370" t="str">
        <f t="shared" si="256"/>
        <v>2017</v>
      </c>
      <c r="Z2370"/>
      <c r="AA2370" s="2">
        <f t="shared" si="257"/>
        <v>43353</v>
      </c>
      <c r="AB2370" t="str">
        <f t="shared" si="261"/>
        <v>10/21/2017</v>
      </c>
      <c r="AC2370"/>
    </row>
    <row r="2371" spans="21:29" ht="15">
      <c r="U2371" s="228" t="s">
        <v>10189</v>
      </c>
      <c r="V2371" t="str">
        <f t="shared" si="258"/>
        <v>10</v>
      </c>
      <c r="W2371" t="str">
        <f t="shared" si="259"/>
        <v>29</v>
      </c>
      <c r="X2371" t="str">
        <f t="shared" si="260"/>
        <v>17</v>
      </c>
      <c r="Y2371" t="str">
        <f t="shared" ref="Y2371:Y2434" si="262">"20" &amp; X2371</f>
        <v>2017</v>
      </c>
      <c r="Z2371"/>
      <c r="AA2371" s="2">
        <f t="shared" si="257"/>
        <v>43595</v>
      </c>
      <c r="AB2371" t="str">
        <f t="shared" si="261"/>
        <v>10/29/2017</v>
      </c>
      <c r="AC2371"/>
    </row>
    <row r="2372" spans="21:29" ht="15">
      <c r="U2372" s="228" t="s">
        <v>10189</v>
      </c>
      <c r="V2372" t="str">
        <f t="shared" si="258"/>
        <v>10</v>
      </c>
      <c r="W2372" t="str">
        <f t="shared" si="259"/>
        <v>29</v>
      </c>
      <c r="X2372" t="str">
        <f t="shared" si="260"/>
        <v>17</v>
      </c>
      <c r="Y2372" t="str">
        <f t="shared" si="262"/>
        <v>2017</v>
      </c>
      <c r="Z2372"/>
      <c r="AA2372" s="2">
        <f t="shared" si="257"/>
        <v>43595</v>
      </c>
      <c r="AB2372" t="str">
        <f t="shared" si="261"/>
        <v>10/29/2017</v>
      </c>
      <c r="AC2372"/>
    </row>
    <row r="2373" spans="21:29" ht="15">
      <c r="U2373" s="228" t="s">
        <v>10190</v>
      </c>
      <c r="V2373" t="str">
        <f t="shared" si="258"/>
        <v>11</v>
      </c>
      <c r="W2373" t="str">
        <f t="shared" si="259"/>
        <v>02</v>
      </c>
      <c r="X2373" t="str">
        <f t="shared" si="260"/>
        <v>17</v>
      </c>
      <c r="Y2373" t="str">
        <f t="shared" si="262"/>
        <v>2017</v>
      </c>
      <c r="Z2373"/>
      <c r="AA2373" s="2">
        <f t="shared" si="257"/>
        <v>42777</v>
      </c>
      <c r="AB2373" t="str">
        <f t="shared" si="261"/>
        <v>11/02/2017</v>
      </c>
      <c r="AC2373"/>
    </row>
    <row r="2374" spans="21:29" ht="15">
      <c r="U2374" s="228" t="s">
        <v>10191</v>
      </c>
      <c r="V2374" t="str">
        <f t="shared" si="258"/>
        <v>11</v>
      </c>
      <c r="W2374" t="str">
        <f t="shared" si="259"/>
        <v>18</v>
      </c>
      <c r="X2374" t="str">
        <f t="shared" si="260"/>
        <v>17</v>
      </c>
      <c r="Y2374" t="str">
        <f t="shared" si="262"/>
        <v>2017</v>
      </c>
      <c r="Z2374"/>
      <c r="AA2374" s="2">
        <f t="shared" si="257"/>
        <v>43262</v>
      </c>
      <c r="AB2374" t="str">
        <f t="shared" si="261"/>
        <v>11/18/2017</v>
      </c>
      <c r="AC2374"/>
    </row>
    <row r="2375" spans="21:29" ht="15">
      <c r="U2375" s="228" t="s">
        <v>10192</v>
      </c>
      <c r="V2375" t="str">
        <f t="shared" si="258"/>
        <v>11</v>
      </c>
      <c r="W2375" t="str">
        <f t="shared" si="259"/>
        <v>22</v>
      </c>
      <c r="X2375" t="str">
        <f t="shared" si="260"/>
        <v>17</v>
      </c>
      <c r="Y2375" t="str">
        <f t="shared" si="262"/>
        <v>2017</v>
      </c>
      <c r="Z2375"/>
      <c r="AA2375" s="2">
        <f t="shared" si="257"/>
        <v>43384</v>
      </c>
      <c r="AB2375" t="str">
        <f t="shared" si="261"/>
        <v>11/22/2017</v>
      </c>
      <c r="AC2375"/>
    </row>
    <row r="2376" spans="21:29" ht="15">
      <c r="U2376" s="228" t="s">
        <v>10193</v>
      </c>
      <c r="V2376" t="str">
        <f t="shared" si="258"/>
        <v>12</v>
      </c>
      <c r="W2376" t="str">
        <f t="shared" si="259"/>
        <v>02</v>
      </c>
      <c r="X2376" t="str">
        <f t="shared" si="260"/>
        <v>17</v>
      </c>
      <c r="Y2376" t="str">
        <f t="shared" si="262"/>
        <v>2017</v>
      </c>
      <c r="Z2376"/>
      <c r="AA2376" s="2">
        <f t="shared" ref="AA2376:AA2439" si="263">DATE(Y2376,W2376,V2376)</f>
        <v>42778</v>
      </c>
      <c r="AB2376" t="str">
        <f t="shared" si="261"/>
        <v>12/02/2017</v>
      </c>
      <c r="AC2376"/>
    </row>
    <row r="2377" spans="21:29" ht="15">
      <c r="U2377" s="228" t="s">
        <v>10194</v>
      </c>
      <c r="V2377" t="str">
        <f t="shared" si="258"/>
        <v>12</v>
      </c>
      <c r="W2377" t="str">
        <f t="shared" si="259"/>
        <v>17</v>
      </c>
      <c r="X2377" t="str">
        <f t="shared" si="260"/>
        <v>17</v>
      </c>
      <c r="Y2377" t="str">
        <f t="shared" si="262"/>
        <v>2017</v>
      </c>
      <c r="Z2377"/>
      <c r="AA2377" s="2">
        <f t="shared" si="263"/>
        <v>43232</v>
      </c>
      <c r="AB2377" t="str">
        <f t="shared" si="261"/>
        <v>12/17/2017</v>
      </c>
      <c r="AC2377"/>
    </row>
    <row r="2378" spans="21:29" ht="15">
      <c r="U2378" s="228" t="s">
        <v>10195</v>
      </c>
      <c r="V2378" t="str">
        <f t="shared" si="258"/>
        <v>12</v>
      </c>
      <c r="W2378" t="str">
        <f t="shared" si="259"/>
        <v>23</v>
      </c>
      <c r="X2378" t="str">
        <f t="shared" si="260"/>
        <v>17</v>
      </c>
      <c r="Y2378" t="str">
        <f t="shared" si="262"/>
        <v>2017</v>
      </c>
      <c r="Z2378"/>
      <c r="AA2378" s="2">
        <f t="shared" si="263"/>
        <v>43416</v>
      </c>
      <c r="AB2378" t="str">
        <f t="shared" si="261"/>
        <v>12/23/2017</v>
      </c>
      <c r="AC2378"/>
    </row>
    <row r="2379" spans="21:29" ht="15">
      <c r="U2379" s="228" t="s">
        <v>10196</v>
      </c>
      <c r="V2379" t="str">
        <f t="shared" si="258"/>
        <v>12</v>
      </c>
      <c r="W2379" t="str">
        <f t="shared" si="259"/>
        <v>31</v>
      </c>
      <c r="X2379" t="str">
        <f t="shared" si="260"/>
        <v>17</v>
      </c>
      <c r="Y2379" t="str">
        <f t="shared" si="262"/>
        <v>2017</v>
      </c>
      <c r="Z2379"/>
      <c r="AA2379" s="2">
        <f t="shared" si="263"/>
        <v>43658</v>
      </c>
      <c r="AB2379" t="str">
        <f t="shared" si="261"/>
        <v>12/31/2017</v>
      </c>
      <c r="AC2379"/>
    </row>
    <row r="2380" spans="21:29" ht="15">
      <c r="U2380" s="228" t="s">
        <v>10197</v>
      </c>
      <c r="V2380" t="str">
        <f t="shared" si="258"/>
        <v>01</v>
      </c>
      <c r="W2380" t="str">
        <f t="shared" si="259"/>
        <v>02</v>
      </c>
      <c r="X2380" t="str">
        <f t="shared" si="260"/>
        <v>18</v>
      </c>
      <c r="Y2380" t="str">
        <f t="shared" si="262"/>
        <v>2018</v>
      </c>
      <c r="Z2380"/>
      <c r="AA2380" s="2">
        <f t="shared" si="263"/>
        <v>43132</v>
      </c>
      <c r="AB2380" t="str">
        <f t="shared" si="261"/>
        <v>01/02/2018</v>
      </c>
      <c r="AC2380"/>
    </row>
    <row r="2381" spans="21:29" ht="15">
      <c r="U2381" s="228" t="s">
        <v>10198</v>
      </c>
      <c r="V2381" t="str">
        <f t="shared" si="258"/>
        <v>01</v>
      </c>
      <c r="W2381" t="str">
        <f t="shared" si="259"/>
        <v>04</v>
      </c>
      <c r="X2381" t="str">
        <f t="shared" si="260"/>
        <v>18</v>
      </c>
      <c r="Y2381" t="str">
        <f t="shared" si="262"/>
        <v>2018</v>
      </c>
      <c r="Z2381"/>
      <c r="AA2381" s="2">
        <f t="shared" si="263"/>
        <v>43191</v>
      </c>
      <c r="AB2381" t="str">
        <f t="shared" si="261"/>
        <v>01/04/2018</v>
      </c>
      <c r="AC2381"/>
    </row>
    <row r="2382" spans="21:29" ht="15">
      <c r="U2382" s="228" t="s">
        <v>10199</v>
      </c>
      <c r="V2382" t="str">
        <f t="shared" si="258"/>
        <v>01</v>
      </c>
      <c r="W2382" t="str">
        <f t="shared" si="259"/>
        <v>17</v>
      </c>
      <c r="X2382" t="str">
        <f t="shared" si="260"/>
        <v>18</v>
      </c>
      <c r="Y2382" t="str">
        <f t="shared" si="262"/>
        <v>2018</v>
      </c>
      <c r="Z2382"/>
      <c r="AA2382" s="2">
        <f t="shared" si="263"/>
        <v>43586</v>
      </c>
      <c r="AB2382" t="str">
        <f t="shared" si="261"/>
        <v>01/17/2018</v>
      </c>
      <c r="AC2382"/>
    </row>
    <row r="2383" spans="21:29" ht="15">
      <c r="U2383" s="228" t="s">
        <v>10200</v>
      </c>
      <c r="V2383" t="str">
        <f t="shared" ref="V2383:V2446" si="264">LEFT(AB2383,2)</f>
        <v>01</v>
      </c>
      <c r="W2383" t="str">
        <f t="shared" ref="W2383:W2446" si="265">MID(AB2383,4,2)</f>
        <v>18</v>
      </c>
      <c r="X2383" t="str">
        <f t="shared" ref="X2383:X2446" si="266">RIGHT(AB2383,2)</f>
        <v>18</v>
      </c>
      <c r="Y2383" t="str">
        <f t="shared" si="262"/>
        <v>2018</v>
      </c>
      <c r="Z2383"/>
      <c r="AA2383" s="2">
        <f t="shared" si="263"/>
        <v>43617</v>
      </c>
      <c r="AB2383" t="str">
        <f t="shared" ref="AB2383:AB2446" si="267">TEXT(U2383, "mm/dd/yyyy")</f>
        <v>01/18/2018</v>
      </c>
      <c r="AC2383"/>
    </row>
    <row r="2384" spans="21:29" ht="15">
      <c r="U2384" s="228" t="s">
        <v>10201</v>
      </c>
      <c r="V2384" t="str">
        <f t="shared" si="264"/>
        <v>02</v>
      </c>
      <c r="W2384" t="str">
        <f t="shared" si="265"/>
        <v>01</v>
      </c>
      <c r="X2384" t="str">
        <f t="shared" si="266"/>
        <v>18</v>
      </c>
      <c r="Y2384" t="str">
        <f t="shared" si="262"/>
        <v>2018</v>
      </c>
      <c r="Z2384"/>
      <c r="AA2384" s="2">
        <f t="shared" si="263"/>
        <v>43102</v>
      </c>
      <c r="AB2384" t="str">
        <f t="shared" si="267"/>
        <v>02/01/2018</v>
      </c>
      <c r="AC2384"/>
    </row>
    <row r="2385" spans="21:29" ht="15">
      <c r="U2385" s="228" t="s">
        <v>10202</v>
      </c>
      <c r="V2385" t="str">
        <f t="shared" si="264"/>
        <v>02</v>
      </c>
      <c r="W2385" t="str">
        <f t="shared" si="265"/>
        <v>18</v>
      </c>
      <c r="X2385" t="str">
        <f t="shared" si="266"/>
        <v>18</v>
      </c>
      <c r="Y2385" t="str">
        <f t="shared" si="262"/>
        <v>2018</v>
      </c>
      <c r="Z2385"/>
      <c r="AA2385" s="2">
        <f t="shared" si="263"/>
        <v>43618</v>
      </c>
      <c r="AB2385" t="str">
        <f t="shared" si="267"/>
        <v>02/18/2018</v>
      </c>
      <c r="AC2385"/>
    </row>
    <row r="2386" spans="21:29" ht="15">
      <c r="U2386" s="228" t="s">
        <v>10203</v>
      </c>
      <c r="V2386" t="str">
        <f t="shared" si="264"/>
        <v>03</v>
      </c>
      <c r="W2386" t="str">
        <f t="shared" si="265"/>
        <v>01</v>
      </c>
      <c r="X2386" t="str">
        <f t="shared" si="266"/>
        <v>18</v>
      </c>
      <c r="Y2386" t="str">
        <f t="shared" si="262"/>
        <v>2018</v>
      </c>
      <c r="Z2386"/>
      <c r="AA2386" s="2">
        <f t="shared" si="263"/>
        <v>43103</v>
      </c>
      <c r="AB2386" t="str">
        <f t="shared" si="267"/>
        <v>03/01/2018</v>
      </c>
      <c r="AC2386"/>
    </row>
    <row r="2387" spans="21:29" ht="15">
      <c r="U2387" s="228" t="s">
        <v>10204</v>
      </c>
      <c r="V2387" t="str">
        <f t="shared" si="264"/>
        <v>03</v>
      </c>
      <c r="W2387" t="str">
        <f t="shared" si="265"/>
        <v>18</v>
      </c>
      <c r="X2387" t="str">
        <f t="shared" si="266"/>
        <v>18</v>
      </c>
      <c r="Y2387" t="str">
        <f t="shared" si="262"/>
        <v>2018</v>
      </c>
      <c r="Z2387"/>
      <c r="AA2387" s="2">
        <f t="shared" si="263"/>
        <v>43619</v>
      </c>
      <c r="AB2387" t="str">
        <f t="shared" si="267"/>
        <v>03/18/2018</v>
      </c>
      <c r="AC2387"/>
    </row>
    <row r="2388" spans="21:29" ht="15">
      <c r="U2388" s="228" t="s">
        <v>10205</v>
      </c>
      <c r="V2388" t="str">
        <f t="shared" si="264"/>
        <v>03</v>
      </c>
      <c r="W2388" t="str">
        <f t="shared" si="265"/>
        <v>29</v>
      </c>
      <c r="X2388" t="str">
        <f t="shared" si="266"/>
        <v>18</v>
      </c>
      <c r="Y2388" t="str">
        <f t="shared" si="262"/>
        <v>2018</v>
      </c>
      <c r="Z2388"/>
      <c r="AA2388" s="2">
        <f t="shared" si="263"/>
        <v>43954</v>
      </c>
      <c r="AB2388" t="str">
        <f t="shared" si="267"/>
        <v>03/29/2018</v>
      </c>
      <c r="AC2388"/>
    </row>
    <row r="2389" spans="21:29" ht="15">
      <c r="U2389" s="228" t="s">
        <v>10206</v>
      </c>
      <c r="V2389" t="str">
        <f t="shared" si="264"/>
        <v>03</v>
      </c>
      <c r="W2389" t="str">
        <f t="shared" si="265"/>
        <v>30</v>
      </c>
      <c r="X2389" t="str">
        <f t="shared" si="266"/>
        <v>18</v>
      </c>
      <c r="Y2389" t="str">
        <f t="shared" si="262"/>
        <v>2018</v>
      </c>
      <c r="Z2389"/>
      <c r="AA2389" s="2">
        <f t="shared" si="263"/>
        <v>43985</v>
      </c>
      <c r="AB2389" t="str">
        <f t="shared" si="267"/>
        <v>03/30/2018</v>
      </c>
      <c r="AC2389"/>
    </row>
    <row r="2390" spans="21:29" ht="15">
      <c r="U2390" s="228" t="s">
        <v>10207</v>
      </c>
      <c r="V2390" t="str">
        <f t="shared" si="264"/>
        <v>04</v>
      </c>
      <c r="W2390" t="str">
        <f t="shared" si="265"/>
        <v>01</v>
      </c>
      <c r="X2390" t="str">
        <f t="shared" si="266"/>
        <v>18</v>
      </c>
      <c r="Y2390" t="str">
        <f t="shared" si="262"/>
        <v>2018</v>
      </c>
      <c r="Z2390"/>
      <c r="AA2390" s="2">
        <f t="shared" si="263"/>
        <v>43104</v>
      </c>
      <c r="AB2390" t="str">
        <f t="shared" si="267"/>
        <v>04/01/2018</v>
      </c>
      <c r="AC2390"/>
    </row>
    <row r="2391" spans="21:29" ht="15">
      <c r="U2391" s="228" t="s">
        <v>10207</v>
      </c>
      <c r="V2391" t="str">
        <f t="shared" si="264"/>
        <v>04</v>
      </c>
      <c r="W2391" t="str">
        <f t="shared" si="265"/>
        <v>01</v>
      </c>
      <c r="X2391" t="str">
        <f t="shared" si="266"/>
        <v>18</v>
      </c>
      <c r="Y2391" t="str">
        <f t="shared" si="262"/>
        <v>2018</v>
      </c>
      <c r="Z2391"/>
      <c r="AA2391" s="2">
        <f t="shared" si="263"/>
        <v>43104</v>
      </c>
      <c r="AB2391" t="str">
        <f t="shared" si="267"/>
        <v>04/01/2018</v>
      </c>
      <c r="AC2391"/>
    </row>
    <row r="2392" spans="21:29" ht="15">
      <c r="U2392" s="228" t="s">
        <v>10208</v>
      </c>
      <c r="V2392" t="str">
        <f t="shared" si="264"/>
        <v>04</v>
      </c>
      <c r="W2392" t="str">
        <f t="shared" si="265"/>
        <v>02</v>
      </c>
      <c r="X2392" t="str">
        <f t="shared" si="266"/>
        <v>18</v>
      </c>
      <c r="Y2392" t="str">
        <f t="shared" si="262"/>
        <v>2018</v>
      </c>
      <c r="Z2392"/>
      <c r="AA2392" s="2">
        <f t="shared" si="263"/>
        <v>43135</v>
      </c>
      <c r="AB2392" t="str">
        <f t="shared" si="267"/>
        <v>04/02/2018</v>
      </c>
      <c r="AC2392"/>
    </row>
    <row r="2393" spans="21:29" ht="15">
      <c r="U2393" s="228" t="s">
        <v>10209</v>
      </c>
      <c r="V2393" t="str">
        <f t="shared" si="264"/>
        <v>04</v>
      </c>
      <c r="W2393" t="str">
        <f t="shared" si="265"/>
        <v>17</v>
      </c>
      <c r="X2393" t="str">
        <f t="shared" si="266"/>
        <v>18</v>
      </c>
      <c r="Y2393" t="str">
        <f t="shared" si="262"/>
        <v>2018</v>
      </c>
      <c r="Z2393"/>
      <c r="AA2393" s="2">
        <f t="shared" si="263"/>
        <v>43589</v>
      </c>
      <c r="AB2393" t="str">
        <f t="shared" si="267"/>
        <v>04/17/2018</v>
      </c>
      <c r="AC2393"/>
    </row>
    <row r="2394" spans="21:29" ht="15">
      <c r="U2394" s="228" t="s">
        <v>10210</v>
      </c>
      <c r="V2394" t="str">
        <f t="shared" si="264"/>
        <v>05</v>
      </c>
      <c r="W2394" t="str">
        <f t="shared" si="265"/>
        <v>02</v>
      </c>
      <c r="X2394" t="str">
        <f t="shared" si="266"/>
        <v>18</v>
      </c>
      <c r="Y2394" t="str">
        <f t="shared" si="262"/>
        <v>2018</v>
      </c>
      <c r="Z2394"/>
      <c r="AA2394" s="2">
        <f t="shared" si="263"/>
        <v>43136</v>
      </c>
      <c r="AB2394" t="str">
        <f t="shared" si="267"/>
        <v>05/02/2018</v>
      </c>
      <c r="AC2394"/>
    </row>
    <row r="2395" spans="21:29" ht="15">
      <c r="U2395" s="228" t="s">
        <v>10211</v>
      </c>
      <c r="V2395" t="str">
        <f t="shared" si="264"/>
        <v>05</v>
      </c>
      <c r="W2395" t="str">
        <f t="shared" si="265"/>
        <v>17</v>
      </c>
      <c r="X2395" t="str">
        <f t="shared" si="266"/>
        <v>18</v>
      </c>
      <c r="Y2395" t="str">
        <f t="shared" si="262"/>
        <v>2018</v>
      </c>
      <c r="Z2395"/>
      <c r="AA2395" s="2">
        <f t="shared" si="263"/>
        <v>43590</v>
      </c>
      <c r="AB2395" t="str">
        <f t="shared" si="267"/>
        <v>05/17/2018</v>
      </c>
      <c r="AC2395"/>
    </row>
    <row r="2396" spans="21:29" ht="15">
      <c r="U2396" s="228" t="s">
        <v>10212</v>
      </c>
      <c r="V2396" t="str">
        <f t="shared" si="264"/>
        <v>06</v>
      </c>
      <c r="W2396" t="str">
        <f t="shared" si="265"/>
        <v>02</v>
      </c>
      <c r="X2396" t="str">
        <f t="shared" si="266"/>
        <v>18</v>
      </c>
      <c r="Y2396" t="str">
        <f t="shared" si="262"/>
        <v>2018</v>
      </c>
      <c r="Z2396"/>
      <c r="AA2396" s="2">
        <f t="shared" si="263"/>
        <v>43137</v>
      </c>
      <c r="AB2396" t="str">
        <f t="shared" si="267"/>
        <v>06/02/2018</v>
      </c>
      <c r="AC2396"/>
    </row>
    <row r="2397" spans="21:29" ht="15">
      <c r="U2397" s="228" t="s">
        <v>10213</v>
      </c>
      <c r="V2397" t="str">
        <f t="shared" si="264"/>
        <v>06</v>
      </c>
      <c r="W2397" t="str">
        <f t="shared" si="265"/>
        <v>17</v>
      </c>
      <c r="X2397" t="str">
        <f t="shared" si="266"/>
        <v>18</v>
      </c>
      <c r="Y2397" t="str">
        <f t="shared" si="262"/>
        <v>2018</v>
      </c>
      <c r="Z2397"/>
      <c r="AA2397" s="2">
        <f t="shared" si="263"/>
        <v>43591</v>
      </c>
      <c r="AB2397" t="str">
        <f t="shared" si="267"/>
        <v>06/17/2018</v>
      </c>
      <c r="AC2397"/>
    </row>
    <row r="2398" spans="21:29" ht="15">
      <c r="U2398" s="228" t="s">
        <v>10214</v>
      </c>
      <c r="V2398" t="str">
        <f t="shared" si="264"/>
        <v>06</v>
      </c>
      <c r="W2398" t="str">
        <f t="shared" si="265"/>
        <v>29</v>
      </c>
      <c r="X2398" t="str">
        <f t="shared" si="266"/>
        <v>18</v>
      </c>
      <c r="Y2398" t="str">
        <f t="shared" si="262"/>
        <v>2018</v>
      </c>
      <c r="Z2398"/>
      <c r="AA2398" s="2">
        <f t="shared" si="263"/>
        <v>43957</v>
      </c>
      <c r="AB2398" t="str">
        <f t="shared" si="267"/>
        <v>06/29/2018</v>
      </c>
      <c r="AC2398"/>
    </row>
    <row r="2399" spans="21:29" ht="15">
      <c r="U2399" s="228" t="s">
        <v>10215</v>
      </c>
      <c r="V2399" t="str">
        <f t="shared" si="264"/>
        <v>07</v>
      </c>
      <c r="W2399" t="str">
        <f t="shared" si="265"/>
        <v>01</v>
      </c>
      <c r="X2399" t="str">
        <f t="shared" si="266"/>
        <v>18</v>
      </c>
      <c r="Y2399" t="str">
        <f t="shared" si="262"/>
        <v>2018</v>
      </c>
      <c r="Z2399"/>
      <c r="AA2399" s="2">
        <f t="shared" si="263"/>
        <v>43107</v>
      </c>
      <c r="AB2399" t="str">
        <f t="shared" si="267"/>
        <v>07/01/2018</v>
      </c>
      <c r="AC2399"/>
    </row>
    <row r="2400" spans="21:29" ht="15">
      <c r="U2400" s="228" t="s">
        <v>10216</v>
      </c>
      <c r="V2400" t="str">
        <f t="shared" si="264"/>
        <v>07</v>
      </c>
      <c r="W2400" t="str">
        <f t="shared" si="265"/>
        <v>18</v>
      </c>
      <c r="X2400" t="str">
        <f t="shared" si="266"/>
        <v>18</v>
      </c>
      <c r="Y2400" t="str">
        <f t="shared" si="262"/>
        <v>2018</v>
      </c>
      <c r="Z2400"/>
      <c r="AA2400" s="2">
        <f t="shared" si="263"/>
        <v>43623</v>
      </c>
      <c r="AB2400" t="str">
        <f t="shared" si="267"/>
        <v>07/18/2018</v>
      </c>
      <c r="AC2400"/>
    </row>
    <row r="2401" spans="21:29" ht="15">
      <c r="U2401" s="228" t="s">
        <v>10217</v>
      </c>
      <c r="V2401" t="str">
        <f t="shared" si="264"/>
        <v>08</v>
      </c>
      <c r="W2401" t="str">
        <f t="shared" si="265"/>
        <v>02</v>
      </c>
      <c r="X2401" t="str">
        <f t="shared" si="266"/>
        <v>18</v>
      </c>
      <c r="Y2401" t="str">
        <f t="shared" si="262"/>
        <v>2018</v>
      </c>
      <c r="Z2401"/>
      <c r="AA2401" s="2">
        <f t="shared" si="263"/>
        <v>43139</v>
      </c>
      <c r="AB2401" t="str">
        <f t="shared" si="267"/>
        <v>08/02/2018</v>
      </c>
      <c r="AC2401"/>
    </row>
    <row r="2402" spans="21:29" ht="15">
      <c r="U2402" s="228" t="s">
        <v>10218</v>
      </c>
      <c r="V2402" t="str">
        <f t="shared" si="264"/>
        <v>08</v>
      </c>
      <c r="W2402" t="str">
        <f t="shared" si="265"/>
        <v>17</v>
      </c>
      <c r="X2402" t="str">
        <f t="shared" si="266"/>
        <v>18</v>
      </c>
      <c r="Y2402" t="str">
        <f t="shared" si="262"/>
        <v>2018</v>
      </c>
      <c r="Z2402"/>
      <c r="AA2402" s="2">
        <f t="shared" si="263"/>
        <v>43593</v>
      </c>
      <c r="AB2402" t="str">
        <f t="shared" si="267"/>
        <v>08/17/2018</v>
      </c>
      <c r="AC2402"/>
    </row>
    <row r="2403" spans="21:29" ht="15">
      <c r="U2403" s="228" t="s">
        <v>10219</v>
      </c>
      <c r="V2403" t="str">
        <f t="shared" si="264"/>
        <v>09</v>
      </c>
      <c r="W2403" t="str">
        <f t="shared" si="265"/>
        <v>03</v>
      </c>
      <c r="X2403" t="str">
        <f t="shared" si="266"/>
        <v>18</v>
      </c>
      <c r="Y2403" t="str">
        <f t="shared" si="262"/>
        <v>2018</v>
      </c>
      <c r="Z2403"/>
      <c r="AA2403" s="2">
        <f t="shared" si="263"/>
        <v>43168</v>
      </c>
      <c r="AB2403" t="str">
        <f t="shared" si="267"/>
        <v>09/03/2018</v>
      </c>
      <c r="AC2403"/>
    </row>
    <row r="2404" spans="21:29" ht="15">
      <c r="U2404" s="228" t="s">
        <v>10220</v>
      </c>
      <c r="V2404" t="str">
        <f t="shared" si="264"/>
        <v>09</v>
      </c>
      <c r="W2404" t="str">
        <f t="shared" si="265"/>
        <v>17</v>
      </c>
      <c r="X2404" t="str">
        <f t="shared" si="266"/>
        <v>18</v>
      </c>
      <c r="Y2404" t="str">
        <f t="shared" si="262"/>
        <v>2018</v>
      </c>
      <c r="Z2404"/>
      <c r="AA2404" s="2">
        <f t="shared" si="263"/>
        <v>43594</v>
      </c>
      <c r="AB2404" t="str">
        <f t="shared" si="267"/>
        <v>09/17/2018</v>
      </c>
      <c r="AC2404"/>
    </row>
    <row r="2405" spans="21:29" ht="15">
      <c r="U2405" s="228" t="s">
        <v>10221</v>
      </c>
      <c r="V2405" t="str">
        <f t="shared" si="264"/>
        <v>09</v>
      </c>
      <c r="W2405" t="str">
        <f t="shared" si="265"/>
        <v>30</v>
      </c>
      <c r="X2405" t="str">
        <f t="shared" si="266"/>
        <v>18</v>
      </c>
      <c r="Y2405" t="str">
        <f t="shared" si="262"/>
        <v>2018</v>
      </c>
      <c r="Z2405"/>
      <c r="AA2405" s="2">
        <f t="shared" si="263"/>
        <v>43991</v>
      </c>
      <c r="AB2405" t="str">
        <f t="shared" si="267"/>
        <v>09/30/2018</v>
      </c>
      <c r="AC2405"/>
    </row>
    <row r="2406" spans="21:29" ht="15">
      <c r="U2406" s="228" t="s">
        <v>10222</v>
      </c>
      <c r="V2406" t="str">
        <f t="shared" si="264"/>
        <v>10</v>
      </c>
      <c r="W2406" t="str">
        <f t="shared" si="265"/>
        <v>02</v>
      </c>
      <c r="X2406" t="str">
        <f t="shared" si="266"/>
        <v>18</v>
      </c>
      <c r="Y2406" t="str">
        <f t="shared" si="262"/>
        <v>2018</v>
      </c>
      <c r="Z2406"/>
      <c r="AA2406" s="2">
        <f t="shared" si="263"/>
        <v>43141</v>
      </c>
      <c r="AB2406" t="str">
        <f t="shared" si="267"/>
        <v>10/02/2018</v>
      </c>
      <c r="AC2406"/>
    </row>
    <row r="2407" spans="21:29" ht="15">
      <c r="U2407" s="228" t="s">
        <v>10223</v>
      </c>
      <c r="V2407" t="str">
        <f t="shared" si="264"/>
        <v>10</v>
      </c>
      <c r="W2407" t="str">
        <f t="shared" si="265"/>
        <v>18</v>
      </c>
      <c r="X2407" t="str">
        <f t="shared" si="266"/>
        <v>18</v>
      </c>
      <c r="Y2407" t="str">
        <f t="shared" si="262"/>
        <v>2018</v>
      </c>
      <c r="Z2407"/>
      <c r="AA2407" s="2">
        <f t="shared" si="263"/>
        <v>43626</v>
      </c>
      <c r="AB2407" t="str">
        <f t="shared" si="267"/>
        <v>10/18/2018</v>
      </c>
      <c r="AC2407"/>
    </row>
    <row r="2408" spans="21:29" ht="15">
      <c r="U2408" s="228" t="s">
        <v>10224</v>
      </c>
      <c r="V2408" t="str">
        <f t="shared" si="264"/>
        <v>10</v>
      </c>
      <c r="W2408" t="str">
        <f t="shared" si="265"/>
        <v>31</v>
      </c>
      <c r="X2408" t="str">
        <f t="shared" si="266"/>
        <v>18</v>
      </c>
      <c r="Y2408" t="str">
        <f t="shared" si="262"/>
        <v>2018</v>
      </c>
      <c r="Z2408"/>
      <c r="AA2408" s="2">
        <f t="shared" si="263"/>
        <v>44022</v>
      </c>
      <c r="AB2408" t="str">
        <f t="shared" si="267"/>
        <v>10/31/2018</v>
      </c>
      <c r="AC2408"/>
    </row>
    <row r="2409" spans="21:29" ht="15">
      <c r="U2409" s="228" t="s">
        <v>10225</v>
      </c>
      <c r="V2409" t="str">
        <f t="shared" si="264"/>
        <v>11</v>
      </c>
      <c r="W2409" t="str">
        <f t="shared" si="265"/>
        <v>17</v>
      </c>
      <c r="X2409" t="str">
        <f t="shared" si="266"/>
        <v>18</v>
      </c>
      <c r="Y2409" t="str">
        <f t="shared" si="262"/>
        <v>2018</v>
      </c>
      <c r="Z2409"/>
      <c r="AA2409" s="2">
        <f t="shared" si="263"/>
        <v>43596</v>
      </c>
      <c r="AB2409" t="str">
        <f t="shared" si="267"/>
        <v>11/17/2018</v>
      </c>
      <c r="AC2409"/>
    </row>
    <row r="2410" spans="21:29" ht="15">
      <c r="U2410" s="228" t="s">
        <v>10226</v>
      </c>
      <c r="V2410" t="str">
        <f t="shared" si="264"/>
        <v>12</v>
      </c>
      <c r="W2410" t="str">
        <f t="shared" si="265"/>
        <v>03</v>
      </c>
      <c r="X2410" t="str">
        <f t="shared" si="266"/>
        <v>18</v>
      </c>
      <c r="Y2410" t="str">
        <f t="shared" si="262"/>
        <v>2018</v>
      </c>
      <c r="Z2410"/>
      <c r="AA2410" s="2">
        <f t="shared" si="263"/>
        <v>43171</v>
      </c>
      <c r="AB2410" t="str">
        <f t="shared" si="267"/>
        <v>12/03/2018</v>
      </c>
      <c r="AC2410"/>
    </row>
    <row r="2411" spans="21:29" ht="15">
      <c r="U2411" s="228" t="s">
        <v>10227</v>
      </c>
      <c r="V2411" t="str">
        <f t="shared" si="264"/>
        <v>12</v>
      </c>
      <c r="W2411" t="str">
        <f t="shared" si="265"/>
        <v>18</v>
      </c>
      <c r="X2411" t="str">
        <f t="shared" si="266"/>
        <v>18</v>
      </c>
      <c r="Y2411" t="str">
        <f t="shared" si="262"/>
        <v>2018</v>
      </c>
      <c r="Z2411"/>
      <c r="AA2411" s="2">
        <f t="shared" si="263"/>
        <v>43628</v>
      </c>
      <c r="AB2411" t="str">
        <f t="shared" si="267"/>
        <v>12/18/2018</v>
      </c>
      <c r="AC2411"/>
    </row>
    <row r="2412" spans="21:29" ht="15">
      <c r="U2412" s="228" t="s">
        <v>10228</v>
      </c>
      <c r="V2412" t="str">
        <f t="shared" si="264"/>
        <v>12</v>
      </c>
      <c r="W2412" t="str">
        <f t="shared" si="265"/>
        <v>26</v>
      </c>
      <c r="X2412" t="str">
        <f t="shared" si="266"/>
        <v>18</v>
      </c>
      <c r="Y2412" t="str">
        <f t="shared" si="262"/>
        <v>2018</v>
      </c>
      <c r="Z2412"/>
      <c r="AA2412" s="2">
        <f t="shared" si="263"/>
        <v>43873</v>
      </c>
      <c r="AB2412" t="str">
        <f t="shared" si="267"/>
        <v>12/26/2018</v>
      </c>
      <c r="AC2412"/>
    </row>
    <row r="2413" spans="21:29" ht="15">
      <c r="U2413" s="228" t="s">
        <v>10229</v>
      </c>
      <c r="V2413" t="str">
        <f t="shared" si="264"/>
        <v>01</v>
      </c>
      <c r="W2413" t="str">
        <f t="shared" si="265"/>
        <v>01</v>
      </c>
      <c r="X2413" t="str">
        <f t="shared" si="266"/>
        <v>19</v>
      </c>
      <c r="Y2413" t="str">
        <f t="shared" si="262"/>
        <v>2019</v>
      </c>
      <c r="Z2413"/>
      <c r="AA2413" s="2">
        <f t="shared" si="263"/>
        <v>43466</v>
      </c>
      <c r="AB2413" t="str">
        <f t="shared" si="267"/>
        <v>01/01/2019</v>
      </c>
      <c r="AC2413"/>
    </row>
    <row r="2414" spans="21:29" ht="15">
      <c r="U2414" s="228" t="s">
        <v>10229</v>
      </c>
      <c r="V2414" t="str">
        <f t="shared" si="264"/>
        <v>01</v>
      </c>
      <c r="W2414" t="str">
        <f t="shared" si="265"/>
        <v>01</v>
      </c>
      <c r="X2414" t="str">
        <f t="shared" si="266"/>
        <v>19</v>
      </c>
      <c r="Y2414" t="str">
        <f t="shared" si="262"/>
        <v>2019</v>
      </c>
      <c r="Z2414"/>
      <c r="AA2414" s="2">
        <f t="shared" si="263"/>
        <v>43466</v>
      </c>
      <c r="AB2414" t="str">
        <f t="shared" si="267"/>
        <v>01/01/2019</v>
      </c>
      <c r="AC2414"/>
    </row>
    <row r="2415" spans="21:29" ht="15">
      <c r="U2415" s="228" t="s">
        <v>10230</v>
      </c>
      <c r="V2415" t="str">
        <f t="shared" si="264"/>
        <v>01</v>
      </c>
      <c r="W2415" t="str">
        <f t="shared" si="265"/>
        <v>17</v>
      </c>
      <c r="X2415" t="str">
        <f t="shared" si="266"/>
        <v>19</v>
      </c>
      <c r="Y2415" t="str">
        <f t="shared" si="262"/>
        <v>2019</v>
      </c>
      <c r="Z2415"/>
      <c r="AA2415" s="2">
        <f t="shared" si="263"/>
        <v>43952</v>
      </c>
      <c r="AB2415" t="str">
        <f t="shared" si="267"/>
        <v>01/17/2019</v>
      </c>
      <c r="AC2415"/>
    </row>
    <row r="2416" spans="21:29" ht="15">
      <c r="U2416" s="228" t="s">
        <v>10231</v>
      </c>
      <c r="V2416" t="str">
        <f t="shared" si="264"/>
        <v>02</v>
      </c>
      <c r="W2416" t="str">
        <f t="shared" si="265"/>
        <v>04</v>
      </c>
      <c r="X2416" t="str">
        <f t="shared" si="266"/>
        <v>19</v>
      </c>
      <c r="Y2416" t="str">
        <f t="shared" si="262"/>
        <v>2019</v>
      </c>
      <c r="Z2416"/>
      <c r="AA2416" s="2">
        <f t="shared" si="263"/>
        <v>43557</v>
      </c>
      <c r="AB2416" t="str">
        <f t="shared" si="267"/>
        <v>02/04/2019</v>
      </c>
      <c r="AC2416"/>
    </row>
    <row r="2417" spans="21:29" ht="15">
      <c r="U2417" s="228" t="s">
        <v>10232</v>
      </c>
      <c r="V2417" t="str">
        <f t="shared" si="264"/>
        <v>02</v>
      </c>
      <c r="W2417" t="str">
        <f t="shared" si="265"/>
        <v>07</v>
      </c>
      <c r="X2417" t="str">
        <f t="shared" si="266"/>
        <v>19</v>
      </c>
      <c r="Y2417" t="str">
        <f t="shared" si="262"/>
        <v>2019</v>
      </c>
      <c r="Z2417"/>
      <c r="AA2417" s="2">
        <f t="shared" si="263"/>
        <v>43648</v>
      </c>
      <c r="AB2417" t="str">
        <f t="shared" si="267"/>
        <v>02/07/2019</v>
      </c>
      <c r="AC2417"/>
    </row>
    <row r="2418" spans="21:29" ht="15">
      <c r="U2418" s="228" t="s">
        <v>10233</v>
      </c>
      <c r="V2418" t="str">
        <f t="shared" si="264"/>
        <v>03</v>
      </c>
      <c r="W2418" t="str">
        <f t="shared" si="265"/>
        <v>07</v>
      </c>
      <c r="X2418" t="str">
        <f t="shared" si="266"/>
        <v>19</v>
      </c>
      <c r="Y2418" t="str">
        <f t="shared" si="262"/>
        <v>2019</v>
      </c>
      <c r="Z2418"/>
      <c r="AA2418" s="2">
        <f t="shared" si="263"/>
        <v>43649</v>
      </c>
      <c r="AB2418" t="str">
        <f t="shared" si="267"/>
        <v>03/07/2019</v>
      </c>
      <c r="AC2418"/>
    </row>
    <row r="2419" spans="21:29" ht="15">
      <c r="U2419" s="228" t="s">
        <v>10234</v>
      </c>
      <c r="V2419" t="str">
        <f t="shared" si="264"/>
        <v>03</v>
      </c>
      <c r="W2419" t="str">
        <f t="shared" si="265"/>
        <v>08</v>
      </c>
      <c r="X2419" t="str">
        <f t="shared" si="266"/>
        <v>19</v>
      </c>
      <c r="Y2419" t="str">
        <f t="shared" si="262"/>
        <v>2019</v>
      </c>
      <c r="Z2419"/>
      <c r="AA2419" s="2">
        <f t="shared" si="263"/>
        <v>43680</v>
      </c>
      <c r="AB2419" t="str">
        <f t="shared" si="267"/>
        <v>03/08/2019</v>
      </c>
      <c r="AC2419"/>
    </row>
    <row r="2420" spans="21:29" ht="15">
      <c r="U2420" s="228" t="s">
        <v>10235</v>
      </c>
      <c r="V2420" t="str">
        <f t="shared" si="264"/>
        <v>04</v>
      </c>
      <c r="W2420" t="str">
        <f t="shared" si="265"/>
        <v>01</v>
      </c>
      <c r="X2420" t="str">
        <f t="shared" si="266"/>
        <v>19</v>
      </c>
      <c r="Y2420" t="str">
        <f t="shared" si="262"/>
        <v>2019</v>
      </c>
      <c r="Z2420"/>
      <c r="AA2420" s="2">
        <f t="shared" si="263"/>
        <v>43469</v>
      </c>
      <c r="AB2420" t="str">
        <f t="shared" si="267"/>
        <v>04/01/2019</v>
      </c>
      <c r="AC2420"/>
    </row>
    <row r="2421" spans="21:29" ht="15">
      <c r="U2421" s="228" t="s">
        <v>10236</v>
      </c>
      <c r="V2421" t="str">
        <f t="shared" si="264"/>
        <v>04</v>
      </c>
      <c r="W2421" t="str">
        <f t="shared" si="265"/>
        <v>04</v>
      </c>
      <c r="X2421" t="str">
        <f t="shared" si="266"/>
        <v>19</v>
      </c>
      <c r="Y2421" t="str">
        <f t="shared" si="262"/>
        <v>2019</v>
      </c>
      <c r="Z2421"/>
      <c r="AA2421" s="2">
        <f t="shared" si="263"/>
        <v>43559</v>
      </c>
      <c r="AB2421" t="str">
        <f t="shared" si="267"/>
        <v>04/04/2019</v>
      </c>
      <c r="AC2421"/>
    </row>
    <row r="2422" spans="21:29" ht="15">
      <c r="U2422" s="228" t="s">
        <v>10237</v>
      </c>
      <c r="V2422" t="str">
        <f t="shared" si="264"/>
        <v>04</v>
      </c>
      <c r="W2422" t="str">
        <f t="shared" si="265"/>
        <v>07</v>
      </c>
      <c r="X2422" t="str">
        <f t="shared" si="266"/>
        <v>19</v>
      </c>
      <c r="Y2422" t="str">
        <f t="shared" si="262"/>
        <v>2019</v>
      </c>
      <c r="Z2422"/>
      <c r="AA2422" s="2">
        <f t="shared" si="263"/>
        <v>43650</v>
      </c>
      <c r="AB2422" t="str">
        <f t="shared" si="267"/>
        <v>04/07/2019</v>
      </c>
      <c r="AC2422"/>
    </row>
    <row r="2423" spans="21:29" ht="15">
      <c r="U2423" s="228" t="s">
        <v>10238</v>
      </c>
      <c r="V2423" t="str">
        <f t="shared" si="264"/>
        <v>05</v>
      </c>
      <c r="W2423" t="str">
        <f t="shared" si="265"/>
        <v>05</v>
      </c>
      <c r="X2423" t="str">
        <f t="shared" si="266"/>
        <v>19</v>
      </c>
      <c r="Y2423" t="str">
        <f t="shared" si="262"/>
        <v>2019</v>
      </c>
      <c r="Z2423"/>
      <c r="AA2423" s="2">
        <f t="shared" si="263"/>
        <v>43590</v>
      </c>
      <c r="AB2423" t="str">
        <f t="shared" si="267"/>
        <v>05/05/2019</v>
      </c>
      <c r="AC2423"/>
    </row>
    <row r="2424" spans="21:29" ht="15">
      <c r="U2424" s="228" t="s">
        <v>10239</v>
      </c>
      <c r="V2424" t="str">
        <f t="shared" si="264"/>
        <v>05</v>
      </c>
      <c r="W2424" t="str">
        <f t="shared" si="265"/>
        <v>08</v>
      </c>
      <c r="X2424" t="str">
        <f t="shared" si="266"/>
        <v>19</v>
      </c>
      <c r="Y2424" t="str">
        <f t="shared" si="262"/>
        <v>2019</v>
      </c>
      <c r="Z2424"/>
      <c r="AA2424" s="2">
        <f t="shared" si="263"/>
        <v>43682</v>
      </c>
      <c r="AB2424" t="str">
        <f t="shared" si="267"/>
        <v>05/08/2019</v>
      </c>
      <c r="AC2424"/>
    </row>
    <row r="2425" spans="21:29" ht="15">
      <c r="U2425" s="228" t="s">
        <v>10240</v>
      </c>
      <c r="V2425" t="str">
        <f t="shared" si="264"/>
        <v>06</v>
      </c>
      <c r="W2425" t="str">
        <f t="shared" si="265"/>
        <v>04</v>
      </c>
      <c r="X2425" t="str">
        <f t="shared" si="266"/>
        <v>19</v>
      </c>
      <c r="Y2425" t="str">
        <f t="shared" si="262"/>
        <v>2019</v>
      </c>
      <c r="Z2425"/>
      <c r="AA2425" s="2">
        <f t="shared" si="263"/>
        <v>43561</v>
      </c>
      <c r="AB2425" t="str">
        <f t="shared" si="267"/>
        <v>06/04/2019</v>
      </c>
      <c r="AC2425"/>
    </row>
    <row r="2426" spans="21:29" ht="15">
      <c r="U2426" s="228" t="s">
        <v>10241</v>
      </c>
      <c r="V2426" t="str">
        <f t="shared" si="264"/>
        <v>06</v>
      </c>
      <c r="W2426" t="str">
        <f t="shared" si="265"/>
        <v>08</v>
      </c>
      <c r="X2426" t="str">
        <f t="shared" si="266"/>
        <v>19</v>
      </c>
      <c r="Y2426" t="str">
        <f t="shared" si="262"/>
        <v>2019</v>
      </c>
      <c r="Z2426"/>
      <c r="AA2426" s="2">
        <f t="shared" si="263"/>
        <v>43683</v>
      </c>
      <c r="AB2426" t="str">
        <f t="shared" si="267"/>
        <v>06/08/2019</v>
      </c>
      <c r="AC2426"/>
    </row>
    <row r="2427" spans="21:29" ht="15">
      <c r="U2427" s="228" t="s">
        <v>10242</v>
      </c>
      <c r="V2427" t="str">
        <f t="shared" si="264"/>
        <v>06</v>
      </c>
      <c r="W2427" t="str">
        <f t="shared" si="265"/>
        <v>30</v>
      </c>
      <c r="X2427" t="str">
        <f t="shared" si="266"/>
        <v>19</v>
      </c>
      <c r="Y2427" t="str">
        <f t="shared" si="262"/>
        <v>2019</v>
      </c>
      <c r="Z2427"/>
      <c r="AA2427" s="2">
        <f t="shared" si="263"/>
        <v>44353</v>
      </c>
      <c r="AB2427" t="str">
        <f t="shared" si="267"/>
        <v>06/30/2019</v>
      </c>
      <c r="AC2427"/>
    </row>
    <row r="2428" spans="21:29" ht="15">
      <c r="U2428" s="228" t="s">
        <v>10243</v>
      </c>
      <c r="V2428" t="str">
        <f t="shared" si="264"/>
        <v>07</v>
      </c>
      <c r="W2428" t="str">
        <f t="shared" si="265"/>
        <v>05</v>
      </c>
      <c r="X2428" t="str">
        <f t="shared" si="266"/>
        <v>19</v>
      </c>
      <c r="Y2428" t="str">
        <f t="shared" si="262"/>
        <v>2019</v>
      </c>
      <c r="Z2428"/>
      <c r="AA2428" s="2">
        <f t="shared" si="263"/>
        <v>43592</v>
      </c>
      <c r="AB2428" t="str">
        <f t="shared" si="267"/>
        <v>07/05/2019</v>
      </c>
      <c r="AC2428"/>
    </row>
    <row r="2429" spans="21:29" ht="15">
      <c r="U2429" s="228" t="s">
        <v>10244</v>
      </c>
      <c r="V2429" t="str">
        <f t="shared" si="264"/>
        <v>07</v>
      </c>
      <c r="W2429" t="str">
        <f t="shared" si="265"/>
        <v>07</v>
      </c>
      <c r="X2429" t="str">
        <f t="shared" si="266"/>
        <v>19</v>
      </c>
      <c r="Y2429" t="str">
        <f t="shared" si="262"/>
        <v>2019</v>
      </c>
      <c r="Z2429"/>
      <c r="AA2429" s="2">
        <f t="shared" si="263"/>
        <v>43653</v>
      </c>
      <c r="AB2429" t="str">
        <f t="shared" si="267"/>
        <v>07/07/2019</v>
      </c>
      <c r="AC2429"/>
    </row>
    <row r="2430" spans="21:29" ht="15">
      <c r="U2430" s="228" t="s">
        <v>10245</v>
      </c>
      <c r="V2430" t="str">
        <f t="shared" si="264"/>
        <v>08</v>
      </c>
      <c r="W2430" t="str">
        <f t="shared" si="265"/>
        <v>04</v>
      </c>
      <c r="X2430" t="str">
        <f t="shared" si="266"/>
        <v>19</v>
      </c>
      <c r="Y2430" t="str">
        <f t="shared" si="262"/>
        <v>2019</v>
      </c>
      <c r="Z2430"/>
      <c r="AA2430" s="2">
        <f t="shared" si="263"/>
        <v>43563</v>
      </c>
      <c r="AB2430" t="str">
        <f t="shared" si="267"/>
        <v>08/04/2019</v>
      </c>
      <c r="AC2430"/>
    </row>
    <row r="2431" spans="21:29" ht="15">
      <c r="U2431" s="228" t="s">
        <v>10246</v>
      </c>
      <c r="V2431" t="str">
        <f t="shared" si="264"/>
        <v>08</v>
      </c>
      <c r="W2431" t="str">
        <f t="shared" si="265"/>
        <v>08</v>
      </c>
      <c r="X2431" t="str">
        <f t="shared" si="266"/>
        <v>19</v>
      </c>
      <c r="Y2431" t="str">
        <f t="shared" si="262"/>
        <v>2019</v>
      </c>
      <c r="Z2431"/>
      <c r="AA2431" s="2">
        <f t="shared" si="263"/>
        <v>43685</v>
      </c>
      <c r="AB2431" t="str">
        <f t="shared" si="267"/>
        <v>08/08/2019</v>
      </c>
      <c r="AC2431"/>
    </row>
    <row r="2432" spans="21:29" ht="15">
      <c r="U2432" s="228" t="s">
        <v>10247</v>
      </c>
      <c r="V2432" t="str">
        <f t="shared" si="264"/>
        <v>09</v>
      </c>
      <c r="W2432" t="str">
        <f t="shared" si="265"/>
        <v>04</v>
      </c>
      <c r="X2432" t="str">
        <f t="shared" si="266"/>
        <v>19</v>
      </c>
      <c r="Y2432" t="str">
        <f t="shared" si="262"/>
        <v>2019</v>
      </c>
      <c r="Z2432"/>
      <c r="AA2432" s="2">
        <f t="shared" si="263"/>
        <v>43564</v>
      </c>
      <c r="AB2432" t="str">
        <f t="shared" si="267"/>
        <v>09/04/2019</v>
      </c>
      <c r="AC2432"/>
    </row>
    <row r="2433" spans="21:29" ht="15">
      <c r="U2433" s="228" t="s">
        <v>10248</v>
      </c>
      <c r="V2433" t="str">
        <f t="shared" si="264"/>
        <v>09</v>
      </c>
      <c r="W2433" t="str">
        <f t="shared" si="265"/>
        <v>07</v>
      </c>
      <c r="X2433" t="str">
        <f t="shared" si="266"/>
        <v>19</v>
      </c>
      <c r="Y2433" t="str">
        <f t="shared" si="262"/>
        <v>2019</v>
      </c>
      <c r="Z2433"/>
      <c r="AA2433" s="2">
        <f t="shared" si="263"/>
        <v>43655</v>
      </c>
      <c r="AB2433" t="str">
        <f t="shared" si="267"/>
        <v>09/07/2019</v>
      </c>
      <c r="AC2433"/>
    </row>
    <row r="2434" spans="21:29" ht="15">
      <c r="U2434" s="228" t="s">
        <v>10249</v>
      </c>
      <c r="V2434" t="str">
        <f t="shared" si="264"/>
        <v>10</v>
      </c>
      <c r="W2434" t="str">
        <f t="shared" si="265"/>
        <v>01</v>
      </c>
      <c r="X2434" t="str">
        <f t="shared" si="266"/>
        <v>19</v>
      </c>
      <c r="Y2434" t="str">
        <f t="shared" si="262"/>
        <v>2019</v>
      </c>
      <c r="Z2434"/>
      <c r="AA2434" s="2">
        <f t="shared" si="263"/>
        <v>43475</v>
      </c>
      <c r="AB2434" t="str">
        <f t="shared" si="267"/>
        <v>10/01/2019</v>
      </c>
      <c r="AC2434"/>
    </row>
    <row r="2435" spans="21:29" ht="15">
      <c r="U2435" s="228" t="s">
        <v>10250</v>
      </c>
      <c r="V2435" t="str">
        <f t="shared" si="264"/>
        <v>10</v>
      </c>
      <c r="W2435" t="str">
        <f t="shared" si="265"/>
        <v>05</v>
      </c>
      <c r="X2435" t="str">
        <f t="shared" si="266"/>
        <v>19</v>
      </c>
      <c r="Y2435" t="str">
        <f t="shared" ref="Y2435:Y2498" si="268">"20" &amp; X2435</f>
        <v>2019</v>
      </c>
      <c r="Z2435"/>
      <c r="AA2435" s="2">
        <f t="shared" si="263"/>
        <v>43595</v>
      </c>
      <c r="AB2435" t="str">
        <f t="shared" si="267"/>
        <v>10/05/2019</v>
      </c>
      <c r="AC2435"/>
    </row>
    <row r="2436" spans="21:29" ht="15">
      <c r="U2436" s="228" t="s">
        <v>10251</v>
      </c>
      <c r="V2436" t="str">
        <f t="shared" si="264"/>
        <v>10</v>
      </c>
      <c r="W2436" t="str">
        <f t="shared" si="265"/>
        <v>08</v>
      </c>
      <c r="X2436" t="str">
        <f t="shared" si="266"/>
        <v>19</v>
      </c>
      <c r="Y2436" t="str">
        <f t="shared" si="268"/>
        <v>2019</v>
      </c>
      <c r="Z2436"/>
      <c r="AA2436" s="2">
        <f t="shared" si="263"/>
        <v>43687</v>
      </c>
      <c r="AB2436" t="str">
        <f t="shared" si="267"/>
        <v>10/08/2019</v>
      </c>
      <c r="AC2436"/>
    </row>
    <row r="2437" spans="21:29" ht="15">
      <c r="U2437" s="228" t="s">
        <v>10252</v>
      </c>
      <c r="V2437" t="str">
        <f t="shared" si="264"/>
        <v>11</v>
      </c>
      <c r="W2437" t="str">
        <f t="shared" si="265"/>
        <v>04</v>
      </c>
      <c r="X2437" t="str">
        <f t="shared" si="266"/>
        <v>19</v>
      </c>
      <c r="Y2437" t="str">
        <f t="shared" si="268"/>
        <v>2019</v>
      </c>
      <c r="Z2437"/>
      <c r="AA2437" s="2">
        <f t="shared" si="263"/>
        <v>43566</v>
      </c>
      <c r="AB2437" t="str">
        <f t="shared" si="267"/>
        <v>11/04/2019</v>
      </c>
      <c r="AC2437"/>
    </row>
    <row r="2438" spans="21:29" ht="15">
      <c r="U2438" s="228" t="s">
        <v>10253</v>
      </c>
      <c r="V2438" t="str">
        <f t="shared" si="264"/>
        <v>11</v>
      </c>
      <c r="W2438" t="str">
        <f t="shared" si="265"/>
        <v>08</v>
      </c>
      <c r="X2438" t="str">
        <f t="shared" si="266"/>
        <v>19</v>
      </c>
      <c r="Y2438" t="str">
        <f t="shared" si="268"/>
        <v>2019</v>
      </c>
      <c r="Z2438"/>
      <c r="AA2438" s="2">
        <f t="shared" si="263"/>
        <v>43688</v>
      </c>
      <c r="AB2438" t="str">
        <f t="shared" si="267"/>
        <v>11/08/2019</v>
      </c>
      <c r="AC2438"/>
    </row>
    <row r="2439" spans="21:29" ht="15">
      <c r="U2439" s="228" t="s">
        <v>10254</v>
      </c>
      <c r="V2439" t="str">
        <f t="shared" si="264"/>
        <v>12</v>
      </c>
      <c r="W2439" t="str">
        <f t="shared" si="265"/>
        <v>05</v>
      </c>
      <c r="X2439" t="str">
        <f t="shared" si="266"/>
        <v>19</v>
      </c>
      <c r="Y2439" t="str">
        <f t="shared" si="268"/>
        <v>2019</v>
      </c>
      <c r="Z2439"/>
      <c r="AA2439" s="2">
        <f t="shared" si="263"/>
        <v>43597</v>
      </c>
      <c r="AB2439" t="str">
        <f t="shared" si="267"/>
        <v>12/05/2019</v>
      </c>
      <c r="AC2439"/>
    </row>
    <row r="2440" spans="21:29" ht="15">
      <c r="U2440" s="228" t="s">
        <v>10255</v>
      </c>
      <c r="V2440" t="str">
        <f t="shared" si="264"/>
        <v>12</v>
      </c>
      <c r="W2440" t="str">
        <f t="shared" si="265"/>
        <v>08</v>
      </c>
      <c r="X2440" t="str">
        <f t="shared" si="266"/>
        <v>19</v>
      </c>
      <c r="Y2440" t="str">
        <f t="shared" si="268"/>
        <v>2019</v>
      </c>
      <c r="Z2440"/>
      <c r="AA2440" s="2">
        <f t="shared" ref="AA2440:AA2503" si="269">DATE(Y2440,W2440,V2440)</f>
        <v>43689</v>
      </c>
      <c r="AB2440" t="str">
        <f t="shared" si="267"/>
        <v>12/08/2019</v>
      </c>
      <c r="AC2440"/>
    </row>
    <row r="2441" spans="21:29" ht="15">
      <c r="U2441" s="228" t="s">
        <v>10256</v>
      </c>
      <c r="V2441" t="str">
        <f t="shared" si="264"/>
        <v>01</v>
      </c>
      <c r="W2441" t="str">
        <f t="shared" si="265"/>
        <v>01</v>
      </c>
      <c r="X2441" t="str">
        <f t="shared" si="266"/>
        <v>20</v>
      </c>
      <c r="Y2441" t="str">
        <f t="shared" si="268"/>
        <v>2020</v>
      </c>
      <c r="Z2441"/>
      <c r="AA2441" s="2">
        <f t="shared" si="269"/>
        <v>43831</v>
      </c>
      <c r="AB2441" t="str">
        <f t="shared" si="267"/>
        <v>01/01/2020</v>
      </c>
      <c r="AC2441"/>
    </row>
    <row r="2442" spans="21:29" ht="15">
      <c r="U2442" s="228" t="s">
        <v>10257</v>
      </c>
      <c r="V2442" t="str">
        <f t="shared" si="264"/>
        <v>01</v>
      </c>
      <c r="W2442" t="str">
        <f t="shared" si="265"/>
        <v>04</v>
      </c>
      <c r="X2442" t="str">
        <f t="shared" si="266"/>
        <v>20</v>
      </c>
      <c r="Y2442" t="str">
        <f t="shared" si="268"/>
        <v>2020</v>
      </c>
      <c r="Z2442"/>
      <c r="AA2442" s="2">
        <f t="shared" si="269"/>
        <v>43922</v>
      </c>
      <c r="AB2442" t="str">
        <f t="shared" si="267"/>
        <v>01/04/2020</v>
      </c>
      <c r="AC2442"/>
    </row>
    <row r="2443" spans="21:29" ht="15">
      <c r="U2443" s="228" t="s">
        <v>10258</v>
      </c>
      <c r="V2443" t="str">
        <f t="shared" si="264"/>
        <v>01</v>
      </c>
      <c r="W2443" t="str">
        <f t="shared" si="265"/>
        <v>08</v>
      </c>
      <c r="X2443" t="str">
        <f t="shared" si="266"/>
        <v>20</v>
      </c>
      <c r="Y2443" t="str">
        <f t="shared" si="268"/>
        <v>2020</v>
      </c>
      <c r="Z2443"/>
      <c r="AA2443" s="2">
        <f t="shared" si="269"/>
        <v>44044</v>
      </c>
      <c r="AB2443" t="str">
        <f t="shared" si="267"/>
        <v>01/08/2020</v>
      </c>
      <c r="AC2443"/>
    </row>
    <row r="2444" spans="21:29" ht="15">
      <c r="U2444" s="228" t="s">
        <v>10259</v>
      </c>
      <c r="V2444" t="str">
        <f t="shared" si="264"/>
        <v>02</v>
      </c>
      <c r="W2444" t="str">
        <f t="shared" si="265"/>
        <v>04</v>
      </c>
      <c r="X2444" t="str">
        <f t="shared" si="266"/>
        <v>20</v>
      </c>
      <c r="Y2444" t="str">
        <f t="shared" si="268"/>
        <v>2020</v>
      </c>
      <c r="Z2444"/>
      <c r="AA2444" s="2">
        <f t="shared" si="269"/>
        <v>43923</v>
      </c>
      <c r="AB2444" t="str">
        <f t="shared" si="267"/>
        <v>02/04/2020</v>
      </c>
      <c r="AC2444"/>
    </row>
    <row r="2445" spans="21:29" ht="15">
      <c r="U2445" s="228" t="s">
        <v>10260</v>
      </c>
      <c r="V2445" t="str">
        <f t="shared" si="264"/>
        <v>02</v>
      </c>
      <c r="W2445" t="str">
        <f t="shared" si="265"/>
        <v>08</v>
      </c>
      <c r="X2445" t="str">
        <f t="shared" si="266"/>
        <v>20</v>
      </c>
      <c r="Y2445" t="str">
        <f t="shared" si="268"/>
        <v>2020</v>
      </c>
      <c r="Z2445"/>
      <c r="AA2445" s="2">
        <f t="shared" si="269"/>
        <v>44045</v>
      </c>
      <c r="AB2445" t="str">
        <f t="shared" si="267"/>
        <v>02/08/2020</v>
      </c>
      <c r="AC2445"/>
    </row>
    <row r="2446" spans="21:29" ht="15">
      <c r="U2446" s="228" t="s">
        <v>10261</v>
      </c>
      <c r="V2446" t="str">
        <f t="shared" si="264"/>
        <v>02</v>
      </c>
      <c r="W2446" t="str">
        <f t="shared" si="265"/>
        <v>28</v>
      </c>
      <c r="X2446" t="str">
        <f t="shared" si="266"/>
        <v>20</v>
      </c>
      <c r="Y2446" t="str">
        <f t="shared" si="268"/>
        <v>2020</v>
      </c>
      <c r="Z2446"/>
      <c r="AA2446" s="2">
        <f t="shared" si="269"/>
        <v>44653</v>
      </c>
      <c r="AB2446" t="str">
        <f t="shared" si="267"/>
        <v>02/28/2020</v>
      </c>
      <c r="AC2446"/>
    </row>
    <row r="2447" spans="21:29" ht="15">
      <c r="U2447" s="228" t="s">
        <v>10262</v>
      </c>
      <c r="V2447" t="str">
        <f t="shared" ref="V2447:V2510" si="270">LEFT(AB2447,2)</f>
        <v>03</v>
      </c>
      <c r="W2447" t="str">
        <f t="shared" ref="W2447:W2510" si="271">MID(AB2447,4,2)</f>
        <v>06</v>
      </c>
      <c r="X2447" t="str">
        <f t="shared" ref="X2447:X2510" si="272">RIGHT(AB2447,2)</f>
        <v>20</v>
      </c>
      <c r="Y2447" t="str">
        <f t="shared" si="268"/>
        <v>2020</v>
      </c>
      <c r="Z2447"/>
      <c r="AA2447" s="2">
        <f t="shared" si="269"/>
        <v>43985</v>
      </c>
      <c r="AB2447" t="str">
        <f t="shared" ref="AB2447:AB2510" si="273">TEXT(U2447, "mm/dd/yyyy")</f>
        <v>03/06/2020</v>
      </c>
      <c r="AC2447"/>
    </row>
    <row r="2448" spans="21:29" ht="15">
      <c r="U2448" s="228" t="s">
        <v>10263</v>
      </c>
      <c r="V2448" t="str">
        <f t="shared" si="270"/>
        <v>03</v>
      </c>
      <c r="W2448" t="str">
        <f t="shared" si="271"/>
        <v>08</v>
      </c>
      <c r="X2448" t="str">
        <f t="shared" si="272"/>
        <v>20</v>
      </c>
      <c r="Y2448" t="str">
        <f t="shared" si="268"/>
        <v>2020</v>
      </c>
      <c r="Z2448"/>
      <c r="AA2448" s="2">
        <f t="shared" si="269"/>
        <v>44046</v>
      </c>
      <c r="AB2448" t="str">
        <f t="shared" si="273"/>
        <v>03/08/2020</v>
      </c>
      <c r="AC2448"/>
    </row>
    <row r="2449" spans="21:29" ht="15">
      <c r="U2449" s="228" t="s">
        <v>10264</v>
      </c>
      <c r="V2449" t="str">
        <f t="shared" si="270"/>
        <v>04</v>
      </c>
      <c r="W2449" t="str">
        <f t="shared" si="271"/>
        <v>01</v>
      </c>
      <c r="X2449" t="str">
        <f t="shared" si="272"/>
        <v>20</v>
      </c>
      <c r="Y2449" t="str">
        <f t="shared" si="268"/>
        <v>2020</v>
      </c>
      <c r="Z2449"/>
      <c r="AA2449" s="2">
        <f t="shared" si="269"/>
        <v>43834</v>
      </c>
      <c r="AB2449" t="str">
        <f t="shared" si="273"/>
        <v>04/01/2020</v>
      </c>
      <c r="AC2449"/>
    </row>
    <row r="2450" spans="21:29" ht="15">
      <c r="U2450" s="228" t="s">
        <v>10265</v>
      </c>
      <c r="V2450" t="str">
        <f t="shared" si="270"/>
        <v>04</v>
      </c>
      <c r="W2450" t="str">
        <f t="shared" si="271"/>
        <v>04</v>
      </c>
      <c r="X2450" t="str">
        <f t="shared" si="272"/>
        <v>20</v>
      </c>
      <c r="Y2450" t="str">
        <f t="shared" si="268"/>
        <v>2020</v>
      </c>
      <c r="Z2450"/>
      <c r="AA2450" s="2">
        <f t="shared" si="269"/>
        <v>43925</v>
      </c>
      <c r="AB2450" t="str">
        <f t="shared" si="273"/>
        <v>04/04/2020</v>
      </c>
      <c r="AC2450"/>
    </row>
    <row r="2451" spans="21:29" ht="15">
      <c r="U2451" s="228" t="s">
        <v>10266</v>
      </c>
      <c r="V2451" t="str">
        <f t="shared" si="270"/>
        <v>04</v>
      </c>
      <c r="W2451" t="str">
        <f t="shared" si="271"/>
        <v>08</v>
      </c>
      <c r="X2451" t="str">
        <f t="shared" si="272"/>
        <v>20</v>
      </c>
      <c r="Y2451" t="str">
        <f t="shared" si="268"/>
        <v>2020</v>
      </c>
      <c r="Z2451"/>
      <c r="AA2451" s="2">
        <f t="shared" si="269"/>
        <v>44047</v>
      </c>
      <c r="AB2451" t="str">
        <f t="shared" si="273"/>
        <v>04/08/2020</v>
      </c>
      <c r="AC2451"/>
    </row>
    <row r="2452" spans="21:29" ht="15">
      <c r="U2452" s="228" t="s">
        <v>6579</v>
      </c>
      <c r="V2452" t="str">
        <f t="shared" si="270"/>
        <v>05</v>
      </c>
      <c r="W2452" t="str">
        <f t="shared" si="271"/>
        <v>05</v>
      </c>
      <c r="X2452" t="str">
        <f t="shared" si="272"/>
        <v>20</v>
      </c>
      <c r="Y2452" t="str">
        <f t="shared" si="268"/>
        <v>2020</v>
      </c>
      <c r="Z2452"/>
      <c r="AA2452" s="2">
        <f t="shared" si="269"/>
        <v>43956</v>
      </c>
      <c r="AB2452" t="str">
        <f t="shared" si="273"/>
        <v>05/05/2020</v>
      </c>
      <c r="AC2452"/>
    </row>
    <row r="2453" spans="21:29" ht="15">
      <c r="U2453" s="228" t="s">
        <v>10267</v>
      </c>
      <c r="V2453" t="str">
        <f t="shared" si="270"/>
        <v>05</v>
      </c>
      <c r="W2453" t="str">
        <f t="shared" si="271"/>
        <v>07</v>
      </c>
      <c r="X2453" t="str">
        <f t="shared" si="272"/>
        <v>20</v>
      </c>
      <c r="Y2453" t="str">
        <f t="shared" si="268"/>
        <v>2020</v>
      </c>
      <c r="Z2453"/>
      <c r="AA2453" s="2">
        <f t="shared" si="269"/>
        <v>44017</v>
      </c>
      <c r="AB2453" t="str">
        <f t="shared" si="273"/>
        <v>05/07/2020</v>
      </c>
      <c r="AC2453"/>
    </row>
    <row r="2454" spans="21:29" ht="15">
      <c r="U2454" s="228" t="s">
        <v>10268</v>
      </c>
      <c r="V2454" t="str">
        <f t="shared" si="270"/>
        <v>05</v>
      </c>
      <c r="W2454" t="str">
        <f t="shared" si="271"/>
        <v>09</v>
      </c>
      <c r="X2454" t="str">
        <f t="shared" si="272"/>
        <v>20</v>
      </c>
      <c r="Y2454" t="str">
        <f t="shared" si="268"/>
        <v>2020</v>
      </c>
      <c r="Z2454"/>
      <c r="AA2454" s="2">
        <f t="shared" si="269"/>
        <v>44079</v>
      </c>
      <c r="AB2454" t="str">
        <f t="shared" si="273"/>
        <v>05/09/2020</v>
      </c>
      <c r="AC2454"/>
    </row>
    <row r="2455" spans="21:29" ht="15">
      <c r="U2455" s="228" t="s">
        <v>6669</v>
      </c>
      <c r="V2455" t="str">
        <f t="shared" si="270"/>
        <v>06</v>
      </c>
      <c r="W2455" t="str">
        <f t="shared" si="271"/>
        <v>04</v>
      </c>
      <c r="X2455" t="str">
        <f t="shared" si="272"/>
        <v>20</v>
      </c>
      <c r="Y2455" t="str">
        <f t="shared" si="268"/>
        <v>2020</v>
      </c>
      <c r="Z2455"/>
      <c r="AA2455" s="2">
        <f t="shared" si="269"/>
        <v>43927</v>
      </c>
      <c r="AB2455" t="str">
        <f t="shared" si="273"/>
        <v>06/04/2020</v>
      </c>
      <c r="AC2455"/>
    </row>
    <row r="2456" spans="21:29" ht="15">
      <c r="U2456" s="228" t="s">
        <v>6688</v>
      </c>
      <c r="V2456" t="str">
        <f t="shared" si="270"/>
        <v>06</v>
      </c>
      <c r="W2456" t="str">
        <f t="shared" si="271"/>
        <v>10</v>
      </c>
      <c r="X2456" t="str">
        <f t="shared" si="272"/>
        <v>20</v>
      </c>
      <c r="Y2456" t="str">
        <f t="shared" si="268"/>
        <v>2020</v>
      </c>
      <c r="Z2456"/>
      <c r="AA2456" s="2">
        <f t="shared" si="269"/>
        <v>44110</v>
      </c>
      <c r="AB2456" t="str">
        <f t="shared" si="273"/>
        <v>06/10/2020</v>
      </c>
      <c r="AC2456"/>
    </row>
    <row r="2457" spans="21:29" ht="15">
      <c r="U2457" s="228" t="s">
        <v>6688</v>
      </c>
      <c r="V2457" t="str">
        <f t="shared" si="270"/>
        <v>06</v>
      </c>
      <c r="W2457" t="str">
        <f t="shared" si="271"/>
        <v>10</v>
      </c>
      <c r="X2457" t="str">
        <f t="shared" si="272"/>
        <v>20</v>
      </c>
      <c r="Y2457" t="str">
        <f t="shared" si="268"/>
        <v>2020</v>
      </c>
      <c r="Z2457"/>
      <c r="AA2457" s="2">
        <f t="shared" si="269"/>
        <v>44110</v>
      </c>
      <c r="AB2457" t="str">
        <f t="shared" si="273"/>
        <v>06/10/2020</v>
      </c>
      <c r="AC2457"/>
    </row>
    <row r="2458" spans="21:29" ht="15">
      <c r="U2458" s="228" t="s">
        <v>6743</v>
      </c>
      <c r="V2458" t="str">
        <f t="shared" si="270"/>
        <v>07</v>
      </c>
      <c r="W2458" t="str">
        <f t="shared" si="271"/>
        <v>01</v>
      </c>
      <c r="X2458" t="str">
        <f t="shared" si="272"/>
        <v>20</v>
      </c>
      <c r="Y2458" t="str">
        <f t="shared" si="268"/>
        <v>2020</v>
      </c>
      <c r="Z2458"/>
      <c r="AA2458" s="2">
        <f t="shared" si="269"/>
        <v>43837</v>
      </c>
      <c r="AB2458" t="str">
        <f t="shared" si="273"/>
        <v>07/01/2020</v>
      </c>
      <c r="AC2458"/>
    </row>
    <row r="2459" spans="21:29" ht="15">
      <c r="U2459" s="228" t="s">
        <v>10269</v>
      </c>
      <c r="V2459" t="str">
        <f t="shared" si="270"/>
        <v>07</v>
      </c>
      <c r="W2459" t="str">
        <f t="shared" si="271"/>
        <v>05</v>
      </c>
      <c r="X2459" t="str">
        <f t="shared" si="272"/>
        <v>20</v>
      </c>
      <c r="Y2459" t="str">
        <f t="shared" si="268"/>
        <v>2020</v>
      </c>
      <c r="Z2459"/>
      <c r="AA2459" s="2">
        <f t="shared" si="269"/>
        <v>43958</v>
      </c>
      <c r="AB2459" t="str">
        <f t="shared" si="273"/>
        <v>07/05/2020</v>
      </c>
      <c r="AC2459"/>
    </row>
    <row r="2460" spans="21:29" ht="15">
      <c r="U2460" s="228" t="s">
        <v>6769</v>
      </c>
      <c r="V2460" t="str">
        <f t="shared" si="270"/>
        <v>07</v>
      </c>
      <c r="W2460" t="str">
        <f t="shared" si="271"/>
        <v>10</v>
      </c>
      <c r="X2460" t="str">
        <f t="shared" si="272"/>
        <v>20</v>
      </c>
      <c r="Y2460" t="str">
        <f t="shared" si="268"/>
        <v>2020</v>
      </c>
      <c r="Z2460"/>
      <c r="AA2460" s="2">
        <f t="shared" si="269"/>
        <v>44111</v>
      </c>
      <c r="AB2460" t="str">
        <f t="shared" si="273"/>
        <v>07/10/2020</v>
      </c>
      <c r="AC2460"/>
    </row>
    <row r="2461" spans="21:29" ht="15">
      <c r="U2461" s="228" t="s">
        <v>6843</v>
      </c>
      <c r="V2461" t="str">
        <f t="shared" si="270"/>
        <v>08</v>
      </c>
      <c r="W2461" t="str">
        <f t="shared" si="271"/>
        <v>04</v>
      </c>
      <c r="X2461" t="str">
        <f t="shared" si="272"/>
        <v>20</v>
      </c>
      <c r="Y2461" t="str">
        <f t="shared" si="268"/>
        <v>2020</v>
      </c>
      <c r="Z2461"/>
      <c r="AA2461" s="2">
        <f t="shared" si="269"/>
        <v>43929</v>
      </c>
      <c r="AB2461" t="str">
        <f t="shared" si="273"/>
        <v>08/04/2020</v>
      </c>
      <c r="AC2461"/>
    </row>
    <row r="2462" spans="21:29" ht="15">
      <c r="U2462" s="228" t="s">
        <v>6859</v>
      </c>
      <c r="V2462" t="str">
        <f t="shared" si="270"/>
        <v>08</v>
      </c>
      <c r="W2462" t="str">
        <f t="shared" si="271"/>
        <v>09</v>
      </c>
      <c r="X2462" t="str">
        <f t="shared" si="272"/>
        <v>20</v>
      </c>
      <c r="Y2462" t="str">
        <f t="shared" si="268"/>
        <v>2020</v>
      </c>
      <c r="Z2462"/>
      <c r="AA2462" s="2">
        <f t="shared" si="269"/>
        <v>44082</v>
      </c>
      <c r="AB2462" t="str">
        <f t="shared" si="273"/>
        <v>08/09/2020</v>
      </c>
      <c r="AC2462"/>
    </row>
    <row r="2463" spans="21:29" ht="15">
      <c r="U2463" s="228" t="s">
        <v>10270</v>
      </c>
      <c r="V2463" t="str">
        <f t="shared" si="270"/>
        <v>09</v>
      </c>
      <c r="W2463" t="str">
        <f t="shared" si="271"/>
        <v>04</v>
      </c>
      <c r="X2463" t="str">
        <f t="shared" si="272"/>
        <v>20</v>
      </c>
      <c r="Y2463" t="str">
        <f t="shared" si="268"/>
        <v>2020</v>
      </c>
      <c r="Z2463"/>
      <c r="AA2463" s="2">
        <f t="shared" si="269"/>
        <v>43930</v>
      </c>
      <c r="AB2463" t="str">
        <f t="shared" si="273"/>
        <v>09/04/2020</v>
      </c>
      <c r="AC2463"/>
    </row>
    <row r="2464" spans="21:29" ht="15">
      <c r="U2464" s="228" t="s">
        <v>6958</v>
      </c>
      <c r="V2464" t="str">
        <f t="shared" si="270"/>
        <v>09</v>
      </c>
      <c r="W2464" t="str">
        <f t="shared" si="271"/>
        <v>10</v>
      </c>
      <c r="X2464" t="str">
        <f t="shared" si="272"/>
        <v>20</v>
      </c>
      <c r="Y2464" t="str">
        <f t="shared" si="268"/>
        <v>2020</v>
      </c>
      <c r="Z2464"/>
      <c r="AA2464" s="2">
        <f t="shared" si="269"/>
        <v>44113</v>
      </c>
      <c r="AB2464" t="str">
        <f t="shared" si="273"/>
        <v>09/10/2020</v>
      </c>
      <c r="AC2464"/>
    </row>
    <row r="2465" spans="21:29" ht="15">
      <c r="U2465" s="228" t="s">
        <v>7016</v>
      </c>
      <c r="V2465" t="str">
        <f t="shared" si="270"/>
        <v>10</v>
      </c>
      <c r="W2465" t="str">
        <f t="shared" si="271"/>
        <v>01</v>
      </c>
      <c r="X2465" t="str">
        <f t="shared" si="272"/>
        <v>20</v>
      </c>
      <c r="Y2465" t="str">
        <f t="shared" si="268"/>
        <v>2020</v>
      </c>
      <c r="Z2465"/>
      <c r="AA2465" s="2">
        <f t="shared" si="269"/>
        <v>43840</v>
      </c>
      <c r="AB2465" t="str">
        <f t="shared" si="273"/>
        <v>10/01/2020</v>
      </c>
      <c r="AC2465"/>
    </row>
    <row r="2466" spans="21:29" ht="15">
      <c r="U2466" s="228" t="s">
        <v>7033</v>
      </c>
      <c r="V2466" t="str">
        <f t="shared" si="270"/>
        <v>10</v>
      </c>
      <c r="W2466" t="str">
        <f t="shared" si="271"/>
        <v>05</v>
      </c>
      <c r="X2466" t="str">
        <f t="shared" si="272"/>
        <v>20</v>
      </c>
      <c r="Y2466" t="str">
        <f t="shared" si="268"/>
        <v>2020</v>
      </c>
      <c r="Z2466"/>
      <c r="AA2466" s="2">
        <f t="shared" si="269"/>
        <v>43961</v>
      </c>
      <c r="AB2466" t="str">
        <f t="shared" si="273"/>
        <v>10/05/2020</v>
      </c>
      <c r="AC2466"/>
    </row>
    <row r="2467" spans="21:29" ht="15">
      <c r="U2467" s="228" t="s">
        <v>7052</v>
      </c>
      <c r="V2467" t="str">
        <f t="shared" si="270"/>
        <v>10</v>
      </c>
      <c r="W2467" t="str">
        <f t="shared" si="271"/>
        <v>10</v>
      </c>
      <c r="X2467" t="str">
        <f t="shared" si="272"/>
        <v>20</v>
      </c>
      <c r="Y2467" t="str">
        <f t="shared" si="268"/>
        <v>2020</v>
      </c>
      <c r="Z2467"/>
      <c r="AA2467" s="2">
        <f t="shared" si="269"/>
        <v>44114</v>
      </c>
      <c r="AB2467" t="str">
        <f t="shared" si="273"/>
        <v>10/10/2020</v>
      </c>
      <c r="AC2467"/>
    </row>
    <row r="2468" spans="21:29" ht="15">
      <c r="U2468" s="228" t="s">
        <v>7114</v>
      </c>
      <c r="V2468" t="str">
        <f t="shared" si="270"/>
        <v>11</v>
      </c>
      <c r="W2468" t="str">
        <f t="shared" si="271"/>
        <v>04</v>
      </c>
      <c r="X2468" t="str">
        <f t="shared" si="272"/>
        <v>20</v>
      </c>
      <c r="Y2468" t="str">
        <f t="shared" si="268"/>
        <v>2020</v>
      </c>
      <c r="Z2468"/>
      <c r="AA2468" s="2">
        <f t="shared" si="269"/>
        <v>43932</v>
      </c>
      <c r="AB2468" t="str">
        <f t="shared" si="273"/>
        <v>11/04/2020</v>
      </c>
      <c r="AC2468"/>
    </row>
    <row r="2469" spans="21:29" ht="15">
      <c r="U2469" s="228" t="s">
        <v>10271</v>
      </c>
      <c r="V2469" t="str">
        <f t="shared" si="270"/>
        <v>11</v>
      </c>
      <c r="W2469" t="str">
        <f t="shared" si="271"/>
        <v>10</v>
      </c>
      <c r="X2469" t="str">
        <f t="shared" si="272"/>
        <v>20</v>
      </c>
      <c r="Y2469" t="str">
        <f t="shared" si="268"/>
        <v>2020</v>
      </c>
      <c r="Z2469"/>
      <c r="AA2469" s="2">
        <f t="shared" si="269"/>
        <v>44115</v>
      </c>
      <c r="AB2469" t="str">
        <f t="shared" si="273"/>
        <v>11/10/2020</v>
      </c>
      <c r="AC2469"/>
    </row>
    <row r="2470" spans="21:29" ht="15">
      <c r="U2470" s="228" t="s">
        <v>10272</v>
      </c>
      <c r="V2470" t="str">
        <f t="shared" si="270"/>
        <v>12</v>
      </c>
      <c r="W2470" t="str">
        <f t="shared" si="271"/>
        <v>05</v>
      </c>
      <c r="X2470" t="str">
        <f t="shared" si="272"/>
        <v>20</v>
      </c>
      <c r="Y2470" t="str">
        <f t="shared" si="268"/>
        <v>2020</v>
      </c>
      <c r="Z2470"/>
      <c r="AA2470" s="2">
        <f t="shared" si="269"/>
        <v>43963</v>
      </c>
      <c r="AB2470" t="str">
        <f t="shared" si="273"/>
        <v>12/05/2020</v>
      </c>
      <c r="AC2470"/>
    </row>
    <row r="2471" spans="21:29" ht="15">
      <c r="U2471" s="228" t="s">
        <v>7204</v>
      </c>
      <c r="V2471" t="str">
        <f t="shared" si="270"/>
        <v>12</v>
      </c>
      <c r="W2471" t="str">
        <f t="shared" si="271"/>
        <v>06</v>
      </c>
      <c r="X2471" t="str">
        <f t="shared" si="272"/>
        <v>20</v>
      </c>
      <c r="Y2471" t="str">
        <f t="shared" si="268"/>
        <v>2020</v>
      </c>
      <c r="Z2471"/>
      <c r="AA2471" s="2">
        <f t="shared" si="269"/>
        <v>43994</v>
      </c>
      <c r="AB2471" t="str">
        <f t="shared" si="273"/>
        <v>12/06/2020</v>
      </c>
      <c r="AC2471"/>
    </row>
    <row r="2472" spans="21:29" ht="15">
      <c r="U2472" s="228" t="s">
        <v>10273</v>
      </c>
      <c r="V2472" t="str">
        <f t="shared" si="270"/>
        <v>12</v>
      </c>
      <c r="W2472" t="str">
        <f t="shared" si="271"/>
        <v>08</v>
      </c>
      <c r="X2472" t="str">
        <f t="shared" si="272"/>
        <v>20</v>
      </c>
      <c r="Y2472" t="str">
        <f t="shared" si="268"/>
        <v>2020</v>
      </c>
      <c r="Z2472"/>
      <c r="AA2472" s="2">
        <f t="shared" si="269"/>
        <v>44055</v>
      </c>
      <c r="AB2472" t="str">
        <f t="shared" si="273"/>
        <v>12/08/2020</v>
      </c>
      <c r="AC2472"/>
    </row>
    <row r="2473" spans="21:29" ht="15">
      <c r="U2473" s="228" t="s">
        <v>10274</v>
      </c>
      <c r="V2473" t="str">
        <f t="shared" si="270"/>
        <v>12</v>
      </c>
      <c r="W2473" t="str">
        <f t="shared" si="271"/>
        <v>10</v>
      </c>
      <c r="X2473" t="str">
        <f t="shared" si="272"/>
        <v>20</v>
      </c>
      <c r="Y2473" t="str">
        <f t="shared" si="268"/>
        <v>2020</v>
      </c>
      <c r="Z2473"/>
      <c r="AA2473" s="2">
        <f t="shared" si="269"/>
        <v>44116</v>
      </c>
      <c r="AB2473" t="str">
        <f t="shared" si="273"/>
        <v>12/10/2020</v>
      </c>
      <c r="AC2473"/>
    </row>
    <row r="2474" spans="21:29" ht="15">
      <c r="U2474" s="228" t="s">
        <v>7319</v>
      </c>
      <c r="V2474" t="str">
        <f t="shared" si="270"/>
        <v>01</v>
      </c>
      <c r="W2474" t="str">
        <f t="shared" si="271"/>
        <v>01</v>
      </c>
      <c r="X2474" t="str">
        <f t="shared" si="272"/>
        <v>21</v>
      </c>
      <c r="Y2474" t="str">
        <f t="shared" si="268"/>
        <v>2021</v>
      </c>
      <c r="Z2474"/>
      <c r="AA2474" s="2">
        <f t="shared" si="269"/>
        <v>44197</v>
      </c>
      <c r="AB2474" t="str">
        <f t="shared" si="273"/>
        <v>01/01/2021</v>
      </c>
      <c r="AC2474"/>
    </row>
    <row r="2475" spans="21:29" ht="15">
      <c r="U2475" s="228" t="s">
        <v>7334</v>
      </c>
      <c r="V2475" t="str">
        <f t="shared" si="270"/>
        <v>01</v>
      </c>
      <c r="W2475" t="str">
        <f t="shared" si="271"/>
        <v>04</v>
      </c>
      <c r="X2475" t="str">
        <f t="shared" si="272"/>
        <v>21</v>
      </c>
      <c r="Y2475" t="str">
        <f t="shared" si="268"/>
        <v>2021</v>
      </c>
      <c r="Z2475"/>
      <c r="AA2475" s="2">
        <f t="shared" si="269"/>
        <v>44287</v>
      </c>
      <c r="AB2475" t="str">
        <f t="shared" si="273"/>
        <v>01/04/2021</v>
      </c>
      <c r="AC2475"/>
    </row>
    <row r="2476" spans="21:29" ht="15">
      <c r="U2476" s="228" t="s">
        <v>10275</v>
      </c>
      <c r="V2476" t="str">
        <f t="shared" si="270"/>
        <v>01</v>
      </c>
      <c r="W2476" t="str">
        <f t="shared" si="271"/>
        <v>10</v>
      </c>
      <c r="X2476" t="str">
        <f t="shared" si="272"/>
        <v>21</v>
      </c>
      <c r="Y2476" t="str">
        <f t="shared" si="268"/>
        <v>2021</v>
      </c>
      <c r="Z2476"/>
      <c r="AA2476" s="2">
        <f t="shared" si="269"/>
        <v>44470</v>
      </c>
      <c r="AB2476" t="str">
        <f t="shared" si="273"/>
        <v>01/10/2021</v>
      </c>
      <c r="AC2476"/>
    </row>
    <row r="2477" spans="21:29" ht="15">
      <c r="U2477" s="228" t="s">
        <v>10276</v>
      </c>
      <c r="V2477" t="str">
        <f t="shared" si="270"/>
        <v>02</v>
      </c>
      <c r="W2477" t="str">
        <f t="shared" si="271"/>
        <v>04</v>
      </c>
      <c r="X2477" t="str">
        <f t="shared" si="272"/>
        <v>21</v>
      </c>
      <c r="Y2477" t="str">
        <f t="shared" si="268"/>
        <v>2021</v>
      </c>
      <c r="Z2477"/>
      <c r="AA2477" s="2">
        <f t="shared" si="269"/>
        <v>44288</v>
      </c>
      <c r="AB2477" t="str">
        <f t="shared" si="273"/>
        <v>02/04/2021</v>
      </c>
      <c r="AC2477"/>
    </row>
    <row r="2478" spans="21:29" ht="15">
      <c r="U2478" s="228" t="s">
        <v>7438</v>
      </c>
      <c r="V2478" t="str">
        <f t="shared" si="270"/>
        <v>02</v>
      </c>
      <c r="W2478" t="str">
        <f t="shared" si="271"/>
        <v>10</v>
      </c>
      <c r="X2478" t="str">
        <f t="shared" si="272"/>
        <v>21</v>
      </c>
      <c r="Y2478" t="str">
        <f t="shared" si="268"/>
        <v>2021</v>
      </c>
      <c r="Z2478"/>
      <c r="AA2478" s="2">
        <f t="shared" si="269"/>
        <v>44471</v>
      </c>
      <c r="AB2478" t="str">
        <f t="shared" si="273"/>
        <v>02/10/2021</v>
      </c>
      <c r="AC2478"/>
    </row>
    <row r="2479" spans="21:29" ht="15">
      <c r="U2479" s="228" t="s">
        <v>7517</v>
      </c>
      <c r="V2479" t="str">
        <f t="shared" si="270"/>
        <v>03</v>
      </c>
      <c r="W2479" t="str">
        <f t="shared" si="271"/>
        <v>07</v>
      </c>
      <c r="X2479" t="str">
        <f t="shared" si="272"/>
        <v>21</v>
      </c>
      <c r="Y2479" t="str">
        <f t="shared" si="268"/>
        <v>2021</v>
      </c>
      <c r="Z2479"/>
      <c r="AA2479" s="2">
        <f t="shared" si="269"/>
        <v>44380</v>
      </c>
      <c r="AB2479" t="str">
        <f t="shared" si="273"/>
        <v>03/07/2021</v>
      </c>
      <c r="AC2479"/>
    </row>
    <row r="2480" spans="21:29" ht="15">
      <c r="U2480" s="228" t="s">
        <v>7531</v>
      </c>
      <c r="V2480" t="str">
        <f t="shared" si="270"/>
        <v>03</v>
      </c>
      <c r="W2480" t="str">
        <f t="shared" si="271"/>
        <v>10</v>
      </c>
      <c r="X2480" t="str">
        <f t="shared" si="272"/>
        <v>21</v>
      </c>
      <c r="Y2480" t="str">
        <f t="shared" si="268"/>
        <v>2021</v>
      </c>
      <c r="Z2480"/>
      <c r="AA2480" s="2">
        <f t="shared" si="269"/>
        <v>44472</v>
      </c>
      <c r="AB2480" t="str">
        <f t="shared" si="273"/>
        <v>03/10/2021</v>
      </c>
      <c r="AC2480"/>
    </row>
    <row r="2481" spans="21:29" ht="15">
      <c r="U2481" s="228" t="s">
        <v>7596</v>
      </c>
      <c r="V2481" t="str">
        <f t="shared" si="270"/>
        <v>04</v>
      </c>
      <c r="W2481" t="str">
        <f t="shared" si="271"/>
        <v>01</v>
      </c>
      <c r="X2481" t="str">
        <f t="shared" si="272"/>
        <v>21</v>
      </c>
      <c r="Y2481" t="str">
        <f t="shared" si="268"/>
        <v>2021</v>
      </c>
      <c r="Z2481"/>
      <c r="AA2481" s="2">
        <f t="shared" si="269"/>
        <v>44200</v>
      </c>
      <c r="AB2481" t="str">
        <f t="shared" si="273"/>
        <v>04/01/2021</v>
      </c>
      <c r="AC2481"/>
    </row>
    <row r="2482" spans="21:29" ht="15">
      <c r="U2482" s="228" t="s">
        <v>7610</v>
      </c>
      <c r="V2482" t="str">
        <f t="shared" si="270"/>
        <v>04</v>
      </c>
      <c r="W2482" t="str">
        <f t="shared" si="271"/>
        <v>04</v>
      </c>
      <c r="X2482" t="str">
        <f t="shared" si="272"/>
        <v>21</v>
      </c>
      <c r="Y2482" t="str">
        <f t="shared" si="268"/>
        <v>2021</v>
      </c>
      <c r="Z2482"/>
      <c r="AA2482" s="2">
        <f t="shared" si="269"/>
        <v>44290</v>
      </c>
      <c r="AB2482" t="str">
        <f t="shared" si="273"/>
        <v>04/04/2021</v>
      </c>
      <c r="AC2482"/>
    </row>
    <row r="2483" spans="21:29" ht="15">
      <c r="U2483" s="228" t="s">
        <v>7627</v>
      </c>
      <c r="V2483" t="str">
        <f t="shared" si="270"/>
        <v>04</v>
      </c>
      <c r="W2483" t="str">
        <f t="shared" si="271"/>
        <v>10</v>
      </c>
      <c r="X2483" t="str">
        <f t="shared" si="272"/>
        <v>21</v>
      </c>
      <c r="Y2483" t="str">
        <f t="shared" si="268"/>
        <v>2021</v>
      </c>
      <c r="Z2483"/>
      <c r="AA2483" s="2">
        <f t="shared" si="269"/>
        <v>44473</v>
      </c>
      <c r="AB2483" t="str">
        <f t="shared" si="273"/>
        <v>04/10/2021</v>
      </c>
      <c r="AC2483"/>
    </row>
    <row r="2484" spans="21:29" ht="15">
      <c r="U2484" s="228" t="s">
        <v>7701</v>
      </c>
      <c r="V2484" t="str">
        <f t="shared" si="270"/>
        <v>05</v>
      </c>
      <c r="W2484" t="str">
        <f t="shared" si="271"/>
        <v>05</v>
      </c>
      <c r="X2484" t="str">
        <f t="shared" si="272"/>
        <v>21</v>
      </c>
      <c r="Y2484" t="str">
        <f t="shared" si="268"/>
        <v>2021</v>
      </c>
      <c r="Z2484"/>
      <c r="AA2484" s="2">
        <f t="shared" si="269"/>
        <v>44321</v>
      </c>
      <c r="AB2484" t="str">
        <f t="shared" si="273"/>
        <v>05/05/2021</v>
      </c>
      <c r="AC2484"/>
    </row>
    <row r="2485" spans="21:29" ht="15">
      <c r="U2485" s="228" t="s">
        <v>7718</v>
      </c>
      <c r="V2485" t="str">
        <f t="shared" si="270"/>
        <v>05</v>
      </c>
      <c r="W2485" t="str">
        <f t="shared" si="271"/>
        <v>10</v>
      </c>
      <c r="X2485" t="str">
        <f t="shared" si="272"/>
        <v>21</v>
      </c>
      <c r="Y2485" t="str">
        <f t="shared" si="268"/>
        <v>2021</v>
      </c>
      <c r="Z2485"/>
      <c r="AA2485" s="2">
        <f t="shared" si="269"/>
        <v>44474</v>
      </c>
      <c r="AB2485" t="str">
        <f t="shared" si="273"/>
        <v>05/10/2021</v>
      </c>
      <c r="AC2485"/>
    </row>
    <row r="2486" spans="21:29" ht="15">
      <c r="U2486" s="228" t="s">
        <v>7786</v>
      </c>
      <c r="V2486" t="str">
        <f t="shared" si="270"/>
        <v>06</v>
      </c>
      <c r="W2486" t="str">
        <f t="shared" si="271"/>
        <v>04</v>
      </c>
      <c r="X2486" t="str">
        <f t="shared" si="272"/>
        <v>21</v>
      </c>
      <c r="Y2486" t="str">
        <f t="shared" si="268"/>
        <v>2021</v>
      </c>
      <c r="Z2486"/>
      <c r="AA2486" s="2">
        <f t="shared" si="269"/>
        <v>44292</v>
      </c>
      <c r="AB2486" t="str">
        <f t="shared" si="273"/>
        <v>06/04/2021</v>
      </c>
      <c r="AC2486"/>
    </row>
    <row r="2487" spans="21:29" ht="15">
      <c r="U2487" s="228" t="s">
        <v>7801</v>
      </c>
      <c r="V2487" t="str">
        <f t="shared" si="270"/>
        <v>06</v>
      </c>
      <c r="W2487" t="str">
        <f t="shared" si="271"/>
        <v>10</v>
      </c>
      <c r="X2487" t="str">
        <f t="shared" si="272"/>
        <v>21</v>
      </c>
      <c r="Y2487" t="str">
        <f t="shared" si="268"/>
        <v>2021</v>
      </c>
      <c r="Z2487"/>
      <c r="AA2487" s="2">
        <f t="shared" si="269"/>
        <v>44475</v>
      </c>
      <c r="AB2487" t="str">
        <f t="shared" si="273"/>
        <v>06/10/2021</v>
      </c>
      <c r="AC2487"/>
    </row>
    <row r="2488" spans="21:29" ht="15">
      <c r="U2488" s="228" t="s">
        <v>7859</v>
      </c>
      <c r="V2488" t="str">
        <f t="shared" si="270"/>
        <v>07</v>
      </c>
      <c r="W2488" t="str">
        <f t="shared" si="271"/>
        <v>01</v>
      </c>
      <c r="X2488" t="str">
        <f t="shared" si="272"/>
        <v>21</v>
      </c>
      <c r="Y2488" t="str">
        <f t="shared" si="268"/>
        <v>2021</v>
      </c>
      <c r="Z2488"/>
      <c r="AA2488" s="2">
        <f t="shared" si="269"/>
        <v>44203</v>
      </c>
      <c r="AB2488" t="str">
        <f t="shared" si="273"/>
        <v>07/01/2021</v>
      </c>
      <c r="AC2488"/>
    </row>
    <row r="2489" spans="21:29" ht="15">
      <c r="U2489" s="228" t="s">
        <v>10277</v>
      </c>
      <c r="V2489" t="str">
        <f t="shared" si="270"/>
        <v>07</v>
      </c>
      <c r="W2489" t="str">
        <f t="shared" si="271"/>
        <v>05</v>
      </c>
      <c r="X2489" t="str">
        <f t="shared" si="272"/>
        <v>21</v>
      </c>
      <c r="Y2489" t="str">
        <f t="shared" si="268"/>
        <v>2021</v>
      </c>
      <c r="Z2489"/>
      <c r="AA2489" s="2">
        <f t="shared" si="269"/>
        <v>44323</v>
      </c>
      <c r="AB2489" t="str">
        <f t="shared" si="273"/>
        <v>07/05/2021</v>
      </c>
      <c r="AC2489"/>
    </row>
    <row r="2490" spans="21:29" ht="15">
      <c r="U2490" s="228" t="s">
        <v>7883</v>
      </c>
      <c r="V2490" t="str">
        <f t="shared" si="270"/>
        <v>07</v>
      </c>
      <c r="W2490" t="str">
        <f t="shared" si="271"/>
        <v>10</v>
      </c>
      <c r="X2490" t="str">
        <f t="shared" si="272"/>
        <v>21</v>
      </c>
      <c r="Y2490" t="str">
        <f t="shared" si="268"/>
        <v>2021</v>
      </c>
      <c r="Z2490"/>
      <c r="AA2490" s="2">
        <f t="shared" si="269"/>
        <v>44476</v>
      </c>
      <c r="AB2490" t="str">
        <f t="shared" si="273"/>
        <v>07/10/2021</v>
      </c>
      <c r="AC2490"/>
    </row>
    <row r="2491" spans="21:29" ht="15">
      <c r="U2491" s="228" t="s">
        <v>7933</v>
      </c>
      <c r="V2491" t="str">
        <f t="shared" si="270"/>
        <v>08</v>
      </c>
      <c r="W2491" t="str">
        <f t="shared" si="271"/>
        <v>02</v>
      </c>
      <c r="X2491" t="str">
        <f t="shared" si="272"/>
        <v>21</v>
      </c>
      <c r="Y2491" t="str">
        <f t="shared" si="268"/>
        <v>2021</v>
      </c>
      <c r="Z2491"/>
      <c r="AA2491" s="2">
        <f t="shared" si="269"/>
        <v>44235</v>
      </c>
      <c r="AB2491" t="str">
        <f t="shared" si="273"/>
        <v>08/02/2021</v>
      </c>
      <c r="AC2491"/>
    </row>
    <row r="2492" spans="21:29" ht="15">
      <c r="U2492" s="228" t="s">
        <v>7939</v>
      </c>
      <c r="V2492" t="str">
        <f t="shared" si="270"/>
        <v>08</v>
      </c>
      <c r="W2492" t="str">
        <f t="shared" si="271"/>
        <v>04</v>
      </c>
      <c r="X2492" t="str">
        <f t="shared" si="272"/>
        <v>21</v>
      </c>
      <c r="Y2492" t="str">
        <f t="shared" si="268"/>
        <v>2021</v>
      </c>
      <c r="Z2492"/>
      <c r="AA2492" s="2">
        <f t="shared" si="269"/>
        <v>44294</v>
      </c>
      <c r="AB2492" t="str">
        <f t="shared" si="273"/>
        <v>08/04/2021</v>
      </c>
      <c r="AC2492"/>
    </row>
    <row r="2493" spans="21:29" ht="15">
      <c r="U2493" s="228" t="s">
        <v>7993</v>
      </c>
      <c r="V2493" t="str">
        <f t="shared" si="270"/>
        <v>09</v>
      </c>
      <c r="W2493" t="str">
        <f t="shared" si="271"/>
        <v>03</v>
      </c>
      <c r="X2493" t="str">
        <f t="shared" si="272"/>
        <v>21</v>
      </c>
      <c r="Y2493" t="str">
        <f t="shared" si="268"/>
        <v>2021</v>
      </c>
      <c r="Z2493"/>
      <c r="AA2493" s="2">
        <f t="shared" si="269"/>
        <v>44264</v>
      </c>
      <c r="AB2493" t="str">
        <f t="shared" si="273"/>
        <v>09/03/2021</v>
      </c>
      <c r="AC2493"/>
    </row>
    <row r="2494" spans="21:29" ht="15">
      <c r="U2494" s="228" t="s">
        <v>7993</v>
      </c>
      <c r="V2494" t="str">
        <f t="shared" si="270"/>
        <v>09</v>
      </c>
      <c r="W2494" t="str">
        <f t="shared" si="271"/>
        <v>03</v>
      </c>
      <c r="X2494" t="str">
        <f t="shared" si="272"/>
        <v>21</v>
      </c>
      <c r="Y2494" t="str">
        <f t="shared" si="268"/>
        <v>2021</v>
      </c>
      <c r="Z2494"/>
      <c r="AA2494" s="2">
        <f t="shared" si="269"/>
        <v>44264</v>
      </c>
      <c r="AB2494" t="str">
        <f t="shared" si="273"/>
        <v>09/03/2021</v>
      </c>
      <c r="AC2494"/>
    </row>
    <row r="2495" spans="21:29" ht="15">
      <c r="U2495" s="228" t="s">
        <v>10278</v>
      </c>
      <c r="V2495" t="str">
        <f t="shared" si="270"/>
        <v>09</v>
      </c>
      <c r="W2495" t="str">
        <f t="shared" si="271"/>
        <v>04</v>
      </c>
      <c r="X2495" t="str">
        <f t="shared" si="272"/>
        <v>21</v>
      </c>
      <c r="Y2495" t="str">
        <f t="shared" si="268"/>
        <v>2021</v>
      </c>
      <c r="Z2495"/>
      <c r="AA2495" s="2">
        <f t="shared" si="269"/>
        <v>44295</v>
      </c>
      <c r="AB2495" t="str">
        <f t="shared" si="273"/>
        <v>09/04/2021</v>
      </c>
      <c r="AC2495"/>
    </row>
    <row r="2496" spans="21:29" ht="15">
      <c r="U2496" s="231" t="s">
        <v>10279</v>
      </c>
      <c r="V2496" t="str">
        <f t="shared" si="270"/>
        <v>10</v>
      </c>
      <c r="W2496" t="str">
        <f t="shared" si="271"/>
        <v>01</v>
      </c>
      <c r="X2496" t="str">
        <f t="shared" si="272"/>
        <v>21</v>
      </c>
      <c r="Y2496" t="str">
        <f t="shared" si="268"/>
        <v>2021</v>
      </c>
      <c r="Z2496"/>
      <c r="AA2496" s="2">
        <f t="shared" si="269"/>
        <v>44206</v>
      </c>
      <c r="AB2496" t="str">
        <f t="shared" si="273"/>
        <v>10/01/2021</v>
      </c>
      <c r="AC2496"/>
    </row>
    <row r="2497" spans="21:29" ht="15">
      <c r="U2497" s="231" t="s">
        <v>8083</v>
      </c>
      <c r="V2497" t="str">
        <f t="shared" si="270"/>
        <v>10</v>
      </c>
      <c r="W2497" t="str">
        <f t="shared" si="271"/>
        <v>04</v>
      </c>
      <c r="X2497" t="str">
        <f t="shared" si="272"/>
        <v>21</v>
      </c>
      <c r="Y2497" t="str">
        <f t="shared" si="268"/>
        <v>2021</v>
      </c>
      <c r="Z2497"/>
      <c r="AA2497" s="2">
        <f t="shared" si="269"/>
        <v>44296</v>
      </c>
      <c r="AB2497" t="str">
        <f t="shared" si="273"/>
        <v>10/04/2021</v>
      </c>
      <c r="AC2497"/>
    </row>
    <row r="2498" spans="21:29" ht="15">
      <c r="U2498" s="231" t="s">
        <v>8083</v>
      </c>
      <c r="V2498" t="str">
        <f t="shared" si="270"/>
        <v>10</v>
      </c>
      <c r="W2498" t="str">
        <f t="shared" si="271"/>
        <v>04</v>
      </c>
      <c r="X2498" t="str">
        <f t="shared" si="272"/>
        <v>21</v>
      </c>
      <c r="Y2498" t="str">
        <f t="shared" si="268"/>
        <v>2021</v>
      </c>
      <c r="Z2498"/>
      <c r="AA2498" s="2">
        <f t="shared" si="269"/>
        <v>44296</v>
      </c>
      <c r="AB2498" t="str">
        <f t="shared" si="273"/>
        <v>10/04/2021</v>
      </c>
      <c r="AC2498"/>
    </row>
    <row r="2499" spans="21:29" ht="15">
      <c r="U2499" s="231" t="s">
        <v>8083</v>
      </c>
      <c r="V2499" t="str">
        <f t="shared" si="270"/>
        <v>10</v>
      </c>
      <c r="W2499" t="str">
        <f t="shared" si="271"/>
        <v>04</v>
      </c>
      <c r="X2499" t="str">
        <f t="shared" si="272"/>
        <v>21</v>
      </c>
      <c r="Y2499" t="str">
        <f t="shared" ref="Y2499:Y2562" si="274">"20" &amp; X2499</f>
        <v>2021</v>
      </c>
      <c r="Z2499"/>
      <c r="AA2499" s="2">
        <f t="shared" si="269"/>
        <v>44296</v>
      </c>
      <c r="AB2499" t="str">
        <f t="shared" si="273"/>
        <v>10/04/2021</v>
      </c>
      <c r="AC2499"/>
    </row>
    <row r="2500" spans="21:29" ht="15">
      <c r="U2500" s="231" t="s">
        <v>8083</v>
      </c>
      <c r="V2500" t="str">
        <f t="shared" si="270"/>
        <v>10</v>
      </c>
      <c r="W2500" t="str">
        <f t="shared" si="271"/>
        <v>04</v>
      </c>
      <c r="X2500" t="str">
        <f t="shared" si="272"/>
        <v>21</v>
      </c>
      <c r="Y2500" t="str">
        <f t="shared" si="274"/>
        <v>2021</v>
      </c>
      <c r="Z2500"/>
      <c r="AA2500" s="2">
        <f t="shared" si="269"/>
        <v>44296</v>
      </c>
      <c r="AB2500" t="str">
        <f t="shared" si="273"/>
        <v>10/04/2021</v>
      </c>
      <c r="AC2500"/>
    </row>
    <row r="2501" spans="21:29" ht="15">
      <c r="U2501" s="231" t="s">
        <v>8083</v>
      </c>
      <c r="V2501" t="str">
        <f t="shared" si="270"/>
        <v>10</v>
      </c>
      <c r="W2501" t="str">
        <f t="shared" si="271"/>
        <v>04</v>
      </c>
      <c r="X2501" t="str">
        <f t="shared" si="272"/>
        <v>21</v>
      </c>
      <c r="Y2501" t="str">
        <f t="shared" si="274"/>
        <v>2021</v>
      </c>
      <c r="Z2501"/>
      <c r="AA2501" s="2">
        <f t="shared" si="269"/>
        <v>44296</v>
      </c>
      <c r="AB2501" t="str">
        <f t="shared" si="273"/>
        <v>10/04/2021</v>
      </c>
      <c r="AC2501"/>
    </row>
    <row r="2502" spans="21:29" ht="15">
      <c r="U2502" s="231" t="s">
        <v>10280</v>
      </c>
      <c r="V2502" t="str">
        <f t="shared" si="270"/>
        <v>10</v>
      </c>
      <c r="W2502" t="str">
        <f t="shared" si="271"/>
        <v>05</v>
      </c>
      <c r="X2502" t="str">
        <f t="shared" si="272"/>
        <v>21</v>
      </c>
      <c r="Y2502" t="str">
        <f t="shared" si="274"/>
        <v>2021</v>
      </c>
      <c r="Z2502"/>
      <c r="AA2502" s="2">
        <f t="shared" si="269"/>
        <v>44326</v>
      </c>
      <c r="AB2502" t="str">
        <f t="shared" si="273"/>
        <v>10/05/2021</v>
      </c>
      <c r="AC2502"/>
    </row>
    <row r="2503" spans="21:29" ht="15">
      <c r="U2503" s="231" t="s">
        <v>10281</v>
      </c>
      <c r="V2503" t="str">
        <f t="shared" si="270"/>
        <v>10</v>
      </c>
      <c r="W2503" t="str">
        <f t="shared" si="271"/>
        <v>08</v>
      </c>
      <c r="X2503" t="str">
        <f t="shared" si="272"/>
        <v>21</v>
      </c>
      <c r="Y2503" t="str">
        <f t="shared" si="274"/>
        <v>2021</v>
      </c>
      <c r="Z2503"/>
      <c r="AA2503" s="2">
        <f t="shared" si="269"/>
        <v>44418</v>
      </c>
      <c r="AB2503" t="str">
        <f t="shared" si="273"/>
        <v>10/08/2021</v>
      </c>
      <c r="AC2503"/>
    </row>
    <row r="2504" spans="21:29" ht="15">
      <c r="U2504" s="231" t="s">
        <v>10282</v>
      </c>
      <c r="V2504" t="str">
        <f t="shared" si="270"/>
        <v>10</v>
      </c>
      <c r="W2504" t="str">
        <f t="shared" si="271"/>
        <v>11</v>
      </c>
      <c r="X2504" t="str">
        <f t="shared" si="272"/>
        <v>21</v>
      </c>
      <c r="Y2504" t="str">
        <f t="shared" si="274"/>
        <v>2021</v>
      </c>
      <c r="Z2504"/>
      <c r="AA2504" s="2">
        <f t="shared" ref="AA2504:AA2567" si="275">DATE(Y2504,W2504,V2504)</f>
        <v>44510</v>
      </c>
      <c r="AB2504" t="str">
        <f t="shared" si="273"/>
        <v>10/11/2021</v>
      </c>
      <c r="AC2504"/>
    </row>
    <row r="2505" spans="21:29" ht="15">
      <c r="U2505" s="231" t="s">
        <v>10282</v>
      </c>
      <c r="V2505" t="str">
        <f t="shared" si="270"/>
        <v>10</v>
      </c>
      <c r="W2505" t="str">
        <f t="shared" si="271"/>
        <v>11</v>
      </c>
      <c r="X2505" t="str">
        <f t="shared" si="272"/>
        <v>21</v>
      </c>
      <c r="Y2505" t="str">
        <f t="shared" si="274"/>
        <v>2021</v>
      </c>
      <c r="Z2505"/>
      <c r="AA2505" s="2">
        <f t="shared" si="275"/>
        <v>44510</v>
      </c>
      <c r="AB2505" t="str">
        <f t="shared" si="273"/>
        <v>10/11/2021</v>
      </c>
      <c r="AC2505"/>
    </row>
    <row r="2506" spans="21:29" ht="15">
      <c r="U2506" s="231" t="s">
        <v>10282</v>
      </c>
      <c r="V2506" t="str">
        <f t="shared" si="270"/>
        <v>10</v>
      </c>
      <c r="W2506" t="str">
        <f t="shared" si="271"/>
        <v>11</v>
      </c>
      <c r="X2506" t="str">
        <f t="shared" si="272"/>
        <v>21</v>
      </c>
      <c r="Y2506" t="str">
        <f t="shared" si="274"/>
        <v>2021</v>
      </c>
      <c r="Z2506"/>
      <c r="AA2506" s="2">
        <f t="shared" si="275"/>
        <v>44510</v>
      </c>
      <c r="AB2506" t="str">
        <f t="shared" si="273"/>
        <v>10/11/2021</v>
      </c>
      <c r="AC2506"/>
    </row>
    <row r="2507" spans="21:29" ht="15">
      <c r="U2507" s="231" t="s">
        <v>10283</v>
      </c>
      <c r="V2507" t="str">
        <f t="shared" si="270"/>
        <v>10</v>
      </c>
      <c r="W2507" t="str">
        <f t="shared" si="271"/>
        <v>18</v>
      </c>
      <c r="X2507" t="str">
        <f t="shared" si="272"/>
        <v>21</v>
      </c>
      <c r="Y2507" t="str">
        <f t="shared" si="274"/>
        <v>2021</v>
      </c>
      <c r="Z2507"/>
      <c r="AA2507" s="2">
        <f t="shared" si="275"/>
        <v>44722</v>
      </c>
      <c r="AB2507" t="str">
        <f t="shared" si="273"/>
        <v>10/18/2021</v>
      </c>
      <c r="AC2507"/>
    </row>
    <row r="2508" spans="21:29" ht="15">
      <c r="U2508" s="231" t="s">
        <v>8086</v>
      </c>
      <c r="V2508" t="str">
        <f t="shared" si="270"/>
        <v>10</v>
      </c>
      <c r="W2508" t="str">
        <f t="shared" si="271"/>
        <v>21</v>
      </c>
      <c r="X2508" t="str">
        <f t="shared" si="272"/>
        <v>21</v>
      </c>
      <c r="Y2508" t="str">
        <f t="shared" si="274"/>
        <v>2021</v>
      </c>
      <c r="Z2508"/>
      <c r="AA2508" s="2">
        <f t="shared" si="275"/>
        <v>44814</v>
      </c>
      <c r="AB2508" t="str">
        <f t="shared" si="273"/>
        <v>10/21/2021</v>
      </c>
      <c r="AC2508"/>
    </row>
    <row r="2509" spans="21:29" ht="15">
      <c r="U2509" s="231" t="s">
        <v>8086</v>
      </c>
      <c r="V2509" t="str">
        <f t="shared" si="270"/>
        <v>10</v>
      </c>
      <c r="W2509" t="str">
        <f t="shared" si="271"/>
        <v>21</v>
      </c>
      <c r="X2509" t="str">
        <f t="shared" si="272"/>
        <v>21</v>
      </c>
      <c r="Y2509" t="str">
        <f t="shared" si="274"/>
        <v>2021</v>
      </c>
      <c r="Z2509"/>
      <c r="AA2509" s="2">
        <f t="shared" si="275"/>
        <v>44814</v>
      </c>
      <c r="AB2509" t="str">
        <f t="shared" si="273"/>
        <v>10/21/2021</v>
      </c>
      <c r="AC2509"/>
    </row>
    <row r="2510" spans="21:29" ht="15">
      <c r="U2510" s="231" t="s">
        <v>10284</v>
      </c>
      <c r="V2510" t="str">
        <f t="shared" si="270"/>
        <v>10</v>
      </c>
      <c r="W2510" t="str">
        <f t="shared" si="271"/>
        <v>25</v>
      </c>
      <c r="X2510" t="str">
        <f t="shared" si="272"/>
        <v>21</v>
      </c>
      <c r="Y2510" t="str">
        <f t="shared" si="274"/>
        <v>2021</v>
      </c>
      <c r="Z2510"/>
      <c r="AA2510" s="2">
        <f t="shared" si="275"/>
        <v>44936</v>
      </c>
      <c r="AB2510" t="str">
        <f t="shared" si="273"/>
        <v>10/25/2021</v>
      </c>
      <c r="AC2510"/>
    </row>
    <row r="2511" spans="21:29" ht="15">
      <c r="U2511" s="231" t="s">
        <v>10284</v>
      </c>
      <c r="V2511" t="str">
        <f t="shared" ref="V2511:V2522" si="276">LEFT(AB2511,2)</f>
        <v>10</v>
      </c>
      <c r="W2511" t="str">
        <f t="shared" ref="W2511:W2522" si="277">MID(AB2511,4,2)</f>
        <v>25</v>
      </c>
      <c r="X2511" t="str">
        <f t="shared" ref="X2511:X2522" si="278">RIGHT(AB2511,2)</f>
        <v>21</v>
      </c>
      <c r="Y2511" t="str">
        <f t="shared" si="274"/>
        <v>2021</v>
      </c>
      <c r="Z2511"/>
      <c r="AA2511" s="2">
        <f t="shared" si="275"/>
        <v>44936</v>
      </c>
      <c r="AB2511" t="str">
        <f t="shared" ref="AB2511:AB2522" si="279">TEXT(U2511, "mm/dd/yyyy")</f>
        <v>10/25/2021</v>
      </c>
      <c r="AC2511"/>
    </row>
    <row r="2512" spans="21:29" ht="15">
      <c r="U2512" s="231" t="s">
        <v>10285</v>
      </c>
      <c r="V2512" t="str">
        <f t="shared" si="276"/>
        <v>10</v>
      </c>
      <c r="W2512" t="str">
        <f t="shared" si="277"/>
        <v>26</v>
      </c>
      <c r="X2512" t="str">
        <f t="shared" si="278"/>
        <v>21</v>
      </c>
      <c r="Y2512" t="str">
        <f t="shared" si="274"/>
        <v>2021</v>
      </c>
      <c r="Z2512"/>
      <c r="AA2512" s="2">
        <f t="shared" si="275"/>
        <v>44967</v>
      </c>
      <c r="AB2512" t="str">
        <f t="shared" si="279"/>
        <v>10/26/2021</v>
      </c>
      <c r="AC2512"/>
    </row>
    <row r="2513" spans="21:29" ht="15">
      <c r="U2513" s="231" t="s">
        <v>10285</v>
      </c>
      <c r="V2513" t="str">
        <f t="shared" si="276"/>
        <v>10</v>
      </c>
      <c r="W2513" t="str">
        <f t="shared" si="277"/>
        <v>26</v>
      </c>
      <c r="X2513" t="str">
        <f t="shared" si="278"/>
        <v>21</v>
      </c>
      <c r="Y2513" t="str">
        <f t="shared" si="274"/>
        <v>2021</v>
      </c>
      <c r="Z2513"/>
      <c r="AA2513" s="2">
        <f t="shared" si="275"/>
        <v>44967</v>
      </c>
      <c r="AB2513" t="str">
        <f t="shared" si="279"/>
        <v>10/26/2021</v>
      </c>
      <c r="AC2513"/>
    </row>
    <row r="2514" spans="21:29" ht="15">
      <c r="U2514" s="231" t="s">
        <v>10286</v>
      </c>
      <c r="V2514" t="str">
        <f t="shared" si="276"/>
        <v>10</v>
      </c>
      <c r="W2514" t="str">
        <f t="shared" si="277"/>
        <v>27</v>
      </c>
      <c r="X2514" t="str">
        <f t="shared" si="278"/>
        <v>21</v>
      </c>
      <c r="Y2514" t="str">
        <f t="shared" si="274"/>
        <v>2021</v>
      </c>
      <c r="Z2514"/>
      <c r="AA2514" s="2">
        <f t="shared" si="275"/>
        <v>44995</v>
      </c>
      <c r="AB2514" t="str">
        <f t="shared" si="279"/>
        <v>10/27/2021</v>
      </c>
      <c r="AC2514"/>
    </row>
    <row r="2515" spans="21:29" ht="15">
      <c r="U2515" s="231" t="s">
        <v>8089</v>
      </c>
      <c r="V2515" t="str">
        <f t="shared" si="276"/>
        <v>10</v>
      </c>
      <c r="W2515" t="str">
        <f t="shared" si="277"/>
        <v>28</v>
      </c>
      <c r="X2515" t="str">
        <f t="shared" si="278"/>
        <v>21</v>
      </c>
      <c r="Y2515" t="str">
        <f t="shared" si="274"/>
        <v>2021</v>
      </c>
      <c r="Z2515"/>
      <c r="AA2515" s="2">
        <f t="shared" si="275"/>
        <v>45026</v>
      </c>
      <c r="AB2515" t="str">
        <f t="shared" si="279"/>
        <v>10/28/2021</v>
      </c>
      <c r="AC2515"/>
    </row>
    <row r="2516" spans="21:29" ht="15">
      <c r="U2516" s="231" t="s">
        <v>8089</v>
      </c>
      <c r="V2516" t="str">
        <f t="shared" si="276"/>
        <v>10</v>
      </c>
      <c r="W2516" t="str">
        <f t="shared" si="277"/>
        <v>28</v>
      </c>
      <c r="X2516" t="str">
        <f t="shared" si="278"/>
        <v>21</v>
      </c>
      <c r="Y2516" t="str">
        <f t="shared" si="274"/>
        <v>2021</v>
      </c>
      <c r="Z2516"/>
      <c r="AA2516" s="2">
        <f t="shared" si="275"/>
        <v>45026</v>
      </c>
      <c r="AB2516" t="str">
        <f t="shared" si="279"/>
        <v>10/28/2021</v>
      </c>
      <c r="AC2516"/>
    </row>
    <row r="2517" spans="21:29" ht="15">
      <c r="U2517" s="2">
        <v>44207</v>
      </c>
      <c r="V2517" t="str">
        <f t="shared" si="276"/>
        <v>01</v>
      </c>
      <c r="W2517" t="str">
        <f t="shared" si="277"/>
        <v>11</v>
      </c>
      <c r="X2517" t="str">
        <f t="shared" si="278"/>
        <v>21</v>
      </c>
      <c r="Y2517" t="str">
        <f t="shared" si="274"/>
        <v>2021</v>
      </c>
      <c r="Z2517"/>
      <c r="AA2517" s="2">
        <f t="shared" si="275"/>
        <v>44501</v>
      </c>
      <c r="AB2517" t="str">
        <f t="shared" si="279"/>
        <v>01/11/2021</v>
      </c>
      <c r="AC2517"/>
    </row>
    <row r="2518" spans="21:29" ht="15">
      <c r="U2518" s="2">
        <v>44207</v>
      </c>
      <c r="V2518" t="str">
        <f t="shared" si="276"/>
        <v>01</v>
      </c>
      <c r="W2518" t="str">
        <f t="shared" si="277"/>
        <v>11</v>
      </c>
      <c r="X2518" t="str">
        <f t="shared" si="278"/>
        <v>21</v>
      </c>
      <c r="Y2518" t="str">
        <f t="shared" si="274"/>
        <v>2021</v>
      </c>
      <c r="Z2518"/>
      <c r="AA2518" s="2">
        <f t="shared" si="275"/>
        <v>44501</v>
      </c>
      <c r="AB2518" t="str">
        <f t="shared" si="279"/>
        <v>01/11/2021</v>
      </c>
      <c r="AC2518"/>
    </row>
    <row r="2519" spans="21:29" ht="15">
      <c r="U2519" s="2">
        <v>44238</v>
      </c>
      <c r="V2519" t="str">
        <f t="shared" si="276"/>
        <v>02</v>
      </c>
      <c r="W2519" t="str">
        <f t="shared" si="277"/>
        <v>11</v>
      </c>
      <c r="X2519" t="str">
        <f t="shared" si="278"/>
        <v>21</v>
      </c>
      <c r="Y2519" t="str">
        <f t="shared" si="274"/>
        <v>2021</v>
      </c>
      <c r="Z2519"/>
      <c r="AA2519" s="2">
        <f t="shared" si="275"/>
        <v>44502</v>
      </c>
      <c r="AB2519" t="str">
        <f t="shared" si="279"/>
        <v>02/11/2021</v>
      </c>
      <c r="AC2519"/>
    </row>
    <row r="2520" spans="21:29" ht="15">
      <c r="U2520" s="2">
        <v>44266</v>
      </c>
      <c r="V2520" t="str">
        <f t="shared" si="276"/>
        <v>03</v>
      </c>
      <c r="W2520" t="str">
        <f t="shared" si="277"/>
        <v>11</v>
      </c>
      <c r="X2520" t="str">
        <f t="shared" si="278"/>
        <v>21</v>
      </c>
      <c r="Y2520" t="str">
        <f t="shared" si="274"/>
        <v>2021</v>
      </c>
      <c r="Z2520"/>
      <c r="AA2520" s="2">
        <f t="shared" si="275"/>
        <v>44503</v>
      </c>
      <c r="AB2520" t="str">
        <f t="shared" si="279"/>
        <v>03/11/2021</v>
      </c>
      <c r="AC2520"/>
    </row>
    <row r="2521" spans="21:29" ht="15">
      <c r="U2521" s="2">
        <v>44419</v>
      </c>
      <c r="V2521" t="str">
        <f t="shared" si="276"/>
        <v>08</v>
      </c>
      <c r="W2521" t="str">
        <f t="shared" si="277"/>
        <v>11</v>
      </c>
      <c r="X2521" t="str">
        <f t="shared" si="278"/>
        <v>21</v>
      </c>
      <c r="Y2521" t="str">
        <f t="shared" si="274"/>
        <v>2021</v>
      </c>
      <c r="Z2521"/>
      <c r="AA2521" s="2">
        <f t="shared" si="275"/>
        <v>44508</v>
      </c>
      <c r="AB2521" t="str">
        <f t="shared" si="279"/>
        <v>08/11/2021</v>
      </c>
      <c r="AC2521"/>
    </row>
    <row r="2522" spans="21:29" ht="15">
      <c r="U2522" s="2">
        <v>44450</v>
      </c>
      <c r="V2522" t="str">
        <f t="shared" si="276"/>
        <v>09</v>
      </c>
      <c r="W2522" t="str">
        <f t="shared" si="277"/>
        <v>11</v>
      </c>
      <c r="X2522" t="str">
        <f t="shared" si="278"/>
        <v>21</v>
      </c>
      <c r="Y2522" t="str">
        <f t="shared" si="274"/>
        <v>2021</v>
      </c>
      <c r="Z2522"/>
      <c r="AA2522" s="2">
        <f t="shared" si="275"/>
        <v>44509</v>
      </c>
      <c r="AB2522" t="str">
        <f t="shared" si="279"/>
        <v>09/11/2021</v>
      </c>
      <c r="AC2522"/>
    </row>
    <row r="2523" spans="21:29" ht="15">
      <c r="U2523" t="s">
        <v>10287</v>
      </c>
      <c r="V2523" t="str">
        <f t="shared" ref="V2523:V2537" si="280">LEFT(U2523,2)</f>
        <v>15</v>
      </c>
      <c r="W2523" t="str">
        <f t="shared" ref="W2523:W2537" si="281">MID(U2523,4,2)</f>
        <v>11</v>
      </c>
      <c r="X2523" t="str">
        <f t="shared" ref="X2523:X2537" si="282">RIGHT(U2523,2)</f>
        <v>21</v>
      </c>
      <c r="Y2523" t="str">
        <f t="shared" si="274"/>
        <v>2021</v>
      </c>
      <c r="Z2523"/>
      <c r="AA2523" s="2">
        <f t="shared" si="275"/>
        <v>44515</v>
      </c>
      <c r="AB2523"/>
      <c r="AC2523"/>
    </row>
    <row r="2524" spans="21:29" ht="15">
      <c r="U2524" t="s">
        <v>10287</v>
      </c>
      <c r="V2524" t="str">
        <f t="shared" si="280"/>
        <v>15</v>
      </c>
      <c r="W2524" t="str">
        <f t="shared" si="281"/>
        <v>11</v>
      </c>
      <c r="X2524" t="str">
        <f t="shared" si="282"/>
        <v>21</v>
      </c>
      <c r="Y2524" t="str">
        <f t="shared" si="274"/>
        <v>2021</v>
      </c>
      <c r="Z2524"/>
      <c r="AA2524" s="2">
        <f t="shared" si="275"/>
        <v>44515</v>
      </c>
      <c r="AB2524"/>
      <c r="AC2524"/>
    </row>
    <row r="2525" spans="21:29" ht="15">
      <c r="U2525" t="s">
        <v>10287</v>
      </c>
      <c r="V2525" t="str">
        <f t="shared" si="280"/>
        <v>15</v>
      </c>
      <c r="W2525" t="str">
        <f t="shared" si="281"/>
        <v>11</v>
      </c>
      <c r="X2525" t="str">
        <f t="shared" si="282"/>
        <v>21</v>
      </c>
      <c r="Y2525" t="str">
        <f t="shared" si="274"/>
        <v>2021</v>
      </c>
      <c r="Z2525"/>
      <c r="AA2525" s="2">
        <f t="shared" si="275"/>
        <v>44515</v>
      </c>
      <c r="AB2525"/>
      <c r="AC2525"/>
    </row>
    <row r="2526" spans="21:29" ht="15">
      <c r="U2526" t="s">
        <v>10287</v>
      </c>
      <c r="V2526" t="str">
        <f t="shared" si="280"/>
        <v>15</v>
      </c>
      <c r="W2526" t="str">
        <f t="shared" si="281"/>
        <v>11</v>
      </c>
      <c r="X2526" t="str">
        <f t="shared" si="282"/>
        <v>21</v>
      </c>
      <c r="Y2526" t="str">
        <f t="shared" si="274"/>
        <v>2021</v>
      </c>
      <c r="Z2526"/>
      <c r="AA2526" s="2">
        <f t="shared" si="275"/>
        <v>44515</v>
      </c>
      <c r="AB2526"/>
      <c r="AC2526"/>
    </row>
    <row r="2527" spans="21:29" ht="15">
      <c r="U2527" t="s">
        <v>10288</v>
      </c>
      <c r="V2527" t="str">
        <f t="shared" si="280"/>
        <v>16</v>
      </c>
      <c r="W2527" t="str">
        <f t="shared" si="281"/>
        <v>11</v>
      </c>
      <c r="X2527" t="str">
        <f t="shared" si="282"/>
        <v>21</v>
      </c>
      <c r="Y2527" t="str">
        <f t="shared" si="274"/>
        <v>2021</v>
      </c>
      <c r="Z2527"/>
      <c r="AA2527" s="2">
        <f t="shared" si="275"/>
        <v>44516</v>
      </c>
      <c r="AB2527"/>
      <c r="AC2527"/>
    </row>
    <row r="2528" spans="21:29" ht="15">
      <c r="U2528" t="s">
        <v>10289</v>
      </c>
      <c r="V2528" t="str">
        <f t="shared" si="280"/>
        <v>19</v>
      </c>
      <c r="W2528" t="str">
        <f t="shared" si="281"/>
        <v>11</v>
      </c>
      <c r="X2528" t="str">
        <f t="shared" si="282"/>
        <v>21</v>
      </c>
      <c r="Y2528" t="str">
        <f t="shared" si="274"/>
        <v>2021</v>
      </c>
      <c r="Z2528"/>
      <c r="AA2528" s="2">
        <f t="shared" si="275"/>
        <v>44519</v>
      </c>
      <c r="AB2528"/>
      <c r="AC2528"/>
    </row>
    <row r="2529" spans="21:29" ht="15">
      <c r="U2529" t="s">
        <v>9772</v>
      </c>
      <c r="V2529" t="str">
        <f t="shared" si="280"/>
        <v>22</v>
      </c>
      <c r="W2529" t="str">
        <f t="shared" si="281"/>
        <v>11</v>
      </c>
      <c r="X2529" t="str">
        <f t="shared" si="282"/>
        <v>21</v>
      </c>
      <c r="Y2529" t="str">
        <f t="shared" si="274"/>
        <v>2021</v>
      </c>
      <c r="Z2529"/>
      <c r="AA2529" s="2">
        <f t="shared" si="275"/>
        <v>44522</v>
      </c>
      <c r="AB2529"/>
      <c r="AC2529"/>
    </row>
    <row r="2530" spans="21:29" ht="15">
      <c r="U2530" t="s">
        <v>9772</v>
      </c>
      <c r="V2530" t="str">
        <f t="shared" si="280"/>
        <v>22</v>
      </c>
      <c r="W2530" t="str">
        <f t="shared" si="281"/>
        <v>11</v>
      </c>
      <c r="X2530" t="str">
        <f t="shared" si="282"/>
        <v>21</v>
      </c>
      <c r="Y2530" t="str">
        <f t="shared" si="274"/>
        <v>2021</v>
      </c>
      <c r="Z2530"/>
      <c r="AA2530" s="2">
        <f t="shared" si="275"/>
        <v>44522</v>
      </c>
      <c r="AB2530"/>
      <c r="AC2530"/>
    </row>
    <row r="2531" spans="21:29" ht="15">
      <c r="U2531" t="s">
        <v>10290</v>
      </c>
      <c r="V2531" t="str">
        <f t="shared" si="280"/>
        <v>23</v>
      </c>
      <c r="W2531" t="str">
        <f t="shared" si="281"/>
        <v>11</v>
      </c>
      <c r="X2531" t="str">
        <f t="shared" si="282"/>
        <v>21</v>
      </c>
      <c r="Y2531" t="str">
        <f t="shared" si="274"/>
        <v>2021</v>
      </c>
      <c r="Z2531"/>
      <c r="AA2531" s="2">
        <f t="shared" si="275"/>
        <v>44523</v>
      </c>
      <c r="AB2531"/>
      <c r="AC2531"/>
    </row>
    <row r="2532" spans="21:29" ht="15">
      <c r="U2532" t="s">
        <v>9773</v>
      </c>
      <c r="V2532" t="str">
        <f t="shared" si="280"/>
        <v>26</v>
      </c>
      <c r="W2532" t="str">
        <f t="shared" si="281"/>
        <v>11</v>
      </c>
      <c r="X2532" t="str">
        <f t="shared" si="282"/>
        <v>21</v>
      </c>
      <c r="Y2532" t="str">
        <f t="shared" si="274"/>
        <v>2021</v>
      </c>
      <c r="Z2532"/>
      <c r="AA2532" s="2">
        <f t="shared" si="275"/>
        <v>44526</v>
      </c>
      <c r="AB2532"/>
      <c r="AC2532"/>
    </row>
    <row r="2533" spans="21:29" ht="15">
      <c r="U2533" t="s">
        <v>9773</v>
      </c>
      <c r="V2533" t="str">
        <f t="shared" si="280"/>
        <v>26</v>
      </c>
      <c r="W2533" t="str">
        <f t="shared" si="281"/>
        <v>11</v>
      </c>
      <c r="X2533" t="str">
        <f t="shared" si="282"/>
        <v>21</v>
      </c>
      <c r="Y2533" t="str">
        <f t="shared" si="274"/>
        <v>2021</v>
      </c>
      <c r="Z2533"/>
      <c r="AA2533" s="2">
        <f t="shared" si="275"/>
        <v>44526</v>
      </c>
      <c r="AB2533"/>
      <c r="AC2533"/>
    </row>
    <row r="2534" spans="21:29" ht="15">
      <c r="U2534" t="s">
        <v>9774</v>
      </c>
      <c r="V2534" t="str">
        <f t="shared" si="280"/>
        <v>29</v>
      </c>
      <c r="W2534" t="str">
        <f t="shared" si="281"/>
        <v>11</v>
      </c>
      <c r="X2534" t="str">
        <f t="shared" si="282"/>
        <v>21</v>
      </c>
      <c r="Y2534" t="str">
        <f t="shared" si="274"/>
        <v>2021</v>
      </c>
      <c r="Z2534"/>
      <c r="AA2534" s="2">
        <f t="shared" si="275"/>
        <v>44529</v>
      </c>
      <c r="AB2534"/>
      <c r="AC2534"/>
    </row>
    <row r="2535" spans="21:29" ht="15">
      <c r="U2535" t="s">
        <v>9774</v>
      </c>
      <c r="V2535" t="str">
        <f t="shared" si="280"/>
        <v>29</v>
      </c>
      <c r="W2535" t="str">
        <f t="shared" si="281"/>
        <v>11</v>
      </c>
      <c r="X2535" t="str">
        <f t="shared" si="282"/>
        <v>21</v>
      </c>
      <c r="Y2535" t="str">
        <f t="shared" si="274"/>
        <v>2021</v>
      </c>
      <c r="Z2535"/>
      <c r="AA2535" s="2">
        <f t="shared" si="275"/>
        <v>44529</v>
      </c>
      <c r="AB2535"/>
      <c r="AC2535"/>
    </row>
    <row r="2536" spans="21:29" ht="15">
      <c r="U2536" t="s">
        <v>9774</v>
      </c>
      <c r="V2536" t="str">
        <f t="shared" si="280"/>
        <v>29</v>
      </c>
      <c r="W2536" t="str">
        <f t="shared" si="281"/>
        <v>11</v>
      </c>
      <c r="X2536" t="str">
        <f t="shared" si="282"/>
        <v>21</v>
      </c>
      <c r="Y2536" t="str">
        <f t="shared" si="274"/>
        <v>2021</v>
      </c>
      <c r="Z2536"/>
      <c r="AA2536" s="2">
        <f t="shared" si="275"/>
        <v>44529</v>
      </c>
      <c r="AB2536"/>
      <c r="AC2536"/>
    </row>
    <row r="2537" spans="21:29" ht="15">
      <c r="U2537" t="s">
        <v>10291</v>
      </c>
      <c r="V2537" t="str">
        <f t="shared" si="280"/>
        <v>30</v>
      </c>
      <c r="W2537" t="str">
        <f t="shared" si="281"/>
        <v>11</v>
      </c>
      <c r="X2537" t="str">
        <f t="shared" si="282"/>
        <v>21</v>
      </c>
      <c r="Y2537" t="str">
        <f t="shared" si="274"/>
        <v>2021</v>
      </c>
      <c r="Z2537"/>
      <c r="AA2537" s="2">
        <f t="shared" si="275"/>
        <v>44530</v>
      </c>
      <c r="AB2537"/>
      <c r="AC2537"/>
    </row>
    <row r="2538" spans="21:29" ht="15">
      <c r="U2538" s="2">
        <v>44208</v>
      </c>
      <c r="V2538" t="str">
        <f t="shared" ref="V2538:V2546" si="283">LEFT(AB2538,2)</f>
        <v>01</v>
      </c>
      <c r="W2538" t="str">
        <f t="shared" ref="W2538:W2546" si="284">MID(AB2538,4,2)</f>
        <v>12</v>
      </c>
      <c r="X2538" t="str">
        <f t="shared" ref="X2538:X2546" si="285">RIGHT(AB2538,2)</f>
        <v>21</v>
      </c>
      <c r="Y2538" t="str">
        <f t="shared" si="274"/>
        <v>2021</v>
      </c>
      <c r="Z2538"/>
      <c r="AA2538" s="2">
        <f t="shared" si="275"/>
        <v>44531</v>
      </c>
      <c r="AB2538" t="str">
        <f t="shared" ref="AB2538:AB2546" si="286">TEXT(U2538, "mm/dd/yyyy")</f>
        <v>01/12/2021</v>
      </c>
      <c r="AC2538"/>
    </row>
    <row r="2539" spans="21:29" ht="15">
      <c r="U2539" s="2">
        <v>44239</v>
      </c>
      <c r="V2539" t="str">
        <f t="shared" si="283"/>
        <v>02</v>
      </c>
      <c r="W2539" t="str">
        <f t="shared" si="284"/>
        <v>12</v>
      </c>
      <c r="X2539" t="str">
        <f t="shared" si="285"/>
        <v>21</v>
      </c>
      <c r="Y2539" t="str">
        <f t="shared" si="274"/>
        <v>2021</v>
      </c>
      <c r="Z2539"/>
      <c r="AA2539" s="2">
        <f t="shared" si="275"/>
        <v>44532</v>
      </c>
      <c r="AB2539" t="str">
        <f t="shared" si="286"/>
        <v>02/12/2021</v>
      </c>
      <c r="AC2539"/>
    </row>
    <row r="2540" spans="21:29" ht="15">
      <c r="U2540" s="2">
        <v>44267</v>
      </c>
      <c r="V2540" t="str">
        <f t="shared" si="283"/>
        <v>03</v>
      </c>
      <c r="W2540" t="str">
        <f t="shared" si="284"/>
        <v>12</v>
      </c>
      <c r="X2540" t="str">
        <f t="shared" si="285"/>
        <v>21</v>
      </c>
      <c r="Y2540" t="str">
        <f t="shared" si="274"/>
        <v>2021</v>
      </c>
      <c r="Z2540"/>
      <c r="AA2540" s="2">
        <f t="shared" si="275"/>
        <v>44533</v>
      </c>
      <c r="AB2540" t="str">
        <f t="shared" si="286"/>
        <v>03/12/2021</v>
      </c>
      <c r="AC2540"/>
    </row>
    <row r="2541" spans="21:29" ht="15">
      <c r="U2541" s="2">
        <v>44267</v>
      </c>
      <c r="V2541" t="str">
        <f t="shared" si="283"/>
        <v>03</v>
      </c>
      <c r="W2541" t="str">
        <f t="shared" si="284"/>
        <v>12</v>
      </c>
      <c r="X2541" t="str">
        <f t="shared" si="285"/>
        <v>21</v>
      </c>
      <c r="Y2541" t="str">
        <f t="shared" si="274"/>
        <v>2021</v>
      </c>
      <c r="Z2541"/>
      <c r="AA2541" s="2">
        <f t="shared" si="275"/>
        <v>44533</v>
      </c>
      <c r="AB2541" t="str">
        <f t="shared" si="286"/>
        <v>03/12/2021</v>
      </c>
      <c r="AC2541"/>
    </row>
    <row r="2542" spans="21:29" ht="15">
      <c r="U2542" s="2">
        <v>44267</v>
      </c>
      <c r="V2542" t="str">
        <f t="shared" si="283"/>
        <v>03</v>
      </c>
      <c r="W2542" t="str">
        <f t="shared" si="284"/>
        <v>12</v>
      </c>
      <c r="X2542" t="str">
        <f t="shared" si="285"/>
        <v>21</v>
      </c>
      <c r="Y2542" t="str">
        <f t="shared" si="274"/>
        <v>2021</v>
      </c>
      <c r="Z2542"/>
      <c r="AA2542" s="2">
        <f t="shared" si="275"/>
        <v>44533</v>
      </c>
      <c r="AB2542" t="str">
        <f t="shared" si="286"/>
        <v>03/12/2021</v>
      </c>
      <c r="AC2542"/>
    </row>
    <row r="2543" spans="21:29" ht="15">
      <c r="U2543" s="2">
        <v>44267</v>
      </c>
      <c r="V2543" t="str">
        <f t="shared" si="283"/>
        <v>03</v>
      </c>
      <c r="W2543" t="str">
        <f t="shared" si="284"/>
        <v>12</v>
      </c>
      <c r="X2543" t="str">
        <f t="shared" si="285"/>
        <v>21</v>
      </c>
      <c r="Y2543" t="str">
        <f t="shared" si="274"/>
        <v>2021</v>
      </c>
      <c r="Z2543"/>
      <c r="AA2543" s="2">
        <f t="shared" si="275"/>
        <v>44533</v>
      </c>
      <c r="AB2543" t="str">
        <f t="shared" si="286"/>
        <v>03/12/2021</v>
      </c>
      <c r="AC2543"/>
    </row>
    <row r="2544" spans="21:29" ht="15">
      <c r="U2544" s="2">
        <v>44298</v>
      </c>
      <c r="V2544" t="str">
        <f t="shared" si="283"/>
        <v>04</v>
      </c>
      <c r="W2544" t="str">
        <f t="shared" si="284"/>
        <v>12</v>
      </c>
      <c r="X2544" t="str">
        <f t="shared" si="285"/>
        <v>21</v>
      </c>
      <c r="Y2544" t="str">
        <f t="shared" si="274"/>
        <v>2021</v>
      </c>
      <c r="Z2544"/>
      <c r="AA2544" s="2">
        <f t="shared" si="275"/>
        <v>44534</v>
      </c>
      <c r="AB2544" t="str">
        <f t="shared" si="286"/>
        <v>04/12/2021</v>
      </c>
      <c r="AC2544"/>
    </row>
    <row r="2545" spans="21:29" ht="15">
      <c r="U2545" s="2">
        <v>44359</v>
      </c>
      <c r="V2545" t="str">
        <f t="shared" si="283"/>
        <v>06</v>
      </c>
      <c r="W2545" t="str">
        <f t="shared" si="284"/>
        <v>12</v>
      </c>
      <c r="X2545" t="str">
        <f t="shared" si="285"/>
        <v>21</v>
      </c>
      <c r="Y2545" t="str">
        <f t="shared" si="274"/>
        <v>2021</v>
      </c>
      <c r="Z2545"/>
      <c r="AA2545" s="2">
        <f t="shared" si="275"/>
        <v>44536</v>
      </c>
      <c r="AB2545" t="str">
        <f t="shared" si="286"/>
        <v>06/12/2021</v>
      </c>
      <c r="AC2545"/>
    </row>
    <row r="2546" spans="21:29" ht="15">
      <c r="U2546" s="2">
        <v>44359</v>
      </c>
      <c r="V2546" t="str">
        <f t="shared" si="283"/>
        <v>06</v>
      </c>
      <c r="W2546" t="str">
        <f t="shared" si="284"/>
        <v>12</v>
      </c>
      <c r="X2546" t="str">
        <f t="shared" si="285"/>
        <v>21</v>
      </c>
      <c r="Y2546" t="str">
        <f t="shared" si="274"/>
        <v>2021</v>
      </c>
      <c r="Z2546"/>
      <c r="AA2546" s="2">
        <f t="shared" si="275"/>
        <v>44536</v>
      </c>
      <c r="AB2546" t="str">
        <f t="shared" si="286"/>
        <v>06/12/2021</v>
      </c>
      <c r="AC2546"/>
    </row>
    <row r="2547" spans="21:29" ht="15">
      <c r="U2547" t="s">
        <v>10292</v>
      </c>
      <c r="V2547" t="str">
        <f t="shared" ref="V2547:V2559" si="287">LEFT(U2547,2)</f>
        <v>13</v>
      </c>
      <c r="W2547" t="str">
        <f t="shared" ref="W2547:W2559" si="288">MID(U2547,4,2)</f>
        <v>12</v>
      </c>
      <c r="X2547" t="str">
        <f t="shared" ref="X2547:X2559" si="289">RIGHT(U2547,2)</f>
        <v>21</v>
      </c>
      <c r="Y2547" t="str">
        <f t="shared" si="274"/>
        <v>2021</v>
      </c>
      <c r="Z2547"/>
      <c r="AA2547" s="2">
        <f t="shared" si="275"/>
        <v>44543</v>
      </c>
      <c r="AB2547"/>
      <c r="AC2547"/>
    </row>
    <row r="2548" spans="21:29" ht="15">
      <c r="U2548" t="s">
        <v>10292</v>
      </c>
      <c r="V2548" t="str">
        <f t="shared" si="287"/>
        <v>13</v>
      </c>
      <c r="W2548" t="str">
        <f t="shared" si="288"/>
        <v>12</v>
      </c>
      <c r="X2548" t="str">
        <f t="shared" si="289"/>
        <v>21</v>
      </c>
      <c r="Y2548" t="str">
        <f t="shared" si="274"/>
        <v>2021</v>
      </c>
      <c r="Z2548"/>
      <c r="AA2548" s="2">
        <f t="shared" si="275"/>
        <v>44543</v>
      </c>
      <c r="AB2548"/>
      <c r="AC2548"/>
    </row>
    <row r="2549" spans="21:29" ht="15">
      <c r="U2549" t="s">
        <v>10292</v>
      </c>
      <c r="V2549" t="str">
        <f t="shared" si="287"/>
        <v>13</v>
      </c>
      <c r="W2549" t="str">
        <f t="shared" si="288"/>
        <v>12</v>
      </c>
      <c r="X2549" t="str">
        <f t="shared" si="289"/>
        <v>21</v>
      </c>
      <c r="Y2549" t="str">
        <f t="shared" si="274"/>
        <v>2021</v>
      </c>
      <c r="Z2549"/>
      <c r="AA2549" s="2">
        <f t="shared" si="275"/>
        <v>44543</v>
      </c>
      <c r="AB2549"/>
      <c r="AC2549"/>
    </row>
    <row r="2550" spans="21:29" ht="15">
      <c r="U2550" t="s">
        <v>10293</v>
      </c>
      <c r="V2550" t="str">
        <f t="shared" si="287"/>
        <v>18</v>
      </c>
      <c r="W2550" t="str">
        <f t="shared" si="288"/>
        <v>12</v>
      </c>
      <c r="X2550" t="str">
        <f t="shared" si="289"/>
        <v>21</v>
      </c>
      <c r="Y2550" t="str">
        <f t="shared" si="274"/>
        <v>2021</v>
      </c>
      <c r="Z2550"/>
      <c r="AA2550" s="2">
        <f t="shared" si="275"/>
        <v>44548</v>
      </c>
      <c r="AB2550"/>
      <c r="AC2550"/>
    </row>
    <row r="2551" spans="21:29" ht="15">
      <c r="U2551" t="s">
        <v>10294</v>
      </c>
      <c r="V2551" t="str">
        <f t="shared" si="287"/>
        <v>20</v>
      </c>
      <c r="W2551" t="str">
        <f t="shared" si="288"/>
        <v>12</v>
      </c>
      <c r="X2551" t="str">
        <f t="shared" si="289"/>
        <v>21</v>
      </c>
      <c r="Y2551" t="str">
        <f t="shared" si="274"/>
        <v>2021</v>
      </c>
      <c r="Z2551"/>
      <c r="AA2551" s="2">
        <f t="shared" si="275"/>
        <v>44550</v>
      </c>
      <c r="AB2551"/>
      <c r="AC2551"/>
    </row>
    <row r="2552" spans="21:29" ht="15">
      <c r="U2552" t="s">
        <v>10294</v>
      </c>
      <c r="V2552" t="str">
        <f t="shared" si="287"/>
        <v>20</v>
      </c>
      <c r="W2552" t="str">
        <f t="shared" si="288"/>
        <v>12</v>
      </c>
      <c r="X2552" t="str">
        <f t="shared" si="289"/>
        <v>21</v>
      </c>
      <c r="Y2552" t="str">
        <f t="shared" si="274"/>
        <v>2021</v>
      </c>
      <c r="Z2552"/>
      <c r="AA2552" s="2">
        <f t="shared" si="275"/>
        <v>44550</v>
      </c>
      <c r="AB2552"/>
      <c r="AC2552"/>
    </row>
    <row r="2553" spans="21:29" ht="15">
      <c r="U2553" t="s">
        <v>9775</v>
      </c>
      <c r="V2553" t="str">
        <f t="shared" si="287"/>
        <v>21</v>
      </c>
      <c r="W2553" t="str">
        <f t="shared" si="288"/>
        <v>12</v>
      </c>
      <c r="X2553" t="str">
        <f t="shared" si="289"/>
        <v>21</v>
      </c>
      <c r="Y2553" t="str">
        <f t="shared" si="274"/>
        <v>2021</v>
      </c>
      <c r="Z2553"/>
      <c r="AA2553" s="2">
        <f t="shared" si="275"/>
        <v>44551</v>
      </c>
      <c r="AB2553"/>
      <c r="AC2553"/>
    </row>
    <row r="2554" spans="21:29" ht="15">
      <c r="U2554" t="s">
        <v>10295</v>
      </c>
      <c r="V2554" t="str">
        <f t="shared" si="287"/>
        <v>24</v>
      </c>
      <c r="W2554" t="str">
        <f t="shared" si="288"/>
        <v>12</v>
      </c>
      <c r="X2554" t="str">
        <f t="shared" si="289"/>
        <v>21</v>
      </c>
      <c r="Y2554" t="str">
        <f t="shared" si="274"/>
        <v>2021</v>
      </c>
      <c r="Z2554"/>
      <c r="AA2554" s="2">
        <f t="shared" si="275"/>
        <v>44554</v>
      </c>
      <c r="AB2554"/>
      <c r="AC2554"/>
    </row>
    <row r="2555" spans="21:29" ht="15">
      <c r="U2555" t="s">
        <v>10295</v>
      </c>
      <c r="V2555" t="str">
        <f t="shared" si="287"/>
        <v>24</v>
      </c>
      <c r="W2555" t="str">
        <f t="shared" si="288"/>
        <v>12</v>
      </c>
      <c r="X2555" t="str">
        <f t="shared" si="289"/>
        <v>21</v>
      </c>
      <c r="Y2555" t="str">
        <f t="shared" si="274"/>
        <v>2021</v>
      </c>
      <c r="Z2555"/>
      <c r="AA2555" s="2">
        <f t="shared" si="275"/>
        <v>44554</v>
      </c>
      <c r="AB2555"/>
      <c r="AC2555"/>
    </row>
    <row r="2556" spans="21:29" ht="15">
      <c r="U2556" t="s">
        <v>10296</v>
      </c>
      <c r="V2556" t="str">
        <f t="shared" si="287"/>
        <v>27</v>
      </c>
      <c r="W2556" t="str">
        <f t="shared" si="288"/>
        <v>12</v>
      </c>
      <c r="X2556" t="str">
        <f t="shared" si="289"/>
        <v>21</v>
      </c>
      <c r="Y2556" t="str">
        <f t="shared" si="274"/>
        <v>2021</v>
      </c>
      <c r="Z2556"/>
      <c r="AA2556" s="2">
        <f t="shared" si="275"/>
        <v>44557</v>
      </c>
      <c r="AB2556"/>
      <c r="AC2556"/>
    </row>
    <row r="2557" spans="21:29" ht="15">
      <c r="U2557" t="s">
        <v>9776</v>
      </c>
      <c r="V2557" t="str">
        <f t="shared" si="287"/>
        <v>28</v>
      </c>
      <c r="W2557" t="str">
        <f t="shared" si="288"/>
        <v>12</v>
      </c>
      <c r="X2557" t="str">
        <f t="shared" si="289"/>
        <v>21</v>
      </c>
      <c r="Y2557" t="str">
        <f t="shared" si="274"/>
        <v>2021</v>
      </c>
      <c r="Z2557"/>
      <c r="AA2557" s="2">
        <f t="shared" si="275"/>
        <v>44558</v>
      </c>
      <c r="AB2557"/>
      <c r="AC2557"/>
    </row>
    <row r="2558" spans="21:29" ht="15">
      <c r="U2558" t="s">
        <v>9776</v>
      </c>
      <c r="V2558" t="str">
        <f t="shared" si="287"/>
        <v>28</v>
      </c>
      <c r="W2558" t="str">
        <f t="shared" si="288"/>
        <v>12</v>
      </c>
      <c r="X2558" t="str">
        <f t="shared" si="289"/>
        <v>21</v>
      </c>
      <c r="Y2558" t="str">
        <f t="shared" si="274"/>
        <v>2021</v>
      </c>
      <c r="Z2558"/>
      <c r="AA2558" s="2">
        <f t="shared" si="275"/>
        <v>44558</v>
      </c>
      <c r="AB2558"/>
      <c r="AC2558"/>
    </row>
    <row r="2559" spans="21:29" ht="15">
      <c r="U2559" t="s">
        <v>9777</v>
      </c>
      <c r="V2559" t="str">
        <f t="shared" si="287"/>
        <v>31</v>
      </c>
      <c r="W2559" t="str">
        <f t="shared" si="288"/>
        <v>12</v>
      </c>
      <c r="X2559" t="str">
        <f t="shared" si="289"/>
        <v>21</v>
      </c>
      <c r="Y2559" t="str">
        <f t="shared" si="274"/>
        <v>2021</v>
      </c>
      <c r="Z2559"/>
      <c r="AA2559" s="2">
        <f t="shared" si="275"/>
        <v>44561</v>
      </c>
      <c r="AB2559"/>
      <c r="AC2559"/>
    </row>
    <row r="2560" spans="21:29" ht="15">
      <c r="U2560" s="2">
        <v>44562</v>
      </c>
      <c r="V2560" t="str">
        <f t="shared" ref="V2560:V2579" si="290">LEFT(AB2560,2)</f>
        <v>01</v>
      </c>
      <c r="W2560" t="str">
        <f t="shared" ref="W2560:W2579" si="291">MID(AB2560,4,2)</f>
        <v>01</v>
      </c>
      <c r="X2560" t="str">
        <f t="shared" ref="X2560:X2579" si="292">RIGHT(AB2560,2)</f>
        <v>22</v>
      </c>
      <c r="Y2560" t="str">
        <f t="shared" si="274"/>
        <v>2022</v>
      </c>
      <c r="Z2560"/>
      <c r="AA2560" s="2">
        <f t="shared" si="275"/>
        <v>44562</v>
      </c>
      <c r="AB2560" t="str">
        <f t="shared" ref="AB2560:AB2579" si="293">TEXT(U2560, "mm/dd/yyyy")</f>
        <v>01/01/2022</v>
      </c>
      <c r="AC2560"/>
    </row>
    <row r="2561" spans="21:29" ht="15">
      <c r="U2561" s="2">
        <v>44621</v>
      </c>
      <c r="V2561" t="str">
        <f t="shared" si="290"/>
        <v>03</v>
      </c>
      <c r="W2561" t="str">
        <f t="shared" si="291"/>
        <v>01</v>
      </c>
      <c r="X2561" t="str">
        <f t="shared" si="292"/>
        <v>22</v>
      </c>
      <c r="Y2561" t="str">
        <f t="shared" si="274"/>
        <v>2022</v>
      </c>
      <c r="Z2561"/>
      <c r="AA2561" s="2">
        <f t="shared" si="275"/>
        <v>44564</v>
      </c>
      <c r="AB2561" t="str">
        <f t="shared" si="293"/>
        <v>03/01/2022</v>
      </c>
      <c r="AC2561"/>
    </row>
    <row r="2562" spans="21:29" ht="15">
      <c r="U2562" s="2">
        <v>44621</v>
      </c>
      <c r="V2562" t="str">
        <f t="shared" si="290"/>
        <v>03</v>
      </c>
      <c r="W2562" t="str">
        <f t="shared" si="291"/>
        <v>01</v>
      </c>
      <c r="X2562" t="str">
        <f t="shared" si="292"/>
        <v>22</v>
      </c>
      <c r="Y2562" t="str">
        <f t="shared" si="274"/>
        <v>2022</v>
      </c>
      <c r="Z2562"/>
      <c r="AA2562" s="2">
        <f t="shared" si="275"/>
        <v>44564</v>
      </c>
      <c r="AB2562" t="str">
        <f t="shared" si="293"/>
        <v>03/01/2022</v>
      </c>
      <c r="AC2562"/>
    </row>
    <row r="2563" spans="21:29" ht="15">
      <c r="U2563" s="2">
        <v>44621</v>
      </c>
      <c r="V2563" t="str">
        <f t="shared" si="290"/>
        <v>03</v>
      </c>
      <c r="W2563" t="str">
        <f t="shared" si="291"/>
        <v>01</v>
      </c>
      <c r="X2563" t="str">
        <f t="shared" si="292"/>
        <v>22</v>
      </c>
      <c r="Y2563" t="str">
        <f t="shared" ref="Y2563:Y2626" si="294">"20" &amp; X2563</f>
        <v>2022</v>
      </c>
      <c r="Z2563"/>
      <c r="AA2563" s="2">
        <f t="shared" si="275"/>
        <v>44564</v>
      </c>
      <c r="AB2563" t="str">
        <f t="shared" si="293"/>
        <v>03/01/2022</v>
      </c>
      <c r="AC2563"/>
    </row>
    <row r="2564" spans="21:29" ht="15">
      <c r="U2564" s="2">
        <v>44621</v>
      </c>
      <c r="V2564" t="str">
        <f t="shared" si="290"/>
        <v>03</v>
      </c>
      <c r="W2564" t="str">
        <f t="shared" si="291"/>
        <v>01</v>
      </c>
      <c r="X2564" t="str">
        <f t="shared" si="292"/>
        <v>22</v>
      </c>
      <c r="Y2564" t="str">
        <f t="shared" si="294"/>
        <v>2022</v>
      </c>
      <c r="Z2564"/>
      <c r="AA2564" s="2">
        <f t="shared" si="275"/>
        <v>44564</v>
      </c>
      <c r="AB2564" t="str">
        <f t="shared" si="293"/>
        <v>03/01/2022</v>
      </c>
      <c r="AC2564"/>
    </row>
    <row r="2565" spans="21:29" ht="15">
      <c r="U2565" s="2">
        <v>44682</v>
      </c>
      <c r="V2565" t="str">
        <f t="shared" si="290"/>
        <v>05</v>
      </c>
      <c r="W2565" t="str">
        <f t="shared" si="291"/>
        <v>01</v>
      </c>
      <c r="X2565" t="str">
        <f t="shared" si="292"/>
        <v>22</v>
      </c>
      <c r="Y2565" t="str">
        <f t="shared" si="294"/>
        <v>2022</v>
      </c>
      <c r="Z2565"/>
      <c r="AA2565" s="2">
        <f t="shared" si="275"/>
        <v>44566</v>
      </c>
      <c r="AB2565" t="str">
        <f t="shared" si="293"/>
        <v>05/01/2022</v>
      </c>
      <c r="AC2565"/>
    </row>
    <row r="2566" spans="21:29" ht="15">
      <c r="U2566" s="2">
        <v>44682</v>
      </c>
      <c r="V2566" t="str">
        <f t="shared" si="290"/>
        <v>05</v>
      </c>
      <c r="W2566" t="str">
        <f t="shared" si="291"/>
        <v>01</v>
      </c>
      <c r="X2566" t="str">
        <f t="shared" si="292"/>
        <v>22</v>
      </c>
      <c r="Y2566" t="str">
        <f t="shared" si="294"/>
        <v>2022</v>
      </c>
      <c r="Z2566"/>
      <c r="AA2566" s="2">
        <f t="shared" si="275"/>
        <v>44566</v>
      </c>
      <c r="AB2566" t="str">
        <f t="shared" si="293"/>
        <v>05/01/2022</v>
      </c>
      <c r="AC2566"/>
    </row>
    <row r="2567" spans="21:29" ht="15">
      <c r="U2567" s="2">
        <v>44682</v>
      </c>
      <c r="V2567" t="str">
        <f t="shared" si="290"/>
        <v>05</v>
      </c>
      <c r="W2567" t="str">
        <f t="shared" si="291"/>
        <v>01</v>
      </c>
      <c r="X2567" t="str">
        <f t="shared" si="292"/>
        <v>22</v>
      </c>
      <c r="Y2567" t="str">
        <f t="shared" si="294"/>
        <v>2022</v>
      </c>
      <c r="Z2567"/>
      <c r="AA2567" s="2">
        <f t="shared" si="275"/>
        <v>44566</v>
      </c>
      <c r="AB2567" t="str">
        <f t="shared" si="293"/>
        <v>05/01/2022</v>
      </c>
      <c r="AC2567"/>
    </row>
    <row r="2568" spans="21:29" ht="15">
      <c r="U2568" s="2">
        <v>44835</v>
      </c>
      <c r="V2568" t="str">
        <f t="shared" si="290"/>
        <v>10</v>
      </c>
      <c r="W2568" t="str">
        <f t="shared" si="291"/>
        <v>01</v>
      </c>
      <c r="X2568" t="str">
        <f t="shared" si="292"/>
        <v>22</v>
      </c>
      <c r="Y2568" t="str">
        <f t="shared" si="294"/>
        <v>2022</v>
      </c>
      <c r="Z2568"/>
      <c r="AA2568" s="2">
        <f t="shared" ref="AA2568:AA2631" si="295">DATE(Y2568,W2568,V2568)</f>
        <v>44571</v>
      </c>
      <c r="AB2568" t="str">
        <f t="shared" si="293"/>
        <v>10/01/2022</v>
      </c>
      <c r="AC2568"/>
    </row>
    <row r="2569" spans="21:29" ht="15">
      <c r="U2569" s="2">
        <v>44835</v>
      </c>
      <c r="V2569" t="str">
        <f t="shared" si="290"/>
        <v>10</v>
      </c>
      <c r="W2569" t="str">
        <f t="shared" si="291"/>
        <v>01</v>
      </c>
      <c r="X2569" t="str">
        <f t="shared" si="292"/>
        <v>22</v>
      </c>
      <c r="Y2569" t="str">
        <f t="shared" si="294"/>
        <v>2022</v>
      </c>
      <c r="Z2569"/>
      <c r="AA2569" s="2">
        <f t="shared" si="295"/>
        <v>44571</v>
      </c>
      <c r="AB2569" t="str">
        <f t="shared" si="293"/>
        <v>10/01/2022</v>
      </c>
      <c r="AC2569"/>
    </row>
    <row r="2570" spans="21:29" ht="15">
      <c r="U2570" s="2">
        <v>44835</v>
      </c>
      <c r="V2570" t="str">
        <f t="shared" si="290"/>
        <v>10</v>
      </c>
      <c r="W2570" t="str">
        <f t="shared" si="291"/>
        <v>01</v>
      </c>
      <c r="X2570" t="str">
        <f t="shared" si="292"/>
        <v>22</v>
      </c>
      <c r="Y2570" t="str">
        <f t="shared" si="294"/>
        <v>2022</v>
      </c>
      <c r="Z2570"/>
      <c r="AA2570" s="2">
        <f t="shared" si="295"/>
        <v>44571</v>
      </c>
      <c r="AB2570" t="str">
        <f t="shared" si="293"/>
        <v>10/01/2022</v>
      </c>
      <c r="AC2570"/>
    </row>
    <row r="2571" spans="21:29" ht="15">
      <c r="U2571" s="2">
        <v>44835</v>
      </c>
      <c r="V2571" t="str">
        <f t="shared" si="290"/>
        <v>10</v>
      </c>
      <c r="W2571" t="str">
        <f t="shared" si="291"/>
        <v>01</v>
      </c>
      <c r="X2571" t="str">
        <f t="shared" si="292"/>
        <v>22</v>
      </c>
      <c r="Y2571" t="str">
        <f t="shared" si="294"/>
        <v>2022</v>
      </c>
      <c r="Z2571"/>
      <c r="AA2571" s="2">
        <f t="shared" si="295"/>
        <v>44571</v>
      </c>
      <c r="AB2571" t="str">
        <f t="shared" si="293"/>
        <v>10/01/2022</v>
      </c>
      <c r="AC2571"/>
    </row>
    <row r="2572" spans="21:29" ht="15">
      <c r="U2572" s="2">
        <v>44866</v>
      </c>
      <c r="V2572" t="str">
        <f t="shared" si="290"/>
        <v>11</v>
      </c>
      <c r="W2572" t="str">
        <f t="shared" si="291"/>
        <v>01</v>
      </c>
      <c r="X2572" t="str">
        <f t="shared" si="292"/>
        <v>22</v>
      </c>
      <c r="Y2572" t="str">
        <f t="shared" si="294"/>
        <v>2022</v>
      </c>
      <c r="Z2572"/>
      <c r="AA2572" s="2">
        <f t="shared" si="295"/>
        <v>44572</v>
      </c>
      <c r="AB2572" t="str">
        <f t="shared" si="293"/>
        <v>11/01/2022</v>
      </c>
      <c r="AC2572"/>
    </row>
    <row r="2573" spans="21:29" ht="15">
      <c r="U2573" s="2">
        <v>44896</v>
      </c>
      <c r="V2573" t="str">
        <f t="shared" si="290"/>
        <v>12</v>
      </c>
      <c r="W2573" t="str">
        <f t="shared" si="291"/>
        <v>01</v>
      </c>
      <c r="X2573" t="str">
        <f t="shared" si="292"/>
        <v>22</v>
      </c>
      <c r="Y2573" t="str">
        <f t="shared" si="294"/>
        <v>2022</v>
      </c>
      <c r="Z2573"/>
      <c r="AA2573" s="2">
        <f t="shared" si="295"/>
        <v>44573</v>
      </c>
      <c r="AB2573" t="str">
        <f t="shared" si="293"/>
        <v>12/01/2022</v>
      </c>
      <c r="AC2573"/>
    </row>
    <row r="2574" spans="21:29" ht="15">
      <c r="U2574" s="2">
        <v>44896</v>
      </c>
      <c r="V2574" t="str">
        <f t="shared" si="290"/>
        <v>12</v>
      </c>
      <c r="W2574" t="str">
        <f t="shared" si="291"/>
        <v>01</v>
      </c>
      <c r="X2574" t="str">
        <f t="shared" si="292"/>
        <v>22</v>
      </c>
      <c r="Y2574" t="str">
        <f t="shared" si="294"/>
        <v>2022</v>
      </c>
      <c r="Z2574"/>
      <c r="AA2574" s="2">
        <f t="shared" si="295"/>
        <v>44573</v>
      </c>
      <c r="AB2574" t="str">
        <f t="shared" si="293"/>
        <v>12/01/2022</v>
      </c>
      <c r="AC2574"/>
    </row>
    <row r="2575" spans="21:29" ht="15">
      <c r="U2575" s="2">
        <v>44896</v>
      </c>
      <c r="V2575" t="str">
        <f t="shared" si="290"/>
        <v>12</v>
      </c>
      <c r="W2575" t="str">
        <f t="shared" si="291"/>
        <v>01</v>
      </c>
      <c r="X2575" t="str">
        <f t="shared" si="292"/>
        <v>22</v>
      </c>
      <c r="Y2575" t="str">
        <f t="shared" si="294"/>
        <v>2022</v>
      </c>
      <c r="Z2575"/>
      <c r="AA2575" s="2">
        <f t="shared" si="295"/>
        <v>44573</v>
      </c>
      <c r="AB2575" t="str">
        <f t="shared" si="293"/>
        <v>12/01/2022</v>
      </c>
      <c r="AC2575"/>
    </row>
    <row r="2576" spans="21:29" ht="15">
      <c r="U2576" s="2">
        <v>44896</v>
      </c>
      <c r="V2576" t="str">
        <f t="shared" si="290"/>
        <v>12</v>
      </c>
      <c r="W2576" t="str">
        <f t="shared" si="291"/>
        <v>01</v>
      </c>
      <c r="X2576" t="str">
        <f t="shared" si="292"/>
        <v>22</v>
      </c>
      <c r="Y2576" t="str">
        <f t="shared" si="294"/>
        <v>2022</v>
      </c>
      <c r="Z2576"/>
      <c r="AA2576" s="2">
        <f t="shared" si="295"/>
        <v>44573</v>
      </c>
      <c r="AB2576" t="str">
        <f t="shared" si="293"/>
        <v>12/01/2022</v>
      </c>
      <c r="AC2576"/>
    </row>
    <row r="2577" spans="21:29" ht="15">
      <c r="U2577" s="2">
        <v>44896</v>
      </c>
      <c r="V2577" t="str">
        <f t="shared" si="290"/>
        <v>12</v>
      </c>
      <c r="W2577" t="str">
        <f t="shared" si="291"/>
        <v>01</v>
      </c>
      <c r="X2577" t="str">
        <f t="shared" si="292"/>
        <v>22</v>
      </c>
      <c r="Y2577" t="str">
        <f t="shared" si="294"/>
        <v>2022</v>
      </c>
      <c r="Z2577"/>
      <c r="AA2577" s="2">
        <f t="shared" si="295"/>
        <v>44573</v>
      </c>
      <c r="AB2577" t="str">
        <f t="shared" si="293"/>
        <v>12/01/2022</v>
      </c>
      <c r="AC2577"/>
    </row>
    <row r="2578" spans="21:29" ht="15">
      <c r="U2578" s="2">
        <v>44896</v>
      </c>
      <c r="V2578" t="str">
        <f t="shared" si="290"/>
        <v>12</v>
      </c>
      <c r="W2578" t="str">
        <f t="shared" si="291"/>
        <v>01</v>
      </c>
      <c r="X2578" t="str">
        <f t="shared" si="292"/>
        <v>22</v>
      </c>
      <c r="Y2578" t="str">
        <f t="shared" si="294"/>
        <v>2022</v>
      </c>
      <c r="Z2578"/>
      <c r="AA2578" s="2">
        <f t="shared" si="295"/>
        <v>44573</v>
      </c>
      <c r="AB2578" t="str">
        <f t="shared" si="293"/>
        <v>12/01/2022</v>
      </c>
      <c r="AC2578"/>
    </row>
    <row r="2579" spans="21:29" ht="15">
      <c r="U2579" s="2">
        <v>44896</v>
      </c>
      <c r="V2579" t="str">
        <f t="shared" si="290"/>
        <v>12</v>
      </c>
      <c r="W2579" t="str">
        <f t="shared" si="291"/>
        <v>01</v>
      </c>
      <c r="X2579" t="str">
        <f t="shared" si="292"/>
        <v>22</v>
      </c>
      <c r="Y2579" t="str">
        <f t="shared" si="294"/>
        <v>2022</v>
      </c>
      <c r="Z2579"/>
      <c r="AA2579" s="2">
        <f t="shared" si="295"/>
        <v>44573</v>
      </c>
      <c r="AB2579" t="str">
        <f t="shared" si="293"/>
        <v>12/01/2022</v>
      </c>
      <c r="AC2579"/>
    </row>
    <row r="2580" spans="21:29" ht="15">
      <c r="U2580" t="s">
        <v>10297</v>
      </c>
      <c r="V2580" t="str">
        <f t="shared" ref="V2580:V2602" si="296">LEFT(U2580,2)</f>
        <v>17</v>
      </c>
      <c r="W2580" t="str">
        <f t="shared" ref="W2580:W2602" si="297">MID(U2580,4,2)</f>
        <v>01</v>
      </c>
      <c r="X2580" t="str">
        <f t="shared" ref="X2580:X2602" si="298">RIGHT(U2580,2)</f>
        <v>22</v>
      </c>
      <c r="Y2580" t="str">
        <f t="shared" si="294"/>
        <v>2022</v>
      </c>
      <c r="Z2580"/>
      <c r="AA2580" s="2">
        <f t="shared" si="295"/>
        <v>44578</v>
      </c>
      <c r="AB2580"/>
      <c r="AC2580"/>
    </row>
    <row r="2581" spans="21:29" ht="15">
      <c r="U2581" t="s">
        <v>10297</v>
      </c>
      <c r="V2581" t="str">
        <f t="shared" si="296"/>
        <v>17</v>
      </c>
      <c r="W2581" t="str">
        <f t="shared" si="297"/>
        <v>01</v>
      </c>
      <c r="X2581" t="str">
        <f t="shared" si="298"/>
        <v>22</v>
      </c>
      <c r="Y2581" t="str">
        <f t="shared" si="294"/>
        <v>2022</v>
      </c>
      <c r="Z2581"/>
      <c r="AA2581" s="2">
        <f t="shared" si="295"/>
        <v>44578</v>
      </c>
      <c r="AB2581"/>
      <c r="AC2581"/>
    </row>
    <row r="2582" spans="21:29" ht="15">
      <c r="U2582" t="s">
        <v>10297</v>
      </c>
      <c r="V2582" t="str">
        <f t="shared" si="296"/>
        <v>17</v>
      </c>
      <c r="W2582" t="str">
        <f t="shared" si="297"/>
        <v>01</v>
      </c>
      <c r="X2582" t="str">
        <f t="shared" si="298"/>
        <v>22</v>
      </c>
      <c r="Y2582" t="str">
        <f t="shared" si="294"/>
        <v>2022</v>
      </c>
      <c r="Z2582"/>
      <c r="AA2582" s="2">
        <f t="shared" si="295"/>
        <v>44578</v>
      </c>
      <c r="AB2582"/>
      <c r="AC2582"/>
    </row>
    <row r="2583" spans="21:29" ht="15">
      <c r="U2583" t="s">
        <v>10297</v>
      </c>
      <c r="V2583" t="str">
        <f t="shared" si="296"/>
        <v>17</v>
      </c>
      <c r="W2583" t="str">
        <f t="shared" si="297"/>
        <v>01</v>
      </c>
      <c r="X2583" t="str">
        <f t="shared" si="298"/>
        <v>22</v>
      </c>
      <c r="Y2583" t="str">
        <f t="shared" si="294"/>
        <v>2022</v>
      </c>
      <c r="Z2583"/>
      <c r="AA2583" s="2">
        <f t="shared" si="295"/>
        <v>44578</v>
      </c>
      <c r="AB2583"/>
      <c r="AC2583"/>
    </row>
    <row r="2584" spans="21:29" ht="15">
      <c r="U2584" t="s">
        <v>10297</v>
      </c>
      <c r="V2584" t="str">
        <f t="shared" si="296"/>
        <v>17</v>
      </c>
      <c r="W2584" t="str">
        <f t="shared" si="297"/>
        <v>01</v>
      </c>
      <c r="X2584" t="str">
        <f t="shared" si="298"/>
        <v>22</v>
      </c>
      <c r="Y2584" t="str">
        <f t="shared" si="294"/>
        <v>2022</v>
      </c>
      <c r="Z2584"/>
      <c r="AA2584" s="2">
        <f t="shared" si="295"/>
        <v>44578</v>
      </c>
      <c r="AB2584"/>
      <c r="AC2584"/>
    </row>
    <row r="2585" spans="21:29" ht="15">
      <c r="U2585" t="s">
        <v>10298</v>
      </c>
      <c r="V2585" t="str">
        <f t="shared" si="296"/>
        <v>20</v>
      </c>
      <c r="W2585" t="str">
        <f t="shared" si="297"/>
        <v>01</v>
      </c>
      <c r="X2585" t="str">
        <f t="shared" si="298"/>
        <v>22</v>
      </c>
      <c r="Y2585" t="str">
        <f t="shared" si="294"/>
        <v>2022</v>
      </c>
      <c r="Z2585"/>
      <c r="AA2585" s="2">
        <f t="shared" si="295"/>
        <v>44581</v>
      </c>
      <c r="AB2585"/>
      <c r="AC2585"/>
    </row>
    <row r="2586" spans="21:29" ht="15">
      <c r="U2586" t="s">
        <v>10299</v>
      </c>
      <c r="V2586" t="str">
        <f t="shared" si="296"/>
        <v>21</v>
      </c>
      <c r="W2586" t="str">
        <f t="shared" si="297"/>
        <v>01</v>
      </c>
      <c r="X2586" t="str">
        <f t="shared" si="298"/>
        <v>22</v>
      </c>
      <c r="Y2586" t="str">
        <f t="shared" si="294"/>
        <v>2022</v>
      </c>
      <c r="Z2586"/>
      <c r="AA2586" s="2">
        <f t="shared" si="295"/>
        <v>44582</v>
      </c>
      <c r="AB2586"/>
      <c r="AC2586"/>
    </row>
    <row r="2587" spans="21:29" ht="15">
      <c r="U2587" t="s">
        <v>10299</v>
      </c>
      <c r="V2587" t="str">
        <f t="shared" si="296"/>
        <v>21</v>
      </c>
      <c r="W2587" t="str">
        <f t="shared" si="297"/>
        <v>01</v>
      </c>
      <c r="X2587" t="str">
        <f t="shared" si="298"/>
        <v>22</v>
      </c>
      <c r="Y2587" t="str">
        <f t="shared" si="294"/>
        <v>2022</v>
      </c>
      <c r="Z2587"/>
      <c r="AA2587" s="2">
        <f t="shared" si="295"/>
        <v>44582</v>
      </c>
      <c r="AB2587"/>
      <c r="AC2587"/>
    </row>
    <row r="2588" spans="21:29" ht="15">
      <c r="U2588" t="s">
        <v>10299</v>
      </c>
      <c r="V2588" t="str">
        <f t="shared" si="296"/>
        <v>21</v>
      </c>
      <c r="W2588" t="str">
        <f t="shared" si="297"/>
        <v>01</v>
      </c>
      <c r="X2588" t="str">
        <f t="shared" si="298"/>
        <v>22</v>
      </c>
      <c r="Y2588" t="str">
        <f t="shared" si="294"/>
        <v>2022</v>
      </c>
      <c r="Z2588"/>
      <c r="AA2588" s="2">
        <f t="shared" si="295"/>
        <v>44582</v>
      </c>
      <c r="AB2588"/>
      <c r="AC2588"/>
    </row>
    <row r="2589" spans="21:29" ht="15">
      <c r="U2589" t="s">
        <v>10299</v>
      </c>
      <c r="V2589" t="str">
        <f t="shared" si="296"/>
        <v>21</v>
      </c>
      <c r="W2589" t="str">
        <f t="shared" si="297"/>
        <v>01</v>
      </c>
      <c r="X2589" t="str">
        <f t="shared" si="298"/>
        <v>22</v>
      </c>
      <c r="Y2589" t="str">
        <f t="shared" si="294"/>
        <v>2022</v>
      </c>
      <c r="Z2589"/>
      <c r="AA2589" s="2">
        <f t="shared" si="295"/>
        <v>44582</v>
      </c>
      <c r="AB2589"/>
      <c r="AC2589"/>
    </row>
    <row r="2590" spans="21:29" ht="15">
      <c r="U2590" t="s">
        <v>10300</v>
      </c>
      <c r="V2590" t="str">
        <f t="shared" si="296"/>
        <v>24</v>
      </c>
      <c r="W2590" t="str">
        <f t="shared" si="297"/>
        <v>01</v>
      </c>
      <c r="X2590" t="str">
        <f t="shared" si="298"/>
        <v>22</v>
      </c>
      <c r="Y2590" t="str">
        <f t="shared" si="294"/>
        <v>2022</v>
      </c>
      <c r="Z2590"/>
      <c r="AA2590" s="2">
        <f t="shared" si="295"/>
        <v>44585</v>
      </c>
      <c r="AB2590"/>
      <c r="AC2590"/>
    </row>
    <row r="2591" spans="21:29" ht="15">
      <c r="U2591" t="s">
        <v>10300</v>
      </c>
      <c r="V2591" t="str">
        <f t="shared" si="296"/>
        <v>24</v>
      </c>
      <c r="W2591" t="str">
        <f t="shared" si="297"/>
        <v>01</v>
      </c>
      <c r="X2591" t="str">
        <f t="shared" si="298"/>
        <v>22</v>
      </c>
      <c r="Y2591" t="str">
        <f t="shared" si="294"/>
        <v>2022</v>
      </c>
      <c r="Z2591"/>
      <c r="AA2591" s="2">
        <f t="shared" si="295"/>
        <v>44585</v>
      </c>
      <c r="AB2591"/>
      <c r="AC2591"/>
    </row>
    <row r="2592" spans="21:29" ht="15">
      <c r="U2592" t="s">
        <v>10300</v>
      </c>
      <c r="V2592" t="str">
        <f t="shared" si="296"/>
        <v>24</v>
      </c>
      <c r="W2592" t="str">
        <f t="shared" si="297"/>
        <v>01</v>
      </c>
      <c r="X2592" t="str">
        <f t="shared" si="298"/>
        <v>22</v>
      </c>
      <c r="Y2592" t="str">
        <f t="shared" si="294"/>
        <v>2022</v>
      </c>
      <c r="Z2592"/>
      <c r="AA2592" s="2">
        <f t="shared" si="295"/>
        <v>44585</v>
      </c>
      <c r="AB2592"/>
      <c r="AC2592"/>
    </row>
    <row r="2593" spans="21:29" ht="15">
      <c r="U2593" t="s">
        <v>10300</v>
      </c>
      <c r="V2593" t="str">
        <f t="shared" si="296"/>
        <v>24</v>
      </c>
      <c r="W2593" t="str">
        <f t="shared" si="297"/>
        <v>01</v>
      </c>
      <c r="X2593" t="str">
        <f t="shared" si="298"/>
        <v>22</v>
      </c>
      <c r="Y2593" t="str">
        <f t="shared" si="294"/>
        <v>2022</v>
      </c>
      <c r="Z2593"/>
      <c r="AA2593" s="2">
        <f t="shared" si="295"/>
        <v>44585</v>
      </c>
      <c r="AB2593"/>
      <c r="AC2593"/>
    </row>
    <row r="2594" spans="21:29" ht="15">
      <c r="U2594" t="s">
        <v>10300</v>
      </c>
      <c r="V2594" t="str">
        <f t="shared" si="296"/>
        <v>24</v>
      </c>
      <c r="W2594" t="str">
        <f t="shared" si="297"/>
        <v>01</v>
      </c>
      <c r="X2594" t="str">
        <f t="shared" si="298"/>
        <v>22</v>
      </c>
      <c r="Y2594" t="str">
        <f t="shared" si="294"/>
        <v>2022</v>
      </c>
      <c r="Z2594"/>
      <c r="AA2594" s="2">
        <f t="shared" si="295"/>
        <v>44585</v>
      </c>
      <c r="AB2594"/>
      <c r="AC2594"/>
    </row>
    <row r="2595" spans="21:29" ht="15">
      <c r="U2595" t="s">
        <v>10300</v>
      </c>
      <c r="V2595" t="str">
        <f t="shared" si="296"/>
        <v>24</v>
      </c>
      <c r="W2595" t="str">
        <f t="shared" si="297"/>
        <v>01</v>
      </c>
      <c r="X2595" t="str">
        <f t="shared" si="298"/>
        <v>22</v>
      </c>
      <c r="Y2595" t="str">
        <f t="shared" si="294"/>
        <v>2022</v>
      </c>
      <c r="Z2595"/>
      <c r="AA2595" s="2">
        <f t="shared" si="295"/>
        <v>44585</v>
      </c>
      <c r="AB2595"/>
      <c r="AC2595"/>
    </row>
    <row r="2596" spans="21:29" ht="15">
      <c r="U2596" t="s">
        <v>10301</v>
      </c>
      <c r="V2596" t="str">
        <f t="shared" si="296"/>
        <v>25</v>
      </c>
      <c r="W2596" t="str">
        <f t="shared" si="297"/>
        <v>01</v>
      </c>
      <c r="X2596" t="str">
        <f t="shared" si="298"/>
        <v>22</v>
      </c>
      <c r="Y2596" t="str">
        <f t="shared" si="294"/>
        <v>2022</v>
      </c>
      <c r="Z2596"/>
      <c r="AA2596" s="2">
        <f t="shared" si="295"/>
        <v>44586</v>
      </c>
      <c r="AB2596"/>
      <c r="AC2596"/>
    </row>
    <row r="2597" spans="21:29" ht="15">
      <c r="U2597" t="s">
        <v>10301</v>
      </c>
      <c r="V2597" t="str">
        <f t="shared" si="296"/>
        <v>25</v>
      </c>
      <c r="W2597" t="str">
        <f t="shared" si="297"/>
        <v>01</v>
      </c>
      <c r="X2597" t="str">
        <f t="shared" si="298"/>
        <v>22</v>
      </c>
      <c r="Y2597" t="str">
        <f t="shared" si="294"/>
        <v>2022</v>
      </c>
      <c r="Z2597"/>
      <c r="AA2597" s="2">
        <f t="shared" si="295"/>
        <v>44586</v>
      </c>
      <c r="AB2597"/>
      <c r="AC2597"/>
    </row>
    <row r="2598" spans="21:29" ht="15">
      <c r="U2598" t="s">
        <v>10302</v>
      </c>
      <c r="V2598" t="str">
        <f t="shared" si="296"/>
        <v>27</v>
      </c>
      <c r="W2598" t="str">
        <f t="shared" si="297"/>
        <v>01</v>
      </c>
      <c r="X2598" t="str">
        <f t="shared" si="298"/>
        <v>22</v>
      </c>
      <c r="Y2598" t="str">
        <f t="shared" si="294"/>
        <v>2022</v>
      </c>
      <c r="Z2598"/>
      <c r="AA2598" s="2">
        <f t="shared" si="295"/>
        <v>44588</v>
      </c>
      <c r="AB2598"/>
      <c r="AC2598"/>
    </row>
    <row r="2599" spans="21:29" ht="15">
      <c r="U2599" t="s">
        <v>10303</v>
      </c>
      <c r="V2599" t="str">
        <f t="shared" si="296"/>
        <v>28</v>
      </c>
      <c r="W2599" t="str">
        <f t="shared" si="297"/>
        <v>01</v>
      </c>
      <c r="X2599" t="str">
        <f t="shared" si="298"/>
        <v>22</v>
      </c>
      <c r="Y2599" t="str">
        <f t="shared" si="294"/>
        <v>2022</v>
      </c>
      <c r="Z2599"/>
      <c r="AA2599" s="2">
        <f t="shared" si="295"/>
        <v>44589</v>
      </c>
      <c r="AB2599"/>
      <c r="AC2599"/>
    </row>
    <row r="2600" spans="21:29" ht="15">
      <c r="U2600" t="s">
        <v>10303</v>
      </c>
      <c r="V2600" t="str">
        <f t="shared" si="296"/>
        <v>28</v>
      </c>
      <c r="W2600" t="str">
        <f t="shared" si="297"/>
        <v>01</v>
      </c>
      <c r="X2600" t="str">
        <f t="shared" si="298"/>
        <v>22</v>
      </c>
      <c r="Y2600" t="str">
        <f t="shared" si="294"/>
        <v>2022</v>
      </c>
      <c r="Z2600"/>
      <c r="AA2600" s="2">
        <f t="shared" si="295"/>
        <v>44589</v>
      </c>
      <c r="AB2600"/>
      <c r="AC2600"/>
    </row>
    <row r="2601" spans="21:29" ht="15">
      <c r="U2601" t="s">
        <v>10304</v>
      </c>
      <c r="V2601" t="str">
        <f t="shared" si="296"/>
        <v>31</v>
      </c>
      <c r="W2601" t="str">
        <f t="shared" si="297"/>
        <v>01</v>
      </c>
      <c r="X2601" t="str">
        <f t="shared" si="298"/>
        <v>22</v>
      </c>
      <c r="Y2601" t="str">
        <f t="shared" si="294"/>
        <v>2022</v>
      </c>
      <c r="Z2601"/>
      <c r="AA2601" s="2">
        <f t="shared" si="295"/>
        <v>44592</v>
      </c>
      <c r="AB2601"/>
      <c r="AC2601"/>
    </row>
    <row r="2602" spans="21:29" ht="15">
      <c r="U2602" t="s">
        <v>10304</v>
      </c>
      <c r="V2602" t="str">
        <f t="shared" si="296"/>
        <v>31</v>
      </c>
      <c r="W2602" t="str">
        <f t="shared" si="297"/>
        <v>01</v>
      </c>
      <c r="X2602" t="str">
        <f t="shared" si="298"/>
        <v>22</v>
      </c>
      <c r="Y2602" t="str">
        <f t="shared" si="294"/>
        <v>2022</v>
      </c>
      <c r="Z2602"/>
      <c r="AA2602" s="2">
        <f t="shared" si="295"/>
        <v>44592</v>
      </c>
      <c r="AB2602"/>
      <c r="AC2602"/>
    </row>
    <row r="2603" spans="21:29" ht="15">
      <c r="U2603" s="2">
        <v>44563</v>
      </c>
      <c r="V2603" t="str">
        <f t="shared" ref="V2603:V2613" si="299">LEFT(AB2603,2)</f>
        <v>01</v>
      </c>
      <c r="W2603" t="str">
        <f t="shared" ref="W2603:W2613" si="300">MID(AB2603,4,2)</f>
        <v>02</v>
      </c>
      <c r="X2603" t="str">
        <f t="shared" ref="X2603:X2613" si="301">RIGHT(AB2603,2)</f>
        <v>22</v>
      </c>
      <c r="Y2603" t="str">
        <f t="shared" si="294"/>
        <v>2022</v>
      </c>
      <c r="Z2603"/>
      <c r="AA2603" s="2">
        <f t="shared" si="295"/>
        <v>44593</v>
      </c>
      <c r="AB2603" t="str">
        <f t="shared" ref="AB2603:AB2613" si="302">TEXT(U2603, "mm/dd/yyyy")</f>
        <v>01/02/2022</v>
      </c>
      <c r="AC2603"/>
    </row>
    <row r="2604" spans="21:29" ht="15">
      <c r="U2604" s="2">
        <v>44563</v>
      </c>
      <c r="V2604" t="str">
        <f t="shared" si="299"/>
        <v>01</v>
      </c>
      <c r="W2604" t="str">
        <f t="shared" si="300"/>
        <v>02</v>
      </c>
      <c r="X2604" t="str">
        <f t="shared" si="301"/>
        <v>22</v>
      </c>
      <c r="Y2604" t="str">
        <f t="shared" si="294"/>
        <v>2022</v>
      </c>
      <c r="Z2604"/>
      <c r="AA2604" s="2">
        <f t="shared" si="295"/>
        <v>44593</v>
      </c>
      <c r="AB2604" t="str">
        <f t="shared" si="302"/>
        <v>01/02/2022</v>
      </c>
      <c r="AC2604"/>
    </row>
    <row r="2605" spans="21:29" ht="15">
      <c r="U2605" s="2">
        <v>44594</v>
      </c>
      <c r="V2605" t="str">
        <f t="shared" si="299"/>
        <v>02</v>
      </c>
      <c r="W2605" t="str">
        <f t="shared" si="300"/>
        <v>02</v>
      </c>
      <c r="X2605" t="str">
        <f t="shared" si="301"/>
        <v>22</v>
      </c>
      <c r="Y2605" t="str">
        <f t="shared" si="294"/>
        <v>2022</v>
      </c>
      <c r="Z2605"/>
      <c r="AA2605" s="2">
        <f t="shared" si="295"/>
        <v>44594</v>
      </c>
      <c r="AB2605" t="str">
        <f t="shared" si="302"/>
        <v>02/02/2022</v>
      </c>
      <c r="AC2605"/>
    </row>
    <row r="2606" spans="21:29" ht="15">
      <c r="U2606" s="2">
        <v>44594</v>
      </c>
      <c r="V2606" t="str">
        <f t="shared" si="299"/>
        <v>02</v>
      </c>
      <c r="W2606" t="str">
        <f t="shared" si="300"/>
        <v>02</v>
      </c>
      <c r="X2606" t="str">
        <f t="shared" si="301"/>
        <v>22</v>
      </c>
      <c r="Y2606" t="str">
        <f t="shared" si="294"/>
        <v>2022</v>
      </c>
      <c r="Z2606"/>
      <c r="AA2606" s="2">
        <f t="shared" si="295"/>
        <v>44594</v>
      </c>
      <c r="AB2606" t="str">
        <f t="shared" si="302"/>
        <v>02/02/2022</v>
      </c>
      <c r="AC2606"/>
    </row>
    <row r="2607" spans="21:29" ht="15">
      <c r="U2607" s="2">
        <v>44653</v>
      </c>
      <c r="V2607" t="str">
        <f t="shared" si="299"/>
        <v>04</v>
      </c>
      <c r="W2607" t="str">
        <f t="shared" si="300"/>
        <v>02</v>
      </c>
      <c r="X2607" t="str">
        <f t="shared" si="301"/>
        <v>22</v>
      </c>
      <c r="Y2607" t="str">
        <f t="shared" si="294"/>
        <v>2022</v>
      </c>
      <c r="Z2607"/>
      <c r="AA2607" s="2">
        <f t="shared" si="295"/>
        <v>44596</v>
      </c>
      <c r="AB2607" t="str">
        <f t="shared" si="302"/>
        <v>04/02/2022</v>
      </c>
      <c r="AC2607"/>
    </row>
    <row r="2608" spans="21:29" ht="15">
      <c r="U2608" s="2">
        <v>44744</v>
      </c>
      <c r="V2608" t="str">
        <f t="shared" si="299"/>
        <v>07</v>
      </c>
      <c r="W2608" t="str">
        <f t="shared" si="300"/>
        <v>02</v>
      </c>
      <c r="X2608" t="str">
        <f t="shared" si="301"/>
        <v>22</v>
      </c>
      <c r="Y2608" t="str">
        <f t="shared" si="294"/>
        <v>2022</v>
      </c>
      <c r="Z2608"/>
      <c r="AA2608" s="2">
        <f t="shared" si="295"/>
        <v>44599</v>
      </c>
      <c r="AB2608" t="str">
        <f t="shared" si="302"/>
        <v>07/02/2022</v>
      </c>
      <c r="AC2608"/>
    </row>
    <row r="2609" spans="21:29" ht="15">
      <c r="U2609" s="2">
        <v>44744</v>
      </c>
      <c r="V2609" t="str">
        <f t="shared" si="299"/>
        <v>07</v>
      </c>
      <c r="W2609" t="str">
        <f t="shared" si="300"/>
        <v>02</v>
      </c>
      <c r="X2609" t="str">
        <f t="shared" si="301"/>
        <v>22</v>
      </c>
      <c r="Y2609" t="str">
        <f t="shared" si="294"/>
        <v>2022</v>
      </c>
      <c r="Z2609"/>
      <c r="AA2609" s="2">
        <f t="shared" si="295"/>
        <v>44599</v>
      </c>
      <c r="AB2609" t="str">
        <f t="shared" si="302"/>
        <v>07/02/2022</v>
      </c>
      <c r="AC2609"/>
    </row>
    <row r="2610" spans="21:29" ht="15">
      <c r="U2610" s="2">
        <v>44775</v>
      </c>
      <c r="V2610" t="str">
        <f t="shared" si="299"/>
        <v>08</v>
      </c>
      <c r="W2610" t="str">
        <f t="shared" si="300"/>
        <v>02</v>
      </c>
      <c r="X2610" t="str">
        <f t="shared" si="301"/>
        <v>22</v>
      </c>
      <c r="Y2610" t="str">
        <f t="shared" si="294"/>
        <v>2022</v>
      </c>
      <c r="Z2610"/>
      <c r="AA2610" s="2">
        <f t="shared" si="295"/>
        <v>44600</v>
      </c>
      <c r="AB2610" t="str">
        <f t="shared" si="302"/>
        <v>08/02/2022</v>
      </c>
      <c r="AC2610"/>
    </row>
    <row r="2611" spans="21:29" ht="15">
      <c r="U2611" s="2">
        <v>44836</v>
      </c>
      <c r="V2611" t="str">
        <f t="shared" si="299"/>
        <v>10</v>
      </c>
      <c r="W2611" t="str">
        <f t="shared" si="300"/>
        <v>02</v>
      </c>
      <c r="X2611" t="str">
        <f t="shared" si="301"/>
        <v>22</v>
      </c>
      <c r="Y2611" t="str">
        <f t="shared" si="294"/>
        <v>2022</v>
      </c>
      <c r="Z2611"/>
      <c r="AA2611" s="2">
        <f t="shared" si="295"/>
        <v>44602</v>
      </c>
      <c r="AB2611" t="str">
        <f t="shared" si="302"/>
        <v>10/02/2022</v>
      </c>
      <c r="AC2611"/>
    </row>
    <row r="2612" spans="21:29" ht="15">
      <c r="U2612" s="2">
        <v>44867</v>
      </c>
      <c r="V2612" t="str">
        <f t="shared" si="299"/>
        <v>11</v>
      </c>
      <c r="W2612" t="str">
        <f t="shared" si="300"/>
        <v>02</v>
      </c>
      <c r="X2612" t="str">
        <f t="shared" si="301"/>
        <v>22</v>
      </c>
      <c r="Y2612" t="str">
        <f t="shared" si="294"/>
        <v>2022</v>
      </c>
      <c r="Z2612"/>
      <c r="AA2612" s="2">
        <f t="shared" si="295"/>
        <v>44603</v>
      </c>
      <c r="AB2612" t="str">
        <f t="shared" si="302"/>
        <v>11/02/2022</v>
      </c>
      <c r="AC2612"/>
    </row>
    <row r="2613" spans="21:29" ht="15">
      <c r="U2613" s="2">
        <v>44867</v>
      </c>
      <c r="V2613" t="str">
        <f t="shared" si="299"/>
        <v>11</v>
      </c>
      <c r="W2613" t="str">
        <f t="shared" si="300"/>
        <v>02</v>
      </c>
      <c r="X2613" t="str">
        <f t="shared" si="301"/>
        <v>22</v>
      </c>
      <c r="Y2613" t="str">
        <f t="shared" si="294"/>
        <v>2022</v>
      </c>
      <c r="Z2613"/>
      <c r="AA2613" s="2">
        <f t="shared" si="295"/>
        <v>44603</v>
      </c>
      <c r="AB2613" t="str">
        <f t="shared" si="302"/>
        <v>11/02/2022</v>
      </c>
      <c r="AC2613"/>
    </row>
    <row r="2614" spans="21:29" ht="15">
      <c r="U2614" t="s">
        <v>10305</v>
      </c>
      <c r="V2614" t="str">
        <f t="shared" ref="V2614:V2630" si="303">LEFT(U2614,2)</f>
        <v>14</v>
      </c>
      <c r="W2614" t="str">
        <f t="shared" ref="W2614:W2630" si="304">MID(U2614,4,2)</f>
        <v>02</v>
      </c>
      <c r="X2614" t="str">
        <f t="shared" ref="X2614:X2630" si="305">RIGHT(U2614,2)</f>
        <v>22</v>
      </c>
      <c r="Y2614" t="str">
        <f t="shared" si="294"/>
        <v>2022</v>
      </c>
      <c r="Z2614"/>
      <c r="AA2614" s="2">
        <f t="shared" si="295"/>
        <v>44606</v>
      </c>
      <c r="AB2614"/>
      <c r="AC2614"/>
    </row>
    <row r="2615" spans="21:29" ht="15">
      <c r="U2615" t="s">
        <v>10305</v>
      </c>
      <c r="V2615" t="str">
        <f t="shared" si="303"/>
        <v>14</v>
      </c>
      <c r="W2615" t="str">
        <f t="shared" si="304"/>
        <v>02</v>
      </c>
      <c r="X2615" t="str">
        <f t="shared" si="305"/>
        <v>22</v>
      </c>
      <c r="Y2615" t="str">
        <f t="shared" si="294"/>
        <v>2022</v>
      </c>
      <c r="Z2615"/>
      <c r="AA2615" s="2">
        <f t="shared" si="295"/>
        <v>44606</v>
      </c>
      <c r="AB2615"/>
      <c r="AC2615"/>
    </row>
    <row r="2616" spans="21:29" ht="15">
      <c r="U2616" t="s">
        <v>10305</v>
      </c>
      <c r="V2616" t="str">
        <f t="shared" si="303"/>
        <v>14</v>
      </c>
      <c r="W2616" t="str">
        <f t="shared" si="304"/>
        <v>02</v>
      </c>
      <c r="X2616" t="str">
        <f t="shared" si="305"/>
        <v>22</v>
      </c>
      <c r="Y2616" t="str">
        <f t="shared" si="294"/>
        <v>2022</v>
      </c>
      <c r="Z2616"/>
      <c r="AA2616" s="2">
        <f t="shared" si="295"/>
        <v>44606</v>
      </c>
      <c r="AB2616"/>
      <c r="AC2616"/>
    </row>
    <row r="2617" spans="21:29" ht="15">
      <c r="U2617" t="s">
        <v>10305</v>
      </c>
      <c r="V2617" t="str">
        <f t="shared" si="303"/>
        <v>14</v>
      </c>
      <c r="W2617" t="str">
        <f t="shared" si="304"/>
        <v>02</v>
      </c>
      <c r="X2617" t="str">
        <f t="shared" si="305"/>
        <v>22</v>
      </c>
      <c r="Y2617" t="str">
        <f t="shared" si="294"/>
        <v>2022</v>
      </c>
      <c r="Z2617"/>
      <c r="AA2617" s="2">
        <f t="shared" si="295"/>
        <v>44606</v>
      </c>
      <c r="AB2617"/>
      <c r="AC2617"/>
    </row>
    <row r="2618" spans="21:29" ht="15">
      <c r="U2618" t="s">
        <v>10305</v>
      </c>
      <c r="V2618" t="str">
        <f t="shared" si="303"/>
        <v>14</v>
      </c>
      <c r="W2618" t="str">
        <f t="shared" si="304"/>
        <v>02</v>
      </c>
      <c r="X2618" t="str">
        <f t="shared" si="305"/>
        <v>22</v>
      </c>
      <c r="Y2618" t="str">
        <f t="shared" si="294"/>
        <v>2022</v>
      </c>
      <c r="Z2618"/>
      <c r="AA2618" s="2">
        <f t="shared" si="295"/>
        <v>44606</v>
      </c>
      <c r="AB2618"/>
      <c r="AC2618"/>
    </row>
    <row r="2619" spans="21:29" ht="15">
      <c r="U2619" t="s">
        <v>10306</v>
      </c>
      <c r="V2619" t="str">
        <f t="shared" si="303"/>
        <v>16</v>
      </c>
      <c r="W2619" t="str">
        <f t="shared" si="304"/>
        <v>02</v>
      </c>
      <c r="X2619" t="str">
        <f t="shared" si="305"/>
        <v>22</v>
      </c>
      <c r="Y2619" t="str">
        <f t="shared" si="294"/>
        <v>2022</v>
      </c>
      <c r="Z2619"/>
      <c r="AA2619" s="2">
        <f t="shared" si="295"/>
        <v>44608</v>
      </c>
      <c r="AB2619"/>
      <c r="AC2619"/>
    </row>
    <row r="2620" spans="21:29" ht="15">
      <c r="U2620" t="s">
        <v>10307</v>
      </c>
      <c r="V2620" t="str">
        <f t="shared" si="303"/>
        <v>18</v>
      </c>
      <c r="W2620" t="str">
        <f t="shared" si="304"/>
        <v>02</v>
      </c>
      <c r="X2620" t="str">
        <f t="shared" si="305"/>
        <v>22</v>
      </c>
      <c r="Y2620" t="str">
        <f t="shared" si="294"/>
        <v>2022</v>
      </c>
      <c r="Z2620"/>
      <c r="AA2620" s="2">
        <f t="shared" si="295"/>
        <v>44610</v>
      </c>
      <c r="AB2620"/>
      <c r="AC2620"/>
    </row>
    <row r="2621" spans="21:29" ht="15">
      <c r="U2621" t="s">
        <v>10308</v>
      </c>
      <c r="V2621" t="str">
        <f t="shared" si="303"/>
        <v>21</v>
      </c>
      <c r="W2621" t="str">
        <f t="shared" si="304"/>
        <v>02</v>
      </c>
      <c r="X2621" t="str">
        <f t="shared" si="305"/>
        <v>22</v>
      </c>
      <c r="Y2621" t="str">
        <f t="shared" si="294"/>
        <v>2022</v>
      </c>
      <c r="Z2621"/>
      <c r="AA2621" s="2">
        <f t="shared" si="295"/>
        <v>44613</v>
      </c>
      <c r="AB2621"/>
      <c r="AC2621"/>
    </row>
    <row r="2622" spans="21:29" ht="15">
      <c r="U2622" t="s">
        <v>10308</v>
      </c>
      <c r="V2622" t="str">
        <f t="shared" si="303"/>
        <v>21</v>
      </c>
      <c r="W2622" t="str">
        <f t="shared" si="304"/>
        <v>02</v>
      </c>
      <c r="X2622" t="str">
        <f t="shared" si="305"/>
        <v>22</v>
      </c>
      <c r="Y2622" t="str">
        <f t="shared" si="294"/>
        <v>2022</v>
      </c>
      <c r="Z2622"/>
      <c r="AA2622" s="2">
        <f t="shared" si="295"/>
        <v>44613</v>
      </c>
      <c r="AB2622"/>
      <c r="AC2622"/>
    </row>
    <row r="2623" spans="21:29" ht="15">
      <c r="U2623" t="s">
        <v>10308</v>
      </c>
      <c r="V2623" t="str">
        <f t="shared" si="303"/>
        <v>21</v>
      </c>
      <c r="W2623" t="str">
        <f t="shared" si="304"/>
        <v>02</v>
      </c>
      <c r="X2623" t="str">
        <f t="shared" si="305"/>
        <v>22</v>
      </c>
      <c r="Y2623" t="str">
        <f t="shared" si="294"/>
        <v>2022</v>
      </c>
      <c r="Z2623"/>
      <c r="AA2623" s="2">
        <f t="shared" si="295"/>
        <v>44613</v>
      </c>
      <c r="AB2623"/>
      <c r="AC2623"/>
    </row>
    <row r="2624" spans="21:29" ht="15">
      <c r="U2624" t="s">
        <v>10309</v>
      </c>
      <c r="V2624" t="str">
        <f t="shared" si="303"/>
        <v>25</v>
      </c>
      <c r="W2624" t="str">
        <f t="shared" si="304"/>
        <v>02</v>
      </c>
      <c r="X2624" t="str">
        <f t="shared" si="305"/>
        <v>22</v>
      </c>
      <c r="Y2624" t="str">
        <f t="shared" si="294"/>
        <v>2022</v>
      </c>
      <c r="Z2624"/>
      <c r="AA2624" s="2">
        <f t="shared" si="295"/>
        <v>44617</v>
      </c>
      <c r="AB2624"/>
      <c r="AC2624"/>
    </row>
    <row r="2625" spans="21:29" ht="15">
      <c r="U2625" t="s">
        <v>10310</v>
      </c>
      <c r="V2625" t="str">
        <f t="shared" si="303"/>
        <v>28</v>
      </c>
      <c r="W2625" t="str">
        <f t="shared" si="304"/>
        <v>02</v>
      </c>
      <c r="X2625" t="str">
        <f t="shared" si="305"/>
        <v>22</v>
      </c>
      <c r="Y2625" t="str">
        <f t="shared" si="294"/>
        <v>2022</v>
      </c>
      <c r="Z2625"/>
      <c r="AA2625" s="2">
        <f t="shared" si="295"/>
        <v>44620</v>
      </c>
      <c r="AB2625"/>
      <c r="AC2625"/>
    </row>
    <row r="2626" spans="21:29" ht="15">
      <c r="U2626" t="s">
        <v>10310</v>
      </c>
      <c r="V2626" t="str">
        <f t="shared" si="303"/>
        <v>28</v>
      </c>
      <c r="W2626" t="str">
        <f t="shared" si="304"/>
        <v>02</v>
      </c>
      <c r="X2626" t="str">
        <f t="shared" si="305"/>
        <v>22</v>
      </c>
      <c r="Y2626" t="str">
        <f t="shared" si="294"/>
        <v>2022</v>
      </c>
      <c r="Z2626"/>
      <c r="AA2626" s="2">
        <f t="shared" si="295"/>
        <v>44620</v>
      </c>
      <c r="AB2626"/>
      <c r="AC2626"/>
    </row>
    <row r="2627" spans="21:29" ht="15">
      <c r="U2627" t="s">
        <v>10310</v>
      </c>
      <c r="V2627" t="str">
        <f t="shared" si="303"/>
        <v>28</v>
      </c>
      <c r="W2627" t="str">
        <f t="shared" si="304"/>
        <v>02</v>
      </c>
      <c r="X2627" t="str">
        <f t="shared" si="305"/>
        <v>22</v>
      </c>
      <c r="Y2627" t="str">
        <f t="shared" ref="Y2627:Y2690" si="306">"20" &amp; X2627</f>
        <v>2022</v>
      </c>
      <c r="Z2627"/>
      <c r="AA2627" s="2">
        <f t="shared" si="295"/>
        <v>44620</v>
      </c>
      <c r="AB2627"/>
      <c r="AC2627"/>
    </row>
    <row r="2628" spans="21:29" ht="15">
      <c r="U2628" t="s">
        <v>10310</v>
      </c>
      <c r="V2628" t="str">
        <f t="shared" si="303"/>
        <v>28</v>
      </c>
      <c r="W2628" t="str">
        <f t="shared" si="304"/>
        <v>02</v>
      </c>
      <c r="X2628" t="str">
        <f t="shared" si="305"/>
        <v>22</v>
      </c>
      <c r="Y2628" t="str">
        <f t="shared" si="306"/>
        <v>2022</v>
      </c>
      <c r="Z2628"/>
      <c r="AA2628" s="2">
        <f t="shared" si="295"/>
        <v>44620</v>
      </c>
      <c r="AB2628"/>
      <c r="AC2628"/>
    </row>
    <row r="2629" spans="21:29" ht="15">
      <c r="U2629" t="s">
        <v>10310</v>
      </c>
      <c r="V2629" t="str">
        <f t="shared" si="303"/>
        <v>28</v>
      </c>
      <c r="W2629" t="str">
        <f t="shared" si="304"/>
        <v>02</v>
      </c>
      <c r="X2629" t="str">
        <f t="shared" si="305"/>
        <v>22</v>
      </c>
      <c r="Y2629" t="str">
        <f t="shared" si="306"/>
        <v>2022</v>
      </c>
      <c r="Z2629"/>
      <c r="AA2629" s="2">
        <f t="shared" si="295"/>
        <v>44620</v>
      </c>
      <c r="AB2629"/>
      <c r="AC2629"/>
    </row>
    <row r="2630" spans="21:29" ht="15">
      <c r="U2630" t="s">
        <v>10310</v>
      </c>
      <c r="V2630" t="str">
        <f t="shared" si="303"/>
        <v>28</v>
      </c>
      <c r="W2630" t="str">
        <f t="shared" si="304"/>
        <v>02</v>
      </c>
      <c r="X2630" t="str">
        <f t="shared" si="305"/>
        <v>22</v>
      </c>
      <c r="Y2630" t="str">
        <f t="shared" si="306"/>
        <v>2022</v>
      </c>
      <c r="Z2630"/>
      <c r="AA2630" s="2">
        <f t="shared" si="295"/>
        <v>44620</v>
      </c>
      <c r="AB2630"/>
      <c r="AC2630"/>
    </row>
    <row r="2631" spans="21:29" ht="15">
      <c r="U2631" s="2">
        <v>44564</v>
      </c>
      <c r="V2631" t="str">
        <f t="shared" ref="V2631:V2637" si="307">LEFT(AB2631,2)</f>
        <v>01</v>
      </c>
      <c r="W2631" t="str">
        <f t="shared" ref="W2631:W2637" si="308">MID(AB2631,4,2)</f>
        <v>03</v>
      </c>
      <c r="X2631" t="str">
        <f t="shared" ref="X2631:X2637" si="309">RIGHT(AB2631,2)</f>
        <v>22</v>
      </c>
      <c r="Y2631" t="str">
        <f t="shared" si="306"/>
        <v>2022</v>
      </c>
      <c r="Z2631"/>
      <c r="AA2631" s="2">
        <f t="shared" si="295"/>
        <v>44621</v>
      </c>
      <c r="AB2631" t="str">
        <f t="shared" ref="AB2631:AB2637" si="310">TEXT(U2631, "mm/dd/yyyy")</f>
        <v>01/03/2022</v>
      </c>
      <c r="AC2631"/>
    </row>
    <row r="2632" spans="21:29" ht="15">
      <c r="U2632" s="2">
        <v>44595</v>
      </c>
      <c r="V2632" t="str">
        <f t="shared" si="307"/>
        <v>02</v>
      </c>
      <c r="W2632" t="str">
        <f t="shared" si="308"/>
        <v>03</v>
      </c>
      <c r="X2632" t="str">
        <f t="shared" si="309"/>
        <v>22</v>
      </c>
      <c r="Y2632" t="str">
        <f t="shared" si="306"/>
        <v>2022</v>
      </c>
      <c r="Z2632"/>
      <c r="AA2632" s="2">
        <f t="shared" ref="AA2632:AA2695" si="311">DATE(Y2632,W2632,V2632)</f>
        <v>44622</v>
      </c>
      <c r="AB2632" t="str">
        <f t="shared" si="310"/>
        <v>02/03/2022</v>
      </c>
      <c r="AC2632"/>
    </row>
    <row r="2633" spans="21:29" ht="15">
      <c r="U2633" s="2">
        <v>44623</v>
      </c>
      <c r="V2633" t="str">
        <f t="shared" si="307"/>
        <v>03</v>
      </c>
      <c r="W2633" t="str">
        <f t="shared" si="308"/>
        <v>03</v>
      </c>
      <c r="X2633" t="str">
        <f t="shared" si="309"/>
        <v>22</v>
      </c>
      <c r="Y2633" t="str">
        <f t="shared" si="306"/>
        <v>2022</v>
      </c>
      <c r="Z2633"/>
      <c r="AA2633" s="2">
        <f t="shared" si="311"/>
        <v>44623</v>
      </c>
      <c r="AB2633" t="str">
        <f t="shared" si="310"/>
        <v>03/03/2022</v>
      </c>
      <c r="AC2633"/>
    </row>
    <row r="2634" spans="21:29" ht="15">
      <c r="U2634" s="2">
        <v>44684</v>
      </c>
      <c r="V2634" t="str">
        <f t="shared" si="307"/>
        <v>05</v>
      </c>
      <c r="W2634" t="str">
        <f t="shared" si="308"/>
        <v>03</v>
      </c>
      <c r="X2634" t="str">
        <f t="shared" si="309"/>
        <v>22</v>
      </c>
      <c r="Y2634" t="str">
        <f t="shared" si="306"/>
        <v>2022</v>
      </c>
      <c r="Z2634"/>
      <c r="AA2634" s="2">
        <f t="shared" si="311"/>
        <v>44625</v>
      </c>
      <c r="AB2634" t="str">
        <f t="shared" si="310"/>
        <v>05/03/2022</v>
      </c>
      <c r="AC2634"/>
    </row>
    <row r="2635" spans="21:29" ht="15">
      <c r="U2635" s="2">
        <v>44745</v>
      </c>
      <c r="V2635" t="str">
        <f t="shared" si="307"/>
        <v>07</v>
      </c>
      <c r="W2635" t="str">
        <f t="shared" si="308"/>
        <v>03</v>
      </c>
      <c r="X2635" t="str">
        <f t="shared" si="309"/>
        <v>22</v>
      </c>
      <c r="Y2635" t="str">
        <f t="shared" si="306"/>
        <v>2022</v>
      </c>
      <c r="Z2635"/>
      <c r="AA2635" s="2">
        <f t="shared" si="311"/>
        <v>44627</v>
      </c>
      <c r="AB2635" t="str">
        <f t="shared" si="310"/>
        <v>07/03/2022</v>
      </c>
      <c r="AC2635"/>
    </row>
    <row r="2636" spans="21:29" ht="15">
      <c r="U2636" s="2">
        <v>44745</v>
      </c>
      <c r="V2636" t="str">
        <f t="shared" si="307"/>
        <v>07</v>
      </c>
      <c r="W2636" t="str">
        <f t="shared" si="308"/>
        <v>03</v>
      </c>
      <c r="X2636" t="str">
        <f t="shared" si="309"/>
        <v>22</v>
      </c>
      <c r="Y2636" t="str">
        <f t="shared" si="306"/>
        <v>2022</v>
      </c>
      <c r="Z2636"/>
      <c r="AA2636" s="2">
        <f t="shared" si="311"/>
        <v>44627</v>
      </c>
      <c r="AB2636" t="str">
        <f t="shared" si="310"/>
        <v>07/03/2022</v>
      </c>
      <c r="AC2636"/>
    </row>
    <row r="2637" spans="21:29" ht="15">
      <c r="U2637" s="2">
        <v>44868</v>
      </c>
      <c r="V2637" t="str">
        <f t="shared" si="307"/>
        <v>11</v>
      </c>
      <c r="W2637" t="str">
        <f t="shared" si="308"/>
        <v>03</v>
      </c>
      <c r="X2637" t="str">
        <f t="shared" si="309"/>
        <v>22</v>
      </c>
      <c r="Y2637" t="str">
        <f t="shared" si="306"/>
        <v>2022</v>
      </c>
      <c r="Z2637"/>
      <c r="AA2637" s="2">
        <f t="shared" si="311"/>
        <v>44631</v>
      </c>
      <c r="AB2637" t="str">
        <f t="shared" si="310"/>
        <v>11/03/2022</v>
      </c>
      <c r="AC2637"/>
    </row>
    <row r="2638" spans="21:29" ht="15">
      <c r="U2638" t="s">
        <v>10311</v>
      </c>
      <c r="V2638" t="str">
        <f t="shared" ref="V2638:V2651" si="312">LEFT(U2638,2)</f>
        <v>14</v>
      </c>
      <c r="W2638" t="str">
        <f t="shared" ref="W2638:W2651" si="313">MID(U2638,4,2)</f>
        <v>03</v>
      </c>
      <c r="X2638" t="str">
        <f t="shared" ref="X2638:X2651" si="314">RIGHT(U2638,2)</f>
        <v>22</v>
      </c>
      <c r="Y2638" t="str">
        <f t="shared" si="306"/>
        <v>2022</v>
      </c>
      <c r="Z2638"/>
      <c r="AA2638" s="2">
        <f t="shared" si="311"/>
        <v>44634</v>
      </c>
      <c r="AB2638"/>
      <c r="AC2638"/>
    </row>
    <row r="2639" spans="21:29" ht="15">
      <c r="U2639" t="s">
        <v>10312</v>
      </c>
      <c r="V2639" t="str">
        <f t="shared" si="312"/>
        <v>16</v>
      </c>
      <c r="W2639" t="str">
        <f t="shared" si="313"/>
        <v>03</v>
      </c>
      <c r="X2639" t="str">
        <f t="shared" si="314"/>
        <v>22</v>
      </c>
      <c r="Y2639" t="str">
        <f t="shared" si="306"/>
        <v>2022</v>
      </c>
      <c r="Z2639"/>
      <c r="AA2639" s="2">
        <f t="shared" si="311"/>
        <v>44636</v>
      </c>
      <c r="AB2639"/>
      <c r="AC2639"/>
    </row>
    <row r="2640" spans="21:29" ht="15">
      <c r="U2640" t="s">
        <v>10313</v>
      </c>
      <c r="V2640" t="str">
        <f t="shared" si="312"/>
        <v>19</v>
      </c>
      <c r="W2640" t="str">
        <f t="shared" si="313"/>
        <v>03</v>
      </c>
      <c r="X2640" t="str">
        <f t="shared" si="314"/>
        <v>22</v>
      </c>
      <c r="Y2640" t="str">
        <f t="shared" si="306"/>
        <v>2022</v>
      </c>
      <c r="Z2640"/>
      <c r="AA2640" s="2">
        <f t="shared" si="311"/>
        <v>44639</v>
      </c>
      <c r="AB2640"/>
      <c r="AC2640"/>
    </row>
    <row r="2641" spans="21:29" ht="15">
      <c r="U2641" t="s">
        <v>10314</v>
      </c>
      <c r="V2641" t="str">
        <f t="shared" si="312"/>
        <v>21</v>
      </c>
      <c r="W2641" t="str">
        <f t="shared" si="313"/>
        <v>03</v>
      </c>
      <c r="X2641" t="str">
        <f t="shared" si="314"/>
        <v>22</v>
      </c>
      <c r="Y2641" t="str">
        <f t="shared" si="306"/>
        <v>2022</v>
      </c>
      <c r="Z2641"/>
      <c r="AA2641" s="2">
        <f t="shared" si="311"/>
        <v>44641</v>
      </c>
      <c r="AB2641"/>
      <c r="AC2641"/>
    </row>
    <row r="2642" spans="21:29" ht="15">
      <c r="U2642" t="s">
        <v>10314</v>
      </c>
      <c r="V2642" t="str">
        <f t="shared" si="312"/>
        <v>21</v>
      </c>
      <c r="W2642" t="str">
        <f t="shared" si="313"/>
        <v>03</v>
      </c>
      <c r="X2642" t="str">
        <f t="shared" si="314"/>
        <v>22</v>
      </c>
      <c r="Y2642" t="str">
        <f t="shared" si="306"/>
        <v>2022</v>
      </c>
      <c r="Z2642"/>
      <c r="AA2642" s="2">
        <f t="shared" si="311"/>
        <v>44641</v>
      </c>
      <c r="AB2642"/>
      <c r="AC2642"/>
    </row>
    <row r="2643" spans="21:29" ht="15">
      <c r="U2643" t="s">
        <v>10314</v>
      </c>
      <c r="V2643" t="str">
        <f t="shared" si="312"/>
        <v>21</v>
      </c>
      <c r="W2643" t="str">
        <f t="shared" si="313"/>
        <v>03</v>
      </c>
      <c r="X2643" t="str">
        <f t="shared" si="314"/>
        <v>22</v>
      </c>
      <c r="Y2643" t="str">
        <f t="shared" si="306"/>
        <v>2022</v>
      </c>
      <c r="Z2643"/>
      <c r="AA2643" s="2">
        <f t="shared" si="311"/>
        <v>44641</v>
      </c>
      <c r="AB2643"/>
      <c r="AC2643"/>
    </row>
    <row r="2644" spans="21:29" ht="15">
      <c r="U2644" t="s">
        <v>10315</v>
      </c>
      <c r="V2644" t="str">
        <f t="shared" si="312"/>
        <v>22</v>
      </c>
      <c r="W2644" t="str">
        <f t="shared" si="313"/>
        <v>03</v>
      </c>
      <c r="X2644" t="str">
        <f t="shared" si="314"/>
        <v>22</v>
      </c>
      <c r="Y2644" t="str">
        <f t="shared" si="306"/>
        <v>2022</v>
      </c>
      <c r="Z2644"/>
      <c r="AA2644" s="2">
        <f t="shared" si="311"/>
        <v>44642</v>
      </c>
      <c r="AB2644"/>
      <c r="AC2644"/>
    </row>
    <row r="2645" spans="21:29" ht="15">
      <c r="U2645" t="s">
        <v>10316</v>
      </c>
      <c r="V2645" t="str">
        <f t="shared" si="312"/>
        <v>25</v>
      </c>
      <c r="W2645" t="str">
        <f t="shared" si="313"/>
        <v>03</v>
      </c>
      <c r="X2645" t="str">
        <f t="shared" si="314"/>
        <v>22</v>
      </c>
      <c r="Y2645" t="str">
        <f t="shared" si="306"/>
        <v>2022</v>
      </c>
      <c r="Z2645"/>
      <c r="AA2645" s="2">
        <f t="shared" si="311"/>
        <v>44645</v>
      </c>
      <c r="AB2645"/>
      <c r="AC2645"/>
    </row>
    <row r="2646" spans="21:29" ht="15">
      <c r="U2646" t="s">
        <v>10317</v>
      </c>
      <c r="V2646" t="str">
        <f t="shared" si="312"/>
        <v>28</v>
      </c>
      <c r="W2646" t="str">
        <f t="shared" si="313"/>
        <v>03</v>
      </c>
      <c r="X2646" t="str">
        <f t="shared" si="314"/>
        <v>22</v>
      </c>
      <c r="Y2646" t="str">
        <f t="shared" si="306"/>
        <v>2022</v>
      </c>
      <c r="Z2646"/>
      <c r="AA2646" s="2">
        <f t="shared" si="311"/>
        <v>44648</v>
      </c>
      <c r="AB2646"/>
      <c r="AC2646"/>
    </row>
    <row r="2647" spans="21:29" ht="15">
      <c r="U2647" t="s">
        <v>10317</v>
      </c>
      <c r="V2647" t="str">
        <f t="shared" si="312"/>
        <v>28</v>
      </c>
      <c r="W2647" t="str">
        <f t="shared" si="313"/>
        <v>03</v>
      </c>
      <c r="X2647" t="str">
        <f t="shared" si="314"/>
        <v>22</v>
      </c>
      <c r="Y2647" t="str">
        <f t="shared" si="306"/>
        <v>2022</v>
      </c>
      <c r="Z2647"/>
      <c r="AA2647" s="2">
        <f t="shared" si="311"/>
        <v>44648</v>
      </c>
      <c r="AB2647"/>
      <c r="AC2647"/>
    </row>
    <row r="2648" spans="21:29" ht="15">
      <c r="U2648" t="s">
        <v>10317</v>
      </c>
      <c r="V2648" t="str">
        <f t="shared" si="312"/>
        <v>28</v>
      </c>
      <c r="W2648" t="str">
        <f t="shared" si="313"/>
        <v>03</v>
      </c>
      <c r="X2648" t="str">
        <f t="shared" si="314"/>
        <v>22</v>
      </c>
      <c r="Y2648" t="str">
        <f t="shared" si="306"/>
        <v>2022</v>
      </c>
      <c r="Z2648"/>
      <c r="AA2648" s="2">
        <f t="shared" si="311"/>
        <v>44648</v>
      </c>
      <c r="AB2648"/>
      <c r="AC2648"/>
    </row>
    <row r="2649" spans="21:29" ht="15">
      <c r="U2649" t="s">
        <v>10317</v>
      </c>
      <c r="V2649" t="str">
        <f t="shared" si="312"/>
        <v>28</v>
      </c>
      <c r="W2649" t="str">
        <f t="shared" si="313"/>
        <v>03</v>
      </c>
      <c r="X2649" t="str">
        <f t="shared" si="314"/>
        <v>22</v>
      </c>
      <c r="Y2649" t="str">
        <f t="shared" si="306"/>
        <v>2022</v>
      </c>
      <c r="Z2649"/>
      <c r="AA2649" s="2">
        <f t="shared" si="311"/>
        <v>44648</v>
      </c>
      <c r="AB2649"/>
      <c r="AC2649"/>
    </row>
    <row r="2650" spans="21:29" ht="15">
      <c r="U2650" t="s">
        <v>10318</v>
      </c>
      <c r="V2650" t="str">
        <f t="shared" si="312"/>
        <v>30</v>
      </c>
      <c r="W2650" t="str">
        <f t="shared" si="313"/>
        <v>03</v>
      </c>
      <c r="X2650" t="str">
        <f t="shared" si="314"/>
        <v>22</v>
      </c>
      <c r="Y2650" t="str">
        <f t="shared" si="306"/>
        <v>2022</v>
      </c>
      <c r="Z2650"/>
      <c r="AA2650" s="2">
        <f t="shared" si="311"/>
        <v>44650</v>
      </c>
      <c r="AB2650"/>
      <c r="AC2650"/>
    </row>
    <row r="2651" spans="21:29" ht="15">
      <c r="U2651" t="s">
        <v>10319</v>
      </c>
      <c r="V2651" t="str">
        <f t="shared" si="312"/>
        <v>31</v>
      </c>
      <c r="W2651" t="str">
        <f t="shared" si="313"/>
        <v>03</v>
      </c>
      <c r="X2651" t="str">
        <f t="shared" si="314"/>
        <v>22</v>
      </c>
      <c r="Y2651" t="str">
        <f t="shared" si="306"/>
        <v>2022</v>
      </c>
      <c r="Z2651"/>
      <c r="AA2651" s="2">
        <f t="shared" si="311"/>
        <v>44651</v>
      </c>
      <c r="AB2651"/>
      <c r="AC2651"/>
    </row>
    <row r="2652" spans="21:29" ht="15">
      <c r="U2652" t="s">
        <v>8033</v>
      </c>
      <c r="V2652" t="str">
        <f t="shared" ref="V2652:V2715" si="315">LEFT(AB2652,2)</f>
        <v>10</v>
      </c>
      <c r="W2652" t="str">
        <f t="shared" ref="W2652:W2715" si="316">MID(AB2652,4,2)</f>
        <v>01</v>
      </c>
      <c r="X2652" t="str">
        <f t="shared" ref="X2652:X2715" si="317">RIGHT(AB2652,2)</f>
        <v>21</v>
      </c>
      <c r="Y2652" t="str">
        <f t="shared" si="306"/>
        <v>2021</v>
      </c>
      <c r="Z2652"/>
      <c r="AA2652" s="2">
        <f t="shared" si="311"/>
        <v>44206</v>
      </c>
      <c r="AB2652" t="str">
        <f t="shared" ref="AB2652:AB2715" si="318">TEXT(U2652, "mm/dd/yyyy")</f>
        <v>10/01/2021</v>
      </c>
      <c r="AC2652"/>
    </row>
    <row r="2653" spans="21:29" ht="15">
      <c r="U2653" t="s">
        <v>10320</v>
      </c>
      <c r="V2653" t="str">
        <f t="shared" si="315"/>
        <v>10</v>
      </c>
      <c r="W2653" t="str">
        <f t="shared" si="316"/>
        <v>03</v>
      </c>
      <c r="X2653" t="str">
        <f t="shared" si="317"/>
        <v>21</v>
      </c>
      <c r="Y2653" t="str">
        <f t="shared" si="306"/>
        <v>2021</v>
      </c>
      <c r="Z2653"/>
      <c r="AA2653" s="2">
        <f t="shared" si="311"/>
        <v>44265</v>
      </c>
      <c r="AB2653" t="str">
        <f t="shared" si="318"/>
        <v>10/03/2021</v>
      </c>
      <c r="AC2653"/>
    </row>
    <row r="2654" spans="21:29" ht="15">
      <c r="U2654" t="s">
        <v>8046</v>
      </c>
      <c r="V2654" t="str">
        <f t="shared" si="315"/>
        <v>10</v>
      </c>
      <c r="W2654" t="str">
        <f t="shared" si="316"/>
        <v>05</v>
      </c>
      <c r="X2654" t="str">
        <f t="shared" si="317"/>
        <v>21</v>
      </c>
      <c r="Y2654" t="str">
        <f t="shared" si="306"/>
        <v>2021</v>
      </c>
      <c r="Z2654"/>
      <c r="AA2654" s="2">
        <f t="shared" si="311"/>
        <v>44326</v>
      </c>
      <c r="AB2654" t="str">
        <f t="shared" si="318"/>
        <v>10/05/2021</v>
      </c>
      <c r="AC2654"/>
    </row>
    <row r="2655" spans="21:29" ht="15">
      <c r="U2655" t="s">
        <v>10321</v>
      </c>
      <c r="V2655" t="str">
        <f t="shared" si="315"/>
        <v>11</v>
      </c>
      <c r="W2655" t="str">
        <f t="shared" si="316"/>
        <v>03</v>
      </c>
      <c r="X2655" t="str">
        <f t="shared" si="317"/>
        <v>21</v>
      </c>
      <c r="Y2655" t="str">
        <f t="shared" si="306"/>
        <v>2021</v>
      </c>
      <c r="Z2655"/>
      <c r="AA2655" s="2">
        <f t="shared" si="311"/>
        <v>44266</v>
      </c>
      <c r="AB2655" t="str">
        <f t="shared" si="318"/>
        <v>11/03/2021</v>
      </c>
      <c r="AC2655"/>
    </row>
    <row r="2656" spans="21:29" ht="15">
      <c r="U2656" t="s">
        <v>9659</v>
      </c>
      <c r="V2656" t="str">
        <f t="shared" si="315"/>
        <v>11</v>
      </c>
      <c r="W2656" t="str">
        <f t="shared" si="316"/>
        <v>04</v>
      </c>
      <c r="X2656" t="str">
        <f t="shared" si="317"/>
        <v>21</v>
      </c>
      <c r="Y2656" t="str">
        <f t="shared" si="306"/>
        <v>2021</v>
      </c>
      <c r="Z2656"/>
      <c r="AA2656" s="2">
        <f t="shared" si="311"/>
        <v>44297</v>
      </c>
      <c r="AB2656" t="str">
        <f t="shared" si="318"/>
        <v>11/04/2021</v>
      </c>
      <c r="AC2656"/>
    </row>
    <row r="2657" spans="21:29" ht="15">
      <c r="U2657" t="s">
        <v>10322</v>
      </c>
      <c r="V2657" t="str">
        <f t="shared" si="315"/>
        <v>12</v>
      </c>
      <c r="W2657" t="str">
        <f t="shared" si="316"/>
        <v>03</v>
      </c>
      <c r="X2657" t="str">
        <f t="shared" si="317"/>
        <v>21</v>
      </c>
      <c r="Y2657" t="str">
        <f t="shared" si="306"/>
        <v>2021</v>
      </c>
      <c r="Z2657"/>
      <c r="AA2657" s="2">
        <f t="shared" si="311"/>
        <v>44267</v>
      </c>
      <c r="AB2657" t="str">
        <f t="shared" si="318"/>
        <v>12/03/2021</v>
      </c>
      <c r="AC2657"/>
    </row>
    <row r="2658" spans="21:29" ht="15">
      <c r="U2658" t="s">
        <v>10323</v>
      </c>
      <c r="V2658" t="str">
        <f t="shared" si="315"/>
        <v>12</v>
      </c>
      <c r="W2658" t="str">
        <f t="shared" si="316"/>
        <v>05</v>
      </c>
      <c r="X2658" t="str">
        <f t="shared" si="317"/>
        <v>21</v>
      </c>
      <c r="Y2658" t="str">
        <f t="shared" si="306"/>
        <v>2021</v>
      </c>
      <c r="Z2658"/>
      <c r="AA2658" s="2">
        <f t="shared" si="311"/>
        <v>44328</v>
      </c>
      <c r="AB2658" t="str">
        <f t="shared" si="318"/>
        <v>12/05/2021</v>
      </c>
      <c r="AC2658"/>
    </row>
    <row r="2659" spans="21:29" ht="15">
      <c r="U2659" t="s">
        <v>9703</v>
      </c>
      <c r="V2659" t="str">
        <f t="shared" si="315"/>
        <v>01</v>
      </c>
      <c r="W2659" t="str">
        <f t="shared" si="316"/>
        <v>01</v>
      </c>
      <c r="X2659" t="str">
        <f t="shared" si="317"/>
        <v>22</v>
      </c>
      <c r="Y2659" t="str">
        <f t="shared" si="306"/>
        <v>2022</v>
      </c>
      <c r="Z2659"/>
      <c r="AA2659" s="2">
        <f t="shared" si="311"/>
        <v>44562</v>
      </c>
      <c r="AB2659" t="str">
        <f t="shared" si="318"/>
        <v>01/01/2022</v>
      </c>
      <c r="AC2659"/>
    </row>
    <row r="2660" spans="21:29" ht="15">
      <c r="U2660" t="s">
        <v>9705</v>
      </c>
      <c r="V2660" t="str">
        <f t="shared" si="315"/>
        <v>01</v>
      </c>
      <c r="W2660" t="str">
        <f t="shared" si="316"/>
        <v>03</v>
      </c>
      <c r="X2660" t="str">
        <f t="shared" si="317"/>
        <v>22</v>
      </c>
      <c r="Y2660" t="str">
        <f t="shared" si="306"/>
        <v>2022</v>
      </c>
      <c r="Z2660"/>
      <c r="AA2660" s="2">
        <f t="shared" si="311"/>
        <v>44621</v>
      </c>
      <c r="AB2660" t="str">
        <f t="shared" si="318"/>
        <v>01/03/2022</v>
      </c>
      <c r="AC2660"/>
    </row>
    <row r="2661" spans="21:29" ht="15">
      <c r="U2661" t="s">
        <v>9706</v>
      </c>
      <c r="V2661" t="str">
        <f t="shared" si="315"/>
        <v>01</v>
      </c>
      <c r="W2661" t="str">
        <f t="shared" si="316"/>
        <v>04</v>
      </c>
      <c r="X2661" t="str">
        <f t="shared" si="317"/>
        <v>22</v>
      </c>
      <c r="Y2661" t="str">
        <f t="shared" si="306"/>
        <v>2022</v>
      </c>
      <c r="Z2661"/>
      <c r="AA2661" s="2">
        <f t="shared" si="311"/>
        <v>44652</v>
      </c>
      <c r="AB2661" t="str">
        <f t="shared" si="318"/>
        <v>01/04/2022</v>
      </c>
      <c r="AC2661"/>
    </row>
    <row r="2662" spans="21:29" ht="15">
      <c r="U2662" t="s">
        <v>9707</v>
      </c>
      <c r="V2662" t="str">
        <f t="shared" si="315"/>
        <v>01</v>
      </c>
      <c r="W2662" t="str">
        <f t="shared" si="316"/>
        <v>05</v>
      </c>
      <c r="X2662" t="str">
        <f t="shared" si="317"/>
        <v>22</v>
      </c>
      <c r="Y2662" t="str">
        <f t="shared" si="306"/>
        <v>2022</v>
      </c>
      <c r="Z2662"/>
      <c r="AA2662" s="2">
        <f t="shared" si="311"/>
        <v>44682</v>
      </c>
      <c r="AB2662" t="str">
        <f t="shared" si="318"/>
        <v>01/05/2022</v>
      </c>
      <c r="AC2662"/>
    </row>
    <row r="2663" spans="21:29" ht="15">
      <c r="U2663" t="s">
        <v>9728</v>
      </c>
      <c r="V2663" t="str">
        <f t="shared" si="315"/>
        <v>02</v>
      </c>
      <c r="W2663" t="str">
        <f t="shared" si="316"/>
        <v>03</v>
      </c>
      <c r="X2663" t="str">
        <f t="shared" si="317"/>
        <v>22</v>
      </c>
      <c r="Y2663" t="str">
        <f t="shared" si="306"/>
        <v>2022</v>
      </c>
      <c r="Z2663"/>
      <c r="AA2663" s="2">
        <f t="shared" si="311"/>
        <v>44622</v>
      </c>
      <c r="AB2663" t="str">
        <f t="shared" si="318"/>
        <v>02/03/2022</v>
      </c>
      <c r="AC2663"/>
    </row>
    <row r="2664" spans="21:29" ht="15">
      <c r="U2664" t="s">
        <v>10324</v>
      </c>
      <c r="V2664" t="str">
        <f t="shared" si="315"/>
        <v>02</v>
      </c>
      <c r="W2664" t="str">
        <f t="shared" si="316"/>
        <v>04</v>
      </c>
      <c r="X2664" t="str">
        <f t="shared" si="317"/>
        <v>22</v>
      </c>
      <c r="Y2664" t="str">
        <f t="shared" si="306"/>
        <v>2022</v>
      </c>
      <c r="Z2664"/>
      <c r="AA2664" s="2">
        <f t="shared" si="311"/>
        <v>44653</v>
      </c>
      <c r="AB2664" t="str">
        <f t="shared" si="318"/>
        <v>02/04/2022</v>
      </c>
      <c r="AC2664"/>
    </row>
    <row r="2665" spans="21:29" ht="15">
      <c r="U2665" t="s">
        <v>9749</v>
      </c>
      <c r="V2665" t="str">
        <f t="shared" si="315"/>
        <v>03</v>
      </c>
      <c r="W2665" t="str">
        <f t="shared" si="316"/>
        <v>03</v>
      </c>
      <c r="X2665" t="str">
        <f t="shared" si="317"/>
        <v>22</v>
      </c>
      <c r="Y2665" t="str">
        <f t="shared" si="306"/>
        <v>2022</v>
      </c>
      <c r="Z2665"/>
      <c r="AA2665" s="2">
        <f t="shared" si="311"/>
        <v>44623</v>
      </c>
      <c r="AB2665" t="str">
        <f t="shared" si="318"/>
        <v>03/03/2022</v>
      </c>
      <c r="AC2665"/>
    </row>
    <row r="2666" spans="21:29" ht="15">
      <c r="U2666" t="s">
        <v>10325</v>
      </c>
      <c r="V2666" t="str">
        <f t="shared" si="315"/>
        <v>03</v>
      </c>
      <c r="W2666" t="str">
        <f t="shared" si="316"/>
        <v>07</v>
      </c>
      <c r="X2666" t="str">
        <f t="shared" si="317"/>
        <v>22</v>
      </c>
      <c r="Y2666" t="str">
        <f t="shared" si="306"/>
        <v>2022</v>
      </c>
      <c r="Z2666"/>
      <c r="AA2666" s="2">
        <f t="shared" si="311"/>
        <v>44745</v>
      </c>
      <c r="AB2666" t="str">
        <f t="shared" si="318"/>
        <v>03/07/2022</v>
      </c>
      <c r="AC2666"/>
    </row>
    <row r="2667" spans="21:29" ht="15">
      <c r="U2667" s="2" t="s">
        <v>9765</v>
      </c>
      <c r="V2667" t="str">
        <f t="shared" si="315"/>
        <v>03</v>
      </c>
      <c r="W2667" t="str">
        <f t="shared" si="316"/>
        <v>28</v>
      </c>
      <c r="X2667" t="str">
        <f t="shared" si="317"/>
        <v>22</v>
      </c>
      <c r="Y2667" t="str">
        <f t="shared" si="306"/>
        <v>2022</v>
      </c>
      <c r="Z2667"/>
      <c r="AA2667" s="2">
        <f t="shared" si="311"/>
        <v>45385</v>
      </c>
      <c r="AB2667" t="str">
        <f t="shared" si="318"/>
        <v>03/28/2022</v>
      </c>
      <c r="AC2667"/>
    </row>
    <row r="2668" spans="21:29" ht="15">
      <c r="U2668" t="s">
        <v>9768</v>
      </c>
      <c r="V2668" t="str">
        <f t="shared" si="315"/>
        <v>04</v>
      </c>
      <c r="W2668" t="str">
        <f t="shared" si="316"/>
        <v>01</v>
      </c>
      <c r="X2668" t="str">
        <f t="shared" si="317"/>
        <v>22</v>
      </c>
      <c r="Y2668" t="str">
        <f t="shared" si="306"/>
        <v>2022</v>
      </c>
      <c r="Z2668"/>
      <c r="AA2668" s="2">
        <f t="shared" si="311"/>
        <v>44565</v>
      </c>
      <c r="AB2668" t="str">
        <f t="shared" si="318"/>
        <v>04/01/2022</v>
      </c>
      <c r="AC2668"/>
    </row>
    <row r="2669" spans="21:29" ht="15">
      <c r="U2669" s="236" t="s">
        <v>9778</v>
      </c>
      <c r="V2669" t="str">
        <f t="shared" si="315"/>
        <v>04</v>
      </c>
      <c r="W2669" t="str">
        <f t="shared" si="316"/>
        <v>02</v>
      </c>
      <c r="X2669" t="str">
        <f t="shared" si="317"/>
        <v>22</v>
      </c>
      <c r="Y2669" t="str">
        <f t="shared" si="306"/>
        <v>2022</v>
      </c>
      <c r="Z2669"/>
      <c r="AA2669" s="2">
        <f t="shared" si="311"/>
        <v>44596</v>
      </c>
      <c r="AB2669" t="str">
        <f t="shared" si="318"/>
        <v>04/02/2022</v>
      </c>
      <c r="AC2669"/>
    </row>
    <row r="2670" spans="21:29" ht="15">
      <c r="U2670" s="236" t="s">
        <v>9778</v>
      </c>
      <c r="V2670" t="str">
        <f t="shared" si="315"/>
        <v>04</v>
      </c>
      <c r="W2670" t="str">
        <f t="shared" si="316"/>
        <v>02</v>
      </c>
      <c r="X2670" t="str">
        <f t="shared" si="317"/>
        <v>22</v>
      </c>
      <c r="Y2670" t="str">
        <f t="shared" si="306"/>
        <v>2022</v>
      </c>
      <c r="Z2670"/>
      <c r="AA2670" s="2">
        <f t="shared" si="311"/>
        <v>44596</v>
      </c>
      <c r="AB2670" t="str">
        <f t="shared" si="318"/>
        <v>04/02/2022</v>
      </c>
      <c r="AC2670"/>
    </row>
    <row r="2671" spans="21:29" ht="15">
      <c r="U2671" s="236" t="s">
        <v>9779</v>
      </c>
      <c r="V2671" t="str">
        <f t="shared" si="315"/>
        <v>04</v>
      </c>
      <c r="W2671" t="str">
        <f t="shared" si="316"/>
        <v>04</v>
      </c>
      <c r="X2671" t="str">
        <f t="shared" si="317"/>
        <v>22</v>
      </c>
      <c r="Y2671" t="str">
        <f t="shared" si="306"/>
        <v>2022</v>
      </c>
      <c r="Z2671"/>
      <c r="AA2671" s="2">
        <f t="shared" si="311"/>
        <v>44655</v>
      </c>
      <c r="AB2671" t="str">
        <f t="shared" si="318"/>
        <v>04/04/2022</v>
      </c>
      <c r="AC2671"/>
    </row>
    <row r="2672" spans="21:29" ht="15">
      <c r="U2672" s="236" t="s">
        <v>9779</v>
      </c>
      <c r="V2672" t="str">
        <f t="shared" si="315"/>
        <v>04</v>
      </c>
      <c r="W2672" t="str">
        <f t="shared" si="316"/>
        <v>04</v>
      </c>
      <c r="X2672" t="str">
        <f t="shared" si="317"/>
        <v>22</v>
      </c>
      <c r="Y2672" t="str">
        <f t="shared" si="306"/>
        <v>2022</v>
      </c>
      <c r="Z2672"/>
      <c r="AA2672" s="2">
        <f t="shared" si="311"/>
        <v>44655</v>
      </c>
      <c r="AB2672" t="str">
        <f t="shared" si="318"/>
        <v>04/04/2022</v>
      </c>
      <c r="AC2672"/>
    </row>
    <row r="2673" spans="21:29" ht="15">
      <c r="U2673" s="236" t="s">
        <v>9779</v>
      </c>
      <c r="V2673" t="str">
        <f t="shared" si="315"/>
        <v>04</v>
      </c>
      <c r="W2673" t="str">
        <f t="shared" si="316"/>
        <v>04</v>
      </c>
      <c r="X2673" t="str">
        <f t="shared" si="317"/>
        <v>22</v>
      </c>
      <c r="Y2673" t="str">
        <f t="shared" si="306"/>
        <v>2022</v>
      </c>
      <c r="Z2673"/>
      <c r="AA2673" s="2">
        <f t="shared" si="311"/>
        <v>44655</v>
      </c>
      <c r="AB2673" t="str">
        <f t="shared" si="318"/>
        <v>04/04/2022</v>
      </c>
      <c r="AC2673"/>
    </row>
    <row r="2674" spans="21:29" ht="15">
      <c r="U2674" s="236" t="s">
        <v>9779</v>
      </c>
      <c r="V2674" t="str">
        <f t="shared" si="315"/>
        <v>04</v>
      </c>
      <c r="W2674" t="str">
        <f t="shared" si="316"/>
        <v>04</v>
      </c>
      <c r="X2674" t="str">
        <f t="shared" si="317"/>
        <v>22</v>
      </c>
      <c r="Y2674" t="str">
        <f t="shared" si="306"/>
        <v>2022</v>
      </c>
      <c r="Z2674"/>
      <c r="AA2674" s="2">
        <f t="shared" si="311"/>
        <v>44655</v>
      </c>
      <c r="AB2674" t="str">
        <f t="shared" si="318"/>
        <v>04/04/2022</v>
      </c>
      <c r="AC2674"/>
    </row>
    <row r="2675" spans="21:29" ht="15">
      <c r="U2675" s="236" t="s">
        <v>9779</v>
      </c>
      <c r="V2675" t="str">
        <f t="shared" si="315"/>
        <v>04</v>
      </c>
      <c r="W2675" t="str">
        <f t="shared" si="316"/>
        <v>04</v>
      </c>
      <c r="X2675" t="str">
        <f t="shared" si="317"/>
        <v>22</v>
      </c>
      <c r="Y2675" t="str">
        <f t="shared" si="306"/>
        <v>2022</v>
      </c>
      <c r="Z2675"/>
      <c r="AA2675" s="2">
        <f t="shared" si="311"/>
        <v>44655</v>
      </c>
      <c r="AB2675" t="str">
        <f t="shared" si="318"/>
        <v>04/04/2022</v>
      </c>
      <c r="AC2675"/>
    </row>
    <row r="2676" spans="21:29" ht="15">
      <c r="U2676" s="236" t="s">
        <v>10326</v>
      </c>
      <c r="V2676" t="str">
        <f t="shared" si="315"/>
        <v>04</v>
      </c>
      <c r="W2676" t="str">
        <f t="shared" si="316"/>
        <v>05</v>
      </c>
      <c r="X2676" t="str">
        <f t="shared" si="317"/>
        <v>22</v>
      </c>
      <c r="Y2676" t="str">
        <f t="shared" si="306"/>
        <v>2022</v>
      </c>
      <c r="Z2676"/>
      <c r="AA2676" s="2">
        <f t="shared" si="311"/>
        <v>44685</v>
      </c>
      <c r="AB2676" t="str">
        <f t="shared" si="318"/>
        <v>04/05/2022</v>
      </c>
      <c r="AC2676"/>
    </row>
    <row r="2677" spans="21:29" ht="15">
      <c r="U2677" s="236" t="s">
        <v>10326</v>
      </c>
      <c r="V2677" t="str">
        <f t="shared" si="315"/>
        <v>04</v>
      </c>
      <c r="W2677" t="str">
        <f t="shared" si="316"/>
        <v>05</v>
      </c>
      <c r="X2677" t="str">
        <f t="shared" si="317"/>
        <v>22</v>
      </c>
      <c r="Y2677" t="str">
        <f t="shared" si="306"/>
        <v>2022</v>
      </c>
      <c r="Z2677"/>
      <c r="AA2677" s="2">
        <f t="shared" si="311"/>
        <v>44685</v>
      </c>
      <c r="AB2677" t="str">
        <f t="shared" si="318"/>
        <v>04/05/2022</v>
      </c>
      <c r="AC2677"/>
    </row>
    <row r="2678" spans="21:29" ht="15">
      <c r="U2678" s="236" t="s">
        <v>10326</v>
      </c>
      <c r="V2678" t="str">
        <f t="shared" si="315"/>
        <v>04</v>
      </c>
      <c r="W2678" t="str">
        <f t="shared" si="316"/>
        <v>05</v>
      </c>
      <c r="X2678" t="str">
        <f t="shared" si="317"/>
        <v>22</v>
      </c>
      <c r="Y2678" t="str">
        <f t="shared" si="306"/>
        <v>2022</v>
      </c>
      <c r="Z2678"/>
      <c r="AA2678" s="2">
        <f t="shared" si="311"/>
        <v>44685</v>
      </c>
      <c r="AB2678" t="str">
        <f t="shared" si="318"/>
        <v>04/05/2022</v>
      </c>
      <c r="AC2678"/>
    </row>
    <row r="2679" spans="21:29" ht="15">
      <c r="U2679" s="236" t="s">
        <v>10326</v>
      </c>
      <c r="V2679" t="str">
        <f t="shared" si="315"/>
        <v>04</v>
      </c>
      <c r="W2679" t="str">
        <f t="shared" si="316"/>
        <v>05</v>
      </c>
      <c r="X2679" t="str">
        <f t="shared" si="317"/>
        <v>22</v>
      </c>
      <c r="Y2679" t="str">
        <f t="shared" si="306"/>
        <v>2022</v>
      </c>
      <c r="Z2679"/>
      <c r="AA2679" s="2">
        <f t="shared" si="311"/>
        <v>44685</v>
      </c>
      <c r="AB2679" t="str">
        <f t="shared" si="318"/>
        <v>04/05/2022</v>
      </c>
      <c r="AC2679"/>
    </row>
    <row r="2680" spans="21:29" ht="15">
      <c r="U2680" s="236" t="s">
        <v>10326</v>
      </c>
      <c r="V2680" t="str">
        <f t="shared" si="315"/>
        <v>04</v>
      </c>
      <c r="W2680" t="str">
        <f t="shared" si="316"/>
        <v>05</v>
      </c>
      <c r="X2680" t="str">
        <f t="shared" si="317"/>
        <v>22</v>
      </c>
      <c r="Y2680" t="str">
        <f t="shared" si="306"/>
        <v>2022</v>
      </c>
      <c r="Z2680"/>
      <c r="AA2680" s="2">
        <f t="shared" si="311"/>
        <v>44685</v>
      </c>
      <c r="AB2680" t="str">
        <f t="shared" si="318"/>
        <v>04/05/2022</v>
      </c>
      <c r="AC2680"/>
    </row>
    <row r="2681" spans="21:29" ht="15">
      <c r="U2681" s="236" t="s">
        <v>9780</v>
      </c>
      <c r="V2681" t="str">
        <f t="shared" si="315"/>
        <v>04</v>
      </c>
      <c r="W2681" t="str">
        <f t="shared" si="316"/>
        <v>08</v>
      </c>
      <c r="X2681" t="str">
        <f t="shared" si="317"/>
        <v>22</v>
      </c>
      <c r="Y2681" t="str">
        <f t="shared" si="306"/>
        <v>2022</v>
      </c>
      <c r="Z2681"/>
      <c r="AA2681" s="2">
        <f t="shared" si="311"/>
        <v>44777</v>
      </c>
      <c r="AB2681" t="str">
        <f t="shared" si="318"/>
        <v>04/08/2022</v>
      </c>
      <c r="AC2681"/>
    </row>
    <row r="2682" spans="21:29" ht="15">
      <c r="U2682" s="236" t="s">
        <v>10327</v>
      </c>
      <c r="V2682" t="str">
        <f t="shared" si="315"/>
        <v>04</v>
      </c>
      <c r="W2682" t="str">
        <f t="shared" si="316"/>
        <v>11</v>
      </c>
      <c r="X2682" t="str">
        <f t="shared" si="317"/>
        <v>22</v>
      </c>
      <c r="Y2682" t="str">
        <f t="shared" si="306"/>
        <v>2022</v>
      </c>
      <c r="Z2682"/>
      <c r="AA2682" s="2">
        <f t="shared" si="311"/>
        <v>44869</v>
      </c>
      <c r="AB2682" t="str">
        <f t="shared" si="318"/>
        <v>04/11/2022</v>
      </c>
      <c r="AC2682"/>
    </row>
    <row r="2683" spans="21:29" ht="15">
      <c r="U2683" s="236" t="s">
        <v>10327</v>
      </c>
      <c r="V2683" t="str">
        <f t="shared" si="315"/>
        <v>04</v>
      </c>
      <c r="W2683" t="str">
        <f t="shared" si="316"/>
        <v>11</v>
      </c>
      <c r="X2683" t="str">
        <f t="shared" si="317"/>
        <v>22</v>
      </c>
      <c r="Y2683" t="str">
        <f t="shared" si="306"/>
        <v>2022</v>
      </c>
      <c r="Z2683"/>
      <c r="AA2683" s="2">
        <f t="shared" si="311"/>
        <v>44869</v>
      </c>
      <c r="AB2683" t="str">
        <f t="shared" si="318"/>
        <v>04/11/2022</v>
      </c>
      <c r="AC2683"/>
    </row>
    <row r="2684" spans="21:29" ht="15">
      <c r="U2684" s="236" t="s">
        <v>10327</v>
      </c>
      <c r="V2684" t="str">
        <f t="shared" si="315"/>
        <v>04</v>
      </c>
      <c r="W2684" t="str">
        <f t="shared" si="316"/>
        <v>11</v>
      </c>
      <c r="X2684" t="str">
        <f t="shared" si="317"/>
        <v>22</v>
      </c>
      <c r="Y2684" t="str">
        <f t="shared" si="306"/>
        <v>2022</v>
      </c>
      <c r="Z2684"/>
      <c r="AA2684" s="2">
        <f t="shared" si="311"/>
        <v>44869</v>
      </c>
      <c r="AB2684" t="str">
        <f t="shared" si="318"/>
        <v>04/11/2022</v>
      </c>
      <c r="AC2684"/>
    </row>
    <row r="2685" spans="21:29" ht="15">
      <c r="U2685" s="236" t="s">
        <v>10327</v>
      </c>
      <c r="V2685" t="str">
        <f t="shared" si="315"/>
        <v>04</v>
      </c>
      <c r="W2685" t="str">
        <f t="shared" si="316"/>
        <v>11</v>
      </c>
      <c r="X2685" t="str">
        <f t="shared" si="317"/>
        <v>22</v>
      </c>
      <c r="Y2685" t="str">
        <f t="shared" si="306"/>
        <v>2022</v>
      </c>
      <c r="Z2685"/>
      <c r="AA2685" s="2">
        <f t="shared" si="311"/>
        <v>44869</v>
      </c>
      <c r="AB2685" t="str">
        <f t="shared" si="318"/>
        <v>04/11/2022</v>
      </c>
      <c r="AC2685"/>
    </row>
    <row r="2686" spans="21:29" ht="15">
      <c r="U2686" s="236" t="s">
        <v>10327</v>
      </c>
      <c r="V2686" t="str">
        <f t="shared" si="315"/>
        <v>04</v>
      </c>
      <c r="W2686" t="str">
        <f t="shared" si="316"/>
        <v>11</v>
      </c>
      <c r="X2686" t="str">
        <f t="shared" si="317"/>
        <v>22</v>
      </c>
      <c r="Y2686" t="str">
        <f t="shared" si="306"/>
        <v>2022</v>
      </c>
      <c r="Z2686"/>
      <c r="AA2686" s="2">
        <f t="shared" si="311"/>
        <v>44869</v>
      </c>
      <c r="AB2686" t="str">
        <f t="shared" si="318"/>
        <v>04/11/2022</v>
      </c>
      <c r="AC2686"/>
    </row>
    <row r="2687" spans="21:29" ht="15">
      <c r="U2687" s="236" t="s">
        <v>10327</v>
      </c>
      <c r="V2687" t="str">
        <f t="shared" si="315"/>
        <v>04</v>
      </c>
      <c r="W2687" t="str">
        <f t="shared" si="316"/>
        <v>11</v>
      </c>
      <c r="X2687" t="str">
        <f t="shared" si="317"/>
        <v>22</v>
      </c>
      <c r="Y2687" t="str">
        <f t="shared" si="306"/>
        <v>2022</v>
      </c>
      <c r="Z2687"/>
      <c r="AA2687" s="2">
        <f t="shared" si="311"/>
        <v>44869</v>
      </c>
      <c r="AB2687" t="str">
        <f t="shared" si="318"/>
        <v>04/11/2022</v>
      </c>
      <c r="AC2687"/>
    </row>
    <row r="2688" spans="21:29" ht="15">
      <c r="U2688" s="236" t="s">
        <v>10327</v>
      </c>
      <c r="V2688" t="str">
        <f t="shared" si="315"/>
        <v>04</v>
      </c>
      <c r="W2688" t="str">
        <f t="shared" si="316"/>
        <v>11</v>
      </c>
      <c r="X2688" t="str">
        <f t="shared" si="317"/>
        <v>22</v>
      </c>
      <c r="Y2688" t="str">
        <f t="shared" si="306"/>
        <v>2022</v>
      </c>
      <c r="Z2688"/>
      <c r="AA2688" s="2">
        <f t="shared" si="311"/>
        <v>44869</v>
      </c>
      <c r="AB2688" t="str">
        <f t="shared" si="318"/>
        <v>04/11/2022</v>
      </c>
      <c r="AC2688"/>
    </row>
    <row r="2689" spans="21:29" ht="15">
      <c r="U2689" s="236" t="s">
        <v>10328</v>
      </c>
      <c r="V2689" t="str">
        <f t="shared" si="315"/>
        <v>04</v>
      </c>
      <c r="W2689" t="str">
        <f t="shared" si="316"/>
        <v>12</v>
      </c>
      <c r="X2689" t="str">
        <f t="shared" si="317"/>
        <v>22</v>
      </c>
      <c r="Y2689" t="str">
        <f t="shared" si="306"/>
        <v>2022</v>
      </c>
      <c r="Z2689"/>
      <c r="AA2689" s="2">
        <f t="shared" si="311"/>
        <v>44899</v>
      </c>
      <c r="AB2689" t="str">
        <f t="shared" si="318"/>
        <v>04/12/2022</v>
      </c>
      <c r="AC2689"/>
    </row>
    <row r="2690" spans="21:29" ht="15">
      <c r="U2690" s="236" t="s">
        <v>10328</v>
      </c>
      <c r="V2690" t="str">
        <f t="shared" si="315"/>
        <v>04</v>
      </c>
      <c r="W2690" t="str">
        <f t="shared" si="316"/>
        <v>12</v>
      </c>
      <c r="X2690" t="str">
        <f t="shared" si="317"/>
        <v>22</v>
      </c>
      <c r="Y2690" t="str">
        <f t="shared" si="306"/>
        <v>2022</v>
      </c>
      <c r="Z2690"/>
      <c r="AA2690" s="2">
        <f t="shared" si="311"/>
        <v>44899</v>
      </c>
      <c r="AB2690" t="str">
        <f t="shared" si="318"/>
        <v>04/12/2022</v>
      </c>
      <c r="AC2690"/>
    </row>
    <row r="2691" spans="21:29" ht="15">
      <c r="U2691" s="236" t="s">
        <v>10328</v>
      </c>
      <c r="V2691" t="str">
        <f t="shared" si="315"/>
        <v>04</v>
      </c>
      <c r="W2691" t="str">
        <f t="shared" si="316"/>
        <v>12</v>
      </c>
      <c r="X2691" t="str">
        <f t="shared" si="317"/>
        <v>22</v>
      </c>
      <c r="Y2691" t="str">
        <f t="shared" ref="Y2691:Y2754" si="319">"20" &amp; X2691</f>
        <v>2022</v>
      </c>
      <c r="Z2691"/>
      <c r="AA2691" s="2">
        <f t="shared" si="311"/>
        <v>44899</v>
      </c>
      <c r="AB2691" t="str">
        <f t="shared" si="318"/>
        <v>04/12/2022</v>
      </c>
      <c r="AC2691"/>
    </row>
    <row r="2692" spans="21:29" ht="15">
      <c r="U2692" s="236" t="s">
        <v>10329</v>
      </c>
      <c r="V2692" t="str">
        <f t="shared" si="315"/>
        <v>04</v>
      </c>
      <c r="W2692" t="str">
        <f t="shared" si="316"/>
        <v>14</v>
      </c>
      <c r="X2692" t="str">
        <f t="shared" si="317"/>
        <v>22</v>
      </c>
      <c r="Y2692" t="str">
        <f t="shared" si="319"/>
        <v>2022</v>
      </c>
      <c r="Z2692"/>
      <c r="AA2692" s="2">
        <f t="shared" si="311"/>
        <v>44961</v>
      </c>
      <c r="AB2692" t="str">
        <f t="shared" si="318"/>
        <v>04/14/2022</v>
      </c>
      <c r="AC2692"/>
    </row>
    <row r="2693" spans="21:29" ht="15">
      <c r="U2693" s="236" t="s">
        <v>10329</v>
      </c>
      <c r="V2693" t="str">
        <f t="shared" si="315"/>
        <v>04</v>
      </c>
      <c r="W2693" t="str">
        <f t="shared" si="316"/>
        <v>14</v>
      </c>
      <c r="X2693" t="str">
        <f t="shared" si="317"/>
        <v>22</v>
      </c>
      <c r="Y2693" t="str">
        <f t="shared" si="319"/>
        <v>2022</v>
      </c>
      <c r="Z2693"/>
      <c r="AA2693" s="2">
        <f t="shared" si="311"/>
        <v>44961</v>
      </c>
      <c r="AB2693" t="str">
        <f t="shared" si="318"/>
        <v>04/14/2022</v>
      </c>
      <c r="AC2693"/>
    </row>
    <row r="2694" spans="21:29" ht="15">
      <c r="U2694" s="236" t="s">
        <v>10329</v>
      </c>
      <c r="V2694" t="str">
        <f t="shared" si="315"/>
        <v>04</v>
      </c>
      <c r="W2694" t="str">
        <f t="shared" si="316"/>
        <v>14</v>
      </c>
      <c r="X2694" t="str">
        <f t="shared" si="317"/>
        <v>22</v>
      </c>
      <c r="Y2694" t="str">
        <f t="shared" si="319"/>
        <v>2022</v>
      </c>
      <c r="Z2694"/>
      <c r="AA2694" s="2">
        <f t="shared" si="311"/>
        <v>44961</v>
      </c>
      <c r="AB2694" t="str">
        <f t="shared" si="318"/>
        <v>04/14/2022</v>
      </c>
      <c r="AC2694"/>
    </row>
    <row r="2695" spans="21:29" ht="15">
      <c r="U2695" s="236" t="s">
        <v>10329</v>
      </c>
      <c r="V2695" t="str">
        <f t="shared" si="315"/>
        <v>04</v>
      </c>
      <c r="W2695" t="str">
        <f t="shared" si="316"/>
        <v>14</v>
      </c>
      <c r="X2695" t="str">
        <f t="shared" si="317"/>
        <v>22</v>
      </c>
      <c r="Y2695" t="str">
        <f t="shared" si="319"/>
        <v>2022</v>
      </c>
      <c r="Z2695"/>
      <c r="AA2695" s="2">
        <f t="shared" si="311"/>
        <v>44961</v>
      </c>
      <c r="AB2695" t="str">
        <f t="shared" si="318"/>
        <v>04/14/2022</v>
      </c>
      <c r="AC2695"/>
    </row>
    <row r="2696" spans="21:29" ht="15">
      <c r="U2696" s="236" t="s">
        <v>10329</v>
      </c>
      <c r="V2696" t="str">
        <f t="shared" si="315"/>
        <v>04</v>
      </c>
      <c r="W2696" t="str">
        <f t="shared" si="316"/>
        <v>14</v>
      </c>
      <c r="X2696" t="str">
        <f t="shared" si="317"/>
        <v>22</v>
      </c>
      <c r="Y2696" t="str">
        <f t="shared" si="319"/>
        <v>2022</v>
      </c>
      <c r="Z2696"/>
      <c r="AA2696" s="2">
        <f t="shared" ref="AA2696:AA2759" si="320">DATE(Y2696,W2696,V2696)</f>
        <v>44961</v>
      </c>
      <c r="AB2696" t="str">
        <f t="shared" si="318"/>
        <v>04/14/2022</v>
      </c>
      <c r="AC2696"/>
    </row>
    <row r="2697" spans="21:29" ht="15">
      <c r="U2697" s="236" t="s">
        <v>10330</v>
      </c>
      <c r="V2697" t="str">
        <f t="shared" si="315"/>
        <v>04</v>
      </c>
      <c r="W2697" t="str">
        <f t="shared" si="316"/>
        <v>16</v>
      </c>
      <c r="X2697" t="str">
        <f t="shared" si="317"/>
        <v>22</v>
      </c>
      <c r="Y2697" t="str">
        <f t="shared" si="319"/>
        <v>2022</v>
      </c>
      <c r="Z2697"/>
      <c r="AA2697" s="2">
        <f t="shared" si="320"/>
        <v>45020</v>
      </c>
      <c r="AB2697" t="str">
        <f t="shared" si="318"/>
        <v>04/16/2022</v>
      </c>
      <c r="AC2697"/>
    </row>
    <row r="2698" spans="21:29" ht="15">
      <c r="U2698" s="236" t="s">
        <v>10330</v>
      </c>
      <c r="V2698" t="str">
        <f t="shared" si="315"/>
        <v>04</v>
      </c>
      <c r="W2698" t="str">
        <f t="shared" si="316"/>
        <v>16</v>
      </c>
      <c r="X2698" t="str">
        <f t="shared" si="317"/>
        <v>22</v>
      </c>
      <c r="Y2698" t="str">
        <f t="shared" si="319"/>
        <v>2022</v>
      </c>
      <c r="Z2698"/>
      <c r="AA2698" s="2">
        <f t="shared" si="320"/>
        <v>45020</v>
      </c>
      <c r="AB2698" t="str">
        <f t="shared" si="318"/>
        <v>04/16/2022</v>
      </c>
      <c r="AC2698"/>
    </row>
    <row r="2699" spans="21:29" ht="15">
      <c r="U2699" s="236" t="s">
        <v>10330</v>
      </c>
      <c r="V2699" t="str">
        <f t="shared" si="315"/>
        <v>04</v>
      </c>
      <c r="W2699" t="str">
        <f t="shared" si="316"/>
        <v>16</v>
      </c>
      <c r="X2699" t="str">
        <f t="shared" si="317"/>
        <v>22</v>
      </c>
      <c r="Y2699" t="str">
        <f t="shared" si="319"/>
        <v>2022</v>
      </c>
      <c r="Z2699"/>
      <c r="AA2699" s="2">
        <f t="shared" si="320"/>
        <v>45020</v>
      </c>
      <c r="AB2699" t="str">
        <f t="shared" si="318"/>
        <v>04/16/2022</v>
      </c>
      <c r="AC2699"/>
    </row>
    <row r="2700" spans="21:29" ht="15">
      <c r="U2700" s="236" t="s">
        <v>10331</v>
      </c>
      <c r="V2700" t="str">
        <f t="shared" si="315"/>
        <v>04</v>
      </c>
      <c r="W2700" t="str">
        <f t="shared" si="316"/>
        <v>18</v>
      </c>
      <c r="X2700" t="str">
        <f t="shared" si="317"/>
        <v>22</v>
      </c>
      <c r="Y2700" t="str">
        <f t="shared" si="319"/>
        <v>2022</v>
      </c>
      <c r="Z2700"/>
      <c r="AA2700" s="2">
        <f t="shared" si="320"/>
        <v>45081</v>
      </c>
      <c r="AB2700" t="str">
        <f t="shared" si="318"/>
        <v>04/18/2022</v>
      </c>
      <c r="AC2700"/>
    </row>
    <row r="2701" spans="21:29" ht="15">
      <c r="U2701" s="236" t="s">
        <v>10331</v>
      </c>
      <c r="V2701" t="str">
        <f t="shared" si="315"/>
        <v>04</v>
      </c>
      <c r="W2701" t="str">
        <f t="shared" si="316"/>
        <v>18</v>
      </c>
      <c r="X2701" t="str">
        <f t="shared" si="317"/>
        <v>22</v>
      </c>
      <c r="Y2701" t="str">
        <f t="shared" si="319"/>
        <v>2022</v>
      </c>
      <c r="Z2701"/>
      <c r="AA2701" s="2">
        <f t="shared" si="320"/>
        <v>45081</v>
      </c>
      <c r="AB2701" t="str">
        <f t="shared" si="318"/>
        <v>04/18/2022</v>
      </c>
      <c r="AC2701"/>
    </row>
    <row r="2702" spans="21:29" ht="15">
      <c r="U2702" s="236" t="s">
        <v>10331</v>
      </c>
      <c r="V2702" t="str">
        <f t="shared" si="315"/>
        <v>04</v>
      </c>
      <c r="W2702" t="str">
        <f t="shared" si="316"/>
        <v>18</v>
      </c>
      <c r="X2702" t="str">
        <f t="shared" si="317"/>
        <v>22</v>
      </c>
      <c r="Y2702" t="str">
        <f t="shared" si="319"/>
        <v>2022</v>
      </c>
      <c r="Z2702"/>
      <c r="AA2702" s="2">
        <f t="shared" si="320"/>
        <v>45081</v>
      </c>
      <c r="AB2702" t="str">
        <f t="shared" si="318"/>
        <v>04/18/2022</v>
      </c>
      <c r="AC2702"/>
    </row>
    <row r="2703" spans="21:29" ht="15">
      <c r="U2703" s="236" t="s">
        <v>10331</v>
      </c>
      <c r="V2703" t="str">
        <f t="shared" si="315"/>
        <v>04</v>
      </c>
      <c r="W2703" t="str">
        <f t="shared" si="316"/>
        <v>18</v>
      </c>
      <c r="X2703" t="str">
        <f t="shared" si="317"/>
        <v>22</v>
      </c>
      <c r="Y2703" t="str">
        <f t="shared" si="319"/>
        <v>2022</v>
      </c>
      <c r="Z2703"/>
      <c r="AA2703" s="2">
        <f t="shared" si="320"/>
        <v>45081</v>
      </c>
      <c r="AB2703" t="str">
        <f t="shared" si="318"/>
        <v>04/18/2022</v>
      </c>
      <c r="AC2703"/>
    </row>
    <row r="2704" spans="21:29" ht="15">
      <c r="U2704" s="236" t="s">
        <v>10331</v>
      </c>
      <c r="V2704" t="str">
        <f t="shared" si="315"/>
        <v>04</v>
      </c>
      <c r="W2704" t="str">
        <f t="shared" si="316"/>
        <v>18</v>
      </c>
      <c r="X2704" t="str">
        <f t="shared" si="317"/>
        <v>22</v>
      </c>
      <c r="Y2704" t="str">
        <f t="shared" si="319"/>
        <v>2022</v>
      </c>
      <c r="Z2704"/>
      <c r="AA2704" s="2">
        <f t="shared" si="320"/>
        <v>45081</v>
      </c>
      <c r="AB2704" t="str">
        <f t="shared" si="318"/>
        <v>04/18/2022</v>
      </c>
      <c r="AC2704"/>
    </row>
    <row r="2705" spans="21:29" ht="15">
      <c r="U2705" s="236" t="s">
        <v>10332</v>
      </c>
      <c r="V2705" t="str">
        <f t="shared" si="315"/>
        <v>04</v>
      </c>
      <c r="W2705" t="str">
        <f t="shared" si="316"/>
        <v>20</v>
      </c>
      <c r="X2705" t="str">
        <f t="shared" si="317"/>
        <v>22</v>
      </c>
      <c r="Y2705" t="str">
        <f t="shared" si="319"/>
        <v>2022</v>
      </c>
      <c r="Z2705"/>
      <c r="AA2705" s="2">
        <f t="shared" si="320"/>
        <v>45142</v>
      </c>
      <c r="AB2705" t="str">
        <f t="shared" si="318"/>
        <v>04/20/2022</v>
      </c>
      <c r="AC2705"/>
    </row>
    <row r="2706" spans="21:29" ht="15">
      <c r="U2706" s="236" t="s">
        <v>9781</v>
      </c>
      <c r="V2706" t="str">
        <f t="shared" si="315"/>
        <v>04</v>
      </c>
      <c r="W2706" t="str">
        <f t="shared" si="316"/>
        <v>21</v>
      </c>
      <c r="X2706" t="str">
        <f t="shared" si="317"/>
        <v>22</v>
      </c>
      <c r="Y2706" t="str">
        <f t="shared" si="319"/>
        <v>2022</v>
      </c>
      <c r="Z2706"/>
      <c r="AA2706" s="2">
        <f t="shared" si="320"/>
        <v>45173</v>
      </c>
      <c r="AB2706" t="str">
        <f t="shared" si="318"/>
        <v>04/21/2022</v>
      </c>
      <c r="AC2706"/>
    </row>
    <row r="2707" spans="21:29" ht="15">
      <c r="U2707" s="236" t="s">
        <v>9781</v>
      </c>
      <c r="V2707" t="str">
        <f t="shared" si="315"/>
        <v>04</v>
      </c>
      <c r="W2707" t="str">
        <f t="shared" si="316"/>
        <v>21</v>
      </c>
      <c r="X2707" t="str">
        <f t="shared" si="317"/>
        <v>22</v>
      </c>
      <c r="Y2707" t="str">
        <f t="shared" si="319"/>
        <v>2022</v>
      </c>
      <c r="Z2707"/>
      <c r="AA2707" s="2">
        <f t="shared" si="320"/>
        <v>45173</v>
      </c>
      <c r="AB2707" t="str">
        <f t="shared" si="318"/>
        <v>04/21/2022</v>
      </c>
      <c r="AC2707"/>
    </row>
    <row r="2708" spans="21:29" ht="15">
      <c r="U2708" s="236" t="s">
        <v>9781</v>
      </c>
      <c r="V2708" t="str">
        <f t="shared" si="315"/>
        <v>04</v>
      </c>
      <c r="W2708" t="str">
        <f t="shared" si="316"/>
        <v>21</v>
      </c>
      <c r="X2708" t="str">
        <f t="shared" si="317"/>
        <v>22</v>
      </c>
      <c r="Y2708" t="str">
        <f t="shared" si="319"/>
        <v>2022</v>
      </c>
      <c r="Z2708"/>
      <c r="AA2708" s="2">
        <f t="shared" si="320"/>
        <v>45173</v>
      </c>
      <c r="AB2708" t="str">
        <f t="shared" si="318"/>
        <v>04/21/2022</v>
      </c>
      <c r="AC2708"/>
    </row>
    <row r="2709" spans="21:29" ht="15">
      <c r="U2709" s="236" t="s">
        <v>10333</v>
      </c>
      <c r="V2709" t="str">
        <f t="shared" si="315"/>
        <v>04</v>
      </c>
      <c r="W2709" t="str">
        <f t="shared" si="316"/>
        <v>25</v>
      </c>
      <c r="X2709" t="str">
        <f t="shared" si="317"/>
        <v>22</v>
      </c>
      <c r="Y2709" t="str">
        <f t="shared" si="319"/>
        <v>2022</v>
      </c>
      <c r="Z2709"/>
      <c r="AA2709" s="2">
        <f t="shared" si="320"/>
        <v>45295</v>
      </c>
      <c r="AB2709" t="str">
        <f t="shared" si="318"/>
        <v>04/25/2022</v>
      </c>
      <c r="AC2709"/>
    </row>
    <row r="2710" spans="21:29" ht="15">
      <c r="U2710" s="236" t="s">
        <v>10333</v>
      </c>
      <c r="V2710" t="str">
        <f t="shared" si="315"/>
        <v>04</v>
      </c>
      <c r="W2710" t="str">
        <f t="shared" si="316"/>
        <v>25</v>
      </c>
      <c r="X2710" t="str">
        <f t="shared" si="317"/>
        <v>22</v>
      </c>
      <c r="Y2710" t="str">
        <f t="shared" si="319"/>
        <v>2022</v>
      </c>
      <c r="Z2710"/>
      <c r="AA2710" s="2">
        <f t="shared" si="320"/>
        <v>45295</v>
      </c>
      <c r="AB2710" t="str">
        <f t="shared" si="318"/>
        <v>04/25/2022</v>
      </c>
      <c r="AC2710"/>
    </row>
    <row r="2711" spans="21:29" ht="15">
      <c r="U2711" s="236" t="s">
        <v>10333</v>
      </c>
      <c r="V2711" t="str">
        <f t="shared" si="315"/>
        <v>04</v>
      </c>
      <c r="W2711" t="str">
        <f t="shared" si="316"/>
        <v>25</v>
      </c>
      <c r="X2711" t="str">
        <f t="shared" si="317"/>
        <v>22</v>
      </c>
      <c r="Y2711" t="str">
        <f t="shared" si="319"/>
        <v>2022</v>
      </c>
      <c r="Z2711"/>
      <c r="AA2711" s="2">
        <f t="shared" si="320"/>
        <v>45295</v>
      </c>
      <c r="AB2711" t="str">
        <f t="shared" si="318"/>
        <v>04/25/2022</v>
      </c>
      <c r="AC2711"/>
    </row>
    <row r="2712" spans="21:29" ht="15">
      <c r="U2712" s="236" t="s">
        <v>10333</v>
      </c>
      <c r="V2712" t="str">
        <f t="shared" si="315"/>
        <v>04</v>
      </c>
      <c r="W2712" t="str">
        <f t="shared" si="316"/>
        <v>25</v>
      </c>
      <c r="X2712" t="str">
        <f t="shared" si="317"/>
        <v>22</v>
      </c>
      <c r="Y2712" t="str">
        <f t="shared" si="319"/>
        <v>2022</v>
      </c>
      <c r="Z2712"/>
      <c r="AA2712" s="2">
        <f t="shared" si="320"/>
        <v>45295</v>
      </c>
      <c r="AB2712" t="str">
        <f t="shared" si="318"/>
        <v>04/25/2022</v>
      </c>
      <c r="AC2712"/>
    </row>
    <row r="2713" spans="21:29" ht="15">
      <c r="U2713" s="236" t="s">
        <v>10333</v>
      </c>
      <c r="V2713" t="str">
        <f t="shared" si="315"/>
        <v>04</v>
      </c>
      <c r="W2713" t="str">
        <f t="shared" si="316"/>
        <v>25</v>
      </c>
      <c r="X2713" t="str">
        <f t="shared" si="317"/>
        <v>22</v>
      </c>
      <c r="Y2713" t="str">
        <f t="shared" si="319"/>
        <v>2022</v>
      </c>
      <c r="Z2713"/>
      <c r="AA2713" s="2">
        <f t="shared" si="320"/>
        <v>45295</v>
      </c>
      <c r="AB2713" t="str">
        <f t="shared" si="318"/>
        <v>04/25/2022</v>
      </c>
      <c r="AC2713"/>
    </row>
    <row r="2714" spans="21:29" ht="15">
      <c r="U2714" s="236" t="s">
        <v>10333</v>
      </c>
      <c r="V2714" t="str">
        <f t="shared" si="315"/>
        <v>04</v>
      </c>
      <c r="W2714" t="str">
        <f t="shared" si="316"/>
        <v>25</v>
      </c>
      <c r="X2714" t="str">
        <f t="shared" si="317"/>
        <v>22</v>
      </c>
      <c r="Y2714" t="str">
        <f t="shared" si="319"/>
        <v>2022</v>
      </c>
      <c r="Z2714"/>
      <c r="AA2714" s="2">
        <f t="shared" si="320"/>
        <v>45295</v>
      </c>
      <c r="AB2714" t="str">
        <f t="shared" si="318"/>
        <v>04/25/2022</v>
      </c>
      <c r="AC2714"/>
    </row>
    <row r="2715" spans="21:29" ht="15">
      <c r="U2715" s="236" t="s">
        <v>10334</v>
      </c>
      <c r="V2715" t="str">
        <f t="shared" si="315"/>
        <v>04</v>
      </c>
      <c r="W2715" t="str">
        <f t="shared" si="316"/>
        <v>26</v>
      </c>
      <c r="X2715" t="str">
        <f t="shared" si="317"/>
        <v>22</v>
      </c>
      <c r="Y2715" t="str">
        <f t="shared" si="319"/>
        <v>2022</v>
      </c>
      <c r="Z2715"/>
      <c r="AA2715" s="2">
        <f t="shared" si="320"/>
        <v>45326</v>
      </c>
      <c r="AB2715" t="str">
        <f t="shared" si="318"/>
        <v>04/26/2022</v>
      </c>
      <c r="AC2715"/>
    </row>
    <row r="2716" spans="21:29" ht="15">
      <c r="U2716" s="236" t="s">
        <v>9783</v>
      </c>
      <c r="V2716" t="str">
        <f t="shared" ref="V2716:V2779" si="321">LEFT(AB2716,2)</f>
        <v>04</v>
      </c>
      <c r="W2716" t="str">
        <f t="shared" ref="W2716:W2779" si="322">MID(AB2716,4,2)</f>
        <v>27</v>
      </c>
      <c r="X2716" t="str">
        <f t="shared" ref="X2716:X2779" si="323">RIGHT(AB2716,2)</f>
        <v>22</v>
      </c>
      <c r="Y2716" t="str">
        <f t="shared" si="319"/>
        <v>2022</v>
      </c>
      <c r="Z2716"/>
      <c r="AA2716" s="2">
        <f t="shared" si="320"/>
        <v>45355</v>
      </c>
      <c r="AB2716" t="str">
        <f t="shared" ref="AB2716:AB2779" si="324">TEXT(U2716, "mm/dd/yyyy")</f>
        <v>04/27/2022</v>
      </c>
      <c r="AC2716"/>
    </row>
    <row r="2717" spans="21:29" ht="15">
      <c r="U2717" s="236" t="s">
        <v>9783</v>
      </c>
      <c r="V2717" t="str">
        <f t="shared" si="321"/>
        <v>04</v>
      </c>
      <c r="W2717" t="str">
        <f t="shared" si="322"/>
        <v>27</v>
      </c>
      <c r="X2717" t="str">
        <f t="shared" si="323"/>
        <v>22</v>
      </c>
      <c r="Y2717" t="str">
        <f t="shared" si="319"/>
        <v>2022</v>
      </c>
      <c r="Z2717"/>
      <c r="AA2717" s="2">
        <f t="shared" si="320"/>
        <v>45355</v>
      </c>
      <c r="AB2717" t="str">
        <f t="shared" si="324"/>
        <v>04/27/2022</v>
      </c>
      <c r="AC2717"/>
    </row>
    <row r="2718" spans="21:29" ht="15">
      <c r="U2718" s="236" t="s">
        <v>9783</v>
      </c>
      <c r="V2718" t="str">
        <f t="shared" si="321"/>
        <v>04</v>
      </c>
      <c r="W2718" t="str">
        <f t="shared" si="322"/>
        <v>27</v>
      </c>
      <c r="X2718" t="str">
        <f t="shared" si="323"/>
        <v>22</v>
      </c>
      <c r="Y2718" t="str">
        <f t="shared" si="319"/>
        <v>2022</v>
      </c>
      <c r="Z2718"/>
      <c r="AA2718" s="2">
        <f t="shared" si="320"/>
        <v>45355</v>
      </c>
      <c r="AB2718" t="str">
        <f t="shared" si="324"/>
        <v>04/27/2022</v>
      </c>
      <c r="AC2718"/>
    </row>
    <row r="2719" spans="21:29" ht="15">
      <c r="U2719" s="236" t="s">
        <v>9784</v>
      </c>
      <c r="V2719" t="str">
        <f t="shared" si="321"/>
        <v>04</v>
      </c>
      <c r="W2719" t="str">
        <f t="shared" si="322"/>
        <v>28</v>
      </c>
      <c r="X2719" t="str">
        <f t="shared" si="323"/>
        <v>22</v>
      </c>
      <c r="Y2719" t="str">
        <f t="shared" si="319"/>
        <v>2022</v>
      </c>
      <c r="Z2719"/>
      <c r="AA2719" s="2">
        <f t="shared" si="320"/>
        <v>45386</v>
      </c>
      <c r="AB2719" t="str">
        <f t="shared" si="324"/>
        <v>04/28/2022</v>
      </c>
      <c r="AC2719"/>
    </row>
    <row r="2720" spans="21:29" ht="15">
      <c r="U2720" s="236" t="s">
        <v>9784</v>
      </c>
      <c r="V2720" t="str">
        <f t="shared" si="321"/>
        <v>04</v>
      </c>
      <c r="W2720" t="str">
        <f t="shared" si="322"/>
        <v>28</v>
      </c>
      <c r="X2720" t="str">
        <f t="shared" si="323"/>
        <v>22</v>
      </c>
      <c r="Y2720" t="str">
        <f t="shared" si="319"/>
        <v>2022</v>
      </c>
      <c r="Z2720"/>
      <c r="AA2720" s="2">
        <f t="shared" si="320"/>
        <v>45386</v>
      </c>
      <c r="AB2720" t="str">
        <f t="shared" si="324"/>
        <v>04/28/2022</v>
      </c>
      <c r="AC2720"/>
    </row>
    <row r="2721" spans="21:29" ht="15">
      <c r="U2721" s="236" t="s">
        <v>10335</v>
      </c>
      <c r="V2721" t="str">
        <f t="shared" si="321"/>
        <v>04</v>
      </c>
      <c r="W2721" t="str">
        <f t="shared" si="322"/>
        <v>29</v>
      </c>
      <c r="X2721" t="str">
        <f t="shared" si="323"/>
        <v>22</v>
      </c>
      <c r="Y2721" t="str">
        <f t="shared" si="319"/>
        <v>2022</v>
      </c>
      <c r="Z2721"/>
      <c r="AA2721" s="2">
        <f t="shared" si="320"/>
        <v>45416</v>
      </c>
      <c r="AB2721" t="str">
        <f t="shared" si="324"/>
        <v>04/29/2022</v>
      </c>
      <c r="AC2721"/>
    </row>
    <row r="2722" spans="21:29" ht="15">
      <c r="U2722" s="236" t="s">
        <v>10336</v>
      </c>
      <c r="V2722" t="str">
        <f t="shared" si="321"/>
        <v>04</v>
      </c>
      <c r="W2722" t="str">
        <f t="shared" si="322"/>
        <v>30</v>
      </c>
      <c r="X2722" t="str">
        <f t="shared" si="323"/>
        <v>22</v>
      </c>
      <c r="Y2722" t="str">
        <f t="shared" si="319"/>
        <v>2022</v>
      </c>
      <c r="Z2722"/>
      <c r="AA2722" s="2">
        <f t="shared" si="320"/>
        <v>45447</v>
      </c>
      <c r="AB2722" t="str">
        <f t="shared" si="324"/>
        <v>04/30/2022</v>
      </c>
      <c r="AC2722"/>
    </row>
    <row r="2723" spans="21:29" ht="15">
      <c r="U2723" s="236" t="s">
        <v>9785</v>
      </c>
      <c r="V2723" t="str">
        <f t="shared" si="321"/>
        <v>05</v>
      </c>
      <c r="W2723" t="str">
        <f t="shared" si="322"/>
        <v>02</v>
      </c>
      <c r="X2723" t="str">
        <f t="shared" si="323"/>
        <v>22</v>
      </c>
      <c r="Y2723" t="str">
        <f t="shared" si="319"/>
        <v>2022</v>
      </c>
      <c r="Z2723"/>
      <c r="AA2723" s="2">
        <f t="shared" si="320"/>
        <v>44597</v>
      </c>
      <c r="AB2723" t="str">
        <f t="shared" si="324"/>
        <v>05/02/2022</v>
      </c>
      <c r="AC2723"/>
    </row>
    <row r="2724" spans="21:29" ht="15">
      <c r="U2724" s="236" t="s">
        <v>9785</v>
      </c>
      <c r="V2724" t="str">
        <f t="shared" si="321"/>
        <v>05</v>
      </c>
      <c r="W2724" t="str">
        <f t="shared" si="322"/>
        <v>02</v>
      </c>
      <c r="X2724" t="str">
        <f t="shared" si="323"/>
        <v>22</v>
      </c>
      <c r="Y2724" t="str">
        <f t="shared" si="319"/>
        <v>2022</v>
      </c>
      <c r="Z2724"/>
      <c r="AA2724" s="2">
        <f t="shared" si="320"/>
        <v>44597</v>
      </c>
      <c r="AB2724" t="str">
        <f t="shared" si="324"/>
        <v>05/02/2022</v>
      </c>
      <c r="AC2724"/>
    </row>
    <row r="2725" spans="21:29" ht="15">
      <c r="U2725" s="236" t="s">
        <v>9785</v>
      </c>
      <c r="V2725" t="str">
        <f t="shared" si="321"/>
        <v>05</v>
      </c>
      <c r="W2725" t="str">
        <f t="shared" si="322"/>
        <v>02</v>
      </c>
      <c r="X2725" t="str">
        <f t="shared" si="323"/>
        <v>22</v>
      </c>
      <c r="Y2725" t="str">
        <f t="shared" si="319"/>
        <v>2022</v>
      </c>
      <c r="Z2725"/>
      <c r="AA2725" s="2">
        <f t="shared" si="320"/>
        <v>44597</v>
      </c>
      <c r="AB2725" t="str">
        <f t="shared" si="324"/>
        <v>05/02/2022</v>
      </c>
      <c r="AC2725"/>
    </row>
    <row r="2726" spans="21:29" ht="15">
      <c r="U2726" s="236" t="s">
        <v>9786</v>
      </c>
      <c r="V2726" t="str">
        <f t="shared" si="321"/>
        <v>05</v>
      </c>
      <c r="W2726" t="str">
        <f t="shared" si="322"/>
        <v>03</v>
      </c>
      <c r="X2726" t="str">
        <f t="shared" si="323"/>
        <v>22</v>
      </c>
      <c r="Y2726" t="str">
        <f t="shared" si="319"/>
        <v>2022</v>
      </c>
      <c r="Z2726"/>
      <c r="AA2726" s="2">
        <f t="shared" si="320"/>
        <v>44625</v>
      </c>
      <c r="AB2726" t="str">
        <f t="shared" si="324"/>
        <v>05/03/2022</v>
      </c>
      <c r="AC2726"/>
    </row>
    <row r="2727" spans="21:29" ht="15">
      <c r="U2727" s="236" t="s">
        <v>9787</v>
      </c>
      <c r="V2727" t="str">
        <f t="shared" si="321"/>
        <v>05</v>
      </c>
      <c r="W2727" t="str">
        <f t="shared" si="322"/>
        <v>04</v>
      </c>
      <c r="X2727" t="str">
        <f t="shared" si="323"/>
        <v>22</v>
      </c>
      <c r="Y2727" t="str">
        <f t="shared" si="319"/>
        <v>2022</v>
      </c>
      <c r="Z2727"/>
      <c r="AA2727" s="2">
        <f t="shared" si="320"/>
        <v>44656</v>
      </c>
      <c r="AB2727" t="str">
        <f t="shared" si="324"/>
        <v>05/04/2022</v>
      </c>
      <c r="AC2727"/>
    </row>
    <row r="2728" spans="21:29" ht="15">
      <c r="U2728" s="236" t="s">
        <v>9788</v>
      </c>
      <c r="V2728" t="str">
        <f t="shared" si="321"/>
        <v>05</v>
      </c>
      <c r="W2728" t="str">
        <f t="shared" si="322"/>
        <v>06</v>
      </c>
      <c r="X2728" t="str">
        <f t="shared" si="323"/>
        <v>22</v>
      </c>
      <c r="Y2728" t="str">
        <f t="shared" si="319"/>
        <v>2022</v>
      </c>
      <c r="Z2728"/>
      <c r="AA2728" s="2">
        <f t="shared" si="320"/>
        <v>44717</v>
      </c>
      <c r="AB2728" t="str">
        <f t="shared" si="324"/>
        <v>05/06/2022</v>
      </c>
      <c r="AC2728"/>
    </row>
    <row r="2729" spans="21:29" ht="15">
      <c r="U2729" s="236" t="s">
        <v>10337</v>
      </c>
      <c r="V2729" t="str">
        <f t="shared" si="321"/>
        <v>05</v>
      </c>
      <c r="W2729" t="str">
        <f t="shared" si="322"/>
        <v>09</v>
      </c>
      <c r="X2729" t="str">
        <f t="shared" si="323"/>
        <v>22</v>
      </c>
      <c r="Y2729" t="str">
        <f t="shared" si="319"/>
        <v>2022</v>
      </c>
      <c r="Z2729"/>
      <c r="AA2729" s="2">
        <f t="shared" si="320"/>
        <v>44809</v>
      </c>
      <c r="AB2729" t="str">
        <f t="shared" si="324"/>
        <v>05/09/2022</v>
      </c>
      <c r="AC2729"/>
    </row>
    <row r="2730" spans="21:29" ht="15">
      <c r="U2730" s="236" t="s">
        <v>10337</v>
      </c>
      <c r="V2730" t="str">
        <f t="shared" si="321"/>
        <v>05</v>
      </c>
      <c r="W2730" t="str">
        <f t="shared" si="322"/>
        <v>09</v>
      </c>
      <c r="X2730" t="str">
        <f t="shared" si="323"/>
        <v>22</v>
      </c>
      <c r="Y2730" t="str">
        <f t="shared" si="319"/>
        <v>2022</v>
      </c>
      <c r="Z2730"/>
      <c r="AA2730" s="2">
        <f t="shared" si="320"/>
        <v>44809</v>
      </c>
      <c r="AB2730" t="str">
        <f t="shared" si="324"/>
        <v>05/09/2022</v>
      </c>
      <c r="AC2730"/>
    </row>
    <row r="2731" spans="21:29" ht="15">
      <c r="U2731" s="236" t="s">
        <v>10337</v>
      </c>
      <c r="V2731" t="str">
        <f t="shared" si="321"/>
        <v>05</v>
      </c>
      <c r="W2731" t="str">
        <f t="shared" si="322"/>
        <v>09</v>
      </c>
      <c r="X2731" t="str">
        <f t="shared" si="323"/>
        <v>22</v>
      </c>
      <c r="Y2731" t="str">
        <f t="shared" si="319"/>
        <v>2022</v>
      </c>
      <c r="Z2731"/>
      <c r="AA2731" s="2">
        <f t="shared" si="320"/>
        <v>44809</v>
      </c>
      <c r="AB2731" t="str">
        <f t="shared" si="324"/>
        <v>05/09/2022</v>
      </c>
      <c r="AC2731"/>
    </row>
    <row r="2732" spans="21:29" ht="15">
      <c r="U2732" s="236" t="s">
        <v>9789</v>
      </c>
      <c r="V2732" t="str">
        <f t="shared" si="321"/>
        <v>05</v>
      </c>
      <c r="W2732" t="str">
        <f t="shared" si="322"/>
        <v>10</v>
      </c>
      <c r="X2732" t="str">
        <f t="shared" si="323"/>
        <v>22</v>
      </c>
      <c r="Y2732" t="str">
        <f t="shared" si="319"/>
        <v>2022</v>
      </c>
      <c r="Z2732"/>
      <c r="AA2732" s="2">
        <f t="shared" si="320"/>
        <v>44839</v>
      </c>
      <c r="AB2732" t="str">
        <f t="shared" si="324"/>
        <v>05/10/2022</v>
      </c>
      <c r="AC2732"/>
    </row>
    <row r="2733" spans="21:29" ht="15">
      <c r="U2733" s="236" t="s">
        <v>9789</v>
      </c>
      <c r="V2733" t="str">
        <f t="shared" si="321"/>
        <v>05</v>
      </c>
      <c r="W2733" t="str">
        <f t="shared" si="322"/>
        <v>10</v>
      </c>
      <c r="X2733" t="str">
        <f t="shared" si="323"/>
        <v>22</v>
      </c>
      <c r="Y2733" t="str">
        <f t="shared" si="319"/>
        <v>2022</v>
      </c>
      <c r="Z2733"/>
      <c r="AA2733" s="2">
        <f t="shared" si="320"/>
        <v>44839</v>
      </c>
      <c r="AB2733" t="str">
        <f t="shared" si="324"/>
        <v>05/10/2022</v>
      </c>
      <c r="AC2733"/>
    </row>
    <row r="2734" spans="21:29" ht="15">
      <c r="U2734" s="236" t="s">
        <v>9789</v>
      </c>
      <c r="V2734" t="str">
        <f t="shared" si="321"/>
        <v>05</v>
      </c>
      <c r="W2734" t="str">
        <f t="shared" si="322"/>
        <v>10</v>
      </c>
      <c r="X2734" t="str">
        <f t="shared" si="323"/>
        <v>22</v>
      </c>
      <c r="Y2734" t="str">
        <f t="shared" si="319"/>
        <v>2022</v>
      </c>
      <c r="Z2734"/>
      <c r="AA2734" s="2">
        <f t="shared" si="320"/>
        <v>44839</v>
      </c>
      <c r="AB2734" t="str">
        <f t="shared" si="324"/>
        <v>05/10/2022</v>
      </c>
      <c r="AC2734"/>
    </row>
    <row r="2735" spans="21:29" ht="15">
      <c r="U2735" s="236" t="s">
        <v>9789</v>
      </c>
      <c r="V2735" t="str">
        <f t="shared" si="321"/>
        <v>05</v>
      </c>
      <c r="W2735" t="str">
        <f t="shared" si="322"/>
        <v>10</v>
      </c>
      <c r="X2735" t="str">
        <f t="shared" si="323"/>
        <v>22</v>
      </c>
      <c r="Y2735" t="str">
        <f t="shared" si="319"/>
        <v>2022</v>
      </c>
      <c r="Z2735"/>
      <c r="AA2735" s="2">
        <f t="shared" si="320"/>
        <v>44839</v>
      </c>
      <c r="AB2735" t="str">
        <f t="shared" si="324"/>
        <v>05/10/2022</v>
      </c>
      <c r="AC2735"/>
    </row>
    <row r="2736" spans="21:29" ht="15">
      <c r="U2736" s="236" t="s">
        <v>10338</v>
      </c>
      <c r="V2736" t="str">
        <f t="shared" si="321"/>
        <v>05</v>
      </c>
      <c r="W2736" t="str">
        <f t="shared" si="322"/>
        <v>16</v>
      </c>
      <c r="X2736" t="str">
        <f t="shared" si="323"/>
        <v>22</v>
      </c>
      <c r="Y2736" t="str">
        <f t="shared" si="319"/>
        <v>2022</v>
      </c>
      <c r="Z2736"/>
      <c r="AA2736" s="2">
        <f t="shared" si="320"/>
        <v>45021</v>
      </c>
      <c r="AB2736" t="str">
        <f t="shared" si="324"/>
        <v>05/16/2022</v>
      </c>
      <c r="AC2736"/>
    </row>
    <row r="2737" spans="21:29" ht="15">
      <c r="U2737" s="236" t="s">
        <v>10338</v>
      </c>
      <c r="V2737" t="str">
        <f t="shared" si="321"/>
        <v>05</v>
      </c>
      <c r="W2737" t="str">
        <f t="shared" si="322"/>
        <v>16</v>
      </c>
      <c r="X2737" t="str">
        <f t="shared" si="323"/>
        <v>22</v>
      </c>
      <c r="Y2737" t="str">
        <f t="shared" si="319"/>
        <v>2022</v>
      </c>
      <c r="Z2737"/>
      <c r="AA2737" s="2">
        <f t="shared" si="320"/>
        <v>45021</v>
      </c>
      <c r="AB2737" t="str">
        <f t="shared" si="324"/>
        <v>05/16/2022</v>
      </c>
      <c r="AC2737"/>
    </row>
    <row r="2738" spans="21:29" ht="15">
      <c r="U2738" s="236" t="s">
        <v>10338</v>
      </c>
      <c r="V2738" t="str">
        <f t="shared" si="321"/>
        <v>05</v>
      </c>
      <c r="W2738" t="str">
        <f t="shared" si="322"/>
        <v>16</v>
      </c>
      <c r="X2738" t="str">
        <f t="shared" si="323"/>
        <v>22</v>
      </c>
      <c r="Y2738" t="str">
        <f t="shared" si="319"/>
        <v>2022</v>
      </c>
      <c r="Z2738"/>
      <c r="AA2738" s="2">
        <f t="shared" si="320"/>
        <v>45021</v>
      </c>
      <c r="AB2738" t="str">
        <f t="shared" si="324"/>
        <v>05/16/2022</v>
      </c>
      <c r="AC2738"/>
    </row>
    <row r="2739" spans="21:29" ht="15">
      <c r="U2739" s="236" t="s">
        <v>10338</v>
      </c>
      <c r="V2739" t="str">
        <f t="shared" si="321"/>
        <v>05</v>
      </c>
      <c r="W2739" t="str">
        <f t="shared" si="322"/>
        <v>16</v>
      </c>
      <c r="X2739" t="str">
        <f t="shared" si="323"/>
        <v>22</v>
      </c>
      <c r="Y2739" t="str">
        <f t="shared" si="319"/>
        <v>2022</v>
      </c>
      <c r="Z2739"/>
      <c r="AA2739" s="2">
        <f t="shared" si="320"/>
        <v>45021</v>
      </c>
      <c r="AB2739" t="str">
        <f t="shared" si="324"/>
        <v>05/16/2022</v>
      </c>
      <c r="AC2739"/>
    </row>
    <row r="2740" spans="21:29" ht="15">
      <c r="U2740" s="236" t="s">
        <v>10338</v>
      </c>
      <c r="V2740" t="str">
        <f t="shared" si="321"/>
        <v>05</v>
      </c>
      <c r="W2740" t="str">
        <f t="shared" si="322"/>
        <v>16</v>
      </c>
      <c r="X2740" t="str">
        <f t="shared" si="323"/>
        <v>22</v>
      </c>
      <c r="Y2740" t="str">
        <f t="shared" si="319"/>
        <v>2022</v>
      </c>
      <c r="Z2740"/>
      <c r="AA2740" s="2">
        <f t="shared" si="320"/>
        <v>45021</v>
      </c>
      <c r="AB2740" t="str">
        <f t="shared" si="324"/>
        <v>05/16/2022</v>
      </c>
      <c r="AC2740"/>
    </row>
    <row r="2741" spans="21:29" ht="15">
      <c r="U2741" s="236" t="s">
        <v>10339</v>
      </c>
      <c r="V2741" t="str">
        <f t="shared" si="321"/>
        <v>05</v>
      </c>
      <c r="W2741" t="str">
        <f t="shared" si="322"/>
        <v>17</v>
      </c>
      <c r="X2741" t="str">
        <f t="shared" si="323"/>
        <v>22</v>
      </c>
      <c r="Y2741" t="str">
        <f t="shared" si="319"/>
        <v>2022</v>
      </c>
      <c r="Z2741"/>
      <c r="AA2741" s="2">
        <f t="shared" si="320"/>
        <v>45051</v>
      </c>
      <c r="AB2741" t="str">
        <f t="shared" si="324"/>
        <v>05/17/2022</v>
      </c>
      <c r="AC2741"/>
    </row>
    <row r="2742" spans="21:29" ht="15">
      <c r="U2742" s="236" t="s">
        <v>10340</v>
      </c>
      <c r="V2742" t="str">
        <f t="shared" si="321"/>
        <v>05</v>
      </c>
      <c r="W2742" t="str">
        <f t="shared" si="322"/>
        <v>20</v>
      </c>
      <c r="X2742" t="str">
        <f t="shared" si="323"/>
        <v>22</v>
      </c>
      <c r="Y2742" t="str">
        <f t="shared" si="319"/>
        <v>2022</v>
      </c>
      <c r="Z2742"/>
      <c r="AA2742" s="2">
        <f t="shared" si="320"/>
        <v>45143</v>
      </c>
      <c r="AB2742" t="str">
        <f t="shared" si="324"/>
        <v>05/20/2022</v>
      </c>
      <c r="AC2742"/>
    </row>
    <row r="2743" spans="21:29" ht="15">
      <c r="U2743" s="236" t="s">
        <v>10340</v>
      </c>
      <c r="V2743" t="str">
        <f t="shared" si="321"/>
        <v>05</v>
      </c>
      <c r="W2743" t="str">
        <f t="shared" si="322"/>
        <v>20</v>
      </c>
      <c r="X2743" t="str">
        <f t="shared" si="323"/>
        <v>22</v>
      </c>
      <c r="Y2743" t="str">
        <f t="shared" si="319"/>
        <v>2022</v>
      </c>
      <c r="Z2743"/>
      <c r="AA2743" s="2">
        <f t="shared" si="320"/>
        <v>45143</v>
      </c>
      <c r="AB2743" t="str">
        <f t="shared" si="324"/>
        <v>05/20/2022</v>
      </c>
      <c r="AC2743"/>
    </row>
    <row r="2744" spans="21:29" ht="15">
      <c r="U2744" s="236" t="s">
        <v>10340</v>
      </c>
      <c r="V2744" t="str">
        <f t="shared" si="321"/>
        <v>05</v>
      </c>
      <c r="W2744" t="str">
        <f t="shared" si="322"/>
        <v>20</v>
      </c>
      <c r="X2744" t="str">
        <f t="shared" si="323"/>
        <v>22</v>
      </c>
      <c r="Y2744" t="str">
        <f t="shared" si="319"/>
        <v>2022</v>
      </c>
      <c r="Z2744"/>
      <c r="AA2744" s="2">
        <f t="shared" si="320"/>
        <v>45143</v>
      </c>
      <c r="AB2744" t="str">
        <f t="shared" si="324"/>
        <v>05/20/2022</v>
      </c>
      <c r="AC2744"/>
    </row>
    <row r="2745" spans="21:29" ht="15">
      <c r="U2745" s="236" t="s">
        <v>10340</v>
      </c>
      <c r="V2745" t="str">
        <f t="shared" si="321"/>
        <v>05</v>
      </c>
      <c r="W2745" t="str">
        <f t="shared" si="322"/>
        <v>20</v>
      </c>
      <c r="X2745" t="str">
        <f t="shared" si="323"/>
        <v>22</v>
      </c>
      <c r="Y2745" t="str">
        <f t="shared" si="319"/>
        <v>2022</v>
      </c>
      <c r="Z2745"/>
      <c r="AA2745" s="2">
        <f t="shared" si="320"/>
        <v>45143</v>
      </c>
      <c r="AB2745" t="str">
        <f t="shared" si="324"/>
        <v>05/20/2022</v>
      </c>
      <c r="AC2745"/>
    </row>
    <row r="2746" spans="21:29" ht="15">
      <c r="U2746" s="236" t="s">
        <v>10340</v>
      </c>
      <c r="V2746" t="str">
        <f t="shared" si="321"/>
        <v>05</v>
      </c>
      <c r="W2746" t="str">
        <f t="shared" si="322"/>
        <v>20</v>
      </c>
      <c r="X2746" t="str">
        <f t="shared" si="323"/>
        <v>22</v>
      </c>
      <c r="Y2746" t="str">
        <f t="shared" si="319"/>
        <v>2022</v>
      </c>
      <c r="Z2746"/>
      <c r="AA2746" s="2">
        <f t="shared" si="320"/>
        <v>45143</v>
      </c>
      <c r="AB2746" t="str">
        <f t="shared" si="324"/>
        <v>05/20/2022</v>
      </c>
      <c r="AC2746"/>
    </row>
    <row r="2747" spans="21:29" ht="15">
      <c r="U2747" s="236" t="s">
        <v>10340</v>
      </c>
      <c r="V2747" t="str">
        <f t="shared" si="321"/>
        <v>05</v>
      </c>
      <c r="W2747" t="str">
        <f t="shared" si="322"/>
        <v>20</v>
      </c>
      <c r="X2747" t="str">
        <f t="shared" si="323"/>
        <v>22</v>
      </c>
      <c r="Y2747" t="str">
        <f t="shared" si="319"/>
        <v>2022</v>
      </c>
      <c r="Z2747"/>
      <c r="AA2747" s="2">
        <f t="shared" si="320"/>
        <v>45143</v>
      </c>
      <c r="AB2747" t="str">
        <f t="shared" si="324"/>
        <v>05/20/2022</v>
      </c>
      <c r="AC2747"/>
    </row>
    <row r="2748" spans="21:29" ht="15">
      <c r="U2748" s="236" t="s">
        <v>9790</v>
      </c>
      <c r="V2748" t="str">
        <f t="shared" si="321"/>
        <v>05</v>
      </c>
      <c r="W2748" t="str">
        <f t="shared" si="322"/>
        <v>21</v>
      </c>
      <c r="X2748" t="str">
        <f t="shared" si="323"/>
        <v>22</v>
      </c>
      <c r="Y2748" t="str">
        <f t="shared" si="319"/>
        <v>2022</v>
      </c>
      <c r="Z2748"/>
      <c r="AA2748" s="2">
        <f t="shared" si="320"/>
        <v>45174</v>
      </c>
      <c r="AB2748" t="str">
        <f t="shared" si="324"/>
        <v>05/21/2022</v>
      </c>
      <c r="AC2748"/>
    </row>
    <row r="2749" spans="21:29" ht="15">
      <c r="U2749" s="236" t="s">
        <v>9790</v>
      </c>
      <c r="V2749" t="str">
        <f t="shared" si="321"/>
        <v>05</v>
      </c>
      <c r="W2749" t="str">
        <f t="shared" si="322"/>
        <v>21</v>
      </c>
      <c r="X2749" t="str">
        <f t="shared" si="323"/>
        <v>22</v>
      </c>
      <c r="Y2749" t="str">
        <f t="shared" si="319"/>
        <v>2022</v>
      </c>
      <c r="Z2749"/>
      <c r="AA2749" s="2">
        <f t="shared" si="320"/>
        <v>45174</v>
      </c>
      <c r="AB2749" t="str">
        <f t="shared" si="324"/>
        <v>05/21/2022</v>
      </c>
      <c r="AC2749"/>
    </row>
    <row r="2750" spans="21:29" ht="15">
      <c r="U2750" s="236" t="s">
        <v>9790</v>
      </c>
      <c r="V2750" t="str">
        <f t="shared" si="321"/>
        <v>05</v>
      </c>
      <c r="W2750" t="str">
        <f t="shared" si="322"/>
        <v>21</v>
      </c>
      <c r="X2750" t="str">
        <f t="shared" si="323"/>
        <v>22</v>
      </c>
      <c r="Y2750" t="str">
        <f t="shared" si="319"/>
        <v>2022</v>
      </c>
      <c r="Z2750"/>
      <c r="AA2750" s="2">
        <f t="shared" si="320"/>
        <v>45174</v>
      </c>
      <c r="AB2750" t="str">
        <f t="shared" si="324"/>
        <v>05/21/2022</v>
      </c>
      <c r="AC2750"/>
    </row>
    <row r="2751" spans="21:29" ht="15">
      <c r="U2751" s="236" t="s">
        <v>10341</v>
      </c>
      <c r="V2751" t="str">
        <f t="shared" si="321"/>
        <v>05</v>
      </c>
      <c r="W2751" t="str">
        <f t="shared" si="322"/>
        <v>23</v>
      </c>
      <c r="X2751" t="str">
        <f t="shared" si="323"/>
        <v>22</v>
      </c>
      <c r="Y2751" t="str">
        <f t="shared" si="319"/>
        <v>2022</v>
      </c>
      <c r="Z2751"/>
      <c r="AA2751" s="2">
        <f t="shared" si="320"/>
        <v>45235</v>
      </c>
      <c r="AB2751" t="str">
        <f t="shared" si="324"/>
        <v>05/23/2022</v>
      </c>
      <c r="AC2751"/>
    </row>
    <row r="2752" spans="21:29" ht="15">
      <c r="U2752" s="236" t="s">
        <v>10341</v>
      </c>
      <c r="V2752" t="str">
        <f t="shared" si="321"/>
        <v>05</v>
      </c>
      <c r="W2752" t="str">
        <f t="shared" si="322"/>
        <v>23</v>
      </c>
      <c r="X2752" t="str">
        <f t="shared" si="323"/>
        <v>22</v>
      </c>
      <c r="Y2752" t="str">
        <f t="shared" si="319"/>
        <v>2022</v>
      </c>
      <c r="Z2752"/>
      <c r="AA2752" s="2">
        <f t="shared" si="320"/>
        <v>45235</v>
      </c>
      <c r="AB2752" t="str">
        <f t="shared" si="324"/>
        <v>05/23/2022</v>
      </c>
      <c r="AC2752"/>
    </row>
    <row r="2753" spans="21:29" ht="15">
      <c r="U2753" s="236" t="s">
        <v>10341</v>
      </c>
      <c r="V2753" t="str">
        <f t="shared" si="321"/>
        <v>05</v>
      </c>
      <c r="W2753" t="str">
        <f t="shared" si="322"/>
        <v>23</v>
      </c>
      <c r="X2753" t="str">
        <f t="shared" si="323"/>
        <v>22</v>
      </c>
      <c r="Y2753" t="str">
        <f t="shared" si="319"/>
        <v>2022</v>
      </c>
      <c r="Z2753"/>
      <c r="AA2753" s="2">
        <f t="shared" si="320"/>
        <v>45235</v>
      </c>
      <c r="AB2753" t="str">
        <f t="shared" si="324"/>
        <v>05/23/2022</v>
      </c>
      <c r="AC2753"/>
    </row>
    <row r="2754" spans="21:29" ht="15">
      <c r="U2754" s="236" t="s">
        <v>10341</v>
      </c>
      <c r="V2754" t="str">
        <f t="shared" si="321"/>
        <v>05</v>
      </c>
      <c r="W2754" t="str">
        <f t="shared" si="322"/>
        <v>23</v>
      </c>
      <c r="X2754" t="str">
        <f t="shared" si="323"/>
        <v>22</v>
      </c>
      <c r="Y2754" t="str">
        <f t="shared" si="319"/>
        <v>2022</v>
      </c>
      <c r="Z2754"/>
      <c r="AA2754" s="2">
        <f t="shared" si="320"/>
        <v>45235</v>
      </c>
      <c r="AB2754" t="str">
        <f t="shared" si="324"/>
        <v>05/23/2022</v>
      </c>
      <c r="AC2754"/>
    </row>
    <row r="2755" spans="21:29" ht="15">
      <c r="U2755" s="236" t="s">
        <v>10341</v>
      </c>
      <c r="V2755" t="str">
        <f t="shared" si="321"/>
        <v>05</v>
      </c>
      <c r="W2755" t="str">
        <f t="shared" si="322"/>
        <v>23</v>
      </c>
      <c r="X2755" t="str">
        <f t="shared" si="323"/>
        <v>22</v>
      </c>
      <c r="Y2755" t="str">
        <f t="shared" ref="Y2755:Y2818" si="325">"20" &amp; X2755</f>
        <v>2022</v>
      </c>
      <c r="Z2755"/>
      <c r="AA2755" s="2">
        <f t="shared" si="320"/>
        <v>45235</v>
      </c>
      <c r="AB2755" t="str">
        <f t="shared" si="324"/>
        <v>05/23/2022</v>
      </c>
      <c r="AC2755"/>
    </row>
    <row r="2756" spans="21:29" ht="15">
      <c r="U2756" s="236" t="s">
        <v>10342</v>
      </c>
      <c r="V2756" t="str">
        <f t="shared" si="321"/>
        <v>05</v>
      </c>
      <c r="W2756" t="str">
        <f t="shared" si="322"/>
        <v>26</v>
      </c>
      <c r="X2756" t="str">
        <f t="shared" si="323"/>
        <v>22</v>
      </c>
      <c r="Y2756" t="str">
        <f t="shared" si="325"/>
        <v>2022</v>
      </c>
      <c r="Z2756"/>
      <c r="AA2756" s="2">
        <f t="shared" si="320"/>
        <v>45327</v>
      </c>
      <c r="AB2756" t="str">
        <f t="shared" si="324"/>
        <v>05/26/2022</v>
      </c>
      <c r="AC2756"/>
    </row>
    <row r="2757" spans="21:29" ht="15">
      <c r="U2757" s="236" t="s">
        <v>10342</v>
      </c>
      <c r="V2757" t="str">
        <f t="shared" si="321"/>
        <v>05</v>
      </c>
      <c r="W2757" t="str">
        <f t="shared" si="322"/>
        <v>26</v>
      </c>
      <c r="X2757" t="str">
        <f t="shared" si="323"/>
        <v>22</v>
      </c>
      <c r="Y2757" t="str">
        <f t="shared" si="325"/>
        <v>2022</v>
      </c>
      <c r="Z2757"/>
      <c r="AA2757" s="2">
        <f t="shared" si="320"/>
        <v>45327</v>
      </c>
      <c r="AB2757" t="str">
        <f t="shared" si="324"/>
        <v>05/26/2022</v>
      </c>
      <c r="AC2757"/>
    </row>
    <row r="2758" spans="21:29" ht="15">
      <c r="U2758" s="236" t="s">
        <v>10342</v>
      </c>
      <c r="V2758" t="str">
        <f t="shared" si="321"/>
        <v>05</v>
      </c>
      <c r="W2758" t="str">
        <f t="shared" si="322"/>
        <v>26</v>
      </c>
      <c r="X2758" t="str">
        <f t="shared" si="323"/>
        <v>22</v>
      </c>
      <c r="Y2758" t="str">
        <f t="shared" si="325"/>
        <v>2022</v>
      </c>
      <c r="Z2758"/>
      <c r="AA2758" s="2">
        <f t="shared" si="320"/>
        <v>45327</v>
      </c>
      <c r="AB2758" t="str">
        <f t="shared" si="324"/>
        <v>05/26/2022</v>
      </c>
      <c r="AC2758"/>
    </row>
    <row r="2759" spans="21:29" ht="15">
      <c r="U2759" s="236" t="s">
        <v>9791</v>
      </c>
      <c r="V2759" t="str">
        <f t="shared" si="321"/>
        <v>05</v>
      </c>
      <c r="W2759" t="str">
        <f t="shared" si="322"/>
        <v>30</v>
      </c>
      <c r="X2759" t="str">
        <f t="shared" si="323"/>
        <v>22</v>
      </c>
      <c r="Y2759" t="str">
        <f t="shared" si="325"/>
        <v>2022</v>
      </c>
      <c r="Z2759"/>
      <c r="AA2759" s="2">
        <f t="shared" si="320"/>
        <v>45448</v>
      </c>
      <c r="AB2759" t="str">
        <f t="shared" si="324"/>
        <v>05/30/2022</v>
      </c>
      <c r="AC2759"/>
    </row>
    <row r="2760" spans="21:29" ht="15">
      <c r="U2760" s="236" t="s">
        <v>9791</v>
      </c>
      <c r="V2760" t="str">
        <f t="shared" si="321"/>
        <v>05</v>
      </c>
      <c r="W2760" t="str">
        <f t="shared" si="322"/>
        <v>30</v>
      </c>
      <c r="X2760" t="str">
        <f t="shared" si="323"/>
        <v>22</v>
      </c>
      <c r="Y2760" t="str">
        <f t="shared" si="325"/>
        <v>2022</v>
      </c>
      <c r="Z2760"/>
      <c r="AA2760" s="2">
        <f t="shared" ref="AA2760:AA2823" si="326">DATE(Y2760,W2760,V2760)</f>
        <v>45448</v>
      </c>
      <c r="AB2760" t="str">
        <f t="shared" si="324"/>
        <v>05/30/2022</v>
      </c>
      <c r="AC2760"/>
    </row>
    <row r="2761" spans="21:29" ht="15">
      <c r="U2761" s="236" t="s">
        <v>9791</v>
      </c>
      <c r="V2761" t="str">
        <f t="shared" si="321"/>
        <v>05</v>
      </c>
      <c r="W2761" t="str">
        <f t="shared" si="322"/>
        <v>30</v>
      </c>
      <c r="X2761" t="str">
        <f t="shared" si="323"/>
        <v>22</v>
      </c>
      <c r="Y2761" t="str">
        <f t="shared" si="325"/>
        <v>2022</v>
      </c>
      <c r="Z2761"/>
      <c r="AA2761" s="2">
        <f t="shared" si="326"/>
        <v>45448</v>
      </c>
      <c r="AB2761" t="str">
        <f t="shared" si="324"/>
        <v>05/30/2022</v>
      </c>
      <c r="AC2761"/>
    </row>
    <row r="2762" spans="21:29" ht="15">
      <c r="U2762" s="236" t="s">
        <v>9791</v>
      </c>
      <c r="V2762" t="str">
        <f t="shared" si="321"/>
        <v>05</v>
      </c>
      <c r="W2762" t="str">
        <f t="shared" si="322"/>
        <v>30</v>
      </c>
      <c r="X2762" t="str">
        <f t="shared" si="323"/>
        <v>22</v>
      </c>
      <c r="Y2762" t="str">
        <f t="shared" si="325"/>
        <v>2022</v>
      </c>
      <c r="Z2762"/>
      <c r="AA2762" s="2">
        <f t="shared" si="326"/>
        <v>45448</v>
      </c>
      <c r="AB2762" t="str">
        <f t="shared" si="324"/>
        <v>05/30/2022</v>
      </c>
      <c r="AC2762"/>
    </row>
    <row r="2763" spans="21:29" ht="15">
      <c r="U2763" s="236" t="s">
        <v>9792</v>
      </c>
      <c r="V2763" t="str">
        <f t="shared" si="321"/>
        <v>06</v>
      </c>
      <c r="W2763" t="str">
        <f t="shared" si="322"/>
        <v>01</v>
      </c>
      <c r="X2763" t="str">
        <f t="shared" si="323"/>
        <v>22</v>
      </c>
      <c r="Y2763" t="str">
        <f t="shared" si="325"/>
        <v>2022</v>
      </c>
      <c r="Z2763"/>
      <c r="AA2763" s="2">
        <f t="shared" si="326"/>
        <v>44567</v>
      </c>
      <c r="AB2763" t="str">
        <f t="shared" si="324"/>
        <v>06/01/2022</v>
      </c>
      <c r="AC2763"/>
    </row>
    <row r="2764" spans="21:29" ht="15">
      <c r="U2764" s="236" t="s">
        <v>9792</v>
      </c>
      <c r="V2764" t="str">
        <f t="shared" si="321"/>
        <v>06</v>
      </c>
      <c r="W2764" t="str">
        <f t="shared" si="322"/>
        <v>01</v>
      </c>
      <c r="X2764" t="str">
        <f t="shared" si="323"/>
        <v>22</v>
      </c>
      <c r="Y2764" t="str">
        <f t="shared" si="325"/>
        <v>2022</v>
      </c>
      <c r="Z2764"/>
      <c r="AA2764" s="2">
        <f t="shared" si="326"/>
        <v>44567</v>
      </c>
      <c r="AB2764" t="str">
        <f t="shared" si="324"/>
        <v>06/01/2022</v>
      </c>
      <c r="AC2764"/>
    </row>
    <row r="2765" spans="21:29" ht="15">
      <c r="U2765" s="236" t="s">
        <v>9792</v>
      </c>
      <c r="V2765" t="str">
        <f t="shared" si="321"/>
        <v>06</v>
      </c>
      <c r="W2765" t="str">
        <f t="shared" si="322"/>
        <v>01</v>
      </c>
      <c r="X2765" t="str">
        <f t="shared" si="323"/>
        <v>22</v>
      </c>
      <c r="Y2765" t="str">
        <f t="shared" si="325"/>
        <v>2022</v>
      </c>
      <c r="Z2765"/>
      <c r="AA2765" s="2">
        <f t="shared" si="326"/>
        <v>44567</v>
      </c>
      <c r="AB2765" t="str">
        <f t="shared" si="324"/>
        <v>06/01/2022</v>
      </c>
      <c r="AC2765"/>
    </row>
    <row r="2766" spans="21:29" ht="15">
      <c r="U2766" s="236" t="s">
        <v>9792</v>
      </c>
      <c r="V2766" t="str">
        <f t="shared" si="321"/>
        <v>06</v>
      </c>
      <c r="W2766" t="str">
        <f t="shared" si="322"/>
        <v>01</v>
      </c>
      <c r="X2766" t="str">
        <f t="shared" si="323"/>
        <v>22</v>
      </c>
      <c r="Y2766" t="str">
        <f t="shared" si="325"/>
        <v>2022</v>
      </c>
      <c r="Z2766"/>
      <c r="AA2766" s="2">
        <f t="shared" si="326"/>
        <v>44567</v>
      </c>
      <c r="AB2766" t="str">
        <f t="shared" si="324"/>
        <v>06/01/2022</v>
      </c>
      <c r="AC2766"/>
    </row>
    <row r="2767" spans="21:29" ht="15">
      <c r="U2767" s="236" t="s">
        <v>10343</v>
      </c>
      <c r="V2767" t="str">
        <f t="shared" si="321"/>
        <v>06</v>
      </c>
      <c r="W2767" t="str">
        <f t="shared" si="322"/>
        <v>02</v>
      </c>
      <c r="X2767" t="str">
        <f t="shared" si="323"/>
        <v>22</v>
      </c>
      <c r="Y2767" t="str">
        <f t="shared" si="325"/>
        <v>2022</v>
      </c>
      <c r="Z2767"/>
      <c r="AA2767" s="2">
        <f t="shared" si="326"/>
        <v>44598</v>
      </c>
      <c r="AB2767" t="str">
        <f t="shared" si="324"/>
        <v>06/02/2022</v>
      </c>
      <c r="AC2767"/>
    </row>
    <row r="2768" spans="21:29" ht="15">
      <c r="U2768" s="236" t="s">
        <v>9793</v>
      </c>
      <c r="V2768" t="str">
        <f t="shared" si="321"/>
        <v>06</v>
      </c>
      <c r="W2768" t="str">
        <f t="shared" si="322"/>
        <v>03</v>
      </c>
      <c r="X2768" t="str">
        <f t="shared" si="323"/>
        <v>22</v>
      </c>
      <c r="Y2768" t="str">
        <f t="shared" si="325"/>
        <v>2022</v>
      </c>
      <c r="Z2768"/>
      <c r="AA2768" s="2">
        <f t="shared" si="326"/>
        <v>44626</v>
      </c>
      <c r="AB2768" t="str">
        <f t="shared" si="324"/>
        <v>06/03/2022</v>
      </c>
      <c r="AC2768"/>
    </row>
    <row r="2769" spans="21:29" ht="15">
      <c r="U2769" s="236" t="s">
        <v>9793</v>
      </c>
      <c r="V2769" t="str">
        <f t="shared" si="321"/>
        <v>06</v>
      </c>
      <c r="W2769" t="str">
        <f t="shared" si="322"/>
        <v>03</v>
      </c>
      <c r="X2769" t="str">
        <f t="shared" si="323"/>
        <v>22</v>
      </c>
      <c r="Y2769" t="str">
        <f t="shared" si="325"/>
        <v>2022</v>
      </c>
      <c r="Z2769"/>
      <c r="AA2769" s="2">
        <f t="shared" si="326"/>
        <v>44626</v>
      </c>
      <c r="AB2769" t="str">
        <f t="shared" si="324"/>
        <v>06/03/2022</v>
      </c>
      <c r="AC2769"/>
    </row>
    <row r="2770" spans="21:29" ht="15">
      <c r="U2770" s="236" t="s">
        <v>9793</v>
      </c>
      <c r="V2770" t="str">
        <f t="shared" si="321"/>
        <v>06</v>
      </c>
      <c r="W2770" t="str">
        <f t="shared" si="322"/>
        <v>03</v>
      </c>
      <c r="X2770" t="str">
        <f t="shared" si="323"/>
        <v>22</v>
      </c>
      <c r="Y2770" t="str">
        <f t="shared" si="325"/>
        <v>2022</v>
      </c>
      <c r="Z2770"/>
      <c r="AA2770" s="2">
        <f t="shared" si="326"/>
        <v>44626</v>
      </c>
      <c r="AB2770" t="str">
        <f t="shared" si="324"/>
        <v>06/03/2022</v>
      </c>
      <c r="AC2770"/>
    </row>
    <row r="2771" spans="21:29" ht="15">
      <c r="U2771" s="236" t="s">
        <v>10344</v>
      </c>
      <c r="V2771" t="str">
        <f t="shared" si="321"/>
        <v>06</v>
      </c>
      <c r="W2771" t="str">
        <f t="shared" si="322"/>
        <v>04</v>
      </c>
      <c r="X2771" t="str">
        <f t="shared" si="323"/>
        <v>22</v>
      </c>
      <c r="Y2771" t="str">
        <f t="shared" si="325"/>
        <v>2022</v>
      </c>
      <c r="Z2771"/>
      <c r="AA2771" s="2">
        <f t="shared" si="326"/>
        <v>44657</v>
      </c>
      <c r="AB2771" t="str">
        <f t="shared" si="324"/>
        <v>06/04/2022</v>
      </c>
      <c r="AC2771"/>
    </row>
    <row r="2772" spans="21:29" ht="15">
      <c r="U2772" s="236" t="s">
        <v>10345</v>
      </c>
      <c r="V2772" t="str">
        <f t="shared" si="321"/>
        <v>06</v>
      </c>
      <c r="W2772" t="str">
        <f t="shared" si="322"/>
        <v>06</v>
      </c>
      <c r="X2772" t="str">
        <f t="shared" si="323"/>
        <v>22</v>
      </c>
      <c r="Y2772" t="str">
        <f t="shared" si="325"/>
        <v>2022</v>
      </c>
      <c r="Z2772"/>
      <c r="AA2772" s="2">
        <f t="shared" si="326"/>
        <v>44718</v>
      </c>
      <c r="AB2772" t="str">
        <f t="shared" si="324"/>
        <v>06/06/2022</v>
      </c>
      <c r="AC2772"/>
    </row>
    <row r="2773" spans="21:29" ht="15">
      <c r="U2773" s="236" t="s">
        <v>10345</v>
      </c>
      <c r="V2773" t="str">
        <f t="shared" si="321"/>
        <v>06</v>
      </c>
      <c r="W2773" t="str">
        <f t="shared" si="322"/>
        <v>06</v>
      </c>
      <c r="X2773" t="str">
        <f t="shared" si="323"/>
        <v>22</v>
      </c>
      <c r="Y2773" t="str">
        <f t="shared" si="325"/>
        <v>2022</v>
      </c>
      <c r="Z2773"/>
      <c r="AA2773" s="2">
        <f t="shared" si="326"/>
        <v>44718</v>
      </c>
      <c r="AB2773" t="str">
        <f t="shared" si="324"/>
        <v>06/06/2022</v>
      </c>
      <c r="AC2773"/>
    </row>
    <row r="2774" spans="21:29" ht="15">
      <c r="U2774" s="236" t="s">
        <v>10345</v>
      </c>
      <c r="V2774" t="str">
        <f t="shared" si="321"/>
        <v>06</v>
      </c>
      <c r="W2774" t="str">
        <f t="shared" si="322"/>
        <v>06</v>
      </c>
      <c r="X2774" t="str">
        <f t="shared" si="323"/>
        <v>22</v>
      </c>
      <c r="Y2774" t="str">
        <f t="shared" si="325"/>
        <v>2022</v>
      </c>
      <c r="Z2774"/>
      <c r="AA2774" s="2">
        <f t="shared" si="326"/>
        <v>44718</v>
      </c>
      <c r="AB2774" t="str">
        <f t="shared" si="324"/>
        <v>06/06/2022</v>
      </c>
      <c r="AC2774"/>
    </row>
    <row r="2775" spans="21:29" ht="15">
      <c r="U2775" s="236" t="s">
        <v>10346</v>
      </c>
      <c r="V2775" t="str">
        <f t="shared" si="321"/>
        <v>06</v>
      </c>
      <c r="W2775" t="str">
        <f t="shared" si="322"/>
        <v>09</v>
      </c>
      <c r="X2775" t="str">
        <f t="shared" si="323"/>
        <v>22</v>
      </c>
      <c r="Y2775" t="str">
        <f t="shared" si="325"/>
        <v>2022</v>
      </c>
      <c r="Z2775"/>
      <c r="AA2775" s="2">
        <f t="shared" si="326"/>
        <v>44810</v>
      </c>
      <c r="AB2775" t="str">
        <f t="shared" si="324"/>
        <v>06/09/2022</v>
      </c>
      <c r="AC2775"/>
    </row>
    <row r="2776" spans="21:29" ht="15">
      <c r="U2776" s="236" t="s">
        <v>10347</v>
      </c>
      <c r="V2776" t="str">
        <f t="shared" si="321"/>
        <v>06</v>
      </c>
      <c r="W2776" t="str">
        <f t="shared" si="322"/>
        <v>10</v>
      </c>
      <c r="X2776" t="str">
        <f t="shared" si="323"/>
        <v>22</v>
      </c>
      <c r="Y2776" t="str">
        <f t="shared" si="325"/>
        <v>2022</v>
      </c>
      <c r="Z2776"/>
      <c r="AA2776" s="2">
        <f t="shared" si="326"/>
        <v>44840</v>
      </c>
      <c r="AB2776" t="str">
        <f t="shared" si="324"/>
        <v>06/10/2022</v>
      </c>
      <c r="AC2776"/>
    </row>
    <row r="2777" spans="21:29" ht="15">
      <c r="U2777" s="236" t="s">
        <v>10347</v>
      </c>
      <c r="V2777" t="str">
        <f t="shared" si="321"/>
        <v>06</v>
      </c>
      <c r="W2777" t="str">
        <f t="shared" si="322"/>
        <v>10</v>
      </c>
      <c r="X2777" t="str">
        <f t="shared" si="323"/>
        <v>22</v>
      </c>
      <c r="Y2777" t="str">
        <f t="shared" si="325"/>
        <v>2022</v>
      </c>
      <c r="Z2777"/>
      <c r="AA2777" s="2">
        <f t="shared" si="326"/>
        <v>44840</v>
      </c>
      <c r="AB2777" t="str">
        <f t="shared" si="324"/>
        <v>06/10/2022</v>
      </c>
      <c r="AC2777"/>
    </row>
    <row r="2778" spans="21:29" ht="15">
      <c r="U2778" s="236" t="s">
        <v>10348</v>
      </c>
      <c r="V2778" t="str">
        <f t="shared" si="321"/>
        <v>06</v>
      </c>
      <c r="W2778" t="str">
        <f t="shared" si="322"/>
        <v>13</v>
      </c>
      <c r="X2778" t="str">
        <f t="shared" si="323"/>
        <v>22</v>
      </c>
      <c r="Y2778" t="str">
        <f t="shared" si="325"/>
        <v>2022</v>
      </c>
      <c r="Z2778"/>
      <c r="AA2778" s="2">
        <f t="shared" si="326"/>
        <v>44932</v>
      </c>
      <c r="AB2778" t="str">
        <f t="shared" si="324"/>
        <v>06/13/2022</v>
      </c>
      <c r="AC2778"/>
    </row>
    <row r="2779" spans="21:29" ht="15">
      <c r="U2779" s="236" t="s">
        <v>10348</v>
      </c>
      <c r="V2779" t="str">
        <f t="shared" si="321"/>
        <v>06</v>
      </c>
      <c r="W2779" t="str">
        <f t="shared" si="322"/>
        <v>13</v>
      </c>
      <c r="X2779" t="str">
        <f t="shared" si="323"/>
        <v>22</v>
      </c>
      <c r="Y2779" t="str">
        <f t="shared" si="325"/>
        <v>2022</v>
      </c>
      <c r="Z2779"/>
      <c r="AA2779" s="2">
        <f t="shared" si="326"/>
        <v>44932</v>
      </c>
      <c r="AB2779" t="str">
        <f t="shared" si="324"/>
        <v>06/13/2022</v>
      </c>
      <c r="AC2779"/>
    </row>
    <row r="2780" spans="21:29" ht="15">
      <c r="U2780" s="236" t="s">
        <v>10349</v>
      </c>
      <c r="V2780" t="str">
        <f t="shared" ref="V2780:V2843" si="327">LEFT(AB2780,2)</f>
        <v>06</v>
      </c>
      <c r="W2780" t="str">
        <f t="shared" ref="W2780:W2843" si="328">MID(AB2780,4,2)</f>
        <v>15</v>
      </c>
      <c r="X2780" t="str">
        <f t="shared" ref="X2780:X2843" si="329">RIGHT(AB2780,2)</f>
        <v>22</v>
      </c>
      <c r="Y2780" t="str">
        <f t="shared" si="325"/>
        <v>2022</v>
      </c>
      <c r="Z2780"/>
      <c r="AA2780" s="2">
        <f t="shared" si="326"/>
        <v>44991</v>
      </c>
      <c r="AB2780" t="str">
        <f t="shared" ref="AB2780:AB2843" si="330">TEXT(U2780, "mm/dd/yyyy")</f>
        <v>06/15/2022</v>
      </c>
      <c r="AC2780"/>
    </row>
    <row r="2781" spans="21:29" ht="15">
      <c r="U2781" s="236" t="s">
        <v>10349</v>
      </c>
      <c r="V2781" t="str">
        <f t="shared" si="327"/>
        <v>06</v>
      </c>
      <c r="W2781" t="str">
        <f t="shared" si="328"/>
        <v>15</v>
      </c>
      <c r="X2781" t="str">
        <f t="shared" si="329"/>
        <v>22</v>
      </c>
      <c r="Y2781" t="str">
        <f t="shared" si="325"/>
        <v>2022</v>
      </c>
      <c r="Z2781"/>
      <c r="AA2781" s="2">
        <f t="shared" si="326"/>
        <v>44991</v>
      </c>
      <c r="AB2781" t="str">
        <f t="shared" si="330"/>
        <v>06/15/2022</v>
      </c>
      <c r="AC2781"/>
    </row>
    <row r="2782" spans="21:29" ht="15">
      <c r="U2782" s="236" t="s">
        <v>10349</v>
      </c>
      <c r="V2782" t="str">
        <f t="shared" si="327"/>
        <v>06</v>
      </c>
      <c r="W2782" t="str">
        <f t="shared" si="328"/>
        <v>15</v>
      </c>
      <c r="X2782" t="str">
        <f t="shared" si="329"/>
        <v>22</v>
      </c>
      <c r="Y2782" t="str">
        <f t="shared" si="325"/>
        <v>2022</v>
      </c>
      <c r="Z2782"/>
      <c r="AA2782" s="2">
        <f t="shared" si="326"/>
        <v>44991</v>
      </c>
      <c r="AB2782" t="str">
        <f t="shared" si="330"/>
        <v>06/15/2022</v>
      </c>
      <c r="AC2782"/>
    </row>
    <row r="2783" spans="21:29" ht="15">
      <c r="U2783" s="236" t="s">
        <v>10350</v>
      </c>
      <c r="V2783" t="str">
        <f t="shared" si="327"/>
        <v>06</v>
      </c>
      <c r="W2783" t="str">
        <f t="shared" si="328"/>
        <v>16</v>
      </c>
      <c r="X2783" t="str">
        <f t="shared" si="329"/>
        <v>22</v>
      </c>
      <c r="Y2783" t="str">
        <f t="shared" si="325"/>
        <v>2022</v>
      </c>
      <c r="Z2783"/>
      <c r="AA2783" s="2">
        <f t="shared" si="326"/>
        <v>45022</v>
      </c>
      <c r="AB2783" t="str">
        <f t="shared" si="330"/>
        <v>06/16/2022</v>
      </c>
      <c r="AC2783"/>
    </row>
    <row r="2784" spans="21:29" ht="15">
      <c r="U2784" s="236" t="s">
        <v>10351</v>
      </c>
      <c r="V2784" t="str">
        <f t="shared" si="327"/>
        <v>06</v>
      </c>
      <c r="W2784" t="str">
        <f t="shared" si="328"/>
        <v>17</v>
      </c>
      <c r="X2784" t="str">
        <f t="shared" si="329"/>
        <v>22</v>
      </c>
      <c r="Y2784" t="str">
        <f t="shared" si="325"/>
        <v>2022</v>
      </c>
      <c r="Z2784"/>
      <c r="AA2784" s="2">
        <f t="shared" si="326"/>
        <v>45052</v>
      </c>
      <c r="AB2784" t="str">
        <f t="shared" si="330"/>
        <v>06/17/2022</v>
      </c>
      <c r="AC2784"/>
    </row>
    <row r="2785" spans="21:29" ht="15">
      <c r="U2785" s="236" t="s">
        <v>10351</v>
      </c>
      <c r="V2785" t="str">
        <f t="shared" si="327"/>
        <v>06</v>
      </c>
      <c r="W2785" t="str">
        <f t="shared" si="328"/>
        <v>17</v>
      </c>
      <c r="X2785" t="str">
        <f t="shared" si="329"/>
        <v>22</v>
      </c>
      <c r="Y2785" t="str">
        <f t="shared" si="325"/>
        <v>2022</v>
      </c>
      <c r="Z2785"/>
      <c r="AA2785" s="2">
        <f t="shared" si="326"/>
        <v>45052</v>
      </c>
      <c r="AB2785" t="str">
        <f t="shared" si="330"/>
        <v>06/17/2022</v>
      </c>
      <c r="AC2785"/>
    </row>
    <row r="2786" spans="21:29" ht="15">
      <c r="U2786" s="236" t="s">
        <v>10352</v>
      </c>
      <c r="V2786" t="str">
        <f t="shared" si="327"/>
        <v>06</v>
      </c>
      <c r="W2786" t="str">
        <f t="shared" si="328"/>
        <v>18</v>
      </c>
      <c r="X2786" t="str">
        <f t="shared" si="329"/>
        <v>22</v>
      </c>
      <c r="Y2786" t="str">
        <f t="shared" si="325"/>
        <v>2022</v>
      </c>
      <c r="Z2786"/>
      <c r="AA2786" s="2">
        <f t="shared" si="326"/>
        <v>45083</v>
      </c>
      <c r="AB2786" t="str">
        <f t="shared" si="330"/>
        <v>06/18/2022</v>
      </c>
      <c r="AC2786"/>
    </row>
    <row r="2787" spans="21:29" ht="15">
      <c r="U2787" s="236" t="s">
        <v>10353</v>
      </c>
      <c r="V2787" t="str">
        <f t="shared" si="327"/>
        <v>06</v>
      </c>
      <c r="W2787" t="str">
        <f t="shared" si="328"/>
        <v>20</v>
      </c>
      <c r="X2787" t="str">
        <f t="shared" si="329"/>
        <v>22</v>
      </c>
      <c r="Y2787" t="str">
        <f t="shared" si="325"/>
        <v>2022</v>
      </c>
      <c r="Z2787"/>
      <c r="AA2787" s="2">
        <f t="shared" si="326"/>
        <v>45144</v>
      </c>
      <c r="AB2787" t="str">
        <f t="shared" si="330"/>
        <v>06/20/2022</v>
      </c>
      <c r="AC2787"/>
    </row>
    <row r="2788" spans="21:29" ht="15">
      <c r="U2788" s="236" t="s">
        <v>10353</v>
      </c>
      <c r="V2788" t="str">
        <f t="shared" si="327"/>
        <v>06</v>
      </c>
      <c r="W2788" t="str">
        <f t="shared" si="328"/>
        <v>20</v>
      </c>
      <c r="X2788" t="str">
        <f t="shared" si="329"/>
        <v>22</v>
      </c>
      <c r="Y2788" t="str">
        <f t="shared" si="325"/>
        <v>2022</v>
      </c>
      <c r="Z2788"/>
      <c r="AA2788" s="2">
        <f t="shared" si="326"/>
        <v>45144</v>
      </c>
      <c r="AB2788" t="str">
        <f t="shared" si="330"/>
        <v>06/20/2022</v>
      </c>
      <c r="AC2788"/>
    </row>
    <row r="2789" spans="21:29" ht="15">
      <c r="U2789" s="236" t="s">
        <v>9795</v>
      </c>
      <c r="V2789" t="str">
        <f t="shared" si="327"/>
        <v>06</v>
      </c>
      <c r="W2789" t="str">
        <f t="shared" si="328"/>
        <v>21</v>
      </c>
      <c r="X2789" t="str">
        <f t="shared" si="329"/>
        <v>22</v>
      </c>
      <c r="Y2789" t="str">
        <f t="shared" si="325"/>
        <v>2022</v>
      </c>
      <c r="Z2789"/>
      <c r="AA2789" s="2">
        <f t="shared" si="326"/>
        <v>45175</v>
      </c>
      <c r="AB2789" t="str">
        <f t="shared" si="330"/>
        <v>06/21/2022</v>
      </c>
      <c r="AC2789"/>
    </row>
    <row r="2790" spans="21:29" ht="15">
      <c r="U2790" s="236" t="s">
        <v>10354</v>
      </c>
      <c r="V2790" t="str">
        <f t="shared" si="327"/>
        <v>06</v>
      </c>
      <c r="W2790" t="str">
        <f t="shared" si="328"/>
        <v>24</v>
      </c>
      <c r="X2790" t="str">
        <f t="shared" si="329"/>
        <v>22</v>
      </c>
      <c r="Y2790" t="str">
        <f t="shared" si="325"/>
        <v>2022</v>
      </c>
      <c r="Z2790"/>
      <c r="AA2790" s="2">
        <f t="shared" si="326"/>
        <v>45266</v>
      </c>
      <c r="AB2790" t="str">
        <f t="shared" si="330"/>
        <v>06/24/2022</v>
      </c>
      <c r="AC2790"/>
    </row>
    <row r="2791" spans="21:29" ht="15">
      <c r="U2791" s="236" t="s">
        <v>10354</v>
      </c>
      <c r="V2791" t="str">
        <f t="shared" si="327"/>
        <v>06</v>
      </c>
      <c r="W2791" t="str">
        <f t="shared" si="328"/>
        <v>24</v>
      </c>
      <c r="X2791" t="str">
        <f t="shared" si="329"/>
        <v>22</v>
      </c>
      <c r="Y2791" t="str">
        <f t="shared" si="325"/>
        <v>2022</v>
      </c>
      <c r="Z2791"/>
      <c r="AA2791" s="2">
        <f t="shared" si="326"/>
        <v>45266</v>
      </c>
      <c r="AB2791" t="str">
        <f t="shared" si="330"/>
        <v>06/24/2022</v>
      </c>
      <c r="AC2791"/>
    </row>
    <row r="2792" spans="21:29" ht="15">
      <c r="U2792" s="236" t="s">
        <v>10354</v>
      </c>
      <c r="V2792" t="str">
        <f t="shared" si="327"/>
        <v>06</v>
      </c>
      <c r="W2792" t="str">
        <f t="shared" si="328"/>
        <v>24</v>
      </c>
      <c r="X2792" t="str">
        <f t="shared" si="329"/>
        <v>22</v>
      </c>
      <c r="Y2792" t="str">
        <f t="shared" si="325"/>
        <v>2022</v>
      </c>
      <c r="Z2792"/>
      <c r="AA2792" s="2">
        <f t="shared" si="326"/>
        <v>45266</v>
      </c>
      <c r="AB2792" t="str">
        <f t="shared" si="330"/>
        <v>06/24/2022</v>
      </c>
      <c r="AC2792"/>
    </row>
    <row r="2793" spans="21:29" ht="15">
      <c r="U2793" s="236" t="s">
        <v>10355</v>
      </c>
      <c r="V2793" t="str">
        <f t="shared" si="327"/>
        <v>06</v>
      </c>
      <c r="W2793" t="str">
        <f t="shared" si="328"/>
        <v>27</v>
      </c>
      <c r="X2793" t="str">
        <f t="shared" si="329"/>
        <v>22</v>
      </c>
      <c r="Y2793" t="str">
        <f t="shared" si="325"/>
        <v>2022</v>
      </c>
      <c r="Z2793"/>
      <c r="AA2793" s="2">
        <f t="shared" si="326"/>
        <v>45357</v>
      </c>
      <c r="AB2793" t="str">
        <f t="shared" si="330"/>
        <v>06/27/2022</v>
      </c>
      <c r="AC2793"/>
    </row>
    <row r="2794" spans="21:29" ht="15">
      <c r="U2794" s="236" t="s">
        <v>10355</v>
      </c>
      <c r="V2794" t="str">
        <f t="shared" si="327"/>
        <v>06</v>
      </c>
      <c r="W2794" t="str">
        <f t="shared" si="328"/>
        <v>27</v>
      </c>
      <c r="X2794" t="str">
        <f t="shared" si="329"/>
        <v>22</v>
      </c>
      <c r="Y2794" t="str">
        <f t="shared" si="325"/>
        <v>2022</v>
      </c>
      <c r="Z2794"/>
      <c r="AA2794" s="2">
        <f t="shared" si="326"/>
        <v>45357</v>
      </c>
      <c r="AB2794" t="str">
        <f t="shared" si="330"/>
        <v>06/27/2022</v>
      </c>
      <c r="AC2794"/>
    </row>
    <row r="2795" spans="21:29" ht="15">
      <c r="U2795" s="236" t="s">
        <v>9796</v>
      </c>
      <c r="V2795" t="str">
        <f t="shared" si="327"/>
        <v>06</v>
      </c>
      <c r="W2795" t="str">
        <f t="shared" si="328"/>
        <v>28</v>
      </c>
      <c r="X2795" t="str">
        <f t="shared" si="329"/>
        <v>22</v>
      </c>
      <c r="Y2795" t="str">
        <f t="shared" si="325"/>
        <v>2022</v>
      </c>
      <c r="Z2795"/>
      <c r="AA2795" s="2">
        <f t="shared" si="326"/>
        <v>45388</v>
      </c>
      <c r="AB2795" t="str">
        <f t="shared" si="330"/>
        <v>06/28/2022</v>
      </c>
      <c r="AC2795"/>
    </row>
    <row r="2796" spans="21:29" ht="15">
      <c r="U2796" s="236" t="s">
        <v>9796</v>
      </c>
      <c r="V2796" t="str">
        <f t="shared" si="327"/>
        <v>06</v>
      </c>
      <c r="W2796" t="str">
        <f t="shared" si="328"/>
        <v>28</v>
      </c>
      <c r="X2796" t="str">
        <f t="shared" si="329"/>
        <v>22</v>
      </c>
      <c r="Y2796" t="str">
        <f t="shared" si="325"/>
        <v>2022</v>
      </c>
      <c r="Z2796"/>
      <c r="AA2796" s="2">
        <f t="shared" si="326"/>
        <v>45388</v>
      </c>
      <c r="AB2796" t="str">
        <f t="shared" si="330"/>
        <v>06/28/2022</v>
      </c>
      <c r="AC2796"/>
    </row>
    <row r="2797" spans="21:29" ht="15">
      <c r="U2797" s="236" t="s">
        <v>9796</v>
      </c>
      <c r="V2797" t="str">
        <f t="shared" si="327"/>
        <v>06</v>
      </c>
      <c r="W2797" t="str">
        <f t="shared" si="328"/>
        <v>28</v>
      </c>
      <c r="X2797" t="str">
        <f t="shared" si="329"/>
        <v>22</v>
      </c>
      <c r="Y2797" t="str">
        <f t="shared" si="325"/>
        <v>2022</v>
      </c>
      <c r="Z2797"/>
      <c r="AA2797" s="2">
        <f t="shared" si="326"/>
        <v>45388</v>
      </c>
      <c r="AB2797" t="str">
        <f t="shared" si="330"/>
        <v>06/28/2022</v>
      </c>
      <c r="AC2797"/>
    </row>
    <row r="2798" spans="21:29" ht="15">
      <c r="U2798" s="236" t="s">
        <v>9797</v>
      </c>
      <c r="V2798" t="str">
        <f t="shared" si="327"/>
        <v>06</v>
      </c>
      <c r="W2798" t="str">
        <f t="shared" si="328"/>
        <v>30</v>
      </c>
      <c r="X2798" t="str">
        <f t="shared" si="329"/>
        <v>22</v>
      </c>
      <c r="Y2798" t="str">
        <f t="shared" si="325"/>
        <v>2022</v>
      </c>
      <c r="Z2798"/>
      <c r="AA2798" s="2">
        <f t="shared" si="326"/>
        <v>45449</v>
      </c>
      <c r="AB2798" t="str">
        <f t="shared" si="330"/>
        <v>06/30/2022</v>
      </c>
      <c r="AC2798"/>
    </row>
    <row r="2799" spans="21:29" ht="15">
      <c r="U2799" s="236" t="s">
        <v>9797</v>
      </c>
      <c r="V2799" t="str">
        <f t="shared" si="327"/>
        <v>06</v>
      </c>
      <c r="W2799" t="str">
        <f t="shared" si="328"/>
        <v>30</v>
      </c>
      <c r="X2799" t="str">
        <f t="shared" si="329"/>
        <v>22</v>
      </c>
      <c r="Y2799" t="str">
        <f t="shared" si="325"/>
        <v>2022</v>
      </c>
      <c r="Z2799"/>
      <c r="AA2799" s="2">
        <f t="shared" si="326"/>
        <v>45449</v>
      </c>
      <c r="AB2799" t="str">
        <f t="shared" si="330"/>
        <v>06/30/2022</v>
      </c>
      <c r="AC2799"/>
    </row>
    <row r="2800" spans="21:29" ht="15">
      <c r="U2800" s="236" t="s">
        <v>9797</v>
      </c>
      <c r="V2800" t="str">
        <f t="shared" si="327"/>
        <v>06</v>
      </c>
      <c r="W2800" t="str">
        <f t="shared" si="328"/>
        <v>30</v>
      </c>
      <c r="X2800" t="str">
        <f t="shared" si="329"/>
        <v>22</v>
      </c>
      <c r="Y2800" t="str">
        <f t="shared" si="325"/>
        <v>2022</v>
      </c>
      <c r="Z2800"/>
      <c r="AA2800" s="2">
        <f t="shared" si="326"/>
        <v>45449</v>
      </c>
      <c r="AB2800" t="str">
        <f t="shared" si="330"/>
        <v>06/30/2022</v>
      </c>
      <c r="AC2800"/>
    </row>
    <row r="2801" spans="21:29" ht="15">
      <c r="U2801" s="236" t="s">
        <v>9798</v>
      </c>
      <c r="V2801" t="str">
        <f t="shared" si="327"/>
        <v>07</v>
      </c>
      <c r="W2801" t="str">
        <f t="shared" si="328"/>
        <v>01</v>
      </c>
      <c r="X2801" t="str">
        <f t="shared" si="329"/>
        <v>22</v>
      </c>
      <c r="Y2801" t="str">
        <f t="shared" si="325"/>
        <v>2022</v>
      </c>
      <c r="Z2801"/>
      <c r="AA2801" s="2">
        <f t="shared" si="326"/>
        <v>44568</v>
      </c>
      <c r="AB2801" t="str">
        <f t="shared" si="330"/>
        <v>07/01/2022</v>
      </c>
      <c r="AC2801"/>
    </row>
    <row r="2802" spans="21:29" ht="15">
      <c r="U2802" s="236" t="s">
        <v>10356</v>
      </c>
      <c r="V2802" t="str">
        <f t="shared" si="327"/>
        <v>07</v>
      </c>
      <c r="W2802" t="str">
        <f t="shared" si="328"/>
        <v>02</v>
      </c>
      <c r="X2802" t="str">
        <f t="shared" si="329"/>
        <v>22</v>
      </c>
      <c r="Y2802" t="str">
        <f t="shared" si="325"/>
        <v>2022</v>
      </c>
      <c r="Z2802"/>
      <c r="AA2802" s="2">
        <f t="shared" si="326"/>
        <v>44599</v>
      </c>
      <c r="AB2802" t="str">
        <f t="shared" si="330"/>
        <v>07/02/2022</v>
      </c>
      <c r="AC2802"/>
    </row>
    <row r="2803" spans="21:29" ht="15">
      <c r="U2803" s="236" t="s">
        <v>10357</v>
      </c>
      <c r="V2803" t="str">
        <f t="shared" si="327"/>
        <v>07</v>
      </c>
      <c r="W2803" t="str">
        <f t="shared" si="328"/>
        <v>04</v>
      </c>
      <c r="X2803" t="str">
        <f t="shared" si="329"/>
        <v>22</v>
      </c>
      <c r="Y2803" t="str">
        <f t="shared" si="325"/>
        <v>2022</v>
      </c>
      <c r="Z2803"/>
      <c r="AA2803" s="2">
        <f t="shared" si="326"/>
        <v>44658</v>
      </c>
      <c r="AB2803" t="str">
        <f t="shared" si="330"/>
        <v>07/04/2022</v>
      </c>
      <c r="AC2803"/>
    </row>
    <row r="2804" spans="21:29" ht="15">
      <c r="U2804" s="236" t="s">
        <v>10357</v>
      </c>
      <c r="V2804" t="str">
        <f t="shared" si="327"/>
        <v>07</v>
      </c>
      <c r="W2804" t="str">
        <f t="shared" si="328"/>
        <v>04</v>
      </c>
      <c r="X2804" t="str">
        <f t="shared" si="329"/>
        <v>22</v>
      </c>
      <c r="Y2804" t="str">
        <f t="shared" si="325"/>
        <v>2022</v>
      </c>
      <c r="Z2804"/>
      <c r="AA2804" s="2">
        <f t="shared" si="326"/>
        <v>44658</v>
      </c>
      <c r="AB2804" t="str">
        <f t="shared" si="330"/>
        <v>07/04/2022</v>
      </c>
      <c r="AC2804"/>
    </row>
    <row r="2805" spans="21:29" ht="15">
      <c r="U2805" s="236" t="s">
        <v>10357</v>
      </c>
      <c r="V2805" t="str">
        <f t="shared" si="327"/>
        <v>07</v>
      </c>
      <c r="W2805" t="str">
        <f t="shared" si="328"/>
        <v>04</v>
      </c>
      <c r="X2805" t="str">
        <f t="shared" si="329"/>
        <v>22</v>
      </c>
      <c r="Y2805" t="str">
        <f t="shared" si="325"/>
        <v>2022</v>
      </c>
      <c r="Z2805"/>
      <c r="AA2805" s="2">
        <f t="shared" si="326"/>
        <v>44658</v>
      </c>
      <c r="AB2805" t="str">
        <f t="shared" si="330"/>
        <v>07/04/2022</v>
      </c>
      <c r="AC2805"/>
    </row>
    <row r="2806" spans="21:29" ht="15">
      <c r="U2806" s="236" t="s">
        <v>10357</v>
      </c>
      <c r="V2806" t="str">
        <f t="shared" si="327"/>
        <v>07</v>
      </c>
      <c r="W2806" t="str">
        <f t="shared" si="328"/>
        <v>04</v>
      </c>
      <c r="X2806" t="str">
        <f t="shared" si="329"/>
        <v>22</v>
      </c>
      <c r="Y2806" t="str">
        <f t="shared" si="325"/>
        <v>2022</v>
      </c>
      <c r="Z2806"/>
      <c r="AA2806" s="2">
        <f t="shared" si="326"/>
        <v>44658</v>
      </c>
      <c r="AB2806" t="str">
        <f t="shared" si="330"/>
        <v>07/04/2022</v>
      </c>
      <c r="AC2806"/>
    </row>
    <row r="2807" spans="21:29" ht="15">
      <c r="U2807" s="236" t="s">
        <v>10358</v>
      </c>
      <c r="V2807" t="str">
        <f t="shared" si="327"/>
        <v>07</v>
      </c>
      <c r="W2807" t="str">
        <f t="shared" si="328"/>
        <v>06</v>
      </c>
      <c r="X2807" t="str">
        <f t="shared" si="329"/>
        <v>22</v>
      </c>
      <c r="Y2807" t="str">
        <f t="shared" si="325"/>
        <v>2022</v>
      </c>
      <c r="Z2807"/>
      <c r="AA2807" s="2">
        <f t="shared" si="326"/>
        <v>44719</v>
      </c>
      <c r="AB2807" t="str">
        <f t="shared" si="330"/>
        <v>07/06/2022</v>
      </c>
      <c r="AC2807"/>
    </row>
    <row r="2808" spans="21:29" ht="15">
      <c r="U2808" s="236" t="s">
        <v>10359</v>
      </c>
      <c r="V2808" t="str">
        <f t="shared" si="327"/>
        <v>07</v>
      </c>
      <c r="W2808" t="str">
        <f t="shared" si="328"/>
        <v>11</v>
      </c>
      <c r="X2808" t="str">
        <f t="shared" si="329"/>
        <v>22</v>
      </c>
      <c r="Y2808" t="str">
        <f t="shared" si="325"/>
        <v>2022</v>
      </c>
      <c r="Z2808"/>
      <c r="AA2808" s="2">
        <f t="shared" si="326"/>
        <v>44872</v>
      </c>
      <c r="AB2808" t="str">
        <f t="shared" si="330"/>
        <v>07/11/2022</v>
      </c>
      <c r="AC2808"/>
    </row>
    <row r="2809" spans="21:29" ht="15">
      <c r="U2809" s="236" t="s">
        <v>10359</v>
      </c>
      <c r="V2809" t="str">
        <f t="shared" si="327"/>
        <v>07</v>
      </c>
      <c r="W2809" t="str">
        <f t="shared" si="328"/>
        <v>11</v>
      </c>
      <c r="X2809" t="str">
        <f t="shared" si="329"/>
        <v>22</v>
      </c>
      <c r="Y2809" t="str">
        <f t="shared" si="325"/>
        <v>2022</v>
      </c>
      <c r="Z2809"/>
      <c r="AA2809" s="2">
        <f t="shared" si="326"/>
        <v>44872</v>
      </c>
      <c r="AB2809" t="str">
        <f t="shared" si="330"/>
        <v>07/11/2022</v>
      </c>
      <c r="AC2809"/>
    </row>
    <row r="2810" spans="21:29" ht="15">
      <c r="U2810" s="236" t="s">
        <v>10360</v>
      </c>
      <c r="V2810" t="str">
        <f t="shared" si="327"/>
        <v>07</v>
      </c>
      <c r="W2810" t="str">
        <f t="shared" si="328"/>
        <v>13</v>
      </c>
      <c r="X2810" t="str">
        <f t="shared" si="329"/>
        <v>22</v>
      </c>
      <c r="Y2810" t="str">
        <f t="shared" si="325"/>
        <v>2022</v>
      </c>
      <c r="Z2810"/>
      <c r="AA2810" s="2">
        <f t="shared" si="326"/>
        <v>44933</v>
      </c>
      <c r="AB2810" t="str">
        <f t="shared" si="330"/>
        <v>07/13/2022</v>
      </c>
      <c r="AC2810"/>
    </row>
    <row r="2811" spans="21:29" ht="15">
      <c r="U2811" s="236" t="s">
        <v>10360</v>
      </c>
      <c r="V2811" t="str">
        <f t="shared" si="327"/>
        <v>07</v>
      </c>
      <c r="W2811" t="str">
        <f t="shared" si="328"/>
        <v>13</v>
      </c>
      <c r="X2811" t="str">
        <f t="shared" si="329"/>
        <v>22</v>
      </c>
      <c r="Y2811" t="str">
        <f t="shared" si="325"/>
        <v>2022</v>
      </c>
      <c r="Z2811"/>
      <c r="AA2811" s="2">
        <f t="shared" si="326"/>
        <v>44933</v>
      </c>
      <c r="AB2811" t="str">
        <f t="shared" si="330"/>
        <v>07/13/2022</v>
      </c>
      <c r="AC2811"/>
    </row>
    <row r="2812" spans="21:29" ht="15">
      <c r="U2812" s="236" t="s">
        <v>10360</v>
      </c>
      <c r="V2812" t="str">
        <f t="shared" si="327"/>
        <v>07</v>
      </c>
      <c r="W2812" t="str">
        <f t="shared" si="328"/>
        <v>13</v>
      </c>
      <c r="X2812" t="str">
        <f t="shared" si="329"/>
        <v>22</v>
      </c>
      <c r="Y2812" t="str">
        <f t="shared" si="325"/>
        <v>2022</v>
      </c>
      <c r="Z2812"/>
      <c r="AA2812" s="2">
        <f t="shared" si="326"/>
        <v>44933</v>
      </c>
      <c r="AB2812" t="str">
        <f t="shared" si="330"/>
        <v>07/13/2022</v>
      </c>
      <c r="AC2812"/>
    </row>
    <row r="2813" spans="21:29" ht="15">
      <c r="U2813" s="236" t="s">
        <v>10361</v>
      </c>
      <c r="V2813" t="str">
        <f t="shared" si="327"/>
        <v>07</v>
      </c>
      <c r="W2813" t="str">
        <f t="shared" si="328"/>
        <v>15</v>
      </c>
      <c r="X2813" t="str">
        <f t="shared" si="329"/>
        <v>22</v>
      </c>
      <c r="Y2813" t="str">
        <f t="shared" si="325"/>
        <v>2022</v>
      </c>
      <c r="Z2813"/>
      <c r="AA2813" s="2">
        <f t="shared" si="326"/>
        <v>44992</v>
      </c>
      <c r="AB2813" t="str">
        <f t="shared" si="330"/>
        <v>07/15/2022</v>
      </c>
      <c r="AC2813"/>
    </row>
    <row r="2814" spans="21:29" ht="15">
      <c r="U2814" s="236" t="s">
        <v>10362</v>
      </c>
      <c r="V2814" t="str">
        <f t="shared" si="327"/>
        <v>07</v>
      </c>
      <c r="W2814" t="str">
        <f t="shared" si="328"/>
        <v>16</v>
      </c>
      <c r="X2814" t="str">
        <f t="shared" si="329"/>
        <v>22</v>
      </c>
      <c r="Y2814" t="str">
        <f t="shared" si="325"/>
        <v>2022</v>
      </c>
      <c r="Z2814"/>
      <c r="AA2814" s="2">
        <f t="shared" si="326"/>
        <v>45023</v>
      </c>
      <c r="AB2814" t="str">
        <f t="shared" si="330"/>
        <v>07/16/2022</v>
      </c>
      <c r="AC2814"/>
    </row>
    <row r="2815" spans="21:29" ht="15">
      <c r="U2815" s="236" t="s">
        <v>10362</v>
      </c>
      <c r="V2815" t="str">
        <f t="shared" si="327"/>
        <v>07</v>
      </c>
      <c r="W2815" t="str">
        <f t="shared" si="328"/>
        <v>16</v>
      </c>
      <c r="X2815" t="str">
        <f t="shared" si="329"/>
        <v>22</v>
      </c>
      <c r="Y2815" t="str">
        <f t="shared" si="325"/>
        <v>2022</v>
      </c>
      <c r="Z2815"/>
      <c r="AA2815" s="2">
        <f t="shared" si="326"/>
        <v>45023</v>
      </c>
      <c r="AB2815" t="str">
        <f t="shared" si="330"/>
        <v>07/16/2022</v>
      </c>
      <c r="AC2815"/>
    </row>
    <row r="2816" spans="21:29" ht="15">
      <c r="U2816" s="236" t="s">
        <v>10363</v>
      </c>
      <c r="V2816" t="str">
        <f t="shared" si="327"/>
        <v>07</v>
      </c>
      <c r="W2816" t="str">
        <f t="shared" si="328"/>
        <v>18</v>
      </c>
      <c r="X2816" t="str">
        <f t="shared" si="329"/>
        <v>22</v>
      </c>
      <c r="Y2816" t="str">
        <f t="shared" si="325"/>
        <v>2022</v>
      </c>
      <c r="Z2816"/>
      <c r="AA2816" s="2">
        <f t="shared" si="326"/>
        <v>45084</v>
      </c>
      <c r="AB2816" t="str">
        <f t="shared" si="330"/>
        <v>07/18/2022</v>
      </c>
      <c r="AC2816"/>
    </row>
    <row r="2817" spans="21:29" ht="15">
      <c r="U2817" s="236" t="s">
        <v>9800</v>
      </c>
      <c r="V2817" t="str">
        <f t="shared" si="327"/>
        <v>07</v>
      </c>
      <c r="W2817" t="str">
        <f t="shared" si="328"/>
        <v>21</v>
      </c>
      <c r="X2817" t="str">
        <f t="shared" si="329"/>
        <v>22</v>
      </c>
      <c r="Y2817" t="str">
        <f t="shared" si="325"/>
        <v>2022</v>
      </c>
      <c r="Z2817"/>
      <c r="AA2817" s="2">
        <f t="shared" si="326"/>
        <v>45176</v>
      </c>
      <c r="AB2817" t="str">
        <f t="shared" si="330"/>
        <v>07/21/2022</v>
      </c>
      <c r="AC2817"/>
    </row>
    <row r="2818" spans="21:29" ht="15">
      <c r="U2818" s="236" t="s">
        <v>9800</v>
      </c>
      <c r="V2818" t="str">
        <f t="shared" si="327"/>
        <v>07</v>
      </c>
      <c r="W2818" t="str">
        <f t="shared" si="328"/>
        <v>21</v>
      </c>
      <c r="X2818" t="str">
        <f t="shared" si="329"/>
        <v>22</v>
      </c>
      <c r="Y2818" t="str">
        <f t="shared" si="325"/>
        <v>2022</v>
      </c>
      <c r="Z2818"/>
      <c r="AA2818" s="2">
        <f t="shared" si="326"/>
        <v>45176</v>
      </c>
      <c r="AB2818" t="str">
        <f t="shared" si="330"/>
        <v>07/21/2022</v>
      </c>
      <c r="AC2818"/>
    </row>
    <row r="2819" spans="21:29" ht="15">
      <c r="U2819" s="236" t="s">
        <v>9801</v>
      </c>
      <c r="V2819" t="str">
        <f t="shared" si="327"/>
        <v>07</v>
      </c>
      <c r="W2819" t="str">
        <f t="shared" si="328"/>
        <v>25</v>
      </c>
      <c r="X2819" t="str">
        <f t="shared" si="329"/>
        <v>22</v>
      </c>
      <c r="Y2819" t="str">
        <f t="shared" ref="Y2819:Y2882" si="331">"20" &amp; X2819</f>
        <v>2022</v>
      </c>
      <c r="Z2819"/>
      <c r="AA2819" s="2">
        <f t="shared" si="326"/>
        <v>45298</v>
      </c>
      <c r="AB2819" t="str">
        <f t="shared" si="330"/>
        <v>07/25/2022</v>
      </c>
      <c r="AC2819"/>
    </row>
    <row r="2820" spans="21:29" ht="15">
      <c r="U2820" s="236" t="s">
        <v>9801</v>
      </c>
      <c r="V2820" t="str">
        <f t="shared" si="327"/>
        <v>07</v>
      </c>
      <c r="W2820" t="str">
        <f t="shared" si="328"/>
        <v>25</v>
      </c>
      <c r="X2820" t="str">
        <f t="shared" si="329"/>
        <v>22</v>
      </c>
      <c r="Y2820" t="str">
        <f t="shared" si="331"/>
        <v>2022</v>
      </c>
      <c r="Z2820"/>
      <c r="AA2820" s="2">
        <f t="shared" si="326"/>
        <v>45298</v>
      </c>
      <c r="AB2820" t="str">
        <f t="shared" si="330"/>
        <v>07/25/2022</v>
      </c>
      <c r="AC2820"/>
    </row>
    <row r="2821" spans="21:29" ht="15">
      <c r="U2821" s="236" t="s">
        <v>9802</v>
      </c>
      <c r="V2821" t="str">
        <f t="shared" si="327"/>
        <v>07</v>
      </c>
      <c r="W2821" t="str">
        <f t="shared" si="328"/>
        <v>26</v>
      </c>
      <c r="X2821" t="str">
        <f t="shared" si="329"/>
        <v>22</v>
      </c>
      <c r="Y2821" t="str">
        <f t="shared" si="331"/>
        <v>2022</v>
      </c>
      <c r="Z2821"/>
      <c r="AA2821" s="2">
        <f t="shared" si="326"/>
        <v>45329</v>
      </c>
      <c r="AB2821" t="str">
        <f t="shared" si="330"/>
        <v>07/26/2022</v>
      </c>
      <c r="AC2821"/>
    </row>
    <row r="2822" spans="21:29" ht="15">
      <c r="U2822" s="236" t="s">
        <v>9802</v>
      </c>
      <c r="V2822" t="str">
        <f t="shared" si="327"/>
        <v>07</v>
      </c>
      <c r="W2822" t="str">
        <f t="shared" si="328"/>
        <v>26</v>
      </c>
      <c r="X2822" t="str">
        <f t="shared" si="329"/>
        <v>22</v>
      </c>
      <c r="Y2822" t="str">
        <f t="shared" si="331"/>
        <v>2022</v>
      </c>
      <c r="Z2822"/>
      <c r="AA2822" s="2">
        <f t="shared" si="326"/>
        <v>45329</v>
      </c>
      <c r="AB2822" t="str">
        <f t="shared" si="330"/>
        <v>07/26/2022</v>
      </c>
      <c r="AC2822"/>
    </row>
    <row r="2823" spans="21:29" ht="15">
      <c r="U2823" s="236" t="s">
        <v>9804</v>
      </c>
      <c r="V2823" t="str">
        <f t="shared" si="327"/>
        <v>07</v>
      </c>
      <c r="W2823" t="str">
        <f t="shared" si="328"/>
        <v>28</v>
      </c>
      <c r="X2823" t="str">
        <f t="shared" si="329"/>
        <v>22</v>
      </c>
      <c r="Y2823" t="str">
        <f t="shared" si="331"/>
        <v>2022</v>
      </c>
      <c r="Z2823"/>
      <c r="AA2823" s="2">
        <f t="shared" si="326"/>
        <v>45389</v>
      </c>
      <c r="AB2823" t="str">
        <f t="shared" si="330"/>
        <v>07/28/2022</v>
      </c>
      <c r="AC2823"/>
    </row>
    <row r="2824" spans="21:29" ht="15">
      <c r="U2824" s="236" t="s">
        <v>9804</v>
      </c>
      <c r="V2824" t="str">
        <f t="shared" si="327"/>
        <v>07</v>
      </c>
      <c r="W2824" t="str">
        <f t="shared" si="328"/>
        <v>28</v>
      </c>
      <c r="X2824" t="str">
        <f t="shared" si="329"/>
        <v>22</v>
      </c>
      <c r="Y2824" t="str">
        <f t="shared" si="331"/>
        <v>2022</v>
      </c>
      <c r="Z2824"/>
      <c r="AA2824" s="2">
        <f t="shared" ref="AA2824:AA2887" si="332">DATE(Y2824,W2824,V2824)</f>
        <v>45389</v>
      </c>
      <c r="AB2824" t="str">
        <f t="shared" si="330"/>
        <v>07/28/2022</v>
      </c>
      <c r="AC2824"/>
    </row>
    <row r="2825" spans="21:29" ht="15">
      <c r="U2825" s="236" t="s">
        <v>9804</v>
      </c>
      <c r="V2825" t="str">
        <f t="shared" si="327"/>
        <v>07</v>
      </c>
      <c r="W2825" t="str">
        <f t="shared" si="328"/>
        <v>28</v>
      </c>
      <c r="X2825" t="str">
        <f t="shared" si="329"/>
        <v>22</v>
      </c>
      <c r="Y2825" t="str">
        <f t="shared" si="331"/>
        <v>2022</v>
      </c>
      <c r="Z2825"/>
      <c r="AA2825" s="2">
        <f t="shared" si="332"/>
        <v>45389</v>
      </c>
      <c r="AB2825" t="str">
        <f t="shared" si="330"/>
        <v>07/28/2022</v>
      </c>
      <c r="AC2825"/>
    </row>
    <row r="2826" spans="21:29" ht="15">
      <c r="U2826" s="236" t="s">
        <v>10364</v>
      </c>
      <c r="V2826" t="str">
        <f t="shared" si="327"/>
        <v>07</v>
      </c>
      <c r="W2826" t="str">
        <f t="shared" si="328"/>
        <v>30</v>
      </c>
      <c r="X2826" t="str">
        <f t="shared" si="329"/>
        <v>22</v>
      </c>
      <c r="Y2826" t="str">
        <f t="shared" si="331"/>
        <v>2022</v>
      </c>
      <c r="Z2826"/>
      <c r="AA2826" s="2">
        <f t="shared" si="332"/>
        <v>45450</v>
      </c>
      <c r="AB2826" t="str">
        <f t="shared" si="330"/>
        <v>07/30/2022</v>
      </c>
      <c r="AC2826"/>
    </row>
    <row r="2827" spans="21:29" ht="15">
      <c r="U2827" s="236" t="s">
        <v>9805</v>
      </c>
      <c r="V2827" t="str">
        <f t="shared" si="327"/>
        <v>08</v>
      </c>
      <c r="W2827" t="str">
        <f t="shared" si="328"/>
        <v>01</v>
      </c>
      <c r="X2827" t="str">
        <f t="shared" si="329"/>
        <v>22</v>
      </c>
      <c r="Y2827" t="str">
        <f t="shared" si="331"/>
        <v>2022</v>
      </c>
      <c r="Z2827"/>
      <c r="AA2827" s="2">
        <f t="shared" si="332"/>
        <v>44569</v>
      </c>
      <c r="AB2827" t="str">
        <f t="shared" si="330"/>
        <v>08/01/2022</v>
      </c>
      <c r="AC2827"/>
    </row>
    <row r="2828" spans="21:29" ht="15">
      <c r="U2828" s="236" t="s">
        <v>9805</v>
      </c>
      <c r="V2828" t="str">
        <f t="shared" si="327"/>
        <v>08</v>
      </c>
      <c r="W2828" t="str">
        <f t="shared" si="328"/>
        <v>01</v>
      </c>
      <c r="X2828" t="str">
        <f t="shared" si="329"/>
        <v>22</v>
      </c>
      <c r="Y2828" t="str">
        <f t="shared" si="331"/>
        <v>2022</v>
      </c>
      <c r="Z2828"/>
      <c r="AA2828" s="2">
        <f t="shared" si="332"/>
        <v>44569</v>
      </c>
      <c r="AB2828" t="str">
        <f t="shared" si="330"/>
        <v>08/01/2022</v>
      </c>
      <c r="AC2828"/>
    </row>
    <row r="2829" spans="21:29" ht="15">
      <c r="U2829" s="236" t="s">
        <v>9805</v>
      </c>
      <c r="V2829" t="str">
        <f t="shared" si="327"/>
        <v>08</v>
      </c>
      <c r="W2829" t="str">
        <f t="shared" si="328"/>
        <v>01</v>
      </c>
      <c r="X2829" t="str">
        <f t="shared" si="329"/>
        <v>22</v>
      </c>
      <c r="Y2829" t="str">
        <f t="shared" si="331"/>
        <v>2022</v>
      </c>
      <c r="Z2829"/>
      <c r="AA2829" s="2">
        <f t="shared" si="332"/>
        <v>44569</v>
      </c>
      <c r="AB2829" t="str">
        <f t="shared" si="330"/>
        <v>08/01/2022</v>
      </c>
      <c r="AC2829"/>
    </row>
    <row r="2830" spans="21:29" ht="15">
      <c r="U2830" s="236" t="s">
        <v>9805</v>
      </c>
      <c r="V2830" t="str">
        <f t="shared" si="327"/>
        <v>08</v>
      </c>
      <c r="W2830" t="str">
        <f t="shared" si="328"/>
        <v>01</v>
      </c>
      <c r="X2830" t="str">
        <f t="shared" si="329"/>
        <v>22</v>
      </c>
      <c r="Y2830" t="str">
        <f t="shared" si="331"/>
        <v>2022</v>
      </c>
      <c r="Z2830"/>
      <c r="AA2830" s="2">
        <f t="shared" si="332"/>
        <v>44569</v>
      </c>
      <c r="AB2830" t="str">
        <f t="shared" si="330"/>
        <v>08/01/2022</v>
      </c>
      <c r="AC2830"/>
    </row>
    <row r="2831" spans="21:29" ht="15">
      <c r="U2831" s="236" t="s">
        <v>9805</v>
      </c>
      <c r="V2831" t="str">
        <f t="shared" si="327"/>
        <v>08</v>
      </c>
      <c r="W2831" t="str">
        <f t="shared" si="328"/>
        <v>01</v>
      </c>
      <c r="X2831" t="str">
        <f t="shared" si="329"/>
        <v>22</v>
      </c>
      <c r="Y2831" t="str">
        <f t="shared" si="331"/>
        <v>2022</v>
      </c>
      <c r="Z2831"/>
      <c r="AA2831" s="2">
        <f t="shared" si="332"/>
        <v>44569</v>
      </c>
      <c r="AB2831" t="str">
        <f t="shared" si="330"/>
        <v>08/01/2022</v>
      </c>
      <c r="AC2831"/>
    </row>
    <row r="2832" spans="21:29" ht="15">
      <c r="U2832" s="236" t="s">
        <v>10365</v>
      </c>
      <c r="V2832" t="str">
        <f t="shared" si="327"/>
        <v>08</v>
      </c>
      <c r="W2832" t="str">
        <f t="shared" si="328"/>
        <v>03</v>
      </c>
      <c r="X2832" t="str">
        <f t="shared" si="329"/>
        <v>22</v>
      </c>
      <c r="Y2832" t="str">
        <f t="shared" si="331"/>
        <v>2022</v>
      </c>
      <c r="Z2832"/>
      <c r="AA2832" s="2">
        <f t="shared" si="332"/>
        <v>44628</v>
      </c>
      <c r="AB2832" t="str">
        <f t="shared" si="330"/>
        <v>08/03/2022</v>
      </c>
      <c r="AC2832"/>
    </row>
    <row r="2833" spans="21:29" ht="15">
      <c r="U2833" s="236" t="s">
        <v>10366</v>
      </c>
      <c r="V2833" t="str">
        <f t="shared" si="327"/>
        <v>08</v>
      </c>
      <c r="W2833" t="str">
        <f t="shared" si="328"/>
        <v>04</v>
      </c>
      <c r="X2833" t="str">
        <f t="shared" si="329"/>
        <v>22</v>
      </c>
      <c r="Y2833" t="str">
        <f t="shared" si="331"/>
        <v>2022</v>
      </c>
      <c r="Z2833"/>
      <c r="AA2833" s="2">
        <f t="shared" si="332"/>
        <v>44659</v>
      </c>
      <c r="AB2833" t="str">
        <f t="shared" si="330"/>
        <v>08/04/2022</v>
      </c>
      <c r="AC2833"/>
    </row>
    <row r="2834" spans="21:29" ht="15">
      <c r="U2834" s="236" t="s">
        <v>10367</v>
      </c>
      <c r="V2834" t="str">
        <f t="shared" si="327"/>
        <v>08</v>
      </c>
      <c r="W2834" t="str">
        <f t="shared" si="328"/>
        <v>06</v>
      </c>
      <c r="X2834" t="str">
        <f t="shared" si="329"/>
        <v>22</v>
      </c>
      <c r="Y2834" t="str">
        <f t="shared" si="331"/>
        <v>2022</v>
      </c>
      <c r="Z2834"/>
      <c r="AA2834" s="2">
        <f t="shared" si="332"/>
        <v>44720</v>
      </c>
      <c r="AB2834" t="str">
        <f t="shared" si="330"/>
        <v>08/06/2022</v>
      </c>
      <c r="AC2834"/>
    </row>
    <row r="2835" spans="21:29" ht="15">
      <c r="U2835" s="236" t="s">
        <v>10367</v>
      </c>
      <c r="V2835" t="str">
        <f t="shared" si="327"/>
        <v>08</v>
      </c>
      <c r="W2835" t="str">
        <f t="shared" si="328"/>
        <v>06</v>
      </c>
      <c r="X2835" t="str">
        <f t="shared" si="329"/>
        <v>22</v>
      </c>
      <c r="Y2835" t="str">
        <f t="shared" si="331"/>
        <v>2022</v>
      </c>
      <c r="Z2835"/>
      <c r="AA2835" s="2">
        <f t="shared" si="332"/>
        <v>44720</v>
      </c>
      <c r="AB2835" t="str">
        <f t="shared" si="330"/>
        <v>08/06/2022</v>
      </c>
      <c r="AC2835"/>
    </row>
    <row r="2836" spans="21:29" ht="15">
      <c r="U2836" s="236" t="s">
        <v>9806</v>
      </c>
      <c r="V2836" t="str">
        <f t="shared" si="327"/>
        <v>08</v>
      </c>
      <c r="W2836" t="str">
        <f t="shared" si="328"/>
        <v>08</v>
      </c>
      <c r="X2836" t="str">
        <f t="shared" si="329"/>
        <v>22</v>
      </c>
      <c r="Y2836" t="str">
        <f t="shared" si="331"/>
        <v>2022</v>
      </c>
      <c r="Z2836"/>
      <c r="AA2836" s="2">
        <f t="shared" si="332"/>
        <v>44781</v>
      </c>
      <c r="AB2836" t="str">
        <f t="shared" si="330"/>
        <v>08/08/2022</v>
      </c>
      <c r="AC2836"/>
    </row>
    <row r="2837" spans="21:29" ht="15">
      <c r="U2837" s="236" t="s">
        <v>9806</v>
      </c>
      <c r="V2837" t="str">
        <f t="shared" si="327"/>
        <v>08</v>
      </c>
      <c r="W2837" t="str">
        <f t="shared" si="328"/>
        <v>08</v>
      </c>
      <c r="X2837" t="str">
        <f t="shared" si="329"/>
        <v>22</v>
      </c>
      <c r="Y2837" t="str">
        <f t="shared" si="331"/>
        <v>2022</v>
      </c>
      <c r="Z2837"/>
      <c r="AA2837" s="2">
        <f t="shared" si="332"/>
        <v>44781</v>
      </c>
      <c r="AB2837" t="str">
        <f t="shared" si="330"/>
        <v>08/08/2022</v>
      </c>
      <c r="AC2837"/>
    </row>
    <row r="2838" spans="21:29" ht="15">
      <c r="U2838" s="236" t="s">
        <v>10368</v>
      </c>
      <c r="V2838" t="str">
        <f t="shared" si="327"/>
        <v>08</v>
      </c>
      <c r="W2838" t="str">
        <f t="shared" si="328"/>
        <v>09</v>
      </c>
      <c r="X2838" t="str">
        <f t="shared" si="329"/>
        <v>22</v>
      </c>
      <c r="Y2838" t="str">
        <f t="shared" si="331"/>
        <v>2022</v>
      </c>
      <c r="Z2838"/>
      <c r="AA2838" s="2">
        <f t="shared" si="332"/>
        <v>44812</v>
      </c>
      <c r="AB2838" t="str">
        <f t="shared" si="330"/>
        <v>08/09/2022</v>
      </c>
      <c r="AC2838"/>
    </row>
    <row r="2839" spans="21:29" ht="15">
      <c r="U2839" s="236" t="s">
        <v>10368</v>
      </c>
      <c r="V2839" t="str">
        <f t="shared" si="327"/>
        <v>08</v>
      </c>
      <c r="W2839" t="str">
        <f t="shared" si="328"/>
        <v>09</v>
      </c>
      <c r="X2839" t="str">
        <f t="shared" si="329"/>
        <v>22</v>
      </c>
      <c r="Y2839" t="str">
        <f t="shared" si="331"/>
        <v>2022</v>
      </c>
      <c r="Z2839"/>
      <c r="AA2839" s="2">
        <f t="shared" si="332"/>
        <v>44812</v>
      </c>
      <c r="AB2839" t="str">
        <f t="shared" si="330"/>
        <v>08/09/2022</v>
      </c>
      <c r="AC2839"/>
    </row>
    <row r="2840" spans="21:29" ht="15">
      <c r="U2840" s="236" t="s">
        <v>10368</v>
      </c>
      <c r="V2840" t="str">
        <f t="shared" si="327"/>
        <v>08</v>
      </c>
      <c r="W2840" t="str">
        <f t="shared" si="328"/>
        <v>09</v>
      </c>
      <c r="X2840" t="str">
        <f t="shared" si="329"/>
        <v>22</v>
      </c>
      <c r="Y2840" t="str">
        <f t="shared" si="331"/>
        <v>2022</v>
      </c>
      <c r="Z2840"/>
      <c r="AA2840" s="2">
        <f t="shared" si="332"/>
        <v>44812</v>
      </c>
      <c r="AB2840" t="str">
        <f t="shared" si="330"/>
        <v>08/09/2022</v>
      </c>
      <c r="AC2840"/>
    </row>
    <row r="2841" spans="21:29" ht="15">
      <c r="U2841" s="236" t="s">
        <v>10369</v>
      </c>
      <c r="V2841" t="str">
        <f t="shared" si="327"/>
        <v>08</v>
      </c>
      <c r="W2841" t="str">
        <f t="shared" si="328"/>
        <v>11</v>
      </c>
      <c r="X2841" t="str">
        <f t="shared" si="329"/>
        <v>22</v>
      </c>
      <c r="Y2841" t="str">
        <f t="shared" si="331"/>
        <v>2022</v>
      </c>
      <c r="Z2841"/>
      <c r="AA2841" s="2">
        <f t="shared" si="332"/>
        <v>44873</v>
      </c>
      <c r="AB2841" t="str">
        <f t="shared" si="330"/>
        <v>08/11/2022</v>
      </c>
      <c r="AC2841"/>
    </row>
    <row r="2842" spans="21:29" ht="15">
      <c r="U2842" s="236" t="s">
        <v>10370</v>
      </c>
      <c r="V2842" t="str">
        <f t="shared" si="327"/>
        <v>08</v>
      </c>
      <c r="W2842" t="str">
        <f t="shared" si="328"/>
        <v>12</v>
      </c>
      <c r="X2842" t="str">
        <f t="shared" si="329"/>
        <v>22</v>
      </c>
      <c r="Y2842" t="str">
        <f t="shared" si="331"/>
        <v>2022</v>
      </c>
      <c r="Z2842"/>
      <c r="AA2842" s="2">
        <f t="shared" si="332"/>
        <v>44903</v>
      </c>
      <c r="AB2842" t="str">
        <f t="shared" si="330"/>
        <v>08/12/2022</v>
      </c>
      <c r="AC2842"/>
    </row>
    <row r="2843" spans="21:29" ht="15">
      <c r="U2843" s="236" t="s">
        <v>10371</v>
      </c>
      <c r="V2843" t="str">
        <f t="shared" si="327"/>
        <v>08</v>
      </c>
      <c r="W2843" t="str">
        <f t="shared" si="328"/>
        <v>16</v>
      </c>
      <c r="X2843" t="str">
        <f t="shared" si="329"/>
        <v>22</v>
      </c>
      <c r="Y2843" t="str">
        <f t="shared" si="331"/>
        <v>2022</v>
      </c>
      <c r="Z2843"/>
      <c r="AA2843" s="2">
        <f t="shared" si="332"/>
        <v>45024</v>
      </c>
      <c r="AB2843" t="str">
        <f t="shared" si="330"/>
        <v>08/16/2022</v>
      </c>
      <c r="AC2843"/>
    </row>
    <row r="2844" spans="21:29" ht="15">
      <c r="U2844" s="236" t="s">
        <v>10371</v>
      </c>
      <c r="V2844" t="str">
        <f t="shared" ref="V2844:V2907" si="333">LEFT(AB2844,2)</f>
        <v>08</v>
      </c>
      <c r="W2844" t="str">
        <f t="shared" ref="W2844:W2907" si="334">MID(AB2844,4,2)</f>
        <v>16</v>
      </c>
      <c r="X2844" t="str">
        <f t="shared" ref="X2844:X2907" si="335">RIGHT(AB2844,2)</f>
        <v>22</v>
      </c>
      <c r="Y2844" t="str">
        <f t="shared" si="331"/>
        <v>2022</v>
      </c>
      <c r="Z2844"/>
      <c r="AA2844" s="2">
        <f t="shared" si="332"/>
        <v>45024</v>
      </c>
      <c r="AB2844" t="str">
        <f t="shared" ref="AB2844:AB2907" si="336">TEXT(U2844, "mm/dd/yyyy")</f>
        <v>08/16/2022</v>
      </c>
      <c r="AC2844"/>
    </row>
    <row r="2845" spans="21:29" ht="15">
      <c r="U2845" s="236" t="s">
        <v>10371</v>
      </c>
      <c r="V2845" t="str">
        <f t="shared" si="333"/>
        <v>08</v>
      </c>
      <c r="W2845" t="str">
        <f t="shared" si="334"/>
        <v>16</v>
      </c>
      <c r="X2845" t="str">
        <f t="shared" si="335"/>
        <v>22</v>
      </c>
      <c r="Y2845" t="str">
        <f t="shared" si="331"/>
        <v>2022</v>
      </c>
      <c r="Z2845"/>
      <c r="AA2845" s="2">
        <f t="shared" si="332"/>
        <v>45024</v>
      </c>
      <c r="AB2845" t="str">
        <f t="shared" si="336"/>
        <v>08/16/2022</v>
      </c>
      <c r="AC2845"/>
    </row>
    <row r="2846" spans="21:29" ht="15">
      <c r="U2846" s="236" t="s">
        <v>10371</v>
      </c>
      <c r="V2846" t="str">
        <f t="shared" si="333"/>
        <v>08</v>
      </c>
      <c r="W2846" t="str">
        <f t="shared" si="334"/>
        <v>16</v>
      </c>
      <c r="X2846" t="str">
        <f t="shared" si="335"/>
        <v>22</v>
      </c>
      <c r="Y2846" t="str">
        <f t="shared" si="331"/>
        <v>2022</v>
      </c>
      <c r="Z2846"/>
      <c r="AA2846" s="2">
        <f t="shared" si="332"/>
        <v>45024</v>
      </c>
      <c r="AB2846" t="str">
        <f t="shared" si="336"/>
        <v>08/16/2022</v>
      </c>
      <c r="AC2846"/>
    </row>
    <row r="2847" spans="21:29" ht="15">
      <c r="U2847" s="236" t="s">
        <v>10371</v>
      </c>
      <c r="V2847" t="str">
        <f t="shared" si="333"/>
        <v>08</v>
      </c>
      <c r="W2847" t="str">
        <f t="shared" si="334"/>
        <v>16</v>
      </c>
      <c r="X2847" t="str">
        <f t="shared" si="335"/>
        <v>22</v>
      </c>
      <c r="Y2847" t="str">
        <f t="shared" si="331"/>
        <v>2022</v>
      </c>
      <c r="Z2847"/>
      <c r="AA2847" s="2">
        <f t="shared" si="332"/>
        <v>45024</v>
      </c>
      <c r="AB2847" t="str">
        <f t="shared" si="336"/>
        <v>08/16/2022</v>
      </c>
      <c r="AC2847"/>
    </row>
    <row r="2848" spans="21:29" ht="15">
      <c r="U2848" s="236" t="s">
        <v>10371</v>
      </c>
      <c r="V2848" t="str">
        <f t="shared" si="333"/>
        <v>08</v>
      </c>
      <c r="W2848" t="str">
        <f t="shared" si="334"/>
        <v>16</v>
      </c>
      <c r="X2848" t="str">
        <f t="shared" si="335"/>
        <v>22</v>
      </c>
      <c r="Y2848" t="str">
        <f t="shared" si="331"/>
        <v>2022</v>
      </c>
      <c r="Z2848"/>
      <c r="AA2848" s="2">
        <f t="shared" si="332"/>
        <v>45024</v>
      </c>
      <c r="AB2848" t="str">
        <f t="shared" si="336"/>
        <v>08/16/2022</v>
      </c>
      <c r="AC2848"/>
    </row>
    <row r="2849" spans="21:29" ht="15">
      <c r="U2849" s="236" t="s">
        <v>10371</v>
      </c>
      <c r="V2849" t="str">
        <f t="shared" si="333"/>
        <v>08</v>
      </c>
      <c r="W2849" t="str">
        <f t="shared" si="334"/>
        <v>16</v>
      </c>
      <c r="X2849" t="str">
        <f t="shared" si="335"/>
        <v>22</v>
      </c>
      <c r="Y2849" t="str">
        <f t="shared" si="331"/>
        <v>2022</v>
      </c>
      <c r="Z2849"/>
      <c r="AA2849" s="2">
        <f t="shared" si="332"/>
        <v>45024</v>
      </c>
      <c r="AB2849" t="str">
        <f t="shared" si="336"/>
        <v>08/16/2022</v>
      </c>
      <c r="AC2849"/>
    </row>
    <row r="2850" spans="21:29" ht="15">
      <c r="U2850" s="236" t="s">
        <v>10371</v>
      </c>
      <c r="V2850" t="str">
        <f t="shared" si="333"/>
        <v>08</v>
      </c>
      <c r="W2850" t="str">
        <f t="shared" si="334"/>
        <v>16</v>
      </c>
      <c r="X2850" t="str">
        <f t="shared" si="335"/>
        <v>22</v>
      </c>
      <c r="Y2850" t="str">
        <f t="shared" si="331"/>
        <v>2022</v>
      </c>
      <c r="Z2850"/>
      <c r="AA2850" s="2">
        <f t="shared" si="332"/>
        <v>45024</v>
      </c>
      <c r="AB2850" t="str">
        <f t="shared" si="336"/>
        <v>08/16/2022</v>
      </c>
      <c r="AC2850"/>
    </row>
    <row r="2851" spans="21:29" ht="15">
      <c r="U2851" s="236" t="s">
        <v>10371</v>
      </c>
      <c r="V2851" t="str">
        <f t="shared" si="333"/>
        <v>08</v>
      </c>
      <c r="W2851" t="str">
        <f t="shared" si="334"/>
        <v>16</v>
      </c>
      <c r="X2851" t="str">
        <f t="shared" si="335"/>
        <v>22</v>
      </c>
      <c r="Y2851" t="str">
        <f t="shared" si="331"/>
        <v>2022</v>
      </c>
      <c r="Z2851"/>
      <c r="AA2851" s="2">
        <f t="shared" si="332"/>
        <v>45024</v>
      </c>
      <c r="AB2851" t="str">
        <f t="shared" si="336"/>
        <v>08/16/2022</v>
      </c>
      <c r="AC2851"/>
    </row>
    <row r="2852" spans="21:29" ht="15">
      <c r="U2852" s="236" t="s">
        <v>10372</v>
      </c>
      <c r="V2852" t="str">
        <f t="shared" si="333"/>
        <v>08</v>
      </c>
      <c r="W2852" t="str">
        <f t="shared" si="334"/>
        <v>17</v>
      </c>
      <c r="X2852" t="str">
        <f t="shared" si="335"/>
        <v>22</v>
      </c>
      <c r="Y2852" t="str">
        <f t="shared" si="331"/>
        <v>2022</v>
      </c>
      <c r="Z2852"/>
      <c r="AA2852" s="2">
        <f t="shared" si="332"/>
        <v>45054</v>
      </c>
      <c r="AB2852" t="str">
        <f t="shared" si="336"/>
        <v>08/17/2022</v>
      </c>
      <c r="AC2852"/>
    </row>
    <row r="2853" spans="21:29" ht="15">
      <c r="U2853" s="236" t="s">
        <v>10373</v>
      </c>
      <c r="V2853" t="str">
        <f t="shared" si="333"/>
        <v>08</v>
      </c>
      <c r="W2853" t="str">
        <f t="shared" si="334"/>
        <v>18</v>
      </c>
      <c r="X2853" t="str">
        <f t="shared" si="335"/>
        <v>22</v>
      </c>
      <c r="Y2853" t="str">
        <f t="shared" si="331"/>
        <v>2022</v>
      </c>
      <c r="Z2853"/>
      <c r="AA2853" s="2">
        <f t="shared" si="332"/>
        <v>45085</v>
      </c>
      <c r="AB2853" t="str">
        <f t="shared" si="336"/>
        <v>08/18/2022</v>
      </c>
      <c r="AC2853"/>
    </row>
    <row r="2854" spans="21:29" ht="15">
      <c r="U2854" s="236" t="s">
        <v>10374</v>
      </c>
      <c r="V2854" t="str">
        <f t="shared" si="333"/>
        <v>08</v>
      </c>
      <c r="W2854" t="str">
        <f t="shared" si="334"/>
        <v>20</v>
      </c>
      <c r="X2854" t="str">
        <f t="shared" si="335"/>
        <v>22</v>
      </c>
      <c r="Y2854" t="str">
        <f t="shared" si="331"/>
        <v>2022</v>
      </c>
      <c r="Z2854"/>
      <c r="AA2854" s="2">
        <f t="shared" si="332"/>
        <v>45146</v>
      </c>
      <c r="AB2854" t="str">
        <f t="shared" si="336"/>
        <v>08/20/2022</v>
      </c>
      <c r="AC2854"/>
    </row>
    <row r="2855" spans="21:29" ht="15">
      <c r="U2855" s="236" t="s">
        <v>10374</v>
      </c>
      <c r="V2855" t="str">
        <f t="shared" si="333"/>
        <v>08</v>
      </c>
      <c r="W2855" t="str">
        <f t="shared" si="334"/>
        <v>20</v>
      </c>
      <c r="X2855" t="str">
        <f t="shared" si="335"/>
        <v>22</v>
      </c>
      <c r="Y2855" t="str">
        <f t="shared" si="331"/>
        <v>2022</v>
      </c>
      <c r="Z2855"/>
      <c r="AA2855" s="2">
        <f t="shared" si="332"/>
        <v>45146</v>
      </c>
      <c r="AB2855" t="str">
        <f t="shared" si="336"/>
        <v>08/20/2022</v>
      </c>
      <c r="AC2855"/>
    </row>
    <row r="2856" spans="21:29" ht="15">
      <c r="U2856" s="236" t="s">
        <v>10374</v>
      </c>
      <c r="V2856" t="str">
        <f t="shared" si="333"/>
        <v>08</v>
      </c>
      <c r="W2856" t="str">
        <f t="shared" si="334"/>
        <v>20</v>
      </c>
      <c r="X2856" t="str">
        <f t="shared" si="335"/>
        <v>22</v>
      </c>
      <c r="Y2856" t="str">
        <f t="shared" si="331"/>
        <v>2022</v>
      </c>
      <c r="Z2856"/>
      <c r="AA2856" s="2">
        <f t="shared" si="332"/>
        <v>45146</v>
      </c>
      <c r="AB2856" t="str">
        <f t="shared" si="336"/>
        <v>08/20/2022</v>
      </c>
      <c r="AC2856"/>
    </row>
    <row r="2857" spans="21:29" ht="15">
      <c r="U2857" s="236" t="s">
        <v>9807</v>
      </c>
      <c r="V2857" t="str">
        <f t="shared" si="333"/>
        <v>08</v>
      </c>
      <c r="W2857" t="str">
        <f t="shared" si="334"/>
        <v>22</v>
      </c>
      <c r="X2857" t="str">
        <f t="shared" si="335"/>
        <v>22</v>
      </c>
      <c r="Y2857" t="str">
        <f t="shared" si="331"/>
        <v>2022</v>
      </c>
      <c r="Z2857"/>
      <c r="AA2857" s="2">
        <f t="shared" si="332"/>
        <v>45207</v>
      </c>
      <c r="AB2857" t="str">
        <f t="shared" si="336"/>
        <v>08/22/2022</v>
      </c>
      <c r="AC2857"/>
    </row>
    <row r="2858" spans="21:29" ht="15">
      <c r="U2858" s="236" t="s">
        <v>9807</v>
      </c>
      <c r="V2858" t="str">
        <f t="shared" si="333"/>
        <v>08</v>
      </c>
      <c r="W2858" t="str">
        <f t="shared" si="334"/>
        <v>22</v>
      </c>
      <c r="X2858" t="str">
        <f t="shared" si="335"/>
        <v>22</v>
      </c>
      <c r="Y2858" t="str">
        <f t="shared" si="331"/>
        <v>2022</v>
      </c>
      <c r="Z2858"/>
      <c r="AA2858" s="2">
        <f t="shared" si="332"/>
        <v>45207</v>
      </c>
      <c r="AB2858" t="str">
        <f t="shared" si="336"/>
        <v>08/22/2022</v>
      </c>
      <c r="AC2858"/>
    </row>
    <row r="2859" spans="21:29" ht="15">
      <c r="U2859" s="236" t="s">
        <v>9807</v>
      </c>
      <c r="V2859" t="str">
        <f t="shared" si="333"/>
        <v>08</v>
      </c>
      <c r="W2859" t="str">
        <f t="shared" si="334"/>
        <v>22</v>
      </c>
      <c r="X2859" t="str">
        <f t="shared" si="335"/>
        <v>22</v>
      </c>
      <c r="Y2859" t="str">
        <f t="shared" si="331"/>
        <v>2022</v>
      </c>
      <c r="Z2859"/>
      <c r="AA2859" s="2">
        <f t="shared" si="332"/>
        <v>45207</v>
      </c>
      <c r="AB2859" t="str">
        <f t="shared" si="336"/>
        <v>08/22/2022</v>
      </c>
      <c r="AC2859"/>
    </row>
    <row r="2860" spans="21:29" ht="15">
      <c r="U2860" s="236" t="s">
        <v>10375</v>
      </c>
      <c r="V2860" t="str">
        <f t="shared" si="333"/>
        <v>08</v>
      </c>
      <c r="W2860" t="str">
        <f t="shared" si="334"/>
        <v>26</v>
      </c>
      <c r="X2860" t="str">
        <f t="shared" si="335"/>
        <v>22</v>
      </c>
      <c r="Y2860" t="str">
        <f t="shared" si="331"/>
        <v>2022</v>
      </c>
      <c r="Z2860"/>
      <c r="AA2860" s="2">
        <f t="shared" si="332"/>
        <v>45330</v>
      </c>
      <c r="AB2860" t="str">
        <f t="shared" si="336"/>
        <v>08/26/2022</v>
      </c>
      <c r="AC2860"/>
    </row>
    <row r="2861" spans="21:29" ht="15">
      <c r="U2861" s="236" t="s">
        <v>9808</v>
      </c>
      <c r="V2861" t="str">
        <f t="shared" si="333"/>
        <v>08</v>
      </c>
      <c r="W2861" t="str">
        <f t="shared" si="334"/>
        <v>29</v>
      </c>
      <c r="X2861" t="str">
        <f t="shared" si="335"/>
        <v>22</v>
      </c>
      <c r="Y2861" t="str">
        <f t="shared" si="331"/>
        <v>2022</v>
      </c>
      <c r="Z2861"/>
      <c r="AA2861" s="2">
        <f t="shared" si="332"/>
        <v>45420</v>
      </c>
      <c r="AB2861" t="str">
        <f t="shared" si="336"/>
        <v>08/29/2022</v>
      </c>
      <c r="AC2861"/>
    </row>
    <row r="2862" spans="21:29" ht="15">
      <c r="U2862" s="236" t="s">
        <v>9808</v>
      </c>
      <c r="V2862" t="str">
        <f t="shared" si="333"/>
        <v>08</v>
      </c>
      <c r="W2862" t="str">
        <f t="shared" si="334"/>
        <v>29</v>
      </c>
      <c r="X2862" t="str">
        <f t="shared" si="335"/>
        <v>22</v>
      </c>
      <c r="Y2862" t="str">
        <f t="shared" si="331"/>
        <v>2022</v>
      </c>
      <c r="Z2862"/>
      <c r="AA2862" s="2">
        <f t="shared" si="332"/>
        <v>45420</v>
      </c>
      <c r="AB2862" t="str">
        <f t="shared" si="336"/>
        <v>08/29/2022</v>
      </c>
      <c r="AC2862"/>
    </row>
    <row r="2863" spans="21:29" ht="15">
      <c r="U2863" s="236" t="s">
        <v>9808</v>
      </c>
      <c r="V2863" t="str">
        <f t="shared" si="333"/>
        <v>08</v>
      </c>
      <c r="W2863" t="str">
        <f t="shared" si="334"/>
        <v>29</v>
      </c>
      <c r="X2863" t="str">
        <f t="shared" si="335"/>
        <v>22</v>
      </c>
      <c r="Y2863" t="str">
        <f t="shared" si="331"/>
        <v>2022</v>
      </c>
      <c r="Z2863"/>
      <c r="AA2863" s="2">
        <f t="shared" si="332"/>
        <v>45420</v>
      </c>
      <c r="AB2863" t="str">
        <f t="shared" si="336"/>
        <v>08/29/2022</v>
      </c>
      <c r="AC2863"/>
    </row>
    <row r="2864" spans="21:29" ht="15">
      <c r="U2864" s="236" t="s">
        <v>9808</v>
      </c>
      <c r="V2864" t="str">
        <f t="shared" si="333"/>
        <v>08</v>
      </c>
      <c r="W2864" t="str">
        <f t="shared" si="334"/>
        <v>29</v>
      </c>
      <c r="X2864" t="str">
        <f t="shared" si="335"/>
        <v>22</v>
      </c>
      <c r="Y2864" t="str">
        <f t="shared" si="331"/>
        <v>2022</v>
      </c>
      <c r="Z2864"/>
      <c r="AA2864" s="2">
        <f t="shared" si="332"/>
        <v>45420</v>
      </c>
      <c r="AB2864" t="str">
        <f t="shared" si="336"/>
        <v>08/29/2022</v>
      </c>
      <c r="AC2864"/>
    </row>
    <row r="2865" spans="21:29" ht="15">
      <c r="U2865" s="236" t="s">
        <v>10376</v>
      </c>
      <c r="V2865" t="str">
        <f t="shared" si="333"/>
        <v>08</v>
      </c>
      <c r="W2865" t="str">
        <f t="shared" si="334"/>
        <v>30</v>
      </c>
      <c r="X2865" t="str">
        <f t="shared" si="335"/>
        <v>22</v>
      </c>
      <c r="Y2865" t="str">
        <f t="shared" si="331"/>
        <v>2022</v>
      </c>
      <c r="Z2865"/>
      <c r="AA2865" s="2">
        <f t="shared" si="332"/>
        <v>45451</v>
      </c>
      <c r="AB2865" t="str">
        <f t="shared" si="336"/>
        <v>08/30/2022</v>
      </c>
      <c r="AC2865"/>
    </row>
    <row r="2866" spans="21:29" ht="15">
      <c r="U2866" s="236" t="s">
        <v>10376</v>
      </c>
      <c r="V2866" t="str">
        <f t="shared" si="333"/>
        <v>08</v>
      </c>
      <c r="W2866" t="str">
        <f t="shared" si="334"/>
        <v>30</v>
      </c>
      <c r="X2866" t="str">
        <f t="shared" si="335"/>
        <v>22</v>
      </c>
      <c r="Y2866" t="str">
        <f t="shared" si="331"/>
        <v>2022</v>
      </c>
      <c r="Z2866"/>
      <c r="AA2866" s="2">
        <f t="shared" si="332"/>
        <v>45451</v>
      </c>
      <c r="AB2866" t="str">
        <f t="shared" si="336"/>
        <v>08/30/2022</v>
      </c>
      <c r="AC2866"/>
    </row>
    <row r="2867" spans="21:29" ht="15">
      <c r="U2867" s="236" t="s">
        <v>10377</v>
      </c>
      <c r="V2867" t="str">
        <f t="shared" si="333"/>
        <v>08</v>
      </c>
      <c r="W2867" t="str">
        <f t="shared" si="334"/>
        <v>31</v>
      </c>
      <c r="X2867" t="str">
        <f t="shared" si="335"/>
        <v>22</v>
      </c>
      <c r="Y2867" t="str">
        <f t="shared" si="331"/>
        <v>2022</v>
      </c>
      <c r="Z2867"/>
      <c r="AA2867" s="2">
        <f t="shared" si="332"/>
        <v>45481</v>
      </c>
      <c r="AB2867" t="str">
        <f t="shared" si="336"/>
        <v>08/31/2022</v>
      </c>
      <c r="AC2867"/>
    </row>
    <row r="2868" spans="21:29" ht="15">
      <c r="U2868" s="236" t="s">
        <v>9809</v>
      </c>
      <c r="V2868" t="str">
        <f t="shared" si="333"/>
        <v>09</v>
      </c>
      <c r="W2868" t="str">
        <f t="shared" si="334"/>
        <v>01</v>
      </c>
      <c r="X2868" t="str">
        <f t="shared" si="335"/>
        <v>22</v>
      </c>
      <c r="Y2868" t="str">
        <f t="shared" si="331"/>
        <v>2022</v>
      </c>
      <c r="Z2868"/>
      <c r="AA2868" s="2">
        <f t="shared" si="332"/>
        <v>44570</v>
      </c>
      <c r="AB2868" t="str">
        <f t="shared" si="336"/>
        <v>09/01/2022</v>
      </c>
      <c r="AC2868"/>
    </row>
    <row r="2869" spans="21:29" ht="15">
      <c r="U2869" s="236" t="s">
        <v>9809</v>
      </c>
      <c r="V2869" t="str">
        <f t="shared" si="333"/>
        <v>09</v>
      </c>
      <c r="W2869" t="str">
        <f t="shared" si="334"/>
        <v>01</v>
      </c>
      <c r="X2869" t="str">
        <f t="shared" si="335"/>
        <v>22</v>
      </c>
      <c r="Y2869" t="str">
        <f t="shared" si="331"/>
        <v>2022</v>
      </c>
      <c r="Z2869"/>
      <c r="AA2869" s="2">
        <f t="shared" si="332"/>
        <v>44570</v>
      </c>
      <c r="AB2869" t="str">
        <f t="shared" si="336"/>
        <v>09/01/2022</v>
      </c>
      <c r="AC2869"/>
    </row>
    <row r="2870" spans="21:29" ht="15">
      <c r="U2870" s="236" t="s">
        <v>10378</v>
      </c>
      <c r="V2870" t="str">
        <f t="shared" si="333"/>
        <v>09</v>
      </c>
      <c r="W2870" t="str">
        <f t="shared" si="334"/>
        <v>03</v>
      </c>
      <c r="X2870" t="str">
        <f t="shared" si="335"/>
        <v>22</v>
      </c>
      <c r="Y2870" t="str">
        <f t="shared" si="331"/>
        <v>2022</v>
      </c>
      <c r="Z2870"/>
      <c r="AA2870" s="2">
        <f t="shared" si="332"/>
        <v>44629</v>
      </c>
      <c r="AB2870" t="str">
        <f t="shared" si="336"/>
        <v>09/03/2022</v>
      </c>
      <c r="AC2870"/>
    </row>
    <row r="2871" spans="21:29" ht="15">
      <c r="U2871" s="236" t="s">
        <v>10379</v>
      </c>
      <c r="V2871" t="str">
        <f t="shared" si="333"/>
        <v>09</v>
      </c>
      <c r="W2871" t="str">
        <f t="shared" si="334"/>
        <v>05</v>
      </c>
      <c r="X2871" t="str">
        <f t="shared" si="335"/>
        <v>22</v>
      </c>
      <c r="Y2871" t="str">
        <f t="shared" si="331"/>
        <v>2022</v>
      </c>
      <c r="Z2871"/>
      <c r="AA2871" s="2">
        <f t="shared" si="332"/>
        <v>44690</v>
      </c>
      <c r="AB2871" t="str">
        <f t="shared" si="336"/>
        <v>09/05/2022</v>
      </c>
      <c r="AC2871"/>
    </row>
    <row r="2872" spans="21:29" ht="15">
      <c r="U2872" s="236" t="s">
        <v>10379</v>
      </c>
      <c r="V2872" t="str">
        <f t="shared" si="333"/>
        <v>09</v>
      </c>
      <c r="W2872" t="str">
        <f t="shared" si="334"/>
        <v>05</v>
      </c>
      <c r="X2872" t="str">
        <f t="shared" si="335"/>
        <v>22</v>
      </c>
      <c r="Y2872" t="str">
        <f t="shared" si="331"/>
        <v>2022</v>
      </c>
      <c r="Z2872"/>
      <c r="AA2872" s="2">
        <f t="shared" si="332"/>
        <v>44690</v>
      </c>
      <c r="AB2872" t="str">
        <f t="shared" si="336"/>
        <v>09/05/2022</v>
      </c>
      <c r="AC2872"/>
    </row>
    <row r="2873" spans="21:29" ht="15">
      <c r="U2873" s="236" t="s">
        <v>10379</v>
      </c>
      <c r="V2873" t="str">
        <f t="shared" si="333"/>
        <v>09</v>
      </c>
      <c r="W2873" t="str">
        <f t="shared" si="334"/>
        <v>05</v>
      </c>
      <c r="X2873" t="str">
        <f t="shared" si="335"/>
        <v>22</v>
      </c>
      <c r="Y2873" t="str">
        <f t="shared" si="331"/>
        <v>2022</v>
      </c>
      <c r="Z2873"/>
      <c r="AA2873" s="2">
        <f t="shared" si="332"/>
        <v>44690</v>
      </c>
      <c r="AB2873" t="str">
        <f t="shared" si="336"/>
        <v>09/05/2022</v>
      </c>
      <c r="AC2873"/>
    </row>
    <row r="2874" spans="21:29" ht="15">
      <c r="U2874" s="236" t="s">
        <v>10379</v>
      </c>
      <c r="V2874" t="str">
        <f t="shared" si="333"/>
        <v>09</v>
      </c>
      <c r="W2874" t="str">
        <f t="shared" si="334"/>
        <v>05</v>
      </c>
      <c r="X2874" t="str">
        <f t="shared" si="335"/>
        <v>22</v>
      </c>
      <c r="Y2874" t="str">
        <f t="shared" si="331"/>
        <v>2022</v>
      </c>
      <c r="Z2874"/>
      <c r="AA2874" s="2">
        <f t="shared" si="332"/>
        <v>44690</v>
      </c>
      <c r="AB2874" t="str">
        <f t="shared" si="336"/>
        <v>09/05/2022</v>
      </c>
      <c r="AC2874"/>
    </row>
    <row r="2875" spans="21:29" ht="15">
      <c r="U2875" s="236" t="s">
        <v>10379</v>
      </c>
      <c r="V2875" t="str">
        <f t="shared" si="333"/>
        <v>09</v>
      </c>
      <c r="W2875" t="str">
        <f t="shared" si="334"/>
        <v>05</v>
      </c>
      <c r="X2875" t="str">
        <f t="shared" si="335"/>
        <v>22</v>
      </c>
      <c r="Y2875" t="str">
        <f t="shared" si="331"/>
        <v>2022</v>
      </c>
      <c r="Z2875"/>
      <c r="AA2875" s="2">
        <f t="shared" si="332"/>
        <v>44690</v>
      </c>
      <c r="AB2875" t="str">
        <f t="shared" si="336"/>
        <v>09/05/2022</v>
      </c>
      <c r="AC2875"/>
    </row>
    <row r="2876" spans="21:29" ht="15">
      <c r="U2876" s="236" t="s">
        <v>10379</v>
      </c>
      <c r="V2876" t="str">
        <f t="shared" si="333"/>
        <v>09</v>
      </c>
      <c r="W2876" t="str">
        <f t="shared" si="334"/>
        <v>05</v>
      </c>
      <c r="X2876" t="str">
        <f t="shared" si="335"/>
        <v>22</v>
      </c>
      <c r="Y2876" t="str">
        <f t="shared" si="331"/>
        <v>2022</v>
      </c>
      <c r="Z2876"/>
      <c r="AA2876" s="2">
        <f t="shared" si="332"/>
        <v>44690</v>
      </c>
      <c r="AB2876" t="str">
        <f t="shared" si="336"/>
        <v>09/05/2022</v>
      </c>
      <c r="AC2876"/>
    </row>
    <row r="2877" spans="21:29" ht="15">
      <c r="U2877" s="236" t="s">
        <v>10379</v>
      </c>
      <c r="V2877" t="str">
        <f t="shared" si="333"/>
        <v>09</v>
      </c>
      <c r="W2877" t="str">
        <f t="shared" si="334"/>
        <v>05</v>
      </c>
      <c r="X2877" t="str">
        <f t="shared" si="335"/>
        <v>22</v>
      </c>
      <c r="Y2877" t="str">
        <f t="shared" si="331"/>
        <v>2022</v>
      </c>
      <c r="Z2877"/>
      <c r="AA2877" s="2">
        <f t="shared" si="332"/>
        <v>44690</v>
      </c>
      <c r="AB2877" t="str">
        <f t="shared" si="336"/>
        <v>09/05/2022</v>
      </c>
      <c r="AC2877"/>
    </row>
    <row r="2878" spans="21:29" ht="15">
      <c r="U2878" s="236" t="s">
        <v>10380</v>
      </c>
      <c r="V2878" t="str">
        <f t="shared" si="333"/>
        <v>09</v>
      </c>
      <c r="W2878" t="str">
        <f t="shared" si="334"/>
        <v>06</v>
      </c>
      <c r="X2878" t="str">
        <f t="shared" si="335"/>
        <v>22</v>
      </c>
      <c r="Y2878" t="str">
        <f t="shared" si="331"/>
        <v>2022</v>
      </c>
      <c r="Z2878"/>
      <c r="AA2878" s="2">
        <f t="shared" si="332"/>
        <v>44721</v>
      </c>
      <c r="AB2878" t="str">
        <f t="shared" si="336"/>
        <v>09/06/2022</v>
      </c>
      <c r="AC2878"/>
    </row>
    <row r="2879" spans="21:29" ht="15">
      <c r="U2879" s="236" t="s">
        <v>9810</v>
      </c>
      <c r="V2879" t="str">
        <f t="shared" si="333"/>
        <v>09</v>
      </c>
      <c r="W2879" t="str">
        <f t="shared" si="334"/>
        <v>09</v>
      </c>
      <c r="X2879" t="str">
        <f t="shared" si="335"/>
        <v>22</v>
      </c>
      <c r="Y2879" t="str">
        <f t="shared" si="331"/>
        <v>2022</v>
      </c>
      <c r="Z2879"/>
      <c r="AA2879" s="2">
        <f t="shared" si="332"/>
        <v>44813</v>
      </c>
      <c r="AB2879" t="str">
        <f t="shared" si="336"/>
        <v>09/09/2022</v>
      </c>
      <c r="AC2879"/>
    </row>
    <row r="2880" spans="21:29" ht="15">
      <c r="U2880" s="236" t="s">
        <v>9810</v>
      </c>
      <c r="V2880" t="str">
        <f t="shared" si="333"/>
        <v>09</v>
      </c>
      <c r="W2880" t="str">
        <f t="shared" si="334"/>
        <v>09</v>
      </c>
      <c r="X2880" t="str">
        <f t="shared" si="335"/>
        <v>22</v>
      </c>
      <c r="Y2880" t="str">
        <f t="shared" si="331"/>
        <v>2022</v>
      </c>
      <c r="Z2880"/>
      <c r="AA2880" s="2">
        <f t="shared" si="332"/>
        <v>44813</v>
      </c>
      <c r="AB2880" t="str">
        <f t="shared" si="336"/>
        <v>09/09/2022</v>
      </c>
      <c r="AC2880"/>
    </row>
    <row r="2881" spans="21:29" ht="15">
      <c r="U2881" s="236" t="s">
        <v>9811</v>
      </c>
      <c r="V2881" t="str">
        <f t="shared" si="333"/>
        <v>09</v>
      </c>
      <c r="W2881" t="str">
        <f t="shared" si="334"/>
        <v>12</v>
      </c>
      <c r="X2881" t="str">
        <f t="shared" si="335"/>
        <v>22</v>
      </c>
      <c r="Y2881" t="str">
        <f t="shared" si="331"/>
        <v>2022</v>
      </c>
      <c r="Z2881"/>
      <c r="AA2881" s="2">
        <f t="shared" si="332"/>
        <v>44904</v>
      </c>
      <c r="AB2881" t="str">
        <f t="shared" si="336"/>
        <v>09/12/2022</v>
      </c>
      <c r="AC2881"/>
    </row>
    <row r="2882" spans="21:29" ht="15">
      <c r="U2882" s="236" t="s">
        <v>9811</v>
      </c>
      <c r="V2882" t="str">
        <f t="shared" si="333"/>
        <v>09</v>
      </c>
      <c r="W2882" t="str">
        <f t="shared" si="334"/>
        <v>12</v>
      </c>
      <c r="X2882" t="str">
        <f t="shared" si="335"/>
        <v>22</v>
      </c>
      <c r="Y2882" t="str">
        <f t="shared" si="331"/>
        <v>2022</v>
      </c>
      <c r="Z2882"/>
      <c r="AA2882" s="2">
        <f t="shared" si="332"/>
        <v>44904</v>
      </c>
      <c r="AB2882" t="str">
        <f t="shared" si="336"/>
        <v>09/12/2022</v>
      </c>
      <c r="AC2882"/>
    </row>
    <row r="2883" spans="21:29" ht="15">
      <c r="U2883" s="236" t="s">
        <v>9811</v>
      </c>
      <c r="V2883" t="str">
        <f t="shared" si="333"/>
        <v>09</v>
      </c>
      <c r="W2883" t="str">
        <f t="shared" si="334"/>
        <v>12</v>
      </c>
      <c r="X2883" t="str">
        <f t="shared" si="335"/>
        <v>22</v>
      </c>
      <c r="Y2883" t="str">
        <f t="shared" ref="Y2883:Y2946" si="337">"20" &amp; X2883</f>
        <v>2022</v>
      </c>
      <c r="Z2883"/>
      <c r="AA2883" s="2">
        <f t="shared" si="332"/>
        <v>44904</v>
      </c>
      <c r="AB2883" t="str">
        <f t="shared" si="336"/>
        <v>09/12/2022</v>
      </c>
      <c r="AC2883"/>
    </row>
    <row r="2884" spans="21:29" ht="15">
      <c r="U2884" s="236" t="s">
        <v>10381</v>
      </c>
      <c r="V2884" t="str">
        <f t="shared" si="333"/>
        <v>09</v>
      </c>
      <c r="W2884" t="str">
        <f t="shared" si="334"/>
        <v>16</v>
      </c>
      <c r="X2884" t="str">
        <f t="shared" si="335"/>
        <v>22</v>
      </c>
      <c r="Y2884" t="str">
        <f t="shared" si="337"/>
        <v>2022</v>
      </c>
      <c r="Z2884"/>
      <c r="AA2884" s="2">
        <f t="shared" si="332"/>
        <v>45025</v>
      </c>
      <c r="AB2884" t="str">
        <f t="shared" si="336"/>
        <v>09/16/2022</v>
      </c>
      <c r="AC2884"/>
    </row>
    <row r="2885" spans="21:29" ht="15">
      <c r="U2885" s="236" t="s">
        <v>10381</v>
      </c>
      <c r="V2885" t="str">
        <f t="shared" si="333"/>
        <v>09</v>
      </c>
      <c r="W2885" t="str">
        <f t="shared" si="334"/>
        <v>16</v>
      </c>
      <c r="X2885" t="str">
        <f t="shared" si="335"/>
        <v>22</v>
      </c>
      <c r="Y2885" t="str">
        <f t="shared" si="337"/>
        <v>2022</v>
      </c>
      <c r="Z2885"/>
      <c r="AA2885" s="2">
        <f t="shared" si="332"/>
        <v>45025</v>
      </c>
      <c r="AB2885" t="str">
        <f t="shared" si="336"/>
        <v>09/16/2022</v>
      </c>
      <c r="AC2885"/>
    </row>
    <row r="2886" spans="21:29" ht="15">
      <c r="U2886" s="236" t="s">
        <v>10382</v>
      </c>
      <c r="V2886" t="str">
        <f t="shared" si="333"/>
        <v>09</v>
      </c>
      <c r="W2886" t="str">
        <f t="shared" si="334"/>
        <v>19</v>
      </c>
      <c r="X2886" t="str">
        <f t="shared" si="335"/>
        <v>22</v>
      </c>
      <c r="Y2886" t="str">
        <f t="shared" si="337"/>
        <v>2022</v>
      </c>
      <c r="Z2886"/>
      <c r="AA2886" s="2">
        <f t="shared" si="332"/>
        <v>45116</v>
      </c>
      <c r="AB2886" t="str">
        <f t="shared" si="336"/>
        <v>09/19/2022</v>
      </c>
      <c r="AC2886"/>
    </row>
    <row r="2887" spans="21:29" ht="15">
      <c r="U2887" s="236" t="s">
        <v>10382</v>
      </c>
      <c r="V2887" t="str">
        <f t="shared" si="333"/>
        <v>09</v>
      </c>
      <c r="W2887" t="str">
        <f t="shared" si="334"/>
        <v>19</v>
      </c>
      <c r="X2887" t="str">
        <f t="shared" si="335"/>
        <v>22</v>
      </c>
      <c r="Y2887" t="str">
        <f t="shared" si="337"/>
        <v>2022</v>
      </c>
      <c r="Z2887"/>
      <c r="AA2887" s="2">
        <f t="shared" si="332"/>
        <v>45116</v>
      </c>
      <c r="AB2887" t="str">
        <f t="shared" si="336"/>
        <v>09/19/2022</v>
      </c>
      <c r="AC2887"/>
    </row>
    <row r="2888" spans="21:29" ht="15">
      <c r="U2888" s="236" t="s">
        <v>10382</v>
      </c>
      <c r="V2888" t="str">
        <f t="shared" si="333"/>
        <v>09</v>
      </c>
      <c r="W2888" t="str">
        <f t="shared" si="334"/>
        <v>19</v>
      </c>
      <c r="X2888" t="str">
        <f t="shared" si="335"/>
        <v>22</v>
      </c>
      <c r="Y2888" t="str">
        <f t="shared" si="337"/>
        <v>2022</v>
      </c>
      <c r="Z2888"/>
      <c r="AA2888" s="2">
        <f t="shared" ref="AA2888:AA2951" si="338">DATE(Y2888,W2888,V2888)</f>
        <v>45116</v>
      </c>
      <c r="AB2888" t="str">
        <f t="shared" si="336"/>
        <v>09/19/2022</v>
      </c>
      <c r="AC2888"/>
    </row>
    <row r="2889" spans="21:29" ht="15">
      <c r="U2889" s="236" t="s">
        <v>9812</v>
      </c>
      <c r="V2889" t="str">
        <f t="shared" si="333"/>
        <v>09</v>
      </c>
      <c r="W2889" t="str">
        <f t="shared" si="334"/>
        <v>21</v>
      </c>
      <c r="X2889" t="str">
        <f t="shared" si="335"/>
        <v>22</v>
      </c>
      <c r="Y2889" t="str">
        <f t="shared" si="337"/>
        <v>2022</v>
      </c>
      <c r="Z2889"/>
      <c r="AA2889" s="2">
        <f t="shared" si="338"/>
        <v>45178</v>
      </c>
      <c r="AB2889" t="str">
        <f t="shared" si="336"/>
        <v>09/21/2022</v>
      </c>
      <c r="AC2889"/>
    </row>
    <row r="2890" spans="21:29" ht="15">
      <c r="U2890" s="236" t="s">
        <v>10383</v>
      </c>
      <c r="V2890" t="str">
        <f t="shared" si="333"/>
        <v>09</v>
      </c>
      <c r="W2890" t="str">
        <f t="shared" si="334"/>
        <v>26</v>
      </c>
      <c r="X2890" t="str">
        <f t="shared" si="335"/>
        <v>22</v>
      </c>
      <c r="Y2890" t="str">
        <f t="shared" si="337"/>
        <v>2022</v>
      </c>
      <c r="Z2890"/>
      <c r="AA2890" s="2">
        <f t="shared" si="338"/>
        <v>45331</v>
      </c>
      <c r="AB2890" t="str">
        <f t="shared" si="336"/>
        <v>09/26/2022</v>
      </c>
      <c r="AC2890"/>
    </row>
    <row r="2891" spans="21:29" ht="15">
      <c r="U2891" s="236" t="s">
        <v>10383</v>
      </c>
      <c r="V2891" t="str">
        <f t="shared" si="333"/>
        <v>09</v>
      </c>
      <c r="W2891" t="str">
        <f t="shared" si="334"/>
        <v>26</v>
      </c>
      <c r="X2891" t="str">
        <f t="shared" si="335"/>
        <v>22</v>
      </c>
      <c r="Y2891" t="str">
        <f t="shared" si="337"/>
        <v>2022</v>
      </c>
      <c r="Z2891"/>
      <c r="AA2891" s="2">
        <f t="shared" si="338"/>
        <v>45331</v>
      </c>
      <c r="AB2891" t="str">
        <f t="shared" si="336"/>
        <v>09/26/2022</v>
      </c>
      <c r="AC2891"/>
    </row>
    <row r="2892" spans="21:29" ht="15">
      <c r="U2892" s="236" t="s">
        <v>10384</v>
      </c>
      <c r="V2892" t="str">
        <f t="shared" si="333"/>
        <v>09</v>
      </c>
      <c r="W2892" t="str">
        <f t="shared" si="334"/>
        <v>27</v>
      </c>
      <c r="X2892" t="str">
        <f t="shared" si="335"/>
        <v>22</v>
      </c>
      <c r="Y2892" t="str">
        <f t="shared" si="337"/>
        <v>2022</v>
      </c>
      <c r="Z2892"/>
      <c r="AA2892" s="2">
        <f t="shared" si="338"/>
        <v>45360</v>
      </c>
      <c r="AB2892" t="str">
        <f t="shared" si="336"/>
        <v>09/27/2022</v>
      </c>
      <c r="AC2892"/>
    </row>
    <row r="2893" spans="21:29" ht="15">
      <c r="U2893" s="236" t="s">
        <v>9814</v>
      </c>
      <c r="V2893" t="str">
        <f t="shared" si="333"/>
        <v>09</v>
      </c>
      <c r="W2893" t="str">
        <f t="shared" si="334"/>
        <v>28</v>
      </c>
      <c r="X2893" t="str">
        <f t="shared" si="335"/>
        <v>22</v>
      </c>
      <c r="Y2893" t="str">
        <f t="shared" si="337"/>
        <v>2022</v>
      </c>
      <c r="Z2893"/>
      <c r="AA2893" s="2">
        <f t="shared" si="338"/>
        <v>45391</v>
      </c>
      <c r="AB2893" t="str">
        <f t="shared" si="336"/>
        <v>09/28/2022</v>
      </c>
      <c r="AC2893"/>
    </row>
    <row r="2894" spans="21:29" ht="15">
      <c r="U2894" s="236" t="s">
        <v>9814</v>
      </c>
      <c r="V2894" t="str">
        <f t="shared" si="333"/>
        <v>09</v>
      </c>
      <c r="W2894" t="str">
        <f t="shared" si="334"/>
        <v>28</v>
      </c>
      <c r="X2894" t="str">
        <f t="shared" si="335"/>
        <v>22</v>
      </c>
      <c r="Y2894" t="str">
        <f t="shared" si="337"/>
        <v>2022</v>
      </c>
      <c r="Z2894"/>
      <c r="AA2894" s="2">
        <f t="shared" si="338"/>
        <v>45391</v>
      </c>
      <c r="AB2894" t="str">
        <f t="shared" si="336"/>
        <v>09/28/2022</v>
      </c>
      <c r="AC2894"/>
    </row>
    <row r="2895" spans="21:29" ht="15">
      <c r="U2895" s="236" t="s">
        <v>10385</v>
      </c>
      <c r="V2895" t="str">
        <f t="shared" si="333"/>
        <v>09</v>
      </c>
      <c r="W2895" t="str">
        <f t="shared" si="334"/>
        <v>29</v>
      </c>
      <c r="X2895" t="str">
        <f t="shared" si="335"/>
        <v>22</v>
      </c>
      <c r="Y2895" t="str">
        <f t="shared" si="337"/>
        <v>2022</v>
      </c>
      <c r="Z2895"/>
      <c r="AA2895" s="2">
        <f t="shared" si="338"/>
        <v>45421</v>
      </c>
      <c r="AB2895" t="str">
        <f t="shared" si="336"/>
        <v>09/29/2022</v>
      </c>
      <c r="AC2895"/>
    </row>
    <row r="2896" spans="21:29" ht="15">
      <c r="U2896" s="236" t="s">
        <v>9815</v>
      </c>
      <c r="V2896" t="str">
        <f t="shared" si="333"/>
        <v>09</v>
      </c>
      <c r="W2896" t="str">
        <f t="shared" si="334"/>
        <v>30</v>
      </c>
      <c r="X2896" t="str">
        <f t="shared" si="335"/>
        <v>22</v>
      </c>
      <c r="Y2896" t="str">
        <f t="shared" si="337"/>
        <v>2022</v>
      </c>
      <c r="Z2896"/>
      <c r="AA2896" s="2">
        <f t="shared" si="338"/>
        <v>45452</v>
      </c>
      <c r="AB2896" t="str">
        <f t="shared" si="336"/>
        <v>09/30/2022</v>
      </c>
      <c r="AC2896"/>
    </row>
    <row r="2897" spans="21:29" ht="15">
      <c r="U2897" s="236" t="s">
        <v>9815</v>
      </c>
      <c r="V2897" t="str">
        <f t="shared" si="333"/>
        <v>09</v>
      </c>
      <c r="W2897" t="str">
        <f t="shared" si="334"/>
        <v>30</v>
      </c>
      <c r="X2897" t="str">
        <f t="shared" si="335"/>
        <v>22</v>
      </c>
      <c r="Y2897" t="str">
        <f t="shared" si="337"/>
        <v>2022</v>
      </c>
      <c r="Z2897"/>
      <c r="AA2897" s="2">
        <f t="shared" si="338"/>
        <v>45452</v>
      </c>
      <c r="AB2897" t="str">
        <f t="shared" si="336"/>
        <v>09/30/2022</v>
      </c>
      <c r="AC2897"/>
    </row>
    <row r="2898" spans="21:29" ht="15">
      <c r="U2898" s="236" t="s">
        <v>9816</v>
      </c>
      <c r="V2898" t="str">
        <f t="shared" si="333"/>
        <v>10</v>
      </c>
      <c r="W2898" t="str">
        <f t="shared" si="334"/>
        <v>01</v>
      </c>
      <c r="X2898" t="str">
        <f t="shared" si="335"/>
        <v>22</v>
      </c>
      <c r="Y2898" t="str">
        <f t="shared" si="337"/>
        <v>2022</v>
      </c>
      <c r="Z2898"/>
      <c r="AA2898" s="2">
        <f t="shared" si="338"/>
        <v>44571</v>
      </c>
      <c r="AB2898" t="str">
        <f t="shared" si="336"/>
        <v>10/01/2022</v>
      </c>
      <c r="AC2898"/>
    </row>
    <row r="2899" spans="21:29" ht="15">
      <c r="U2899" s="236" t="s">
        <v>10386</v>
      </c>
      <c r="V2899" t="str">
        <f t="shared" si="333"/>
        <v>10</v>
      </c>
      <c r="W2899" t="str">
        <f t="shared" si="334"/>
        <v>03</v>
      </c>
      <c r="X2899" t="str">
        <f t="shared" si="335"/>
        <v>22</v>
      </c>
      <c r="Y2899" t="str">
        <f t="shared" si="337"/>
        <v>2022</v>
      </c>
      <c r="Z2899"/>
      <c r="AA2899" s="2">
        <f t="shared" si="338"/>
        <v>44630</v>
      </c>
      <c r="AB2899" t="str">
        <f t="shared" si="336"/>
        <v>10/03/2022</v>
      </c>
      <c r="AC2899"/>
    </row>
    <row r="2900" spans="21:29" ht="15">
      <c r="U2900" s="236" t="s">
        <v>10386</v>
      </c>
      <c r="V2900" t="str">
        <f t="shared" si="333"/>
        <v>10</v>
      </c>
      <c r="W2900" t="str">
        <f t="shared" si="334"/>
        <v>03</v>
      </c>
      <c r="X2900" t="str">
        <f t="shared" si="335"/>
        <v>22</v>
      </c>
      <c r="Y2900" t="str">
        <f t="shared" si="337"/>
        <v>2022</v>
      </c>
      <c r="Z2900"/>
      <c r="AA2900" s="2">
        <f t="shared" si="338"/>
        <v>44630</v>
      </c>
      <c r="AB2900" t="str">
        <f t="shared" si="336"/>
        <v>10/03/2022</v>
      </c>
      <c r="AC2900"/>
    </row>
    <row r="2901" spans="21:29" ht="15">
      <c r="U2901" s="236" t="s">
        <v>10386</v>
      </c>
      <c r="V2901" t="str">
        <f t="shared" si="333"/>
        <v>10</v>
      </c>
      <c r="W2901" t="str">
        <f t="shared" si="334"/>
        <v>03</v>
      </c>
      <c r="X2901" t="str">
        <f t="shared" si="335"/>
        <v>22</v>
      </c>
      <c r="Y2901" t="str">
        <f t="shared" si="337"/>
        <v>2022</v>
      </c>
      <c r="Z2901"/>
      <c r="AA2901" s="2">
        <f t="shared" si="338"/>
        <v>44630</v>
      </c>
      <c r="AB2901" t="str">
        <f t="shared" si="336"/>
        <v>10/03/2022</v>
      </c>
      <c r="AC2901"/>
    </row>
    <row r="2902" spans="21:29" ht="15">
      <c r="U2902" s="236" t="s">
        <v>10386</v>
      </c>
      <c r="V2902" t="str">
        <f t="shared" si="333"/>
        <v>10</v>
      </c>
      <c r="W2902" t="str">
        <f t="shared" si="334"/>
        <v>03</v>
      </c>
      <c r="X2902" t="str">
        <f t="shared" si="335"/>
        <v>22</v>
      </c>
      <c r="Y2902" t="str">
        <f t="shared" si="337"/>
        <v>2022</v>
      </c>
      <c r="Z2902"/>
      <c r="AA2902" s="2">
        <f t="shared" si="338"/>
        <v>44630</v>
      </c>
      <c r="AB2902" t="str">
        <f t="shared" si="336"/>
        <v>10/03/2022</v>
      </c>
      <c r="AC2902"/>
    </row>
    <row r="2903" spans="21:29" ht="15">
      <c r="U2903" s="236" t="s">
        <v>10386</v>
      </c>
      <c r="V2903" t="str">
        <f t="shared" si="333"/>
        <v>10</v>
      </c>
      <c r="W2903" t="str">
        <f t="shared" si="334"/>
        <v>03</v>
      </c>
      <c r="X2903" t="str">
        <f t="shared" si="335"/>
        <v>22</v>
      </c>
      <c r="Y2903" t="str">
        <f t="shared" si="337"/>
        <v>2022</v>
      </c>
      <c r="Z2903"/>
      <c r="AA2903" s="2">
        <f t="shared" si="338"/>
        <v>44630</v>
      </c>
      <c r="AB2903" t="str">
        <f t="shared" si="336"/>
        <v>10/03/2022</v>
      </c>
      <c r="AC2903"/>
    </row>
    <row r="2904" spans="21:29" ht="15">
      <c r="U2904" s="236" t="s">
        <v>10386</v>
      </c>
      <c r="V2904" t="str">
        <f t="shared" si="333"/>
        <v>10</v>
      </c>
      <c r="W2904" t="str">
        <f t="shared" si="334"/>
        <v>03</v>
      </c>
      <c r="X2904" t="str">
        <f t="shared" si="335"/>
        <v>22</v>
      </c>
      <c r="Y2904" t="str">
        <f t="shared" si="337"/>
        <v>2022</v>
      </c>
      <c r="Z2904"/>
      <c r="AA2904" s="2">
        <f t="shared" si="338"/>
        <v>44630</v>
      </c>
      <c r="AB2904" t="str">
        <f t="shared" si="336"/>
        <v>10/03/2022</v>
      </c>
      <c r="AC2904"/>
    </row>
    <row r="2905" spans="21:29" ht="15">
      <c r="U2905" s="236" t="s">
        <v>10386</v>
      </c>
      <c r="V2905" t="str">
        <f t="shared" si="333"/>
        <v>10</v>
      </c>
      <c r="W2905" t="str">
        <f t="shared" si="334"/>
        <v>03</v>
      </c>
      <c r="X2905" t="str">
        <f t="shared" si="335"/>
        <v>22</v>
      </c>
      <c r="Y2905" t="str">
        <f t="shared" si="337"/>
        <v>2022</v>
      </c>
      <c r="Z2905"/>
      <c r="AA2905" s="2">
        <f t="shared" si="338"/>
        <v>44630</v>
      </c>
      <c r="AB2905" t="str">
        <f t="shared" si="336"/>
        <v>10/03/2022</v>
      </c>
      <c r="AC2905"/>
    </row>
    <row r="2906" spans="21:29" ht="15">
      <c r="U2906" s="236" t="s">
        <v>10387</v>
      </c>
      <c r="V2906" t="str">
        <f t="shared" si="333"/>
        <v>10</v>
      </c>
      <c r="W2906" t="str">
        <f t="shared" si="334"/>
        <v>06</v>
      </c>
      <c r="X2906" t="str">
        <f t="shared" si="335"/>
        <v>22</v>
      </c>
      <c r="Y2906" t="str">
        <f t="shared" si="337"/>
        <v>2022</v>
      </c>
      <c r="Z2906"/>
      <c r="AA2906" s="2">
        <f t="shared" si="338"/>
        <v>44722</v>
      </c>
      <c r="AB2906" t="str">
        <f t="shared" si="336"/>
        <v>10/06/2022</v>
      </c>
      <c r="AC2906"/>
    </row>
    <row r="2907" spans="21:29" ht="15">
      <c r="U2907" s="236" t="s">
        <v>10388</v>
      </c>
      <c r="V2907" t="str">
        <f t="shared" si="333"/>
        <v>10</v>
      </c>
      <c r="W2907" t="str">
        <f t="shared" si="334"/>
        <v>08</v>
      </c>
      <c r="X2907" t="str">
        <f t="shared" si="335"/>
        <v>22</v>
      </c>
      <c r="Y2907" t="str">
        <f t="shared" si="337"/>
        <v>2022</v>
      </c>
      <c r="Z2907"/>
      <c r="AA2907" s="2">
        <f t="shared" si="338"/>
        <v>44783</v>
      </c>
      <c r="AB2907" t="str">
        <f t="shared" si="336"/>
        <v>10/08/2022</v>
      </c>
      <c r="AC2907"/>
    </row>
    <row r="2908" spans="21:29" ht="15">
      <c r="U2908" s="236" t="s">
        <v>9817</v>
      </c>
      <c r="V2908" t="str">
        <f t="shared" ref="V2908:V2971" si="339">LEFT(AB2908,2)</f>
        <v>10</v>
      </c>
      <c r="W2908" t="str">
        <f t="shared" ref="W2908:W2971" si="340">MID(AB2908,4,2)</f>
        <v>10</v>
      </c>
      <c r="X2908" t="str">
        <f t="shared" ref="X2908:X2971" si="341">RIGHT(AB2908,2)</f>
        <v>22</v>
      </c>
      <c r="Y2908" t="str">
        <f t="shared" si="337"/>
        <v>2022</v>
      </c>
      <c r="Z2908"/>
      <c r="AA2908" s="2">
        <f t="shared" si="338"/>
        <v>44844</v>
      </c>
      <c r="AB2908" t="str">
        <f t="shared" ref="AB2908:AB2971" si="342">TEXT(U2908, "mm/dd/yyyy")</f>
        <v>10/10/2022</v>
      </c>
      <c r="AC2908"/>
    </row>
    <row r="2909" spans="21:29" ht="15">
      <c r="U2909" s="236" t="s">
        <v>9817</v>
      </c>
      <c r="V2909" t="str">
        <f t="shared" si="339"/>
        <v>10</v>
      </c>
      <c r="W2909" t="str">
        <f t="shared" si="340"/>
        <v>10</v>
      </c>
      <c r="X2909" t="str">
        <f t="shared" si="341"/>
        <v>22</v>
      </c>
      <c r="Y2909" t="str">
        <f t="shared" si="337"/>
        <v>2022</v>
      </c>
      <c r="Z2909"/>
      <c r="AA2909" s="2">
        <f t="shared" si="338"/>
        <v>44844</v>
      </c>
      <c r="AB2909" t="str">
        <f t="shared" si="342"/>
        <v>10/10/2022</v>
      </c>
      <c r="AC2909"/>
    </row>
    <row r="2910" spans="21:29" ht="15">
      <c r="U2910" s="236" t="s">
        <v>9817</v>
      </c>
      <c r="V2910" t="str">
        <f t="shared" si="339"/>
        <v>10</v>
      </c>
      <c r="W2910" t="str">
        <f t="shared" si="340"/>
        <v>10</v>
      </c>
      <c r="X2910" t="str">
        <f t="shared" si="341"/>
        <v>22</v>
      </c>
      <c r="Y2910" t="str">
        <f t="shared" si="337"/>
        <v>2022</v>
      </c>
      <c r="Z2910"/>
      <c r="AA2910" s="2">
        <f t="shared" si="338"/>
        <v>44844</v>
      </c>
      <c r="AB2910" t="str">
        <f t="shared" si="342"/>
        <v>10/10/2022</v>
      </c>
      <c r="AC2910"/>
    </row>
    <row r="2911" spans="21:29" ht="15">
      <c r="U2911" s="236" t="s">
        <v>10389</v>
      </c>
      <c r="V2911" t="str">
        <f t="shared" si="339"/>
        <v>10</v>
      </c>
      <c r="W2911" t="str">
        <f t="shared" si="340"/>
        <v>11</v>
      </c>
      <c r="X2911" t="str">
        <f t="shared" si="341"/>
        <v>22</v>
      </c>
      <c r="Y2911" t="str">
        <f t="shared" si="337"/>
        <v>2022</v>
      </c>
      <c r="Z2911"/>
      <c r="AA2911" s="2">
        <f t="shared" si="338"/>
        <v>44875</v>
      </c>
      <c r="AB2911" t="str">
        <f t="shared" si="342"/>
        <v>10/11/2022</v>
      </c>
      <c r="AC2911"/>
    </row>
    <row r="2912" spans="21:29" ht="15">
      <c r="U2912" s="236" t="s">
        <v>10389</v>
      </c>
      <c r="V2912" t="str">
        <f t="shared" si="339"/>
        <v>10</v>
      </c>
      <c r="W2912" t="str">
        <f t="shared" si="340"/>
        <v>11</v>
      </c>
      <c r="X2912" t="str">
        <f t="shared" si="341"/>
        <v>22</v>
      </c>
      <c r="Y2912" t="str">
        <f t="shared" si="337"/>
        <v>2022</v>
      </c>
      <c r="Z2912"/>
      <c r="AA2912" s="2">
        <f t="shared" si="338"/>
        <v>44875</v>
      </c>
      <c r="AB2912" t="str">
        <f t="shared" si="342"/>
        <v>10/11/2022</v>
      </c>
      <c r="AC2912"/>
    </row>
    <row r="2913" spans="21:29" ht="15">
      <c r="U2913" s="236" t="s">
        <v>10390</v>
      </c>
      <c r="V2913" t="str">
        <f t="shared" si="339"/>
        <v>10</v>
      </c>
      <c r="W2913" t="str">
        <f t="shared" si="340"/>
        <v>13</v>
      </c>
      <c r="X2913" t="str">
        <f t="shared" si="341"/>
        <v>22</v>
      </c>
      <c r="Y2913" t="str">
        <f t="shared" si="337"/>
        <v>2022</v>
      </c>
      <c r="Z2913"/>
      <c r="AA2913" s="2">
        <f t="shared" si="338"/>
        <v>44936</v>
      </c>
      <c r="AB2913" t="str">
        <f t="shared" si="342"/>
        <v>10/13/2022</v>
      </c>
      <c r="AC2913"/>
    </row>
    <row r="2914" spans="21:29" ht="15">
      <c r="U2914" s="236" t="s">
        <v>10391</v>
      </c>
      <c r="V2914" t="str">
        <f t="shared" si="339"/>
        <v>10</v>
      </c>
      <c r="W2914" t="str">
        <f t="shared" si="340"/>
        <v>15</v>
      </c>
      <c r="X2914" t="str">
        <f t="shared" si="341"/>
        <v>22</v>
      </c>
      <c r="Y2914" t="str">
        <f t="shared" si="337"/>
        <v>2022</v>
      </c>
      <c r="Z2914"/>
      <c r="AA2914" s="2">
        <f t="shared" si="338"/>
        <v>44995</v>
      </c>
      <c r="AB2914" t="str">
        <f t="shared" si="342"/>
        <v>10/15/2022</v>
      </c>
      <c r="AC2914"/>
    </row>
    <row r="2915" spans="21:29" ht="15">
      <c r="U2915" s="236" t="s">
        <v>10391</v>
      </c>
      <c r="V2915" t="str">
        <f t="shared" si="339"/>
        <v>10</v>
      </c>
      <c r="W2915" t="str">
        <f t="shared" si="340"/>
        <v>15</v>
      </c>
      <c r="X2915" t="str">
        <f t="shared" si="341"/>
        <v>22</v>
      </c>
      <c r="Y2915" t="str">
        <f t="shared" si="337"/>
        <v>2022</v>
      </c>
      <c r="Z2915"/>
      <c r="AA2915" s="2">
        <f t="shared" si="338"/>
        <v>44995</v>
      </c>
      <c r="AB2915" t="str">
        <f t="shared" si="342"/>
        <v>10/15/2022</v>
      </c>
      <c r="AC2915"/>
    </row>
    <row r="2916" spans="21:29" ht="15">
      <c r="U2916" s="236" t="s">
        <v>10391</v>
      </c>
      <c r="V2916" t="str">
        <f t="shared" si="339"/>
        <v>10</v>
      </c>
      <c r="W2916" t="str">
        <f t="shared" si="340"/>
        <v>15</v>
      </c>
      <c r="X2916" t="str">
        <f t="shared" si="341"/>
        <v>22</v>
      </c>
      <c r="Y2916" t="str">
        <f t="shared" si="337"/>
        <v>2022</v>
      </c>
      <c r="Z2916"/>
      <c r="AA2916" s="2">
        <f t="shared" si="338"/>
        <v>44995</v>
      </c>
      <c r="AB2916" t="str">
        <f t="shared" si="342"/>
        <v>10/15/2022</v>
      </c>
      <c r="AC2916"/>
    </row>
    <row r="2917" spans="21:29" ht="15">
      <c r="U2917" s="236" t="s">
        <v>10392</v>
      </c>
      <c r="V2917" t="str">
        <f t="shared" si="339"/>
        <v>10</v>
      </c>
      <c r="W2917" t="str">
        <f t="shared" si="340"/>
        <v>17</v>
      </c>
      <c r="X2917" t="str">
        <f t="shared" si="341"/>
        <v>22</v>
      </c>
      <c r="Y2917" t="str">
        <f t="shared" si="337"/>
        <v>2022</v>
      </c>
      <c r="Z2917"/>
      <c r="AA2917" s="2">
        <f t="shared" si="338"/>
        <v>45056</v>
      </c>
      <c r="AB2917" t="str">
        <f t="shared" si="342"/>
        <v>10/17/2022</v>
      </c>
      <c r="AC2917"/>
    </row>
    <row r="2918" spans="21:29" ht="15">
      <c r="U2918" s="236" t="s">
        <v>10392</v>
      </c>
      <c r="V2918" t="str">
        <f t="shared" si="339"/>
        <v>10</v>
      </c>
      <c r="W2918" t="str">
        <f t="shared" si="340"/>
        <v>17</v>
      </c>
      <c r="X2918" t="str">
        <f t="shared" si="341"/>
        <v>22</v>
      </c>
      <c r="Y2918" t="str">
        <f t="shared" si="337"/>
        <v>2022</v>
      </c>
      <c r="Z2918"/>
      <c r="AA2918" s="2">
        <f t="shared" si="338"/>
        <v>45056</v>
      </c>
      <c r="AB2918" t="str">
        <f t="shared" si="342"/>
        <v>10/17/2022</v>
      </c>
      <c r="AC2918"/>
    </row>
    <row r="2919" spans="21:29" ht="15">
      <c r="U2919" s="236" t="s">
        <v>10392</v>
      </c>
      <c r="V2919" t="str">
        <f t="shared" si="339"/>
        <v>10</v>
      </c>
      <c r="W2919" t="str">
        <f t="shared" si="340"/>
        <v>17</v>
      </c>
      <c r="X2919" t="str">
        <f t="shared" si="341"/>
        <v>22</v>
      </c>
      <c r="Y2919" t="str">
        <f t="shared" si="337"/>
        <v>2022</v>
      </c>
      <c r="Z2919"/>
      <c r="AA2919" s="2">
        <f t="shared" si="338"/>
        <v>45056</v>
      </c>
      <c r="AB2919" t="str">
        <f t="shared" si="342"/>
        <v>10/17/2022</v>
      </c>
      <c r="AC2919"/>
    </row>
    <row r="2920" spans="21:29" ht="15">
      <c r="U2920" s="236" t="s">
        <v>10393</v>
      </c>
      <c r="V2920" t="str">
        <f t="shared" si="339"/>
        <v>10</v>
      </c>
      <c r="W2920" t="str">
        <f t="shared" si="340"/>
        <v>19</v>
      </c>
      <c r="X2920" t="str">
        <f t="shared" si="341"/>
        <v>22</v>
      </c>
      <c r="Y2920" t="str">
        <f t="shared" si="337"/>
        <v>2022</v>
      </c>
      <c r="Z2920"/>
      <c r="AA2920" s="2">
        <f t="shared" si="338"/>
        <v>45117</v>
      </c>
      <c r="AB2920" t="str">
        <f t="shared" si="342"/>
        <v>10/19/2022</v>
      </c>
      <c r="AC2920"/>
    </row>
    <row r="2921" spans="21:29" ht="15">
      <c r="U2921" s="236" t="s">
        <v>10393</v>
      </c>
      <c r="V2921" t="str">
        <f t="shared" si="339"/>
        <v>10</v>
      </c>
      <c r="W2921" t="str">
        <f t="shared" si="340"/>
        <v>19</v>
      </c>
      <c r="X2921" t="str">
        <f t="shared" si="341"/>
        <v>22</v>
      </c>
      <c r="Y2921" t="str">
        <f t="shared" si="337"/>
        <v>2022</v>
      </c>
      <c r="Z2921"/>
      <c r="AA2921" s="2">
        <f t="shared" si="338"/>
        <v>45117</v>
      </c>
      <c r="AB2921" t="str">
        <f t="shared" si="342"/>
        <v>10/19/2022</v>
      </c>
      <c r="AC2921"/>
    </row>
    <row r="2922" spans="21:29" ht="15">
      <c r="U2922" s="236" t="s">
        <v>10394</v>
      </c>
      <c r="V2922" t="str">
        <f t="shared" si="339"/>
        <v>10</v>
      </c>
      <c r="W2922" t="str">
        <f t="shared" si="340"/>
        <v>20</v>
      </c>
      <c r="X2922" t="str">
        <f t="shared" si="341"/>
        <v>22</v>
      </c>
      <c r="Y2922" t="str">
        <f t="shared" si="337"/>
        <v>2022</v>
      </c>
      <c r="Z2922"/>
      <c r="AA2922" s="2">
        <f t="shared" si="338"/>
        <v>45148</v>
      </c>
      <c r="AB2922" t="str">
        <f t="shared" si="342"/>
        <v>10/20/2022</v>
      </c>
      <c r="AC2922"/>
    </row>
    <row r="2923" spans="21:29" ht="15">
      <c r="U2923" s="236" t="s">
        <v>9818</v>
      </c>
      <c r="V2923" t="str">
        <f t="shared" si="339"/>
        <v>10</v>
      </c>
      <c r="W2923" t="str">
        <f t="shared" si="340"/>
        <v>21</v>
      </c>
      <c r="X2923" t="str">
        <f t="shared" si="341"/>
        <v>22</v>
      </c>
      <c r="Y2923" t="str">
        <f t="shared" si="337"/>
        <v>2022</v>
      </c>
      <c r="Z2923"/>
      <c r="AA2923" s="2">
        <f t="shared" si="338"/>
        <v>45179</v>
      </c>
      <c r="AB2923" t="str">
        <f t="shared" si="342"/>
        <v>10/21/2022</v>
      </c>
      <c r="AC2923"/>
    </row>
    <row r="2924" spans="21:29" ht="15">
      <c r="U2924" s="236" t="s">
        <v>10395</v>
      </c>
      <c r="V2924" t="str">
        <f t="shared" si="339"/>
        <v>10</v>
      </c>
      <c r="W2924" t="str">
        <f t="shared" si="340"/>
        <v>24</v>
      </c>
      <c r="X2924" t="str">
        <f t="shared" si="341"/>
        <v>22</v>
      </c>
      <c r="Y2924" t="str">
        <f t="shared" si="337"/>
        <v>2022</v>
      </c>
      <c r="Z2924"/>
      <c r="AA2924" s="2">
        <f t="shared" si="338"/>
        <v>45270</v>
      </c>
      <c r="AB2924" t="str">
        <f t="shared" si="342"/>
        <v>10/24/2022</v>
      </c>
      <c r="AC2924"/>
    </row>
    <row r="2925" spans="21:29" ht="15">
      <c r="U2925" s="236" t="s">
        <v>10396</v>
      </c>
      <c r="V2925" t="str">
        <f t="shared" si="339"/>
        <v>10</v>
      </c>
      <c r="W2925" t="str">
        <f t="shared" si="340"/>
        <v>25</v>
      </c>
      <c r="X2925" t="str">
        <f t="shared" si="341"/>
        <v>22</v>
      </c>
      <c r="Y2925" t="str">
        <f t="shared" si="337"/>
        <v>2022</v>
      </c>
      <c r="Z2925"/>
      <c r="AA2925" s="2">
        <f t="shared" si="338"/>
        <v>45301</v>
      </c>
      <c r="AB2925" t="str">
        <f t="shared" si="342"/>
        <v>10/25/2022</v>
      </c>
      <c r="AC2925"/>
    </row>
    <row r="2926" spans="21:29" ht="15">
      <c r="U2926" s="236" t="s">
        <v>10396</v>
      </c>
      <c r="V2926" t="str">
        <f t="shared" si="339"/>
        <v>10</v>
      </c>
      <c r="W2926" t="str">
        <f t="shared" si="340"/>
        <v>25</v>
      </c>
      <c r="X2926" t="str">
        <f t="shared" si="341"/>
        <v>22</v>
      </c>
      <c r="Y2926" t="str">
        <f t="shared" si="337"/>
        <v>2022</v>
      </c>
      <c r="Z2926"/>
      <c r="AA2926" s="2">
        <f t="shared" si="338"/>
        <v>45301</v>
      </c>
      <c r="AB2926" t="str">
        <f t="shared" si="342"/>
        <v>10/25/2022</v>
      </c>
      <c r="AC2926"/>
    </row>
    <row r="2927" spans="21:29" ht="15">
      <c r="U2927" s="236" t="s">
        <v>10396</v>
      </c>
      <c r="V2927" t="str">
        <f t="shared" si="339"/>
        <v>10</v>
      </c>
      <c r="W2927" t="str">
        <f t="shared" si="340"/>
        <v>25</v>
      </c>
      <c r="X2927" t="str">
        <f t="shared" si="341"/>
        <v>22</v>
      </c>
      <c r="Y2927" t="str">
        <f t="shared" si="337"/>
        <v>2022</v>
      </c>
      <c r="Z2927"/>
      <c r="AA2927" s="2">
        <f t="shared" si="338"/>
        <v>45301</v>
      </c>
      <c r="AB2927" t="str">
        <f t="shared" si="342"/>
        <v>10/25/2022</v>
      </c>
      <c r="AC2927"/>
    </row>
    <row r="2928" spans="21:29" ht="15">
      <c r="U2928" s="236" t="s">
        <v>9819</v>
      </c>
      <c r="V2928" t="str">
        <f t="shared" si="339"/>
        <v>10</v>
      </c>
      <c r="W2928" t="str">
        <f t="shared" si="340"/>
        <v>27</v>
      </c>
      <c r="X2928" t="str">
        <f t="shared" si="341"/>
        <v>22</v>
      </c>
      <c r="Y2928" t="str">
        <f t="shared" si="337"/>
        <v>2022</v>
      </c>
      <c r="Z2928"/>
      <c r="AA2928" s="2">
        <f t="shared" si="338"/>
        <v>45361</v>
      </c>
      <c r="AB2928" t="str">
        <f t="shared" si="342"/>
        <v>10/27/2022</v>
      </c>
      <c r="AC2928"/>
    </row>
    <row r="2929" spans="21:29" ht="15">
      <c r="U2929" s="236" t="s">
        <v>9820</v>
      </c>
      <c r="V2929" t="str">
        <f t="shared" si="339"/>
        <v>10</v>
      </c>
      <c r="W2929" t="str">
        <f t="shared" si="340"/>
        <v>28</v>
      </c>
      <c r="X2929" t="str">
        <f t="shared" si="341"/>
        <v>22</v>
      </c>
      <c r="Y2929" t="str">
        <f t="shared" si="337"/>
        <v>2022</v>
      </c>
      <c r="Z2929"/>
      <c r="AA2929" s="2">
        <f t="shared" si="338"/>
        <v>45392</v>
      </c>
      <c r="AB2929" t="str">
        <f t="shared" si="342"/>
        <v>10/28/2022</v>
      </c>
      <c r="AC2929"/>
    </row>
    <row r="2930" spans="21:29" ht="15">
      <c r="U2930" s="236" t="s">
        <v>9820</v>
      </c>
      <c r="V2930" t="str">
        <f t="shared" si="339"/>
        <v>10</v>
      </c>
      <c r="W2930" t="str">
        <f t="shared" si="340"/>
        <v>28</v>
      </c>
      <c r="X2930" t="str">
        <f t="shared" si="341"/>
        <v>22</v>
      </c>
      <c r="Y2930" t="str">
        <f t="shared" si="337"/>
        <v>2022</v>
      </c>
      <c r="Z2930"/>
      <c r="AA2930" s="2">
        <f t="shared" si="338"/>
        <v>45392</v>
      </c>
      <c r="AB2930" t="str">
        <f t="shared" si="342"/>
        <v>10/28/2022</v>
      </c>
      <c r="AC2930"/>
    </row>
    <row r="2931" spans="21:29" ht="15">
      <c r="U2931" s="236" t="s">
        <v>10397</v>
      </c>
      <c r="V2931" t="str">
        <f t="shared" si="339"/>
        <v>10</v>
      </c>
      <c r="W2931" t="str">
        <f t="shared" si="340"/>
        <v>31</v>
      </c>
      <c r="X2931" t="str">
        <f t="shared" si="341"/>
        <v>22</v>
      </c>
      <c r="Y2931" t="str">
        <f t="shared" si="337"/>
        <v>2022</v>
      </c>
      <c r="Z2931"/>
      <c r="AA2931" s="2">
        <f t="shared" si="338"/>
        <v>45483</v>
      </c>
      <c r="AB2931" t="str">
        <f t="shared" si="342"/>
        <v>10/31/2022</v>
      </c>
      <c r="AC2931"/>
    </row>
    <row r="2932" spans="21:29" ht="15">
      <c r="U2932" s="236" t="s">
        <v>10397</v>
      </c>
      <c r="V2932" t="str">
        <f t="shared" si="339"/>
        <v>10</v>
      </c>
      <c r="W2932" t="str">
        <f t="shared" si="340"/>
        <v>31</v>
      </c>
      <c r="X2932" t="str">
        <f t="shared" si="341"/>
        <v>22</v>
      </c>
      <c r="Y2932" t="str">
        <f t="shared" si="337"/>
        <v>2022</v>
      </c>
      <c r="Z2932"/>
      <c r="AA2932" s="2">
        <f t="shared" si="338"/>
        <v>45483</v>
      </c>
      <c r="AB2932" t="str">
        <f t="shared" si="342"/>
        <v>10/31/2022</v>
      </c>
      <c r="AC2932"/>
    </row>
    <row r="2933" spans="21:29" ht="15">
      <c r="U2933" s="236" t="s">
        <v>9821</v>
      </c>
      <c r="V2933" t="str">
        <f t="shared" si="339"/>
        <v>11</v>
      </c>
      <c r="W2933" t="str">
        <f t="shared" si="340"/>
        <v>01</v>
      </c>
      <c r="X2933" t="str">
        <f t="shared" si="341"/>
        <v>22</v>
      </c>
      <c r="Y2933" t="str">
        <f t="shared" si="337"/>
        <v>2022</v>
      </c>
      <c r="Z2933"/>
      <c r="AA2933" s="2">
        <f t="shared" si="338"/>
        <v>44572</v>
      </c>
      <c r="AB2933" t="str">
        <f t="shared" si="342"/>
        <v>11/01/2022</v>
      </c>
      <c r="AC2933"/>
    </row>
    <row r="2934" spans="21:29" ht="15">
      <c r="U2934" s="236" t="s">
        <v>9821</v>
      </c>
      <c r="V2934" t="str">
        <f t="shared" si="339"/>
        <v>11</v>
      </c>
      <c r="W2934" t="str">
        <f t="shared" si="340"/>
        <v>01</v>
      </c>
      <c r="X2934" t="str">
        <f t="shared" si="341"/>
        <v>22</v>
      </c>
      <c r="Y2934" t="str">
        <f t="shared" si="337"/>
        <v>2022</v>
      </c>
      <c r="Z2934"/>
      <c r="AA2934" s="2">
        <f t="shared" si="338"/>
        <v>44572</v>
      </c>
      <c r="AB2934" t="str">
        <f t="shared" si="342"/>
        <v>11/01/2022</v>
      </c>
      <c r="AC2934"/>
    </row>
    <row r="2935" spans="21:29" ht="15">
      <c r="U2935" s="236" t="s">
        <v>9821</v>
      </c>
      <c r="V2935" t="str">
        <f t="shared" si="339"/>
        <v>11</v>
      </c>
      <c r="W2935" t="str">
        <f t="shared" si="340"/>
        <v>01</v>
      </c>
      <c r="X2935" t="str">
        <f t="shared" si="341"/>
        <v>22</v>
      </c>
      <c r="Y2935" t="str">
        <f t="shared" si="337"/>
        <v>2022</v>
      </c>
      <c r="Z2935"/>
      <c r="AA2935" s="2">
        <f t="shared" si="338"/>
        <v>44572</v>
      </c>
      <c r="AB2935" t="str">
        <f t="shared" si="342"/>
        <v>11/01/2022</v>
      </c>
      <c r="AC2935"/>
    </row>
    <row r="2936" spans="21:29" ht="15">
      <c r="U2936" s="236" t="s">
        <v>10398</v>
      </c>
      <c r="V2936" t="str">
        <f t="shared" si="339"/>
        <v>11</v>
      </c>
      <c r="W2936" t="str">
        <f t="shared" si="340"/>
        <v>02</v>
      </c>
      <c r="X2936" t="str">
        <f t="shared" si="341"/>
        <v>22</v>
      </c>
      <c r="Y2936" t="str">
        <f t="shared" si="337"/>
        <v>2022</v>
      </c>
      <c r="Z2936"/>
      <c r="AA2936" s="2">
        <f t="shared" si="338"/>
        <v>44603</v>
      </c>
      <c r="AB2936" t="str">
        <f t="shared" si="342"/>
        <v>11/02/2022</v>
      </c>
      <c r="AC2936"/>
    </row>
    <row r="2937" spans="21:29" ht="15">
      <c r="U2937" s="236" t="s">
        <v>10398</v>
      </c>
      <c r="V2937" t="str">
        <f t="shared" si="339"/>
        <v>11</v>
      </c>
      <c r="W2937" t="str">
        <f t="shared" si="340"/>
        <v>02</v>
      </c>
      <c r="X2937" t="str">
        <f t="shared" si="341"/>
        <v>22</v>
      </c>
      <c r="Y2937" t="str">
        <f t="shared" si="337"/>
        <v>2022</v>
      </c>
      <c r="Z2937"/>
      <c r="AA2937" s="2">
        <f t="shared" si="338"/>
        <v>44603</v>
      </c>
      <c r="AB2937" t="str">
        <f t="shared" si="342"/>
        <v>11/02/2022</v>
      </c>
      <c r="AC2937"/>
    </row>
    <row r="2938" spans="21:29" ht="15">
      <c r="U2938" s="236" t="s">
        <v>10399</v>
      </c>
      <c r="V2938" t="str">
        <f t="shared" si="339"/>
        <v>11</v>
      </c>
      <c r="W2938" t="str">
        <f t="shared" si="340"/>
        <v>04</v>
      </c>
      <c r="X2938" t="str">
        <f t="shared" si="341"/>
        <v>22</v>
      </c>
      <c r="Y2938" t="str">
        <f t="shared" si="337"/>
        <v>2022</v>
      </c>
      <c r="Z2938"/>
      <c r="AA2938" s="2">
        <f t="shared" si="338"/>
        <v>44662</v>
      </c>
      <c r="AB2938" t="str">
        <f t="shared" si="342"/>
        <v>11/04/2022</v>
      </c>
      <c r="AC2938"/>
    </row>
    <row r="2939" spans="21:29" ht="15">
      <c r="U2939" s="236" t="s">
        <v>10400</v>
      </c>
      <c r="V2939" t="str">
        <f t="shared" si="339"/>
        <v>11</v>
      </c>
      <c r="W2939" t="str">
        <f t="shared" si="340"/>
        <v>05</v>
      </c>
      <c r="X2939" t="str">
        <f t="shared" si="341"/>
        <v>22</v>
      </c>
      <c r="Y2939" t="str">
        <f t="shared" si="337"/>
        <v>2022</v>
      </c>
      <c r="Z2939"/>
      <c r="AA2939" s="2">
        <f t="shared" si="338"/>
        <v>44692</v>
      </c>
      <c r="AB2939" t="str">
        <f t="shared" si="342"/>
        <v>11/05/2022</v>
      </c>
      <c r="AC2939"/>
    </row>
    <row r="2940" spans="21:29" ht="15">
      <c r="U2940" s="236" t="s">
        <v>9822</v>
      </c>
      <c r="V2940" t="str">
        <f t="shared" si="339"/>
        <v>11</v>
      </c>
      <c r="W2940" t="str">
        <f t="shared" si="340"/>
        <v>07</v>
      </c>
      <c r="X2940" t="str">
        <f t="shared" si="341"/>
        <v>22</v>
      </c>
      <c r="Y2940" t="str">
        <f t="shared" si="337"/>
        <v>2022</v>
      </c>
      <c r="Z2940"/>
      <c r="AA2940" s="2">
        <f t="shared" si="338"/>
        <v>44753</v>
      </c>
      <c r="AB2940" t="str">
        <f t="shared" si="342"/>
        <v>11/07/2022</v>
      </c>
      <c r="AC2940"/>
    </row>
    <row r="2941" spans="21:29" ht="15">
      <c r="U2941" s="236" t="s">
        <v>9822</v>
      </c>
      <c r="V2941" t="str">
        <f t="shared" si="339"/>
        <v>11</v>
      </c>
      <c r="W2941" t="str">
        <f t="shared" si="340"/>
        <v>07</v>
      </c>
      <c r="X2941" t="str">
        <f t="shared" si="341"/>
        <v>22</v>
      </c>
      <c r="Y2941" t="str">
        <f t="shared" si="337"/>
        <v>2022</v>
      </c>
      <c r="Z2941"/>
      <c r="AA2941" s="2">
        <f t="shared" si="338"/>
        <v>44753</v>
      </c>
      <c r="AB2941" t="str">
        <f t="shared" si="342"/>
        <v>11/07/2022</v>
      </c>
      <c r="AC2941"/>
    </row>
    <row r="2942" spans="21:29" ht="15">
      <c r="U2942" s="236" t="s">
        <v>10401</v>
      </c>
      <c r="V2942" t="str">
        <f t="shared" si="339"/>
        <v>11</v>
      </c>
      <c r="W2942" t="str">
        <f t="shared" si="340"/>
        <v>08</v>
      </c>
      <c r="X2942" t="str">
        <f t="shared" si="341"/>
        <v>22</v>
      </c>
      <c r="Y2942" t="str">
        <f t="shared" si="337"/>
        <v>2022</v>
      </c>
      <c r="Z2942"/>
      <c r="AA2942" s="2">
        <f t="shared" si="338"/>
        <v>44784</v>
      </c>
      <c r="AB2942" t="str">
        <f t="shared" si="342"/>
        <v>11/08/2022</v>
      </c>
      <c r="AC2942"/>
    </row>
    <row r="2943" spans="21:29" ht="15">
      <c r="U2943" s="236" t="s">
        <v>10401</v>
      </c>
      <c r="V2943" t="str">
        <f t="shared" si="339"/>
        <v>11</v>
      </c>
      <c r="W2943" t="str">
        <f t="shared" si="340"/>
        <v>08</v>
      </c>
      <c r="X2943" t="str">
        <f t="shared" si="341"/>
        <v>22</v>
      </c>
      <c r="Y2943" t="str">
        <f t="shared" si="337"/>
        <v>2022</v>
      </c>
      <c r="Z2943"/>
      <c r="AA2943" s="2">
        <f t="shared" si="338"/>
        <v>44784</v>
      </c>
      <c r="AB2943" t="str">
        <f t="shared" si="342"/>
        <v>11/08/2022</v>
      </c>
      <c r="AC2943"/>
    </row>
    <row r="2944" spans="21:29" ht="15">
      <c r="U2944" s="236" t="s">
        <v>9823</v>
      </c>
      <c r="V2944" t="str">
        <f t="shared" si="339"/>
        <v>11</v>
      </c>
      <c r="W2944" t="str">
        <f t="shared" si="340"/>
        <v>10</v>
      </c>
      <c r="X2944" t="str">
        <f t="shared" si="341"/>
        <v>22</v>
      </c>
      <c r="Y2944" t="str">
        <f t="shared" si="337"/>
        <v>2022</v>
      </c>
      <c r="Z2944"/>
      <c r="AA2944" s="2">
        <f t="shared" si="338"/>
        <v>44845</v>
      </c>
      <c r="AB2944" t="str">
        <f t="shared" si="342"/>
        <v>11/10/2022</v>
      </c>
      <c r="AC2944"/>
    </row>
    <row r="2945" spans="21:29" ht="15">
      <c r="U2945" s="236" t="s">
        <v>10402</v>
      </c>
      <c r="V2945" t="str">
        <f t="shared" si="339"/>
        <v>11</v>
      </c>
      <c r="W2945" t="str">
        <f t="shared" si="340"/>
        <v>11</v>
      </c>
      <c r="X2945" t="str">
        <f t="shared" si="341"/>
        <v>22</v>
      </c>
      <c r="Y2945" t="str">
        <f t="shared" si="337"/>
        <v>2022</v>
      </c>
      <c r="Z2945"/>
      <c r="AA2945" s="2">
        <f t="shared" si="338"/>
        <v>44876</v>
      </c>
      <c r="AB2945" t="str">
        <f t="shared" si="342"/>
        <v>11/11/2022</v>
      </c>
      <c r="AC2945"/>
    </row>
    <row r="2946" spans="21:29" ht="15">
      <c r="U2946" s="236" t="s">
        <v>10402</v>
      </c>
      <c r="V2946" t="str">
        <f t="shared" si="339"/>
        <v>11</v>
      </c>
      <c r="W2946" t="str">
        <f t="shared" si="340"/>
        <v>11</v>
      </c>
      <c r="X2946" t="str">
        <f t="shared" si="341"/>
        <v>22</v>
      </c>
      <c r="Y2946" t="str">
        <f t="shared" si="337"/>
        <v>2022</v>
      </c>
      <c r="Z2946"/>
      <c r="AA2946" s="2">
        <f t="shared" si="338"/>
        <v>44876</v>
      </c>
      <c r="AB2946" t="str">
        <f t="shared" si="342"/>
        <v>11/11/2022</v>
      </c>
      <c r="AC2946"/>
    </row>
    <row r="2947" spans="21:29" ht="15">
      <c r="U2947" s="236" t="s">
        <v>10403</v>
      </c>
      <c r="V2947" t="str">
        <f t="shared" si="339"/>
        <v>11</v>
      </c>
      <c r="W2947" t="str">
        <f t="shared" si="340"/>
        <v>12</v>
      </c>
      <c r="X2947" t="str">
        <f t="shared" si="341"/>
        <v>22</v>
      </c>
      <c r="Y2947" t="str">
        <f t="shared" ref="Y2947:Y3010" si="343">"20" &amp; X2947</f>
        <v>2022</v>
      </c>
      <c r="Z2947"/>
      <c r="AA2947" s="2">
        <f t="shared" si="338"/>
        <v>44906</v>
      </c>
      <c r="AB2947" t="str">
        <f t="shared" si="342"/>
        <v>11/12/2022</v>
      </c>
      <c r="AC2947"/>
    </row>
    <row r="2948" spans="21:29" ht="15">
      <c r="U2948" s="236" t="s">
        <v>10404</v>
      </c>
      <c r="V2948" t="str">
        <f t="shared" si="339"/>
        <v>11</v>
      </c>
      <c r="W2948" t="str">
        <f t="shared" si="340"/>
        <v>14</v>
      </c>
      <c r="X2948" t="str">
        <f t="shared" si="341"/>
        <v>22</v>
      </c>
      <c r="Y2948" t="str">
        <f t="shared" si="343"/>
        <v>2022</v>
      </c>
      <c r="Z2948"/>
      <c r="AA2948" s="2">
        <f t="shared" si="338"/>
        <v>44968</v>
      </c>
      <c r="AB2948" t="str">
        <f t="shared" si="342"/>
        <v>11/14/2022</v>
      </c>
      <c r="AC2948"/>
    </row>
    <row r="2949" spans="21:29" ht="15">
      <c r="U2949" s="236" t="s">
        <v>10404</v>
      </c>
      <c r="V2949" t="str">
        <f t="shared" si="339"/>
        <v>11</v>
      </c>
      <c r="W2949" t="str">
        <f t="shared" si="340"/>
        <v>14</v>
      </c>
      <c r="X2949" t="str">
        <f t="shared" si="341"/>
        <v>22</v>
      </c>
      <c r="Y2949" t="str">
        <f t="shared" si="343"/>
        <v>2022</v>
      </c>
      <c r="Z2949"/>
      <c r="AA2949" s="2">
        <f t="shared" si="338"/>
        <v>44968</v>
      </c>
      <c r="AB2949" t="str">
        <f t="shared" si="342"/>
        <v>11/14/2022</v>
      </c>
      <c r="AC2949"/>
    </row>
    <row r="2950" spans="21:29" ht="15">
      <c r="U2950" s="236" t="s">
        <v>10404</v>
      </c>
      <c r="V2950" t="str">
        <f t="shared" si="339"/>
        <v>11</v>
      </c>
      <c r="W2950" t="str">
        <f t="shared" si="340"/>
        <v>14</v>
      </c>
      <c r="X2950" t="str">
        <f t="shared" si="341"/>
        <v>22</v>
      </c>
      <c r="Y2950" t="str">
        <f t="shared" si="343"/>
        <v>2022</v>
      </c>
      <c r="Z2950"/>
      <c r="AA2950" s="2">
        <f t="shared" si="338"/>
        <v>44968</v>
      </c>
      <c r="AB2950" t="str">
        <f t="shared" si="342"/>
        <v>11/14/2022</v>
      </c>
      <c r="AC2950"/>
    </row>
    <row r="2951" spans="21:29" ht="15">
      <c r="U2951" s="236" t="s">
        <v>10404</v>
      </c>
      <c r="V2951" t="str">
        <f t="shared" si="339"/>
        <v>11</v>
      </c>
      <c r="W2951" t="str">
        <f t="shared" si="340"/>
        <v>14</v>
      </c>
      <c r="X2951" t="str">
        <f t="shared" si="341"/>
        <v>22</v>
      </c>
      <c r="Y2951" t="str">
        <f t="shared" si="343"/>
        <v>2022</v>
      </c>
      <c r="Z2951"/>
      <c r="AA2951" s="2">
        <f t="shared" si="338"/>
        <v>44968</v>
      </c>
      <c r="AB2951" t="str">
        <f t="shared" si="342"/>
        <v>11/14/2022</v>
      </c>
      <c r="AC2951"/>
    </row>
    <row r="2952" spans="21:29" ht="15">
      <c r="U2952" s="236" t="s">
        <v>10405</v>
      </c>
      <c r="V2952" t="str">
        <f t="shared" si="339"/>
        <v>11</v>
      </c>
      <c r="W2952" t="str">
        <f t="shared" si="340"/>
        <v>15</v>
      </c>
      <c r="X2952" t="str">
        <f t="shared" si="341"/>
        <v>22</v>
      </c>
      <c r="Y2952" t="str">
        <f t="shared" si="343"/>
        <v>2022</v>
      </c>
      <c r="Z2952"/>
      <c r="AA2952" s="2">
        <f t="shared" ref="AA2952:AA3015" si="344">DATE(Y2952,W2952,V2952)</f>
        <v>44996</v>
      </c>
      <c r="AB2952" t="str">
        <f t="shared" si="342"/>
        <v>11/15/2022</v>
      </c>
      <c r="AC2952"/>
    </row>
    <row r="2953" spans="21:29" ht="15">
      <c r="U2953" s="236" t="s">
        <v>10405</v>
      </c>
      <c r="V2953" t="str">
        <f t="shared" si="339"/>
        <v>11</v>
      </c>
      <c r="W2953" t="str">
        <f t="shared" si="340"/>
        <v>15</v>
      </c>
      <c r="X2953" t="str">
        <f t="shared" si="341"/>
        <v>22</v>
      </c>
      <c r="Y2953" t="str">
        <f t="shared" si="343"/>
        <v>2022</v>
      </c>
      <c r="Z2953"/>
      <c r="AA2953" s="2">
        <f t="shared" si="344"/>
        <v>44996</v>
      </c>
      <c r="AB2953" t="str">
        <f t="shared" si="342"/>
        <v>11/15/2022</v>
      </c>
      <c r="AC2953"/>
    </row>
    <row r="2954" spans="21:29" ht="15">
      <c r="U2954" s="236" t="s">
        <v>10405</v>
      </c>
      <c r="V2954" t="str">
        <f t="shared" si="339"/>
        <v>11</v>
      </c>
      <c r="W2954" t="str">
        <f t="shared" si="340"/>
        <v>15</v>
      </c>
      <c r="X2954" t="str">
        <f t="shared" si="341"/>
        <v>22</v>
      </c>
      <c r="Y2954" t="str">
        <f t="shared" si="343"/>
        <v>2022</v>
      </c>
      <c r="Z2954"/>
      <c r="AA2954" s="2">
        <f t="shared" si="344"/>
        <v>44996</v>
      </c>
      <c r="AB2954" t="str">
        <f t="shared" si="342"/>
        <v>11/15/2022</v>
      </c>
      <c r="AC2954"/>
    </row>
    <row r="2955" spans="21:29" ht="15">
      <c r="U2955" s="236" t="s">
        <v>10406</v>
      </c>
      <c r="V2955" t="str">
        <f t="shared" si="339"/>
        <v>11</v>
      </c>
      <c r="W2955" t="str">
        <f t="shared" si="340"/>
        <v>16</v>
      </c>
      <c r="X2955" t="str">
        <f t="shared" si="341"/>
        <v>22</v>
      </c>
      <c r="Y2955" t="str">
        <f t="shared" si="343"/>
        <v>2022</v>
      </c>
      <c r="Z2955"/>
      <c r="AA2955" s="2">
        <f t="shared" si="344"/>
        <v>45027</v>
      </c>
      <c r="AB2955" t="str">
        <f t="shared" si="342"/>
        <v>11/16/2022</v>
      </c>
      <c r="AC2955"/>
    </row>
    <row r="2956" spans="21:29" ht="15">
      <c r="U2956" s="236" t="s">
        <v>10407</v>
      </c>
      <c r="V2956" t="str">
        <f t="shared" si="339"/>
        <v>11</v>
      </c>
      <c r="W2956" t="str">
        <f t="shared" si="340"/>
        <v>17</v>
      </c>
      <c r="X2956" t="str">
        <f t="shared" si="341"/>
        <v>22</v>
      </c>
      <c r="Y2956" t="str">
        <f t="shared" si="343"/>
        <v>2022</v>
      </c>
      <c r="Z2956"/>
      <c r="AA2956" s="2">
        <f t="shared" si="344"/>
        <v>45057</v>
      </c>
      <c r="AB2956" t="str">
        <f t="shared" si="342"/>
        <v>11/17/2022</v>
      </c>
      <c r="AC2956"/>
    </row>
    <row r="2957" spans="21:29" ht="15">
      <c r="U2957" s="236" t="s">
        <v>10407</v>
      </c>
      <c r="V2957" t="str">
        <f t="shared" si="339"/>
        <v>11</v>
      </c>
      <c r="W2957" t="str">
        <f t="shared" si="340"/>
        <v>17</v>
      </c>
      <c r="X2957" t="str">
        <f t="shared" si="341"/>
        <v>22</v>
      </c>
      <c r="Y2957" t="str">
        <f t="shared" si="343"/>
        <v>2022</v>
      </c>
      <c r="Z2957"/>
      <c r="AA2957" s="2">
        <f t="shared" si="344"/>
        <v>45057</v>
      </c>
      <c r="AB2957" t="str">
        <f t="shared" si="342"/>
        <v>11/17/2022</v>
      </c>
      <c r="AC2957"/>
    </row>
    <row r="2958" spans="21:29" ht="15">
      <c r="U2958" s="236" t="s">
        <v>10407</v>
      </c>
      <c r="V2958" t="str">
        <f t="shared" si="339"/>
        <v>11</v>
      </c>
      <c r="W2958" t="str">
        <f t="shared" si="340"/>
        <v>17</v>
      </c>
      <c r="X2958" t="str">
        <f t="shared" si="341"/>
        <v>22</v>
      </c>
      <c r="Y2958" t="str">
        <f t="shared" si="343"/>
        <v>2022</v>
      </c>
      <c r="Z2958"/>
      <c r="AA2958" s="2">
        <f t="shared" si="344"/>
        <v>45057</v>
      </c>
      <c r="AB2958" t="str">
        <f t="shared" si="342"/>
        <v>11/17/2022</v>
      </c>
      <c r="AC2958"/>
    </row>
    <row r="2959" spans="21:29" ht="15">
      <c r="U2959" s="236" t="s">
        <v>10408</v>
      </c>
      <c r="V2959" t="str">
        <f t="shared" si="339"/>
        <v>11</v>
      </c>
      <c r="W2959" t="str">
        <f t="shared" si="340"/>
        <v>18</v>
      </c>
      <c r="X2959" t="str">
        <f t="shared" si="341"/>
        <v>22</v>
      </c>
      <c r="Y2959" t="str">
        <f t="shared" si="343"/>
        <v>2022</v>
      </c>
      <c r="Z2959"/>
      <c r="AA2959" s="2">
        <f t="shared" si="344"/>
        <v>45088</v>
      </c>
      <c r="AB2959" t="str">
        <f t="shared" si="342"/>
        <v>11/18/2022</v>
      </c>
      <c r="AC2959"/>
    </row>
    <row r="2960" spans="21:29" ht="15">
      <c r="U2960" s="236" t="s">
        <v>10408</v>
      </c>
      <c r="V2960" t="str">
        <f t="shared" si="339"/>
        <v>11</v>
      </c>
      <c r="W2960" t="str">
        <f t="shared" si="340"/>
        <v>18</v>
      </c>
      <c r="X2960" t="str">
        <f t="shared" si="341"/>
        <v>22</v>
      </c>
      <c r="Y2960" t="str">
        <f t="shared" si="343"/>
        <v>2022</v>
      </c>
      <c r="Z2960"/>
      <c r="AA2960" s="2">
        <f t="shared" si="344"/>
        <v>45088</v>
      </c>
      <c r="AB2960" t="str">
        <f t="shared" si="342"/>
        <v>11/18/2022</v>
      </c>
      <c r="AC2960"/>
    </row>
    <row r="2961" spans="21:29" ht="15">
      <c r="U2961" s="236" t="s">
        <v>9824</v>
      </c>
      <c r="V2961" t="str">
        <f t="shared" si="339"/>
        <v>11</v>
      </c>
      <c r="W2961" t="str">
        <f t="shared" si="340"/>
        <v>21</v>
      </c>
      <c r="X2961" t="str">
        <f t="shared" si="341"/>
        <v>22</v>
      </c>
      <c r="Y2961" t="str">
        <f t="shared" si="343"/>
        <v>2022</v>
      </c>
      <c r="Z2961"/>
      <c r="AA2961" s="2">
        <f t="shared" si="344"/>
        <v>45180</v>
      </c>
      <c r="AB2961" t="str">
        <f t="shared" si="342"/>
        <v>11/21/2022</v>
      </c>
      <c r="AC2961"/>
    </row>
    <row r="2962" spans="21:29" ht="15">
      <c r="U2962" s="236" t="s">
        <v>9824</v>
      </c>
      <c r="V2962" t="str">
        <f t="shared" si="339"/>
        <v>11</v>
      </c>
      <c r="W2962" t="str">
        <f t="shared" si="340"/>
        <v>21</v>
      </c>
      <c r="X2962" t="str">
        <f t="shared" si="341"/>
        <v>22</v>
      </c>
      <c r="Y2962" t="str">
        <f t="shared" si="343"/>
        <v>2022</v>
      </c>
      <c r="Z2962"/>
      <c r="AA2962" s="2">
        <f t="shared" si="344"/>
        <v>45180</v>
      </c>
      <c r="AB2962" t="str">
        <f t="shared" si="342"/>
        <v>11/21/2022</v>
      </c>
      <c r="AC2962"/>
    </row>
    <row r="2963" spans="21:29" ht="15">
      <c r="U2963" s="236" t="s">
        <v>10409</v>
      </c>
      <c r="V2963" t="str">
        <f t="shared" si="339"/>
        <v>11</v>
      </c>
      <c r="W2963" t="str">
        <f t="shared" si="340"/>
        <v>22</v>
      </c>
      <c r="X2963" t="str">
        <f t="shared" si="341"/>
        <v>22</v>
      </c>
      <c r="Y2963" t="str">
        <f t="shared" si="343"/>
        <v>2022</v>
      </c>
      <c r="Z2963"/>
      <c r="AA2963" s="2">
        <f t="shared" si="344"/>
        <v>45210</v>
      </c>
      <c r="AB2963" t="str">
        <f t="shared" si="342"/>
        <v>11/22/2022</v>
      </c>
      <c r="AC2963"/>
    </row>
    <row r="2964" spans="21:29" ht="15">
      <c r="U2964" s="236" t="s">
        <v>10410</v>
      </c>
      <c r="V2964" t="str">
        <f t="shared" si="339"/>
        <v>11</v>
      </c>
      <c r="W2964" t="str">
        <f t="shared" si="340"/>
        <v>24</v>
      </c>
      <c r="X2964" t="str">
        <f t="shared" si="341"/>
        <v>22</v>
      </c>
      <c r="Y2964" t="str">
        <f t="shared" si="343"/>
        <v>2022</v>
      </c>
      <c r="Z2964"/>
      <c r="AA2964" s="2">
        <f t="shared" si="344"/>
        <v>45271</v>
      </c>
      <c r="AB2964" t="str">
        <f t="shared" si="342"/>
        <v>11/24/2022</v>
      </c>
      <c r="AC2964"/>
    </row>
    <row r="2965" spans="21:29" ht="15">
      <c r="U2965" s="236" t="s">
        <v>10410</v>
      </c>
      <c r="V2965" t="str">
        <f t="shared" si="339"/>
        <v>11</v>
      </c>
      <c r="W2965" t="str">
        <f t="shared" si="340"/>
        <v>24</v>
      </c>
      <c r="X2965" t="str">
        <f t="shared" si="341"/>
        <v>22</v>
      </c>
      <c r="Y2965" t="str">
        <f t="shared" si="343"/>
        <v>2022</v>
      </c>
      <c r="Z2965"/>
      <c r="AA2965" s="2">
        <f t="shared" si="344"/>
        <v>45271</v>
      </c>
      <c r="AB2965" t="str">
        <f t="shared" si="342"/>
        <v>11/24/2022</v>
      </c>
      <c r="AC2965"/>
    </row>
    <row r="2966" spans="21:29" ht="15">
      <c r="U2966" s="236" t="s">
        <v>9825</v>
      </c>
      <c r="V2966" t="str">
        <f t="shared" si="339"/>
        <v>11</v>
      </c>
      <c r="W2966" t="str">
        <f t="shared" si="340"/>
        <v>25</v>
      </c>
      <c r="X2966" t="str">
        <f t="shared" si="341"/>
        <v>22</v>
      </c>
      <c r="Y2966" t="str">
        <f t="shared" si="343"/>
        <v>2022</v>
      </c>
      <c r="Z2966"/>
      <c r="AA2966" s="2">
        <f t="shared" si="344"/>
        <v>45302</v>
      </c>
      <c r="AB2966" t="str">
        <f t="shared" si="342"/>
        <v>11/25/2022</v>
      </c>
      <c r="AC2966"/>
    </row>
    <row r="2967" spans="21:29" ht="15">
      <c r="U2967" s="236" t="s">
        <v>9826</v>
      </c>
      <c r="V2967" t="str">
        <f t="shared" si="339"/>
        <v>11</v>
      </c>
      <c r="W2967" t="str">
        <f t="shared" si="340"/>
        <v>28</v>
      </c>
      <c r="X2967" t="str">
        <f t="shared" si="341"/>
        <v>22</v>
      </c>
      <c r="Y2967" t="str">
        <f t="shared" si="343"/>
        <v>2022</v>
      </c>
      <c r="Z2967"/>
      <c r="AA2967" s="2">
        <f t="shared" si="344"/>
        <v>45393</v>
      </c>
      <c r="AB2967" t="str">
        <f t="shared" si="342"/>
        <v>11/28/2022</v>
      </c>
      <c r="AC2967"/>
    </row>
    <row r="2968" spans="21:29" ht="15">
      <c r="U2968" s="236" t="s">
        <v>9826</v>
      </c>
      <c r="V2968" t="str">
        <f t="shared" si="339"/>
        <v>11</v>
      </c>
      <c r="W2968" t="str">
        <f t="shared" si="340"/>
        <v>28</v>
      </c>
      <c r="X2968" t="str">
        <f t="shared" si="341"/>
        <v>22</v>
      </c>
      <c r="Y2968" t="str">
        <f t="shared" si="343"/>
        <v>2022</v>
      </c>
      <c r="Z2968"/>
      <c r="AA2968" s="2">
        <f t="shared" si="344"/>
        <v>45393</v>
      </c>
      <c r="AB2968" t="str">
        <f t="shared" si="342"/>
        <v>11/28/2022</v>
      </c>
      <c r="AC2968"/>
    </row>
    <row r="2969" spans="21:29" ht="15">
      <c r="U2969" s="236" t="s">
        <v>9826</v>
      </c>
      <c r="V2969" t="str">
        <f t="shared" si="339"/>
        <v>11</v>
      </c>
      <c r="W2969" t="str">
        <f t="shared" si="340"/>
        <v>28</v>
      </c>
      <c r="X2969" t="str">
        <f t="shared" si="341"/>
        <v>22</v>
      </c>
      <c r="Y2969" t="str">
        <f t="shared" si="343"/>
        <v>2022</v>
      </c>
      <c r="Z2969"/>
      <c r="AA2969" s="2">
        <f t="shared" si="344"/>
        <v>45393</v>
      </c>
      <c r="AB2969" t="str">
        <f t="shared" si="342"/>
        <v>11/28/2022</v>
      </c>
      <c r="AC2969"/>
    </row>
    <row r="2970" spans="21:29" ht="15">
      <c r="U2970" s="236" t="s">
        <v>10411</v>
      </c>
      <c r="V2970" t="str">
        <f t="shared" si="339"/>
        <v>11</v>
      </c>
      <c r="W2970" t="str">
        <f t="shared" si="340"/>
        <v>29</v>
      </c>
      <c r="X2970" t="str">
        <f t="shared" si="341"/>
        <v>22</v>
      </c>
      <c r="Y2970" t="str">
        <f t="shared" si="343"/>
        <v>2022</v>
      </c>
      <c r="Z2970"/>
      <c r="AA2970" s="2">
        <f t="shared" si="344"/>
        <v>45423</v>
      </c>
      <c r="AB2970" t="str">
        <f t="shared" si="342"/>
        <v>11/29/2022</v>
      </c>
      <c r="AC2970"/>
    </row>
    <row r="2971" spans="21:29" ht="15">
      <c r="U2971" s="236" t="s">
        <v>10411</v>
      </c>
      <c r="V2971" t="str">
        <f t="shared" si="339"/>
        <v>11</v>
      </c>
      <c r="W2971" t="str">
        <f t="shared" si="340"/>
        <v>29</v>
      </c>
      <c r="X2971" t="str">
        <f t="shared" si="341"/>
        <v>22</v>
      </c>
      <c r="Y2971" t="str">
        <f t="shared" si="343"/>
        <v>2022</v>
      </c>
      <c r="Z2971"/>
      <c r="AA2971" s="2">
        <f t="shared" si="344"/>
        <v>45423</v>
      </c>
      <c r="AB2971" t="str">
        <f t="shared" si="342"/>
        <v>11/29/2022</v>
      </c>
      <c r="AC2971"/>
    </row>
    <row r="2972" spans="21:29" ht="15">
      <c r="U2972" s="238" t="s">
        <v>9829</v>
      </c>
      <c r="V2972" t="str">
        <f t="shared" ref="V2972:V3035" si="345">LEFT(AB2972,2)</f>
        <v>04</v>
      </c>
      <c r="W2972" t="str">
        <f t="shared" ref="W2972:W3035" si="346">MID(AB2972,4,2)</f>
        <v>03</v>
      </c>
      <c r="X2972" t="str">
        <f t="shared" ref="X2972:X3035" si="347">RIGHT(AB2972,2)</f>
        <v>22</v>
      </c>
      <c r="Y2972" t="str">
        <f t="shared" si="343"/>
        <v>2022</v>
      </c>
      <c r="Z2972"/>
      <c r="AA2972" s="2">
        <f t="shared" si="344"/>
        <v>44624</v>
      </c>
      <c r="AB2972" t="str">
        <f t="shared" ref="AB2972:AB3035" si="348">TEXT(U2972, "mm/dd/yyyy")</f>
        <v>04/03/2022</v>
      </c>
      <c r="AC2972"/>
    </row>
    <row r="2973" spans="21:29" ht="15">
      <c r="U2973" s="238" t="s">
        <v>9830</v>
      </c>
      <c r="V2973" t="str">
        <f t="shared" si="345"/>
        <v>04</v>
      </c>
      <c r="W2973" t="str">
        <f t="shared" si="346"/>
        <v>04</v>
      </c>
      <c r="X2973" t="str">
        <f t="shared" si="347"/>
        <v>22</v>
      </c>
      <c r="Y2973" t="str">
        <f t="shared" si="343"/>
        <v>2022</v>
      </c>
      <c r="Z2973"/>
      <c r="AA2973" s="2">
        <f t="shared" si="344"/>
        <v>44655</v>
      </c>
      <c r="AB2973" t="str">
        <f t="shared" si="348"/>
        <v>04/04/2022</v>
      </c>
      <c r="AC2973"/>
    </row>
    <row r="2974" spans="21:29" ht="15">
      <c r="U2974" s="238" t="s">
        <v>10412</v>
      </c>
      <c r="V2974" t="str">
        <f t="shared" si="345"/>
        <v>04</v>
      </c>
      <c r="W2974" t="str">
        <f t="shared" si="346"/>
        <v>11</v>
      </c>
      <c r="X2974" t="str">
        <f t="shared" si="347"/>
        <v>22</v>
      </c>
      <c r="Y2974" t="str">
        <f t="shared" si="343"/>
        <v>2022</v>
      </c>
      <c r="Z2974"/>
      <c r="AA2974" s="2">
        <f t="shared" si="344"/>
        <v>44869</v>
      </c>
      <c r="AB2974" t="str">
        <f t="shared" si="348"/>
        <v>04/11/2022</v>
      </c>
      <c r="AC2974"/>
    </row>
    <row r="2975" spans="21:29" ht="15">
      <c r="U2975" s="238" t="s">
        <v>9850</v>
      </c>
      <c r="V2975" t="str">
        <f t="shared" si="345"/>
        <v>05</v>
      </c>
      <c r="W2975" t="str">
        <f t="shared" si="346"/>
        <v>03</v>
      </c>
      <c r="X2975" t="str">
        <f t="shared" si="347"/>
        <v>22</v>
      </c>
      <c r="Y2975" t="str">
        <f t="shared" si="343"/>
        <v>2022</v>
      </c>
      <c r="Z2975"/>
      <c r="AA2975" s="2">
        <f t="shared" si="344"/>
        <v>44625</v>
      </c>
      <c r="AB2975" t="str">
        <f t="shared" si="348"/>
        <v>05/03/2022</v>
      </c>
      <c r="AC2975"/>
    </row>
    <row r="2976" spans="21:29" ht="15">
      <c r="U2976" s="238" t="s">
        <v>9871</v>
      </c>
      <c r="V2976" t="str">
        <f t="shared" si="345"/>
        <v>06</v>
      </c>
      <c r="W2976" t="str">
        <f t="shared" si="346"/>
        <v>02</v>
      </c>
      <c r="X2976" t="str">
        <f t="shared" si="347"/>
        <v>22</v>
      </c>
      <c r="Y2976" t="str">
        <f t="shared" si="343"/>
        <v>2022</v>
      </c>
      <c r="Z2976"/>
      <c r="AA2976" s="2">
        <f t="shared" si="344"/>
        <v>44598</v>
      </c>
      <c r="AB2976" t="str">
        <f t="shared" si="348"/>
        <v>06/02/2022</v>
      </c>
      <c r="AC2976"/>
    </row>
    <row r="2977" spans="21:29" ht="15">
      <c r="U2977" s="238" t="s">
        <v>9872</v>
      </c>
      <c r="V2977" t="str">
        <f t="shared" si="345"/>
        <v>06</v>
      </c>
      <c r="W2977" t="str">
        <f t="shared" si="346"/>
        <v>04</v>
      </c>
      <c r="X2977" t="str">
        <f t="shared" si="347"/>
        <v>22</v>
      </c>
      <c r="Y2977" t="str">
        <f t="shared" si="343"/>
        <v>2022</v>
      </c>
      <c r="Z2977"/>
      <c r="AA2977" s="2">
        <f t="shared" si="344"/>
        <v>44657</v>
      </c>
      <c r="AB2977" t="str">
        <f t="shared" si="348"/>
        <v>06/04/2022</v>
      </c>
      <c r="AC2977"/>
    </row>
    <row r="2978" spans="21:29" ht="15">
      <c r="U2978" s="238" t="s">
        <v>9895</v>
      </c>
      <c r="V2978" t="str">
        <f t="shared" si="345"/>
        <v>07</v>
      </c>
      <c r="W2978" t="str">
        <f t="shared" si="346"/>
        <v>01</v>
      </c>
      <c r="X2978" t="str">
        <f t="shared" si="347"/>
        <v>22</v>
      </c>
      <c r="Y2978" t="str">
        <f t="shared" si="343"/>
        <v>2022</v>
      </c>
      <c r="Z2978"/>
      <c r="AA2978" s="2">
        <f t="shared" si="344"/>
        <v>44568</v>
      </c>
      <c r="AB2978" t="str">
        <f t="shared" si="348"/>
        <v>07/01/2022</v>
      </c>
      <c r="AC2978"/>
    </row>
    <row r="2979" spans="21:29" ht="15">
      <c r="U2979" s="238" t="s">
        <v>9897</v>
      </c>
      <c r="V2979" t="str">
        <f t="shared" si="345"/>
        <v>07</v>
      </c>
      <c r="W2979" t="str">
        <f t="shared" si="346"/>
        <v>03</v>
      </c>
      <c r="X2979" t="str">
        <f t="shared" si="347"/>
        <v>22</v>
      </c>
      <c r="Y2979" t="str">
        <f t="shared" si="343"/>
        <v>2022</v>
      </c>
      <c r="Z2979"/>
      <c r="AA2979" s="2">
        <f t="shared" si="344"/>
        <v>44627</v>
      </c>
      <c r="AB2979" t="str">
        <f t="shared" si="348"/>
        <v>07/03/2022</v>
      </c>
      <c r="AC2979"/>
    </row>
    <row r="2980" spans="21:29" ht="15">
      <c r="U2980" s="238" t="s">
        <v>10413</v>
      </c>
      <c r="V2980" t="str">
        <f t="shared" si="345"/>
        <v>07</v>
      </c>
      <c r="W2980" t="str">
        <f t="shared" si="346"/>
        <v>05</v>
      </c>
      <c r="X2980" t="str">
        <f t="shared" si="347"/>
        <v>22</v>
      </c>
      <c r="Y2980" t="str">
        <f t="shared" si="343"/>
        <v>2022</v>
      </c>
      <c r="Z2980"/>
      <c r="AA2980" s="2">
        <f t="shared" si="344"/>
        <v>44688</v>
      </c>
      <c r="AB2980" t="str">
        <f t="shared" si="348"/>
        <v>07/05/2022</v>
      </c>
      <c r="AC2980"/>
    </row>
    <row r="2981" spans="21:29" ht="15">
      <c r="U2981" s="238" t="s">
        <v>9919</v>
      </c>
      <c r="V2981" t="str">
        <f t="shared" si="345"/>
        <v>08</v>
      </c>
      <c r="W2981" t="str">
        <f t="shared" si="346"/>
        <v>02</v>
      </c>
      <c r="X2981" t="str">
        <f t="shared" si="347"/>
        <v>22</v>
      </c>
      <c r="Y2981" t="str">
        <f t="shared" si="343"/>
        <v>2022</v>
      </c>
      <c r="Z2981"/>
      <c r="AA2981" s="2">
        <f t="shared" si="344"/>
        <v>44600</v>
      </c>
      <c r="AB2981" t="str">
        <f t="shared" si="348"/>
        <v>08/02/2022</v>
      </c>
      <c r="AC2981"/>
    </row>
    <row r="2982" spans="21:29" ht="15">
      <c r="U2982" s="238" t="s">
        <v>9920</v>
      </c>
      <c r="V2982" t="str">
        <f t="shared" si="345"/>
        <v>08</v>
      </c>
      <c r="W2982" t="str">
        <f t="shared" si="346"/>
        <v>04</v>
      </c>
      <c r="X2982" t="str">
        <f t="shared" si="347"/>
        <v>22</v>
      </c>
      <c r="Y2982" t="str">
        <f t="shared" si="343"/>
        <v>2022</v>
      </c>
      <c r="Z2982"/>
      <c r="AA2982" s="2">
        <f t="shared" si="344"/>
        <v>44659</v>
      </c>
      <c r="AB2982" t="str">
        <f t="shared" si="348"/>
        <v>08/04/2022</v>
      </c>
      <c r="AC2982"/>
    </row>
    <row r="2983" spans="21:29" ht="15">
      <c r="U2983" s="238" t="s">
        <v>10414</v>
      </c>
      <c r="V2983" t="str">
        <f t="shared" si="345"/>
        <v>08</v>
      </c>
      <c r="W2983" t="str">
        <f t="shared" si="346"/>
        <v>06</v>
      </c>
      <c r="X2983" t="str">
        <f t="shared" si="347"/>
        <v>22</v>
      </c>
      <c r="Y2983" t="str">
        <f t="shared" si="343"/>
        <v>2022</v>
      </c>
      <c r="Z2983"/>
      <c r="AA2983" s="2">
        <f t="shared" si="344"/>
        <v>44720</v>
      </c>
      <c r="AB2983" t="str">
        <f t="shared" si="348"/>
        <v>08/06/2022</v>
      </c>
      <c r="AC2983"/>
    </row>
    <row r="2984" spans="21:29" ht="15">
      <c r="U2984" s="238" t="s">
        <v>10415</v>
      </c>
      <c r="V2984" t="str">
        <f t="shared" si="345"/>
        <v>09</v>
      </c>
      <c r="W2984" t="str">
        <f t="shared" si="346"/>
        <v>03</v>
      </c>
      <c r="X2984" t="str">
        <f t="shared" si="347"/>
        <v>22</v>
      </c>
      <c r="Y2984" t="str">
        <f t="shared" si="343"/>
        <v>2022</v>
      </c>
      <c r="Z2984"/>
      <c r="AA2984" s="2">
        <f t="shared" si="344"/>
        <v>44629</v>
      </c>
      <c r="AB2984" t="str">
        <f t="shared" si="348"/>
        <v>09/03/2022</v>
      </c>
      <c r="AC2984"/>
    </row>
    <row r="2985" spans="21:29" ht="15">
      <c r="U2985" s="238" t="s">
        <v>9943</v>
      </c>
      <c r="V2985" t="str">
        <f t="shared" si="345"/>
        <v>09</v>
      </c>
      <c r="W2985" t="str">
        <f t="shared" si="346"/>
        <v>04</v>
      </c>
      <c r="X2985" t="str">
        <f t="shared" si="347"/>
        <v>22</v>
      </c>
      <c r="Y2985" t="str">
        <f t="shared" si="343"/>
        <v>2022</v>
      </c>
      <c r="Z2985"/>
      <c r="AA2985" s="2">
        <f t="shared" si="344"/>
        <v>44660</v>
      </c>
      <c r="AB2985" t="str">
        <f t="shared" si="348"/>
        <v>09/04/2022</v>
      </c>
      <c r="AC2985"/>
    </row>
    <row r="2986" spans="21:29" ht="15">
      <c r="U2986" s="238" t="s">
        <v>9945</v>
      </c>
      <c r="V2986" t="str">
        <f t="shared" si="345"/>
        <v>09</v>
      </c>
      <c r="W2986" t="str">
        <f t="shared" si="346"/>
        <v>06</v>
      </c>
      <c r="X2986" t="str">
        <f t="shared" si="347"/>
        <v>22</v>
      </c>
      <c r="Y2986" t="str">
        <f t="shared" si="343"/>
        <v>2022</v>
      </c>
      <c r="Z2986"/>
      <c r="AA2986" s="2">
        <f t="shared" si="344"/>
        <v>44721</v>
      </c>
      <c r="AB2986" t="str">
        <f t="shared" si="348"/>
        <v>09/06/2022</v>
      </c>
      <c r="AC2986"/>
    </row>
    <row r="2987" spans="21:29" ht="15">
      <c r="U2987" s="238" t="s">
        <v>9965</v>
      </c>
      <c r="V2987" t="str">
        <f t="shared" si="345"/>
        <v>10</v>
      </c>
      <c r="W2987" t="str">
        <f t="shared" si="346"/>
        <v>01</v>
      </c>
      <c r="X2987" t="str">
        <f t="shared" si="347"/>
        <v>22</v>
      </c>
      <c r="Y2987" t="str">
        <f t="shared" si="343"/>
        <v>2022</v>
      </c>
      <c r="Z2987"/>
      <c r="AA2987" s="2">
        <f t="shared" si="344"/>
        <v>44571</v>
      </c>
      <c r="AB2987" t="str">
        <f t="shared" si="348"/>
        <v>10/01/2022</v>
      </c>
      <c r="AC2987"/>
    </row>
    <row r="2988" spans="21:29" ht="15">
      <c r="U2988" s="238" t="s">
        <v>9967</v>
      </c>
      <c r="V2988" t="str">
        <f t="shared" si="345"/>
        <v>10</v>
      </c>
      <c r="W2988" t="str">
        <f t="shared" si="346"/>
        <v>03</v>
      </c>
      <c r="X2988" t="str">
        <f t="shared" si="347"/>
        <v>22</v>
      </c>
      <c r="Y2988" t="str">
        <f t="shared" si="343"/>
        <v>2022</v>
      </c>
      <c r="Z2988"/>
      <c r="AA2988" s="2">
        <f t="shared" si="344"/>
        <v>44630</v>
      </c>
      <c r="AB2988" t="str">
        <f t="shared" si="348"/>
        <v>10/03/2022</v>
      </c>
      <c r="AC2988"/>
    </row>
    <row r="2989" spans="21:29" ht="15">
      <c r="U2989" s="238" t="s">
        <v>9969</v>
      </c>
      <c r="V2989" t="str">
        <f t="shared" si="345"/>
        <v>10</v>
      </c>
      <c r="W2989" t="str">
        <f t="shared" si="346"/>
        <v>05</v>
      </c>
      <c r="X2989" t="str">
        <f t="shared" si="347"/>
        <v>22</v>
      </c>
      <c r="Y2989" t="str">
        <f t="shared" si="343"/>
        <v>2022</v>
      </c>
      <c r="Z2989"/>
      <c r="AA2989" s="2">
        <f t="shared" si="344"/>
        <v>44691</v>
      </c>
      <c r="AB2989" t="str">
        <f t="shared" si="348"/>
        <v>10/05/2022</v>
      </c>
      <c r="AC2989"/>
    </row>
    <row r="2990" spans="21:29" ht="15">
      <c r="U2990" s="238" t="s">
        <v>9970</v>
      </c>
      <c r="V2990" t="str">
        <f t="shared" si="345"/>
        <v>10</v>
      </c>
      <c r="W2990" t="str">
        <f t="shared" si="346"/>
        <v>06</v>
      </c>
      <c r="X2990" t="str">
        <f t="shared" si="347"/>
        <v>22</v>
      </c>
      <c r="Y2990" t="str">
        <f t="shared" si="343"/>
        <v>2022</v>
      </c>
      <c r="Z2990"/>
      <c r="AA2990" s="2">
        <f t="shared" si="344"/>
        <v>44722</v>
      </c>
      <c r="AB2990" t="str">
        <f t="shared" si="348"/>
        <v>10/06/2022</v>
      </c>
      <c r="AC2990"/>
    </row>
    <row r="2991" spans="21:29" ht="15">
      <c r="U2991" s="238" t="s">
        <v>9985</v>
      </c>
      <c r="V2991" t="str">
        <f t="shared" si="345"/>
        <v>11</v>
      </c>
      <c r="W2991" t="str">
        <f t="shared" si="346"/>
        <v>02</v>
      </c>
      <c r="X2991" t="str">
        <f t="shared" si="347"/>
        <v>22</v>
      </c>
      <c r="Y2991" t="str">
        <f t="shared" si="343"/>
        <v>2022</v>
      </c>
      <c r="Z2991"/>
      <c r="AA2991" s="2">
        <f t="shared" si="344"/>
        <v>44603</v>
      </c>
      <c r="AB2991" t="str">
        <f t="shared" si="348"/>
        <v>11/02/2022</v>
      </c>
      <c r="AC2991"/>
    </row>
    <row r="2992" spans="21:29" ht="15">
      <c r="U2992" s="238" t="s">
        <v>10416</v>
      </c>
      <c r="V2992" t="str">
        <f t="shared" si="345"/>
        <v>11</v>
      </c>
      <c r="W2992" t="str">
        <f t="shared" si="346"/>
        <v>04</v>
      </c>
      <c r="X2992" t="str">
        <f t="shared" si="347"/>
        <v>22</v>
      </c>
      <c r="Y2992" t="str">
        <f t="shared" si="343"/>
        <v>2022</v>
      </c>
      <c r="Z2992"/>
      <c r="AA2992" s="2">
        <f t="shared" si="344"/>
        <v>44662</v>
      </c>
      <c r="AB2992" t="str">
        <f t="shared" si="348"/>
        <v>11/04/2022</v>
      </c>
      <c r="AC2992"/>
    </row>
    <row r="2993" spans="21:29" ht="15">
      <c r="U2993" s="238" t="s">
        <v>9988</v>
      </c>
      <c r="V2993" t="str">
        <f t="shared" si="345"/>
        <v>11</v>
      </c>
      <c r="W2993" t="str">
        <f t="shared" si="346"/>
        <v>06</v>
      </c>
      <c r="X2993" t="str">
        <f t="shared" si="347"/>
        <v>22</v>
      </c>
      <c r="Y2993" t="str">
        <f t="shared" si="343"/>
        <v>2022</v>
      </c>
      <c r="Z2993"/>
      <c r="AA2993" s="2">
        <f t="shared" si="344"/>
        <v>44723</v>
      </c>
      <c r="AB2993" t="str">
        <f t="shared" si="348"/>
        <v>11/06/2022</v>
      </c>
      <c r="AC2993"/>
    </row>
    <row r="2994" spans="21:29" ht="15">
      <c r="U2994" s="236" t="s">
        <v>10006</v>
      </c>
      <c r="V2994" t="str">
        <f t="shared" si="345"/>
        <v>12</v>
      </c>
      <c r="W2994" t="str">
        <f t="shared" si="346"/>
        <v>01</v>
      </c>
      <c r="X2994" t="str">
        <f t="shared" si="347"/>
        <v>22</v>
      </c>
      <c r="Y2994" t="str">
        <f t="shared" si="343"/>
        <v>2022</v>
      </c>
      <c r="Z2994"/>
      <c r="AA2994" s="2">
        <f t="shared" si="344"/>
        <v>44573</v>
      </c>
      <c r="AB2994" t="str">
        <f t="shared" si="348"/>
        <v>12/01/2022</v>
      </c>
      <c r="AC2994"/>
    </row>
    <row r="2995" spans="21:29" ht="15">
      <c r="U2995" s="236" t="s">
        <v>10006</v>
      </c>
      <c r="V2995" t="str">
        <f t="shared" si="345"/>
        <v>12</v>
      </c>
      <c r="W2995" t="str">
        <f t="shared" si="346"/>
        <v>01</v>
      </c>
      <c r="X2995" t="str">
        <f t="shared" si="347"/>
        <v>22</v>
      </c>
      <c r="Y2995" t="str">
        <f t="shared" si="343"/>
        <v>2022</v>
      </c>
      <c r="Z2995"/>
      <c r="AA2995" s="2">
        <f t="shared" si="344"/>
        <v>44573</v>
      </c>
      <c r="AB2995" t="str">
        <f t="shared" si="348"/>
        <v>12/01/2022</v>
      </c>
      <c r="AC2995"/>
    </row>
    <row r="2996" spans="21:29" ht="15">
      <c r="U2996" s="236" t="s">
        <v>10417</v>
      </c>
      <c r="V2996" t="str">
        <f t="shared" si="345"/>
        <v>12</v>
      </c>
      <c r="W2996" t="str">
        <f t="shared" si="346"/>
        <v>02</v>
      </c>
      <c r="X2996" t="str">
        <f t="shared" si="347"/>
        <v>22</v>
      </c>
      <c r="Y2996" t="str">
        <f t="shared" si="343"/>
        <v>2022</v>
      </c>
      <c r="Z2996"/>
      <c r="AA2996" s="2">
        <f t="shared" si="344"/>
        <v>44604</v>
      </c>
      <c r="AB2996" t="str">
        <f t="shared" si="348"/>
        <v>12/02/2022</v>
      </c>
      <c r="AC2996"/>
    </row>
    <row r="2997" spans="21:29" ht="15">
      <c r="U2997" s="236" t="s">
        <v>10418</v>
      </c>
      <c r="V2997" t="str">
        <f t="shared" si="345"/>
        <v>12</v>
      </c>
      <c r="W2997" t="str">
        <f t="shared" si="346"/>
        <v>03</v>
      </c>
      <c r="X2997" t="str">
        <f t="shared" si="347"/>
        <v>22</v>
      </c>
      <c r="Y2997" t="str">
        <f t="shared" si="343"/>
        <v>2022</v>
      </c>
      <c r="Z2997"/>
      <c r="AA2997" s="2">
        <f t="shared" si="344"/>
        <v>44632</v>
      </c>
      <c r="AB2997" t="str">
        <f t="shared" si="348"/>
        <v>12/03/2022</v>
      </c>
      <c r="AC2997"/>
    </row>
    <row r="2998" spans="21:29" ht="15">
      <c r="U2998" s="236" t="s">
        <v>10418</v>
      </c>
      <c r="V2998" t="str">
        <f t="shared" si="345"/>
        <v>12</v>
      </c>
      <c r="W2998" t="str">
        <f t="shared" si="346"/>
        <v>03</v>
      </c>
      <c r="X2998" t="str">
        <f t="shared" si="347"/>
        <v>22</v>
      </c>
      <c r="Y2998" t="str">
        <f t="shared" si="343"/>
        <v>2022</v>
      </c>
      <c r="Z2998"/>
      <c r="AA2998" s="2">
        <f t="shared" si="344"/>
        <v>44632</v>
      </c>
      <c r="AB2998" t="str">
        <f t="shared" si="348"/>
        <v>12/03/2022</v>
      </c>
      <c r="AC2998"/>
    </row>
    <row r="2999" spans="21:29" ht="15">
      <c r="U2999" s="236" t="s">
        <v>10007</v>
      </c>
      <c r="V2999" t="str">
        <f t="shared" si="345"/>
        <v>12</v>
      </c>
      <c r="W2999" t="str">
        <f t="shared" si="346"/>
        <v>05</v>
      </c>
      <c r="X2999" t="str">
        <f t="shared" si="347"/>
        <v>22</v>
      </c>
      <c r="Y2999" t="str">
        <f t="shared" si="343"/>
        <v>2022</v>
      </c>
      <c r="Z2999"/>
      <c r="AA2999" s="2">
        <f t="shared" si="344"/>
        <v>44693</v>
      </c>
      <c r="AB2999" t="str">
        <f t="shared" si="348"/>
        <v>12/05/2022</v>
      </c>
      <c r="AC2999"/>
    </row>
    <row r="3000" spans="21:29" ht="15">
      <c r="U3000" s="236" t="s">
        <v>10007</v>
      </c>
      <c r="V3000" t="str">
        <f t="shared" si="345"/>
        <v>12</v>
      </c>
      <c r="W3000" t="str">
        <f t="shared" si="346"/>
        <v>05</v>
      </c>
      <c r="X3000" t="str">
        <f t="shared" si="347"/>
        <v>22</v>
      </c>
      <c r="Y3000" t="str">
        <f t="shared" si="343"/>
        <v>2022</v>
      </c>
      <c r="Z3000"/>
      <c r="AA3000" s="2">
        <f t="shared" si="344"/>
        <v>44693</v>
      </c>
      <c r="AB3000" t="str">
        <f t="shared" si="348"/>
        <v>12/05/2022</v>
      </c>
      <c r="AC3000"/>
    </row>
    <row r="3001" spans="21:29" ht="15">
      <c r="U3001" s="236" t="s">
        <v>10419</v>
      </c>
      <c r="V3001" t="str">
        <f t="shared" si="345"/>
        <v>12</v>
      </c>
      <c r="W3001" t="str">
        <f t="shared" si="346"/>
        <v>06</v>
      </c>
      <c r="X3001" t="str">
        <f t="shared" si="347"/>
        <v>22</v>
      </c>
      <c r="Y3001" t="str">
        <f t="shared" si="343"/>
        <v>2022</v>
      </c>
      <c r="Z3001"/>
      <c r="AA3001" s="2">
        <f t="shared" si="344"/>
        <v>44724</v>
      </c>
      <c r="AB3001" t="str">
        <f t="shared" si="348"/>
        <v>12/06/2022</v>
      </c>
      <c r="AC3001"/>
    </row>
    <row r="3002" spans="21:29" ht="15">
      <c r="U3002" s="236" t="s">
        <v>10420</v>
      </c>
      <c r="V3002" t="str">
        <f t="shared" si="345"/>
        <v>12</v>
      </c>
      <c r="W3002" t="str">
        <f t="shared" si="346"/>
        <v>08</v>
      </c>
      <c r="X3002" t="str">
        <f t="shared" si="347"/>
        <v>22</v>
      </c>
      <c r="Y3002" t="str">
        <f t="shared" si="343"/>
        <v>2022</v>
      </c>
      <c r="Z3002"/>
      <c r="AA3002" s="2">
        <f t="shared" si="344"/>
        <v>44785</v>
      </c>
      <c r="AB3002" t="str">
        <f t="shared" si="348"/>
        <v>12/08/2022</v>
      </c>
      <c r="AC3002"/>
    </row>
    <row r="3003" spans="21:29" ht="15">
      <c r="U3003" s="236" t="s">
        <v>10421</v>
      </c>
      <c r="V3003" t="str">
        <f t="shared" si="345"/>
        <v>12</v>
      </c>
      <c r="W3003" t="str">
        <f t="shared" si="346"/>
        <v>09</v>
      </c>
      <c r="X3003" t="str">
        <f t="shared" si="347"/>
        <v>22</v>
      </c>
      <c r="Y3003" t="str">
        <f t="shared" si="343"/>
        <v>2022</v>
      </c>
      <c r="Z3003"/>
      <c r="AA3003" s="2">
        <f t="shared" si="344"/>
        <v>44816</v>
      </c>
      <c r="AB3003" t="str">
        <f t="shared" si="348"/>
        <v>12/09/2022</v>
      </c>
      <c r="AC3003"/>
    </row>
    <row r="3004" spans="21:29" ht="15">
      <c r="U3004" s="236" t="s">
        <v>10421</v>
      </c>
      <c r="V3004" t="str">
        <f t="shared" si="345"/>
        <v>12</v>
      </c>
      <c r="W3004" t="str">
        <f t="shared" si="346"/>
        <v>09</v>
      </c>
      <c r="X3004" t="str">
        <f t="shared" si="347"/>
        <v>22</v>
      </c>
      <c r="Y3004" t="str">
        <f t="shared" si="343"/>
        <v>2022</v>
      </c>
      <c r="Z3004"/>
      <c r="AA3004" s="2">
        <f t="shared" si="344"/>
        <v>44816</v>
      </c>
      <c r="AB3004" t="str">
        <f t="shared" si="348"/>
        <v>12/09/2022</v>
      </c>
      <c r="AC3004"/>
    </row>
    <row r="3005" spans="21:29" ht="15">
      <c r="U3005" s="236" t="s">
        <v>10422</v>
      </c>
      <c r="V3005" t="str">
        <f t="shared" si="345"/>
        <v>12</v>
      </c>
      <c r="W3005" t="str">
        <f t="shared" si="346"/>
        <v>12</v>
      </c>
      <c r="X3005" t="str">
        <f t="shared" si="347"/>
        <v>22</v>
      </c>
      <c r="Y3005" t="str">
        <f t="shared" si="343"/>
        <v>2022</v>
      </c>
      <c r="Z3005"/>
      <c r="AA3005" s="2">
        <f t="shared" si="344"/>
        <v>44907</v>
      </c>
      <c r="AB3005" t="str">
        <f t="shared" si="348"/>
        <v>12/12/2022</v>
      </c>
      <c r="AC3005"/>
    </row>
    <row r="3006" spans="21:29" ht="15">
      <c r="U3006" s="236" t="s">
        <v>10422</v>
      </c>
      <c r="V3006" t="str">
        <f t="shared" si="345"/>
        <v>12</v>
      </c>
      <c r="W3006" t="str">
        <f t="shared" si="346"/>
        <v>12</v>
      </c>
      <c r="X3006" t="str">
        <f t="shared" si="347"/>
        <v>22</v>
      </c>
      <c r="Y3006" t="str">
        <f t="shared" si="343"/>
        <v>2022</v>
      </c>
      <c r="Z3006"/>
      <c r="AA3006" s="2">
        <f t="shared" si="344"/>
        <v>44907</v>
      </c>
      <c r="AB3006" t="str">
        <f t="shared" si="348"/>
        <v>12/12/2022</v>
      </c>
      <c r="AC3006"/>
    </row>
    <row r="3007" spans="21:29" ht="15">
      <c r="U3007" s="236" t="s">
        <v>10422</v>
      </c>
      <c r="V3007" t="str">
        <f t="shared" si="345"/>
        <v>12</v>
      </c>
      <c r="W3007" t="str">
        <f t="shared" si="346"/>
        <v>12</v>
      </c>
      <c r="X3007" t="str">
        <f t="shared" si="347"/>
        <v>22</v>
      </c>
      <c r="Y3007" t="str">
        <f t="shared" si="343"/>
        <v>2022</v>
      </c>
      <c r="Z3007"/>
      <c r="AA3007" s="2">
        <f t="shared" si="344"/>
        <v>44907</v>
      </c>
      <c r="AB3007" t="str">
        <f t="shared" si="348"/>
        <v>12/12/2022</v>
      </c>
      <c r="AC3007"/>
    </row>
    <row r="3008" spans="21:29" ht="15">
      <c r="U3008" s="236" t="s">
        <v>10422</v>
      </c>
      <c r="V3008" t="str">
        <f t="shared" si="345"/>
        <v>12</v>
      </c>
      <c r="W3008" t="str">
        <f t="shared" si="346"/>
        <v>12</v>
      </c>
      <c r="X3008" t="str">
        <f t="shared" si="347"/>
        <v>22</v>
      </c>
      <c r="Y3008" t="str">
        <f t="shared" si="343"/>
        <v>2022</v>
      </c>
      <c r="Z3008"/>
      <c r="AA3008" s="2">
        <f t="shared" si="344"/>
        <v>44907</v>
      </c>
      <c r="AB3008" t="str">
        <f t="shared" si="348"/>
        <v>12/12/2022</v>
      </c>
      <c r="AC3008"/>
    </row>
    <row r="3009" spans="21:29" ht="15">
      <c r="U3009" s="236" t="s">
        <v>10012</v>
      </c>
      <c r="V3009" t="str">
        <f t="shared" si="345"/>
        <v>12</v>
      </c>
      <c r="W3009" t="str">
        <f t="shared" si="346"/>
        <v>13</v>
      </c>
      <c r="X3009" t="str">
        <f t="shared" si="347"/>
        <v>22</v>
      </c>
      <c r="Y3009" t="str">
        <f t="shared" si="343"/>
        <v>2022</v>
      </c>
      <c r="Z3009"/>
      <c r="AA3009" s="2">
        <f t="shared" si="344"/>
        <v>44938</v>
      </c>
      <c r="AB3009" t="str">
        <f t="shared" si="348"/>
        <v>12/13/2022</v>
      </c>
      <c r="AC3009"/>
    </row>
    <row r="3010" spans="21:29" ht="15">
      <c r="U3010" s="236" t="s">
        <v>10013</v>
      </c>
      <c r="V3010" t="str">
        <f t="shared" si="345"/>
        <v>12</v>
      </c>
      <c r="W3010" t="str">
        <f t="shared" si="346"/>
        <v>14</v>
      </c>
      <c r="X3010" t="str">
        <f t="shared" si="347"/>
        <v>22</v>
      </c>
      <c r="Y3010" t="str">
        <f t="shared" si="343"/>
        <v>2022</v>
      </c>
      <c r="Z3010"/>
      <c r="AA3010" s="2">
        <f t="shared" si="344"/>
        <v>44969</v>
      </c>
      <c r="AB3010" t="str">
        <f t="shared" si="348"/>
        <v>12/14/2022</v>
      </c>
      <c r="AC3010"/>
    </row>
    <row r="3011" spans="21:29" ht="15">
      <c r="U3011" s="236" t="s">
        <v>10015</v>
      </c>
      <c r="V3011" t="str">
        <f t="shared" si="345"/>
        <v>12</v>
      </c>
      <c r="W3011" t="str">
        <f t="shared" si="346"/>
        <v>16</v>
      </c>
      <c r="X3011" t="str">
        <f t="shared" si="347"/>
        <v>22</v>
      </c>
      <c r="Y3011" t="str">
        <f t="shared" ref="Y3011:Y3055" si="349">"20" &amp; X3011</f>
        <v>2022</v>
      </c>
      <c r="Z3011"/>
      <c r="AA3011" s="2">
        <f t="shared" si="344"/>
        <v>45028</v>
      </c>
      <c r="AB3011" t="str">
        <f t="shared" si="348"/>
        <v>12/16/2022</v>
      </c>
      <c r="AC3011"/>
    </row>
    <row r="3012" spans="21:29" ht="15">
      <c r="U3012" s="236" t="s">
        <v>10015</v>
      </c>
      <c r="V3012" t="str">
        <f t="shared" si="345"/>
        <v>12</v>
      </c>
      <c r="W3012" t="str">
        <f t="shared" si="346"/>
        <v>16</v>
      </c>
      <c r="X3012" t="str">
        <f t="shared" si="347"/>
        <v>22</v>
      </c>
      <c r="Y3012" t="str">
        <f t="shared" si="349"/>
        <v>2022</v>
      </c>
      <c r="Z3012"/>
      <c r="AA3012" s="2">
        <f t="shared" si="344"/>
        <v>45028</v>
      </c>
      <c r="AB3012" t="str">
        <f t="shared" si="348"/>
        <v>12/16/2022</v>
      </c>
      <c r="AC3012"/>
    </row>
    <row r="3013" spans="21:29" ht="15">
      <c r="U3013" s="236" t="s">
        <v>10008</v>
      </c>
      <c r="V3013" t="str">
        <f t="shared" si="345"/>
        <v>12</v>
      </c>
      <c r="W3013" t="str">
        <f t="shared" si="346"/>
        <v>19</v>
      </c>
      <c r="X3013" t="str">
        <f t="shared" si="347"/>
        <v>22</v>
      </c>
      <c r="Y3013" t="str">
        <f t="shared" si="349"/>
        <v>2022</v>
      </c>
      <c r="Z3013"/>
      <c r="AA3013" s="2">
        <f t="shared" si="344"/>
        <v>45119</v>
      </c>
      <c r="AB3013" t="str">
        <f t="shared" si="348"/>
        <v>12/19/2022</v>
      </c>
      <c r="AC3013"/>
    </row>
    <row r="3014" spans="21:29" ht="15">
      <c r="U3014" s="236" t="s">
        <v>10008</v>
      </c>
      <c r="V3014" t="str">
        <f t="shared" si="345"/>
        <v>12</v>
      </c>
      <c r="W3014" t="str">
        <f t="shared" si="346"/>
        <v>19</v>
      </c>
      <c r="X3014" t="str">
        <f t="shared" si="347"/>
        <v>22</v>
      </c>
      <c r="Y3014" t="str">
        <f t="shared" si="349"/>
        <v>2022</v>
      </c>
      <c r="Z3014"/>
      <c r="AA3014" s="2">
        <f t="shared" si="344"/>
        <v>45119</v>
      </c>
      <c r="AB3014" t="str">
        <f t="shared" si="348"/>
        <v>12/19/2022</v>
      </c>
      <c r="AC3014"/>
    </row>
    <row r="3015" spans="21:29" ht="15">
      <c r="U3015" s="236" t="s">
        <v>10009</v>
      </c>
      <c r="V3015" t="str">
        <f t="shared" si="345"/>
        <v>12</v>
      </c>
      <c r="W3015" t="str">
        <f t="shared" si="346"/>
        <v>21</v>
      </c>
      <c r="X3015" t="str">
        <f t="shared" si="347"/>
        <v>22</v>
      </c>
      <c r="Y3015" t="str">
        <f t="shared" si="349"/>
        <v>2022</v>
      </c>
      <c r="Z3015"/>
      <c r="AA3015" s="2">
        <f t="shared" si="344"/>
        <v>45181</v>
      </c>
      <c r="AB3015" t="str">
        <f t="shared" si="348"/>
        <v>12/21/2022</v>
      </c>
      <c r="AC3015"/>
    </row>
    <row r="3016" spans="21:29" ht="15">
      <c r="U3016" s="236" t="s">
        <v>10018</v>
      </c>
      <c r="V3016" t="str">
        <f t="shared" si="345"/>
        <v>12</v>
      </c>
      <c r="W3016" t="str">
        <f t="shared" si="346"/>
        <v>22</v>
      </c>
      <c r="X3016" t="str">
        <f t="shared" si="347"/>
        <v>22</v>
      </c>
      <c r="Y3016" t="str">
        <f t="shared" si="349"/>
        <v>2022</v>
      </c>
      <c r="Z3016"/>
      <c r="AA3016" s="2">
        <f t="shared" ref="AA3016:AA3055" si="350">DATE(Y3016,W3016,V3016)</f>
        <v>45211</v>
      </c>
      <c r="AB3016" t="str">
        <f t="shared" si="348"/>
        <v>12/22/2022</v>
      </c>
      <c r="AC3016"/>
    </row>
    <row r="3017" spans="21:29" ht="15">
      <c r="U3017" s="236" t="s">
        <v>10022</v>
      </c>
      <c r="V3017" t="str">
        <f t="shared" si="345"/>
        <v>12</v>
      </c>
      <c r="W3017" t="str">
        <f t="shared" si="346"/>
        <v>26</v>
      </c>
      <c r="X3017" t="str">
        <f t="shared" si="347"/>
        <v>22</v>
      </c>
      <c r="Y3017" t="str">
        <f t="shared" si="349"/>
        <v>2022</v>
      </c>
      <c r="Z3017"/>
      <c r="AA3017" s="2">
        <f t="shared" si="350"/>
        <v>45334</v>
      </c>
      <c r="AB3017" t="str">
        <f t="shared" si="348"/>
        <v>12/26/2022</v>
      </c>
      <c r="AC3017"/>
    </row>
    <row r="3018" spans="21:29" ht="15">
      <c r="U3018" s="236" t="s">
        <v>10022</v>
      </c>
      <c r="V3018" t="str">
        <f t="shared" si="345"/>
        <v>12</v>
      </c>
      <c r="W3018" t="str">
        <f t="shared" si="346"/>
        <v>26</v>
      </c>
      <c r="X3018" t="str">
        <f t="shared" si="347"/>
        <v>22</v>
      </c>
      <c r="Y3018" t="str">
        <f t="shared" si="349"/>
        <v>2022</v>
      </c>
      <c r="Z3018"/>
      <c r="AA3018" s="2">
        <f t="shared" si="350"/>
        <v>45334</v>
      </c>
      <c r="AB3018" t="str">
        <f t="shared" si="348"/>
        <v>12/26/2022</v>
      </c>
      <c r="AC3018"/>
    </row>
    <row r="3019" spans="21:29" ht="15">
      <c r="U3019" s="236" t="s">
        <v>10022</v>
      </c>
      <c r="V3019" t="str">
        <f t="shared" si="345"/>
        <v>12</v>
      </c>
      <c r="W3019" t="str">
        <f t="shared" si="346"/>
        <v>26</v>
      </c>
      <c r="X3019" t="str">
        <f t="shared" si="347"/>
        <v>22</v>
      </c>
      <c r="Y3019" t="str">
        <f t="shared" si="349"/>
        <v>2022</v>
      </c>
      <c r="Z3019"/>
      <c r="AA3019" s="2">
        <f t="shared" si="350"/>
        <v>45334</v>
      </c>
      <c r="AB3019" t="str">
        <f t="shared" si="348"/>
        <v>12/26/2022</v>
      </c>
      <c r="AC3019"/>
    </row>
    <row r="3020" spans="21:29" ht="15">
      <c r="U3020" s="236" t="s">
        <v>10022</v>
      </c>
      <c r="V3020" t="str">
        <f t="shared" si="345"/>
        <v>12</v>
      </c>
      <c r="W3020" t="str">
        <f t="shared" si="346"/>
        <v>26</v>
      </c>
      <c r="X3020" t="str">
        <f t="shared" si="347"/>
        <v>22</v>
      </c>
      <c r="Y3020" t="str">
        <f t="shared" si="349"/>
        <v>2022</v>
      </c>
      <c r="Z3020"/>
      <c r="AA3020" s="2">
        <f t="shared" si="350"/>
        <v>45334</v>
      </c>
      <c r="AB3020" t="str">
        <f t="shared" si="348"/>
        <v>12/26/2022</v>
      </c>
      <c r="AC3020"/>
    </row>
    <row r="3021" spans="21:29" ht="15">
      <c r="U3021" s="236" t="s">
        <v>10022</v>
      </c>
      <c r="V3021" t="str">
        <f t="shared" si="345"/>
        <v>12</v>
      </c>
      <c r="W3021" t="str">
        <f t="shared" si="346"/>
        <v>26</v>
      </c>
      <c r="X3021" t="str">
        <f t="shared" si="347"/>
        <v>22</v>
      </c>
      <c r="Y3021" t="str">
        <f t="shared" si="349"/>
        <v>2022</v>
      </c>
      <c r="Z3021"/>
      <c r="AA3021" s="2">
        <f t="shared" si="350"/>
        <v>45334</v>
      </c>
      <c r="AB3021" t="str">
        <f t="shared" si="348"/>
        <v>12/26/2022</v>
      </c>
      <c r="AC3021"/>
    </row>
    <row r="3022" spans="21:29" ht="15">
      <c r="U3022" s="236" t="s">
        <v>10022</v>
      </c>
      <c r="V3022" t="str">
        <f t="shared" si="345"/>
        <v>12</v>
      </c>
      <c r="W3022" t="str">
        <f t="shared" si="346"/>
        <v>26</v>
      </c>
      <c r="X3022" t="str">
        <f t="shared" si="347"/>
        <v>22</v>
      </c>
      <c r="Y3022" t="str">
        <f t="shared" si="349"/>
        <v>2022</v>
      </c>
      <c r="Z3022"/>
      <c r="AA3022" s="2">
        <f t="shared" si="350"/>
        <v>45334</v>
      </c>
      <c r="AB3022" t="str">
        <f t="shared" si="348"/>
        <v>12/26/2022</v>
      </c>
      <c r="AC3022"/>
    </row>
    <row r="3023" spans="21:29" ht="15">
      <c r="U3023" s="236" t="s">
        <v>10010</v>
      </c>
      <c r="V3023" t="str">
        <f t="shared" si="345"/>
        <v>12</v>
      </c>
      <c r="W3023" t="str">
        <f t="shared" si="346"/>
        <v>28</v>
      </c>
      <c r="X3023" t="str">
        <f t="shared" si="347"/>
        <v>22</v>
      </c>
      <c r="Y3023" t="str">
        <f t="shared" si="349"/>
        <v>2022</v>
      </c>
      <c r="Z3023"/>
      <c r="AA3023" s="2">
        <f t="shared" si="350"/>
        <v>45394</v>
      </c>
      <c r="AB3023" t="str">
        <f t="shared" si="348"/>
        <v>12/28/2022</v>
      </c>
      <c r="AC3023"/>
    </row>
    <row r="3024" spans="21:29" ht="15">
      <c r="U3024" s="236" t="s">
        <v>10010</v>
      </c>
      <c r="V3024" t="str">
        <f t="shared" si="345"/>
        <v>12</v>
      </c>
      <c r="W3024" t="str">
        <f t="shared" si="346"/>
        <v>28</v>
      </c>
      <c r="X3024" t="str">
        <f t="shared" si="347"/>
        <v>22</v>
      </c>
      <c r="Y3024" t="str">
        <f t="shared" si="349"/>
        <v>2022</v>
      </c>
      <c r="Z3024"/>
      <c r="AA3024" s="2">
        <f t="shared" si="350"/>
        <v>45394</v>
      </c>
      <c r="AB3024" t="str">
        <f t="shared" si="348"/>
        <v>12/28/2022</v>
      </c>
      <c r="AC3024"/>
    </row>
    <row r="3025" spans="21:29" ht="15">
      <c r="U3025" s="236" t="s">
        <v>10010</v>
      </c>
      <c r="V3025" t="str">
        <f t="shared" si="345"/>
        <v>12</v>
      </c>
      <c r="W3025" t="str">
        <f t="shared" si="346"/>
        <v>28</v>
      </c>
      <c r="X3025" t="str">
        <f t="shared" si="347"/>
        <v>22</v>
      </c>
      <c r="Y3025" t="str">
        <f t="shared" si="349"/>
        <v>2022</v>
      </c>
      <c r="Z3025"/>
      <c r="AA3025" s="2">
        <f t="shared" si="350"/>
        <v>45394</v>
      </c>
      <c r="AB3025" t="str">
        <f t="shared" si="348"/>
        <v>12/28/2022</v>
      </c>
      <c r="AC3025"/>
    </row>
    <row r="3026" spans="21:29" ht="15">
      <c r="U3026" s="236" t="s">
        <v>10010</v>
      </c>
      <c r="V3026" t="str">
        <f t="shared" si="345"/>
        <v>12</v>
      </c>
      <c r="W3026" t="str">
        <f t="shared" si="346"/>
        <v>28</v>
      </c>
      <c r="X3026" t="str">
        <f t="shared" si="347"/>
        <v>22</v>
      </c>
      <c r="Y3026" t="str">
        <f t="shared" si="349"/>
        <v>2022</v>
      </c>
      <c r="Z3026"/>
      <c r="AA3026" s="2">
        <f t="shared" si="350"/>
        <v>45394</v>
      </c>
      <c r="AB3026" t="str">
        <f t="shared" si="348"/>
        <v>12/28/2022</v>
      </c>
      <c r="AC3026"/>
    </row>
    <row r="3027" spans="21:29" ht="15">
      <c r="U3027" s="236" t="s">
        <v>10010</v>
      </c>
      <c r="V3027" t="str">
        <f t="shared" si="345"/>
        <v>12</v>
      </c>
      <c r="W3027" t="str">
        <f t="shared" si="346"/>
        <v>28</v>
      </c>
      <c r="X3027" t="str">
        <f t="shared" si="347"/>
        <v>22</v>
      </c>
      <c r="Y3027" t="str">
        <f t="shared" si="349"/>
        <v>2022</v>
      </c>
      <c r="Z3027"/>
      <c r="AA3027" s="2">
        <f t="shared" si="350"/>
        <v>45394</v>
      </c>
      <c r="AB3027" t="str">
        <f t="shared" si="348"/>
        <v>12/28/2022</v>
      </c>
      <c r="AC3027"/>
    </row>
    <row r="3028" spans="21:29" ht="15">
      <c r="U3028" s="236" t="s">
        <v>10010</v>
      </c>
      <c r="V3028" t="str">
        <f t="shared" si="345"/>
        <v>12</v>
      </c>
      <c r="W3028" t="str">
        <f t="shared" si="346"/>
        <v>28</v>
      </c>
      <c r="X3028" t="str">
        <f t="shared" si="347"/>
        <v>22</v>
      </c>
      <c r="Y3028" t="str">
        <f t="shared" si="349"/>
        <v>2022</v>
      </c>
      <c r="Z3028"/>
      <c r="AA3028" s="2">
        <f t="shared" si="350"/>
        <v>45394</v>
      </c>
      <c r="AB3028" t="str">
        <f t="shared" si="348"/>
        <v>12/28/2022</v>
      </c>
      <c r="AC3028"/>
    </row>
    <row r="3029" spans="21:29" ht="15">
      <c r="U3029" s="236" t="s">
        <v>10010</v>
      </c>
      <c r="V3029" t="str">
        <f t="shared" si="345"/>
        <v>12</v>
      </c>
      <c r="W3029" t="str">
        <f t="shared" si="346"/>
        <v>28</v>
      </c>
      <c r="X3029" t="str">
        <f t="shared" si="347"/>
        <v>22</v>
      </c>
      <c r="Y3029" t="str">
        <f t="shared" si="349"/>
        <v>2022</v>
      </c>
      <c r="Z3029"/>
      <c r="AA3029" s="2">
        <f t="shared" si="350"/>
        <v>45394</v>
      </c>
      <c r="AB3029" t="str">
        <f t="shared" si="348"/>
        <v>12/28/2022</v>
      </c>
      <c r="AC3029"/>
    </row>
    <row r="3030" spans="21:29" ht="15">
      <c r="U3030" s="236" t="s">
        <v>10010</v>
      </c>
      <c r="V3030" t="str">
        <f t="shared" si="345"/>
        <v>12</v>
      </c>
      <c r="W3030" t="str">
        <f t="shared" si="346"/>
        <v>28</v>
      </c>
      <c r="X3030" t="str">
        <f t="shared" si="347"/>
        <v>22</v>
      </c>
      <c r="Y3030" t="str">
        <f t="shared" si="349"/>
        <v>2022</v>
      </c>
      <c r="Z3030"/>
      <c r="AA3030" s="2">
        <f t="shared" si="350"/>
        <v>45394</v>
      </c>
      <c r="AB3030" t="str">
        <f t="shared" si="348"/>
        <v>12/28/2022</v>
      </c>
      <c r="AC3030"/>
    </row>
    <row r="3031" spans="21:29" ht="15">
      <c r="U3031" s="236" t="s">
        <v>10010</v>
      </c>
      <c r="V3031" t="str">
        <f t="shared" si="345"/>
        <v>12</v>
      </c>
      <c r="W3031" t="str">
        <f t="shared" si="346"/>
        <v>28</v>
      </c>
      <c r="X3031" t="str">
        <f t="shared" si="347"/>
        <v>22</v>
      </c>
      <c r="Y3031" t="str">
        <f t="shared" si="349"/>
        <v>2022</v>
      </c>
      <c r="Z3031"/>
      <c r="AA3031" s="2">
        <f t="shared" si="350"/>
        <v>45394</v>
      </c>
      <c r="AB3031" t="str">
        <f t="shared" si="348"/>
        <v>12/28/2022</v>
      </c>
      <c r="AC3031"/>
    </row>
    <row r="3032" spans="21:29" ht="15">
      <c r="U3032" s="236" t="s">
        <v>10423</v>
      </c>
      <c r="V3032" t="str">
        <f t="shared" si="345"/>
        <v>12</v>
      </c>
      <c r="W3032" t="str">
        <f t="shared" si="346"/>
        <v>29</v>
      </c>
      <c r="X3032" t="str">
        <f t="shared" si="347"/>
        <v>22</v>
      </c>
      <c r="Y3032" t="str">
        <f t="shared" si="349"/>
        <v>2022</v>
      </c>
      <c r="Z3032"/>
      <c r="AA3032" s="2">
        <f t="shared" si="350"/>
        <v>45424</v>
      </c>
      <c r="AB3032" t="str">
        <f t="shared" si="348"/>
        <v>12/29/2022</v>
      </c>
      <c r="AC3032"/>
    </row>
    <row r="3033" spans="21:29" ht="15">
      <c r="U3033" s="236" t="s">
        <v>10423</v>
      </c>
      <c r="V3033" t="str">
        <f t="shared" si="345"/>
        <v>12</v>
      </c>
      <c r="W3033" t="str">
        <f t="shared" si="346"/>
        <v>29</v>
      </c>
      <c r="X3033" t="str">
        <f t="shared" si="347"/>
        <v>22</v>
      </c>
      <c r="Y3033" t="str">
        <f t="shared" si="349"/>
        <v>2022</v>
      </c>
      <c r="Z3033"/>
      <c r="AA3033" s="2">
        <f t="shared" si="350"/>
        <v>45424</v>
      </c>
      <c r="AB3033" t="str">
        <f t="shared" si="348"/>
        <v>12/29/2022</v>
      </c>
      <c r="AC3033"/>
    </row>
    <row r="3034" spans="21:29" ht="15">
      <c r="U3034" s="236" t="s">
        <v>10011</v>
      </c>
      <c r="V3034" t="str">
        <f t="shared" si="345"/>
        <v>12</v>
      </c>
      <c r="W3034" t="str">
        <f t="shared" si="346"/>
        <v>31</v>
      </c>
      <c r="X3034" t="str">
        <f t="shared" si="347"/>
        <v>22</v>
      </c>
      <c r="Y3034" t="str">
        <f t="shared" si="349"/>
        <v>2022</v>
      </c>
      <c r="Z3034"/>
      <c r="AA3034" s="2">
        <f t="shared" si="350"/>
        <v>45485</v>
      </c>
      <c r="AB3034" t="str">
        <f t="shared" si="348"/>
        <v>12/31/2022</v>
      </c>
      <c r="AC3034"/>
    </row>
    <row r="3035" spans="21:29" ht="15">
      <c r="U3035" s="236" t="s">
        <v>10011</v>
      </c>
      <c r="V3035" t="str">
        <f t="shared" si="345"/>
        <v>12</v>
      </c>
      <c r="W3035" t="str">
        <f t="shared" si="346"/>
        <v>31</v>
      </c>
      <c r="X3035" t="str">
        <f t="shared" si="347"/>
        <v>22</v>
      </c>
      <c r="Y3035" t="str">
        <f t="shared" si="349"/>
        <v>2022</v>
      </c>
      <c r="Z3035"/>
      <c r="AA3035" s="2">
        <f t="shared" si="350"/>
        <v>45485</v>
      </c>
      <c r="AB3035" t="str">
        <f t="shared" si="348"/>
        <v>12/31/2022</v>
      </c>
      <c r="AC3035"/>
    </row>
    <row r="3036" spans="21:29" ht="15">
      <c r="U3036" s="243">
        <v>44693</v>
      </c>
      <c r="V3036" t="str">
        <f t="shared" ref="V3036:V3055" si="351">LEFT(AB3036,2)</f>
        <v>05</v>
      </c>
      <c r="W3036" t="str">
        <f t="shared" ref="W3036:W3055" si="352">MID(AB3036,4,2)</f>
        <v>12</v>
      </c>
      <c r="X3036" t="str">
        <f t="shared" ref="X3036:X3055" si="353">RIGHT(AB3036,2)</f>
        <v>22</v>
      </c>
      <c r="Y3036" t="str">
        <f t="shared" si="349"/>
        <v>2022</v>
      </c>
      <c r="Z3036"/>
      <c r="AA3036" s="2">
        <f t="shared" si="350"/>
        <v>44900</v>
      </c>
      <c r="AB3036" t="str">
        <f t="shared" ref="AB3036:AB3055" si="354">TEXT(U3036, "mm/dd/yyyy")</f>
        <v>05/12/2022</v>
      </c>
      <c r="AC3036"/>
    </row>
    <row r="3037" spans="21:29" ht="15">
      <c r="U3037" s="243">
        <v>44724</v>
      </c>
      <c r="V3037" t="str">
        <f t="shared" si="351"/>
        <v>06</v>
      </c>
      <c r="W3037" t="str">
        <f t="shared" si="352"/>
        <v>12</v>
      </c>
      <c r="X3037" t="str">
        <f t="shared" si="353"/>
        <v>22</v>
      </c>
      <c r="Y3037" t="str">
        <f t="shared" si="349"/>
        <v>2022</v>
      </c>
      <c r="Z3037"/>
      <c r="AA3037" s="2">
        <f t="shared" si="350"/>
        <v>44901</v>
      </c>
      <c r="AB3037" t="str">
        <f t="shared" si="354"/>
        <v>06/12/2022</v>
      </c>
      <c r="AC3037"/>
    </row>
    <row r="3038" spans="21:29" ht="15">
      <c r="U3038" s="243">
        <v>44927</v>
      </c>
      <c r="V3038" t="str">
        <f t="shared" si="351"/>
        <v>01</v>
      </c>
      <c r="W3038" t="str">
        <f t="shared" si="352"/>
        <v>01</v>
      </c>
      <c r="X3038" t="str">
        <f t="shared" si="353"/>
        <v>23</v>
      </c>
      <c r="Y3038" t="str">
        <f t="shared" si="349"/>
        <v>2023</v>
      </c>
      <c r="Z3038"/>
      <c r="AA3038" s="2">
        <f t="shared" si="350"/>
        <v>44927</v>
      </c>
      <c r="AB3038" t="str">
        <f t="shared" si="354"/>
        <v>01/01/2023</v>
      </c>
      <c r="AC3038"/>
    </row>
    <row r="3039" spans="21:29" ht="15">
      <c r="U3039" s="232" t="s">
        <v>10424</v>
      </c>
      <c r="V3039" t="str">
        <f t="shared" si="351"/>
        <v>01</v>
      </c>
      <c r="W3039" t="str">
        <f t="shared" si="352"/>
        <v>16</v>
      </c>
      <c r="X3039" t="str">
        <f t="shared" si="353"/>
        <v>23</v>
      </c>
      <c r="Y3039" t="str">
        <f t="shared" si="349"/>
        <v>2023</v>
      </c>
      <c r="Z3039"/>
      <c r="AA3039" s="2">
        <f t="shared" si="350"/>
        <v>45383</v>
      </c>
      <c r="AB3039" t="str">
        <f t="shared" si="354"/>
        <v>01/16/2023</v>
      </c>
      <c r="AC3039"/>
    </row>
    <row r="3040" spans="21:29" ht="15">
      <c r="U3040" s="232" t="s">
        <v>10424</v>
      </c>
      <c r="V3040" t="str">
        <f t="shared" si="351"/>
        <v>01</v>
      </c>
      <c r="W3040" t="str">
        <f t="shared" si="352"/>
        <v>16</v>
      </c>
      <c r="X3040" t="str">
        <f t="shared" si="353"/>
        <v>23</v>
      </c>
      <c r="Y3040" t="str">
        <f t="shared" si="349"/>
        <v>2023</v>
      </c>
      <c r="Z3040"/>
      <c r="AA3040" s="2">
        <f t="shared" si="350"/>
        <v>45383</v>
      </c>
      <c r="AB3040" t="str">
        <f t="shared" si="354"/>
        <v>01/16/2023</v>
      </c>
      <c r="AC3040"/>
    </row>
    <row r="3041" spans="21:29" ht="15">
      <c r="U3041" s="232" t="s">
        <v>10424</v>
      </c>
      <c r="V3041" t="str">
        <f t="shared" si="351"/>
        <v>01</v>
      </c>
      <c r="W3041" t="str">
        <f t="shared" si="352"/>
        <v>16</v>
      </c>
      <c r="X3041" t="str">
        <f t="shared" si="353"/>
        <v>23</v>
      </c>
      <c r="Y3041" t="str">
        <f t="shared" si="349"/>
        <v>2023</v>
      </c>
      <c r="Z3041"/>
      <c r="AA3041" s="2">
        <f t="shared" si="350"/>
        <v>45383</v>
      </c>
      <c r="AB3041" t="str">
        <f t="shared" si="354"/>
        <v>01/16/2023</v>
      </c>
      <c r="AC3041"/>
    </row>
    <row r="3042" spans="21:29" ht="15">
      <c r="U3042" s="232" t="s">
        <v>10425</v>
      </c>
      <c r="V3042" t="str">
        <f t="shared" si="351"/>
        <v>01</v>
      </c>
      <c r="W3042" t="str">
        <f t="shared" si="352"/>
        <v>18</v>
      </c>
      <c r="X3042" t="str">
        <f t="shared" si="353"/>
        <v>23</v>
      </c>
      <c r="Y3042" t="str">
        <f t="shared" si="349"/>
        <v>2023</v>
      </c>
      <c r="Z3042"/>
      <c r="AA3042" s="2">
        <f t="shared" si="350"/>
        <v>45444</v>
      </c>
      <c r="AB3042" t="str">
        <f t="shared" si="354"/>
        <v>01/18/2023</v>
      </c>
      <c r="AC3042"/>
    </row>
    <row r="3043" spans="21:29" ht="15">
      <c r="U3043" s="232" t="s">
        <v>10426</v>
      </c>
      <c r="V3043" t="str">
        <f t="shared" si="351"/>
        <v>01</v>
      </c>
      <c r="W3043" t="str">
        <f t="shared" si="352"/>
        <v>19</v>
      </c>
      <c r="X3043" t="str">
        <f t="shared" si="353"/>
        <v>23</v>
      </c>
      <c r="Y3043" t="str">
        <f t="shared" si="349"/>
        <v>2023</v>
      </c>
      <c r="Z3043"/>
      <c r="AA3043" s="2">
        <f t="shared" si="350"/>
        <v>45474</v>
      </c>
      <c r="AB3043" t="str">
        <f t="shared" si="354"/>
        <v>01/19/2023</v>
      </c>
      <c r="AC3043"/>
    </row>
    <row r="3044" spans="21:29" ht="15">
      <c r="U3044" s="232" t="s">
        <v>10426</v>
      </c>
      <c r="V3044" t="str">
        <f t="shared" si="351"/>
        <v>01</v>
      </c>
      <c r="W3044" t="str">
        <f t="shared" si="352"/>
        <v>19</v>
      </c>
      <c r="X3044" t="str">
        <f t="shared" si="353"/>
        <v>23</v>
      </c>
      <c r="Y3044" t="str">
        <f t="shared" si="349"/>
        <v>2023</v>
      </c>
      <c r="Z3044"/>
      <c r="AA3044" s="2">
        <f t="shared" si="350"/>
        <v>45474</v>
      </c>
      <c r="AB3044" t="str">
        <f t="shared" si="354"/>
        <v>01/19/2023</v>
      </c>
      <c r="AC3044"/>
    </row>
    <row r="3045" spans="21:29" ht="15">
      <c r="U3045" s="232" t="s">
        <v>10427</v>
      </c>
      <c r="V3045" t="str">
        <f t="shared" si="351"/>
        <v>01</v>
      </c>
      <c r="W3045" t="str">
        <f t="shared" si="352"/>
        <v>20</v>
      </c>
      <c r="X3045" t="str">
        <f t="shared" si="353"/>
        <v>23</v>
      </c>
      <c r="Y3045" t="str">
        <f t="shared" si="349"/>
        <v>2023</v>
      </c>
      <c r="Z3045"/>
      <c r="AA3045" s="2">
        <f t="shared" si="350"/>
        <v>45505</v>
      </c>
      <c r="AB3045" t="str">
        <f t="shared" si="354"/>
        <v>01/20/2023</v>
      </c>
      <c r="AC3045"/>
    </row>
    <row r="3046" spans="21:29" ht="15">
      <c r="U3046" s="232" t="s">
        <v>10428</v>
      </c>
      <c r="V3046" t="str">
        <f t="shared" si="351"/>
        <v>01</v>
      </c>
      <c r="W3046" t="str">
        <f t="shared" si="352"/>
        <v>21</v>
      </c>
      <c r="X3046" t="str">
        <f t="shared" si="353"/>
        <v>23</v>
      </c>
      <c r="Y3046" t="str">
        <f t="shared" si="349"/>
        <v>2023</v>
      </c>
      <c r="Z3046"/>
      <c r="AA3046" s="2">
        <f t="shared" si="350"/>
        <v>45536</v>
      </c>
      <c r="AB3046" t="str">
        <f t="shared" si="354"/>
        <v>01/21/2023</v>
      </c>
      <c r="AC3046"/>
    </row>
    <row r="3047" spans="21:29" ht="15">
      <c r="U3047" s="232" t="s">
        <v>10428</v>
      </c>
      <c r="V3047" t="str">
        <f t="shared" si="351"/>
        <v>01</v>
      </c>
      <c r="W3047" t="str">
        <f t="shared" si="352"/>
        <v>21</v>
      </c>
      <c r="X3047" t="str">
        <f t="shared" si="353"/>
        <v>23</v>
      </c>
      <c r="Y3047" t="str">
        <f t="shared" si="349"/>
        <v>2023</v>
      </c>
      <c r="Z3047"/>
      <c r="AA3047" s="2">
        <f t="shared" si="350"/>
        <v>45536</v>
      </c>
      <c r="AB3047" t="str">
        <f t="shared" si="354"/>
        <v>01/21/2023</v>
      </c>
      <c r="AC3047"/>
    </row>
    <row r="3048" spans="21:29" ht="15">
      <c r="U3048" s="232" t="s">
        <v>10429</v>
      </c>
      <c r="V3048" t="str">
        <f t="shared" si="351"/>
        <v>01</v>
      </c>
      <c r="W3048" t="str">
        <f t="shared" si="352"/>
        <v>23</v>
      </c>
      <c r="X3048" t="str">
        <f t="shared" si="353"/>
        <v>23</v>
      </c>
      <c r="Y3048" t="str">
        <f t="shared" si="349"/>
        <v>2023</v>
      </c>
      <c r="Z3048"/>
      <c r="AA3048" s="2">
        <f t="shared" si="350"/>
        <v>45597</v>
      </c>
      <c r="AB3048" t="str">
        <f t="shared" si="354"/>
        <v>01/23/2023</v>
      </c>
      <c r="AC3048"/>
    </row>
    <row r="3049" spans="21:29" ht="15">
      <c r="U3049" s="232" t="s">
        <v>10429</v>
      </c>
      <c r="V3049" t="str">
        <f t="shared" si="351"/>
        <v>01</v>
      </c>
      <c r="W3049" t="str">
        <f t="shared" si="352"/>
        <v>23</v>
      </c>
      <c r="X3049" t="str">
        <f t="shared" si="353"/>
        <v>23</v>
      </c>
      <c r="Y3049" t="str">
        <f t="shared" si="349"/>
        <v>2023</v>
      </c>
      <c r="Z3049"/>
      <c r="AA3049" s="2">
        <f t="shared" si="350"/>
        <v>45597</v>
      </c>
      <c r="AB3049" t="str">
        <f t="shared" si="354"/>
        <v>01/23/2023</v>
      </c>
      <c r="AC3049"/>
    </row>
    <row r="3050" spans="21:29" ht="15">
      <c r="U3050" s="232" t="s">
        <v>10430</v>
      </c>
      <c r="V3050" t="str">
        <f t="shared" si="351"/>
        <v>01</v>
      </c>
      <c r="W3050" t="str">
        <f t="shared" si="352"/>
        <v>25</v>
      </c>
      <c r="X3050" t="str">
        <f t="shared" si="353"/>
        <v>23</v>
      </c>
      <c r="Y3050" t="str">
        <f t="shared" si="349"/>
        <v>2023</v>
      </c>
      <c r="Z3050"/>
      <c r="AA3050" s="2">
        <f t="shared" si="350"/>
        <v>45658</v>
      </c>
      <c r="AB3050" t="str">
        <f t="shared" si="354"/>
        <v>01/25/2023</v>
      </c>
      <c r="AC3050"/>
    </row>
    <row r="3051" spans="21:29" ht="15">
      <c r="U3051" s="232" t="s">
        <v>10431</v>
      </c>
      <c r="V3051" t="str">
        <f t="shared" si="351"/>
        <v>01</v>
      </c>
      <c r="W3051" t="str">
        <f t="shared" si="352"/>
        <v>27</v>
      </c>
      <c r="X3051" t="str">
        <f t="shared" si="353"/>
        <v>23</v>
      </c>
      <c r="Y3051" t="str">
        <f t="shared" si="349"/>
        <v>2023</v>
      </c>
      <c r="Z3051"/>
      <c r="AA3051" s="2">
        <f t="shared" si="350"/>
        <v>45717</v>
      </c>
      <c r="AB3051" t="str">
        <f t="shared" si="354"/>
        <v>01/27/2023</v>
      </c>
      <c r="AC3051"/>
    </row>
    <row r="3052" spans="21:29" ht="15">
      <c r="U3052" s="232" t="s">
        <v>10432</v>
      </c>
      <c r="V3052" t="str">
        <f t="shared" si="351"/>
        <v>01</v>
      </c>
      <c r="W3052" t="str">
        <f t="shared" si="352"/>
        <v>28</v>
      </c>
      <c r="X3052" t="str">
        <f t="shared" si="353"/>
        <v>23</v>
      </c>
      <c r="Y3052" t="str">
        <f t="shared" si="349"/>
        <v>2023</v>
      </c>
      <c r="Z3052"/>
      <c r="AA3052" s="2">
        <f t="shared" si="350"/>
        <v>45748</v>
      </c>
      <c r="AB3052" t="str">
        <f t="shared" si="354"/>
        <v>01/28/2023</v>
      </c>
      <c r="AC3052"/>
    </row>
    <row r="3053" spans="21:29" ht="15">
      <c r="U3053" s="232" t="s">
        <v>10433</v>
      </c>
      <c r="V3053" t="str">
        <f t="shared" si="351"/>
        <v>01</v>
      </c>
      <c r="W3053" t="str">
        <f t="shared" si="352"/>
        <v>30</v>
      </c>
      <c r="X3053" t="str">
        <f t="shared" si="353"/>
        <v>23</v>
      </c>
      <c r="Y3053" t="str">
        <f t="shared" si="349"/>
        <v>2023</v>
      </c>
      <c r="Z3053"/>
      <c r="AA3053" s="2">
        <f t="shared" si="350"/>
        <v>45809</v>
      </c>
      <c r="AB3053" t="str">
        <f t="shared" si="354"/>
        <v>01/30/2023</v>
      </c>
      <c r="AC3053"/>
    </row>
    <row r="3054" spans="21:29" ht="15">
      <c r="U3054" s="232" t="s">
        <v>10433</v>
      </c>
      <c r="V3054" t="str">
        <f t="shared" si="351"/>
        <v>01</v>
      </c>
      <c r="W3054" t="str">
        <f t="shared" si="352"/>
        <v>30</v>
      </c>
      <c r="X3054" t="str">
        <f t="shared" si="353"/>
        <v>23</v>
      </c>
      <c r="Y3054" t="str">
        <f t="shared" si="349"/>
        <v>2023</v>
      </c>
      <c r="Z3054"/>
      <c r="AA3054" s="2">
        <f t="shared" si="350"/>
        <v>45809</v>
      </c>
      <c r="AB3054" t="str">
        <f t="shared" si="354"/>
        <v>01/30/2023</v>
      </c>
      <c r="AC3054"/>
    </row>
    <row r="3055" spans="21:29" ht="15">
      <c r="U3055" s="232" t="s">
        <v>10433</v>
      </c>
      <c r="V3055" t="str">
        <f t="shared" si="351"/>
        <v>01</v>
      </c>
      <c r="W3055" t="str">
        <f t="shared" si="352"/>
        <v>30</v>
      </c>
      <c r="X3055" t="str">
        <f t="shared" si="353"/>
        <v>23</v>
      </c>
      <c r="Y3055" t="str">
        <f t="shared" si="349"/>
        <v>2023</v>
      </c>
      <c r="Z3055"/>
      <c r="AA3055" s="2">
        <f t="shared" si="350"/>
        <v>45809</v>
      </c>
      <c r="AB3055" t="str">
        <f t="shared" si="354"/>
        <v>01/30/2023</v>
      </c>
      <c r="AC3055"/>
    </row>
  </sheetData>
  <pageMargins left="0.7" right="0.7" top="0.75" bottom="0.75" header="0.3" footer="0.3"/>
  <pageSetup orientation="portrait" r:id="rId1"/>
</worksheet>
</file>

<file path=xl/worksheets/sheet1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sheetPr>
    <tabColor rgb="FF92D050"/>
  </sheetPr>
  <dimension ref="B1:AJ39"/>
  <sheetViews>
    <sheetView topLeftCell="J5" workbookViewId="0">
      <selection activeCell="AJ33" sqref="AJ33"/>
    </sheetView>
  </sheetViews>
  <sheetFormatPr defaultRowHeight="15"/>
  <cols>
    <col min="1" max="1" width="3.42578125" customWidth="1"/>
    <col min="5" max="5" width="4.5703125" customWidth="1"/>
    <col min="21" max="21" width="19.140625" customWidth="1"/>
    <col min="23" max="23" width="11.28515625" bestFit="1" customWidth="1"/>
    <col min="24" max="26" width="9.5703125" bestFit="1" customWidth="1"/>
    <col min="27" max="27" width="10.5703125" bestFit="1" customWidth="1"/>
    <col min="28" max="35" width="9.5703125" bestFit="1" customWidth="1"/>
    <col min="36" max="36" width="10.5703125" bestFit="1" customWidth="1"/>
  </cols>
  <sheetData>
    <row r="1" spans="2:36">
      <c r="B1" s="55" t="s">
        <v>1051</v>
      </c>
      <c r="C1" s="55" t="s">
        <v>925</v>
      </c>
      <c r="D1" s="55" t="s">
        <v>926</v>
      </c>
      <c r="H1" s="57" t="s">
        <v>1120</v>
      </c>
      <c r="I1" s="57" t="s">
        <v>1121</v>
      </c>
      <c r="J1" s="57" t="s">
        <v>1122</v>
      </c>
      <c r="K1" s="57" t="s">
        <v>1123</v>
      </c>
      <c r="L1" s="57" t="s">
        <v>1124</v>
      </c>
      <c r="M1" s="57" t="s">
        <v>1125</v>
      </c>
      <c r="N1" s="57" t="s">
        <v>1126</v>
      </c>
      <c r="O1" s="57" t="s">
        <v>1127</v>
      </c>
      <c r="P1" s="57" t="s">
        <v>1128</v>
      </c>
      <c r="Q1" s="57" t="s">
        <v>1129</v>
      </c>
      <c r="R1" s="57" t="s">
        <v>1130</v>
      </c>
      <c r="S1" s="57" t="s">
        <v>1131</v>
      </c>
      <c r="U1" s="207" t="s">
        <v>10434</v>
      </c>
      <c r="X1" t="s">
        <v>1120</v>
      </c>
      <c r="Y1" t="s">
        <v>1121</v>
      </c>
      <c r="Z1" t="s">
        <v>1122</v>
      </c>
      <c r="AA1" t="s">
        <v>1123</v>
      </c>
      <c r="AB1" t="s">
        <v>1124</v>
      </c>
      <c r="AC1" t="s">
        <v>1125</v>
      </c>
      <c r="AD1" t="s">
        <v>1126</v>
      </c>
      <c r="AE1" t="s">
        <v>1127</v>
      </c>
      <c r="AF1" t="s">
        <v>1128</v>
      </c>
      <c r="AG1" t="s">
        <v>1129</v>
      </c>
      <c r="AH1" t="s">
        <v>1130</v>
      </c>
      <c r="AI1" t="s">
        <v>1131</v>
      </c>
    </row>
    <row r="2" spans="2:36">
      <c r="B2" s="55" t="s">
        <v>1120</v>
      </c>
      <c r="C2" s="55">
        <f>H6</f>
        <v>151757</v>
      </c>
      <c r="D2" s="55">
        <f>H11</f>
        <v>0</v>
      </c>
      <c r="F2" t="s">
        <v>925</v>
      </c>
      <c r="G2" t="s">
        <v>959</v>
      </c>
      <c r="H2">
        <f>1891+3731+25130</f>
        <v>30752</v>
      </c>
      <c r="K2">
        <f>680594+30626</f>
        <v>711220</v>
      </c>
      <c r="L2">
        <v>270570</v>
      </c>
      <c r="V2" t="s">
        <v>925</v>
      </c>
      <c r="W2" t="s">
        <v>959</v>
      </c>
      <c r="X2">
        <v>30752</v>
      </c>
      <c r="AA2">
        <v>711220</v>
      </c>
      <c r="AB2">
        <v>270570</v>
      </c>
    </row>
    <row r="3" spans="2:36">
      <c r="B3" s="55" t="s">
        <v>1121</v>
      </c>
      <c r="C3" s="55">
        <f>I6</f>
        <v>4000</v>
      </c>
      <c r="D3" s="55">
        <f>I11</f>
        <v>59138</v>
      </c>
      <c r="F3" t="s">
        <v>925</v>
      </c>
      <c r="G3" t="s">
        <v>1050</v>
      </c>
      <c r="H3">
        <v>117005</v>
      </c>
      <c r="M3">
        <v>300000</v>
      </c>
      <c r="N3">
        <v>400000</v>
      </c>
      <c r="R3">
        <v>300000</v>
      </c>
      <c r="V3" t="s">
        <v>925</v>
      </c>
      <c r="W3" t="s">
        <v>1050</v>
      </c>
      <c r="X3">
        <v>9990</v>
      </c>
      <c r="Y3">
        <v>9990</v>
      </c>
      <c r="Z3">
        <v>9990</v>
      </c>
      <c r="AA3">
        <v>9990</v>
      </c>
      <c r="AB3">
        <v>9990</v>
      </c>
      <c r="AC3">
        <v>9990</v>
      </c>
      <c r="AD3">
        <v>9990</v>
      </c>
      <c r="AE3">
        <v>9990</v>
      </c>
      <c r="AF3">
        <v>9990</v>
      </c>
      <c r="AG3">
        <v>9990</v>
      </c>
      <c r="AH3">
        <v>9990</v>
      </c>
      <c r="AI3">
        <v>9990</v>
      </c>
    </row>
    <row r="4" spans="2:36">
      <c r="B4" s="55" t="s">
        <v>1122</v>
      </c>
      <c r="C4" s="55">
        <f>J6</f>
        <v>4000</v>
      </c>
      <c r="D4" s="55">
        <f>J11</f>
        <v>0</v>
      </c>
      <c r="F4" t="s">
        <v>925</v>
      </c>
      <c r="G4" t="s">
        <v>10435</v>
      </c>
      <c r="H4">
        <v>4000</v>
      </c>
      <c r="I4">
        <v>4000</v>
      </c>
      <c r="J4">
        <v>4000</v>
      </c>
      <c r="K4">
        <v>4000</v>
      </c>
      <c r="L4">
        <v>4000</v>
      </c>
      <c r="M4">
        <v>4000</v>
      </c>
      <c r="N4">
        <v>4000</v>
      </c>
      <c r="O4">
        <v>4000</v>
      </c>
      <c r="P4">
        <v>4000</v>
      </c>
      <c r="Q4">
        <v>4000</v>
      </c>
      <c r="R4">
        <v>4000</v>
      </c>
      <c r="S4">
        <v>4000</v>
      </c>
      <c r="V4" t="s">
        <v>925</v>
      </c>
      <c r="W4" t="s">
        <v>1050</v>
      </c>
      <c r="X4">
        <f>25000+33333</f>
        <v>58333</v>
      </c>
      <c r="Y4">
        <f t="shared" ref="Y4:AI4" si="0">25000+33333</f>
        <v>58333</v>
      </c>
      <c r="Z4">
        <f t="shared" si="0"/>
        <v>58333</v>
      </c>
      <c r="AA4">
        <f t="shared" si="0"/>
        <v>58333</v>
      </c>
      <c r="AB4">
        <f t="shared" si="0"/>
        <v>58333</v>
      </c>
      <c r="AC4">
        <f t="shared" si="0"/>
        <v>58333</v>
      </c>
      <c r="AD4">
        <f t="shared" si="0"/>
        <v>58333</v>
      </c>
      <c r="AE4">
        <f t="shared" si="0"/>
        <v>58333</v>
      </c>
      <c r="AF4">
        <f t="shared" si="0"/>
        <v>58333</v>
      </c>
      <c r="AG4">
        <f t="shared" si="0"/>
        <v>58333</v>
      </c>
      <c r="AH4">
        <f t="shared" si="0"/>
        <v>58333</v>
      </c>
      <c r="AI4">
        <f t="shared" si="0"/>
        <v>58333</v>
      </c>
    </row>
    <row r="5" spans="2:36">
      <c r="B5" s="55" t="s">
        <v>1123</v>
      </c>
      <c r="C5" s="55">
        <f>K6</f>
        <v>865220</v>
      </c>
      <c r="D5" s="55">
        <f>K11</f>
        <v>874180</v>
      </c>
      <c r="F5" t="s">
        <v>925</v>
      </c>
      <c r="G5" t="s">
        <v>1378</v>
      </c>
      <c r="K5">
        <v>150000</v>
      </c>
      <c r="V5" t="s">
        <v>925</v>
      </c>
      <c r="W5" t="s">
        <v>10435</v>
      </c>
      <c r="X5">
        <v>2000</v>
      </c>
      <c r="Y5">
        <v>2000</v>
      </c>
      <c r="Z5">
        <v>2000</v>
      </c>
      <c r="AA5">
        <v>2000</v>
      </c>
      <c r="AB5">
        <v>2000</v>
      </c>
      <c r="AC5">
        <v>2000</v>
      </c>
      <c r="AD5">
        <v>2000</v>
      </c>
      <c r="AE5">
        <v>2000</v>
      </c>
      <c r="AF5">
        <v>2000</v>
      </c>
      <c r="AG5">
        <v>2000</v>
      </c>
      <c r="AH5">
        <v>2000</v>
      </c>
      <c r="AI5">
        <v>2000</v>
      </c>
    </row>
    <row r="6" spans="2:36">
      <c r="B6" s="55" t="s">
        <v>1124</v>
      </c>
      <c r="C6" s="55">
        <f>L6</f>
        <v>274570</v>
      </c>
      <c r="D6" s="55">
        <f>L11</f>
        <v>245417</v>
      </c>
      <c r="F6" s="56" t="s">
        <v>10436</v>
      </c>
      <c r="G6" s="56"/>
      <c r="H6" s="56">
        <f>SUM(H2:H5)</f>
        <v>151757</v>
      </c>
      <c r="I6" s="56">
        <f>SUM(I2:I5)</f>
        <v>4000</v>
      </c>
      <c r="J6" s="56">
        <f>SUM(J2:J5)</f>
        <v>4000</v>
      </c>
      <c r="K6" s="56">
        <f>SUM(K2:K5)</f>
        <v>865220</v>
      </c>
      <c r="L6" s="56">
        <f t="shared" ref="L6:S6" si="1">SUM(L2:L5)</f>
        <v>274570</v>
      </c>
      <c r="M6" s="56">
        <f t="shared" si="1"/>
        <v>304000</v>
      </c>
      <c r="N6" s="56">
        <f t="shared" si="1"/>
        <v>404000</v>
      </c>
      <c r="O6" s="56">
        <f t="shared" si="1"/>
        <v>4000</v>
      </c>
      <c r="P6" s="56">
        <f t="shared" si="1"/>
        <v>4000</v>
      </c>
      <c r="Q6" s="56">
        <f t="shared" si="1"/>
        <v>4000</v>
      </c>
      <c r="R6" s="56">
        <f t="shared" si="1"/>
        <v>304000</v>
      </c>
      <c r="S6" s="56">
        <f t="shared" si="1"/>
        <v>4000</v>
      </c>
      <c r="V6" t="s">
        <v>925</v>
      </c>
      <c r="W6" t="s">
        <v>10437</v>
      </c>
      <c r="X6">
        <v>41000</v>
      </c>
      <c r="Y6">
        <v>41000</v>
      </c>
      <c r="Z6">
        <v>41000</v>
      </c>
      <c r="AA6">
        <v>41000</v>
      </c>
      <c r="AB6">
        <v>41000</v>
      </c>
      <c r="AC6">
        <v>41000</v>
      </c>
      <c r="AD6">
        <v>41000</v>
      </c>
      <c r="AE6">
        <v>41000</v>
      </c>
      <c r="AF6">
        <v>41000</v>
      </c>
      <c r="AG6">
        <v>41000</v>
      </c>
      <c r="AH6">
        <v>41000</v>
      </c>
      <c r="AI6">
        <v>41000</v>
      </c>
    </row>
    <row r="7" spans="2:36">
      <c r="B7" s="55" t="s">
        <v>1125</v>
      </c>
      <c r="C7" s="55">
        <f>M6</f>
        <v>304000</v>
      </c>
      <c r="D7" s="55">
        <f>M11</f>
        <v>300000</v>
      </c>
      <c r="V7" t="s">
        <v>925</v>
      </c>
      <c r="W7" t="s">
        <v>1378</v>
      </c>
      <c r="AA7">
        <v>150000</v>
      </c>
    </row>
    <row r="8" spans="2:36">
      <c r="B8" s="55" t="s">
        <v>1126</v>
      </c>
      <c r="C8" s="55">
        <f>N6</f>
        <v>404000</v>
      </c>
      <c r="D8" s="55">
        <f>N11</f>
        <v>500000</v>
      </c>
      <c r="F8" t="s">
        <v>926</v>
      </c>
      <c r="G8" t="s">
        <v>959</v>
      </c>
      <c r="I8">
        <v>59138</v>
      </c>
      <c r="K8">
        <v>724180</v>
      </c>
      <c r="L8">
        <v>245417</v>
      </c>
      <c r="V8" t="s">
        <v>10436</v>
      </c>
      <c r="X8" s="56">
        <f t="shared" ref="X8:AI8" si="2">SUM(X2:X7)</f>
        <v>142075</v>
      </c>
      <c r="Y8" s="56">
        <f t="shared" si="2"/>
        <v>111323</v>
      </c>
      <c r="Z8" s="56">
        <f t="shared" si="2"/>
        <v>111323</v>
      </c>
      <c r="AA8" s="56">
        <f t="shared" si="2"/>
        <v>972543</v>
      </c>
      <c r="AB8" s="56">
        <f t="shared" si="2"/>
        <v>381893</v>
      </c>
      <c r="AC8" s="56">
        <f t="shared" si="2"/>
        <v>111323</v>
      </c>
      <c r="AD8" s="56">
        <f t="shared" si="2"/>
        <v>111323</v>
      </c>
      <c r="AE8" s="56">
        <f t="shared" si="2"/>
        <v>111323</v>
      </c>
      <c r="AF8" s="56">
        <f t="shared" si="2"/>
        <v>111323</v>
      </c>
      <c r="AG8" s="56">
        <f t="shared" si="2"/>
        <v>111323</v>
      </c>
      <c r="AH8" s="56">
        <f t="shared" si="2"/>
        <v>111323</v>
      </c>
      <c r="AI8" s="56">
        <f t="shared" si="2"/>
        <v>111323</v>
      </c>
    </row>
    <row r="9" spans="2:36">
      <c r="B9" s="55" t="s">
        <v>1127</v>
      </c>
      <c r="C9" s="55">
        <f>O6</f>
        <v>4000</v>
      </c>
      <c r="D9" s="55">
        <f>O11</f>
        <v>0</v>
      </c>
      <c r="F9" t="s">
        <v>926</v>
      </c>
      <c r="G9" t="s">
        <v>1050</v>
      </c>
      <c r="M9">
        <v>300000</v>
      </c>
      <c r="N9">
        <v>500000</v>
      </c>
      <c r="S9">
        <v>300000</v>
      </c>
    </row>
    <row r="10" spans="2:36">
      <c r="B10" s="55" t="s">
        <v>1128</v>
      </c>
      <c r="C10" s="55">
        <f>P6</f>
        <v>4000</v>
      </c>
      <c r="D10" s="55">
        <f>P11</f>
        <v>0</v>
      </c>
      <c r="F10" t="s">
        <v>926</v>
      </c>
      <c r="G10" t="s">
        <v>1378</v>
      </c>
      <c r="K10">
        <v>150000</v>
      </c>
      <c r="V10" t="s">
        <v>926</v>
      </c>
      <c r="W10" t="s">
        <v>959</v>
      </c>
      <c r="Y10">
        <v>59138</v>
      </c>
      <c r="AA10">
        <v>724180</v>
      </c>
      <c r="AB10">
        <v>245417</v>
      </c>
    </row>
    <row r="11" spans="2:36">
      <c r="B11" s="55" t="s">
        <v>1129</v>
      </c>
      <c r="C11" s="55">
        <f>Q6</f>
        <v>4000</v>
      </c>
      <c r="D11" s="55">
        <f>Q11</f>
        <v>0</v>
      </c>
      <c r="F11" s="56" t="s">
        <v>10438</v>
      </c>
      <c r="G11" s="56"/>
      <c r="H11" s="56">
        <f>SUM(H8:H10)</f>
        <v>0</v>
      </c>
      <c r="I11" s="56">
        <f t="shared" ref="I11:R11" si="3">SUM(I8:I10)</f>
        <v>59138</v>
      </c>
      <c r="J11" s="56">
        <f t="shared" si="3"/>
        <v>0</v>
      </c>
      <c r="K11" s="56">
        <f t="shared" si="3"/>
        <v>874180</v>
      </c>
      <c r="L11" s="56">
        <f t="shared" si="3"/>
        <v>245417</v>
      </c>
      <c r="M11" s="56">
        <f t="shared" si="3"/>
        <v>300000</v>
      </c>
      <c r="N11" s="56">
        <f t="shared" si="3"/>
        <v>500000</v>
      </c>
      <c r="O11" s="56">
        <f t="shared" si="3"/>
        <v>0</v>
      </c>
      <c r="P11" s="56">
        <f t="shared" si="3"/>
        <v>0</v>
      </c>
      <c r="Q11" s="56">
        <f t="shared" si="3"/>
        <v>0</v>
      </c>
      <c r="R11" s="56">
        <f t="shared" si="3"/>
        <v>0</v>
      </c>
      <c r="S11" s="56">
        <f>SUM(S8:S10)</f>
        <v>300000</v>
      </c>
      <c r="V11" t="s">
        <v>926</v>
      </c>
      <c r="W11" t="s">
        <v>1050</v>
      </c>
      <c r="X11" s="1">
        <f>300000/12+500000/12</f>
        <v>66666.666666666657</v>
      </c>
      <c r="Y11" s="1">
        <f t="shared" ref="Y11:AI11" si="4">300000/12+500000/12</f>
        <v>66666.666666666657</v>
      </c>
      <c r="Z11" s="1">
        <f t="shared" si="4"/>
        <v>66666.666666666657</v>
      </c>
      <c r="AA11" s="1">
        <f t="shared" si="4"/>
        <v>66666.666666666657</v>
      </c>
      <c r="AB11" s="1">
        <f t="shared" si="4"/>
        <v>66666.666666666657</v>
      </c>
      <c r="AC11" s="1">
        <f t="shared" si="4"/>
        <v>66666.666666666657</v>
      </c>
      <c r="AD11" s="1">
        <f t="shared" si="4"/>
        <v>66666.666666666657</v>
      </c>
      <c r="AE11" s="1">
        <f t="shared" si="4"/>
        <v>66666.666666666657</v>
      </c>
      <c r="AF11" s="1">
        <f t="shared" si="4"/>
        <v>66666.666666666657</v>
      </c>
      <c r="AG11" s="1">
        <f t="shared" si="4"/>
        <v>66666.666666666657</v>
      </c>
      <c r="AH11" s="1">
        <f t="shared" si="4"/>
        <v>66666.666666666657</v>
      </c>
      <c r="AI11" s="1">
        <f t="shared" si="4"/>
        <v>66666.666666666657</v>
      </c>
    </row>
    <row r="12" spans="2:36">
      <c r="B12" s="55" t="s">
        <v>1130</v>
      </c>
      <c r="C12" s="55">
        <f>R6</f>
        <v>304000</v>
      </c>
      <c r="D12" s="55">
        <f>R11</f>
        <v>0</v>
      </c>
      <c r="V12" t="s">
        <v>926</v>
      </c>
      <c r="W12" t="s">
        <v>10437</v>
      </c>
      <c r="X12">
        <v>41000</v>
      </c>
      <c r="Y12">
        <v>41000</v>
      </c>
      <c r="Z12">
        <v>41000</v>
      </c>
      <c r="AA12">
        <v>41000</v>
      </c>
      <c r="AB12">
        <v>41000</v>
      </c>
      <c r="AC12">
        <v>41000</v>
      </c>
      <c r="AD12">
        <v>41000</v>
      </c>
      <c r="AE12">
        <v>41000</v>
      </c>
      <c r="AF12">
        <v>41000</v>
      </c>
      <c r="AG12">
        <v>41000</v>
      </c>
      <c r="AH12">
        <v>41000</v>
      </c>
      <c r="AI12">
        <v>41000</v>
      </c>
    </row>
    <row r="13" spans="2:36">
      <c r="B13" s="55" t="s">
        <v>1131</v>
      </c>
      <c r="C13" s="55">
        <f>S6</f>
        <v>4000</v>
      </c>
      <c r="D13" s="55">
        <f>S11</f>
        <v>300000</v>
      </c>
      <c r="J13" t="s">
        <v>10439</v>
      </c>
      <c r="K13">
        <v>160812</v>
      </c>
      <c r="L13">
        <v>29106</v>
      </c>
      <c r="V13" t="s">
        <v>926</v>
      </c>
      <c r="W13" t="s">
        <v>1378</v>
      </c>
      <c r="AA13">
        <v>150000</v>
      </c>
    </row>
    <row r="14" spans="2:36">
      <c r="B14" s="55" t="s">
        <v>952</v>
      </c>
      <c r="C14" s="56">
        <f>SUM(C2:C13)</f>
        <v>2327547</v>
      </c>
      <c r="D14" s="56">
        <f>SUM(D2:D13)</f>
        <v>2278735</v>
      </c>
      <c r="J14" t="s">
        <v>10439</v>
      </c>
      <c r="K14">
        <v>160812</v>
      </c>
      <c r="L14">
        <v>24914</v>
      </c>
      <c r="V14" t="s">
        <v>10438</v>
      </c>
      <c r="X14" s="206">
        <f t="shared" ref="X14:AI14" si="5">SUM(X10:X13)</f>
        <v>107666.66666666666</v>
      </c>
      <c r="Y14" s="206">
        <f t="shared" si="5"/>
        <v>166804.66666666666</v>
      </c>
      <c r="Z14" s="206">
        <f t="shared" si="5"/>
        <v>107666.66666666666</v>
      </c>
      <c r="AA14" s="206">
        <f t="shared" si="5"/>
        <v>981846.66666666663</v>
      </c>
      <c r="AB14" s="206">
        <f t="shared" si="5"/>
        <v>353083.66666666663</v>
      </c>
      <c r="AC14" s="206">
        <f t="shared" si="5"/>
        <v>107666.66666666666</v>
      </c>
      <c r="AD14" s="206">
        <f t="shared" si="5"/>
        <v>107666.66666666666</v>
      </c>
      <c r="AE14" s="206">
        <f t="shared" si="5"/>
        <v>107666.66666666666</v>
      </c>
      <c r="AF14" s="206">
        <f t="shared" si="5"/>
        <v>107666.66666666666</v>
      </c>
      <c r="AG14" s="206">
        <f t="shared" si="5"/>
        <v>107666.66666666666</v>
      </c>
      <c r="AH14" s="206">
        <f t="shared" si="5"/>
        <v>107666.66666666666</v>
      </c>
      <c r="AI14" s="206">
        <f t="shared" si="5"/>
        <v>107666.66666666666</v>
      </c>
    </row>
    <row r="15" spans="2:36">
      <c r="D15" s="56">
        <f>C14+D14</f>
        <v>4606282</v>
      </c>
      <c r="J15" t="s">
        <v>10439</v>
      </c>
      <c r="K15">
        <v>107708</v>
      </c>
      <c r="L15">
        <v>20866</v>
      </c>
      <c r="V15" t="s">
        <v>10440</v>
      </c>
      <c r="X15" s="249">
        <v>105000</v>
      </c>
      <c r="Y15" s="249">
        <v>105000</v>
      </c>
      <c r="Z15" s="249">
        <v>105000</v>
      </c>
      <c r="AA15" s="249">
        <v>105000</v>
      </c>
      <c r="AB15" s="249">
        <v>105000</v>
      </c>
      <c r="AC15" s="249">
        <v>105000</v>
      </c>
      <c r="AD15" s="249">
        <v>105000</v>
      </c>
      <c r="AE15" s="249">
        <v>105000</v>
      </c>
      <c r="AF15" s="249">
        <v>105000</v>
      </c>
      <c r="AG15" s="249">
        <v>105000</v>
      </c>
      <c r="AH15" s="249">
        <v>105000</v>
      </c>
      <c r="AI15" s="249">
        <v>105000</v>
      </c>
    </row>
    <row r="16" spans="2:36">
      <c r="J16" t="s">
        <v>10441</v>
      </c>
      <c r="K16">
        <v>18734</v>
      </c>
      <c r="L16">
        <v>18233</v>
      </c>
      <c r="V16" t="s">
        <v>952</v>
      </c>
      <c r="X16" s="205">
        <f>X8+X14</f>
        <v>249741.66666666666</v>
      </c>
      <c r="Y16" s="205">
        <f t="shared" ref="Y16:AI16" si="6">Y8+Y14</f>
        <v>278127.66666666663</v>
      </c>
      <c r="Z16" s="205">
        <f t="shared" si="6"/>
        <v>218989.66666666666</v>
      </c>
      <c r="AA16" s="205">
        <f t="shared" si="6"/>
        <v>1954389.6666666665</v>
      </c>
      <c r="AB16" s="205">
        <f t="shared" si="6"/>
        <v>734976.66666666663</v>
      </c>
      <c r="AC16" s="205">
        <f t="shared" si="6"/>
        <v>218989.66666666666</v>
      </c>
      <c r="AD16" s="205">
        <f t="shared" si="6"/>
        <v>218989.66666666666</v>
      </c>
      <c r="AE16" s="205">
        <f t="shared" si="6"/>
        <v>218989.66666666666</v>
      </c>
      <c r="AF16" s="205">
        <f t="shared" si="6"/>
        <v>218989.66666666666</v>
      </c>
      <c r="AG16" s="205">
        <f t="shared" si="6"/>
        <v>218989.66666666666</v>
      </c>
      <c r="AH16" s="205">
        <f t="shared" si="6"/>
        <v>218989.66666666666</v>
      </c>
      <c r="AI16" s="205">
        <f t="shared" si="6"/>
        <v>218989.66666666666</v>
      </c>
      <c r="AJ16" s="208">
        <f>SUM(X16:AI16)</f>
        <v>4969153</v>
      </c>
    </row>
    <row r="17" spans="2:36">
      <c r="B17" t="s">
        <v>10442</v>
      </c>
      <c r="J17" t="s">
        <v>10441</v>
      </c>
      <c r="K17">
        <v>35147</v>
      </c>
      <c r="L17">
        <v>16090</v>
      </c>
      <c r="V17" t="s">
        <v>10443</v>
      </c>
      <c r="X17" s="205">
        <f>X8+X14+X15</f>
        <v>354741.66666666663</v>
      </c>
      <c r="Y17" s="205">
        <f t="shared" ref="Y17:AI17" si="7">Y8+Y14+Y15</f>
        <v>383127.66666666663</v>
      </c>
      <c r="Z17" s="205">
        <f t="shared" si="7"/>
        <v>323989.66666666663</v>
      </c>
      <c r="AA17" s="205">
        <f t="shared" si="7"/>
        <v>2059389.6666666665</v>
      </c>
      <c r="AB17" s="205">
        <f t="shared" si="7"/>
        <v>839976.66666666663</v>
      </c>
      <c r="AC17" s="205">
        <f t="shared" si="7"/>
        <v>323989.66666666663</v>
      </c>
      <c r="AD17" s="205">
        <f t="shared" si="7"/>
        <v>323989.66666666663</v>
      </c>
      <c r="AE17" s="205">
        <f t="shared" si="7"/>
        <v>323989.66666666663</v>
      </c>
      <c r="AF17" s="205">
        <f t="shared" si="7"/>
        <v>323989.66666666663</v>
      </c>
      <c r="AG17" s="205">
        <f t="shared" si="7"/>
        <v>323989.66666666663</v>
      </c>
      <c r="AH17" s="205">
        <f t="shared" si="7"/>
        <v>323989.66666666663</v>
      </c>
      <c r="AI17" s="205">
        <f t="shared" si="7"/>
        <v>323989.66666666663</v>
      </c>
      <c r="AJ17" s="208">
        <f>SUM(X17:AI17)</f>
        <v>6229153.0000000019</v>
      </c>
    </row>
    <row r="18" spans="2:36">
      <c r="B18" s="55" t="s">
        <v>1051</v>
      </c>
      <c r="C18" s="55" t="s">
        <v>925</v>
      </c>
      <c r="D18" s="55" t="s">
        <v>926</v>
      </c>
      <c r="J18" t="s">
        <v>10444</v>
      </c>
      <c r="K18">
        <v>28603</v>
      </c>
      <c r="L18">
        <v>14380</v>
      </c>
    </row>
    <row r="19" spans="2:36">
      <c r="B19" s="55" t="s">
        <v>1120</v>
      </c>
      <c r="C19" s="55">
        <f>H6-H3</f>
        <v>34752</v>
      </c>
      <c r="D19" s="55">
        <v>0</v>
      </c>
      <c r="J19" t="s">
        <v>10441</v>
      </c>
      <c r="K19">
        <v>17804</v>
      </c>
      <c r="L19">
        <v>12869</v>
      </c>
    </row>
    <row r="20" spans="2:36">
      <c r="B20" s="55" t="s">
        <v>1121</v>
      </c>
      <c r="C20" s="55">
        <v>4000</v>
      </c>
      <c r="D20" s="55">
        <v>59138</v>
      </c>
      <c r="K20">
        <f>SUM(K13:K19)</f>
        <v>529620</v>
      </c>
      <c r="L20">
        <v>11718</v>
      </c>
    </row>
    <row r="21" spans="2:36">
      <c r="B21" s="55" t="s">
        <v>1122</v>
      </c>
      <c r="C21" s="55">
        <v>4000</v>
      </c>
      <c r="D21" s="55">
        <v>0</v>
      </c>
      <c r="J21" t="s">
        <v>10445</v>
      </c>
      <c r="L21">
        <v>10399</v>
      </c>
      <c r="U21" s="207" t="s">
        <v>10446</v>
      </c>
      <c r="X21" t="s">
        <v>1120</v>
      </c>
      <c r="Y21" t="s">
        <v>1121</v>
      </c>
      <c r="Z21" t="s">
        <v>1122</v>
      </c>
      <c r="AA21" t="s">
        <v>1123</v>
      </c>
      <c r="AB21" t="s">
        <v>1124</v>
      </c>
      <c r="AC21" t="s">
        <v>1125</v>
      </c>
      <c r="AD21" t="s">
        <v>1126</v>
      </c>
      <c r="AE21" t="s">
        <v>1127</v>
      </c>
      <c r="AF21" t="s">
        <v>1128</v>
      </c>
      <c r="AG21" t="s">
        <v>1129</v>
      </c>
      <c r="AH21" t="s">
        <v>1130</v>
      </c>
      <c r="AI21" t="s">
        <v>1131</v>
      </c>
    </row>
    <row r="22" spans="2:36">
      <c r="B22" s="55" t="s">
        <v>1123</v>
      </c>
      <c r="C22" s="55">
        <v>865220</v>
      </c>
      <c r="D22" s="55">
        <v>874180</v>
      </c>
      <c r="L22">
        <v>9381</v>
      </c>
      <c r="V22" t="s">
        <v>925</v>
      </c>
      <c r="W22" t="s">
        <v>959</v>
      </c>
      <c r="X22">
        <v>30752</v>
      </c>
      <c r="AA22">
        <v>711220</v>
      </c>
      <c r="AB22">
        <v>270570</v>
      </c>
    </row>
    <row r="23" spans="2:36">
      <c r="B23" s="55" t="s">
        <v>1124</v>
      </c>
      <c r="C23" s="55">
        <v>274570</v>
      </c>
      <c r="D23" s="55">
        <v>245417</v>
      </c>
      <c r="L23">
        <v>8436</v>
      </c>
      <c r="V23" t="s">
        <v>925</v>
      </c>
      <c r="W23" t="s">
        <v>1050</v>
      </c>
      <c r="X23">
        <v>9990</v>
      </c>
      <c r="Y23">
        <v>9990</v>
      </c>
      <c r="Z23">
        <v>9990</v>
      </c>
      <c r="AA23">
        <v>9990</v>
      </c>
      <c r="AB23">
        <v>9990</v>
      </c>
      <c r="AC23">
        <v>9990</v>
      </c>
      <c r="AD23">
        <v>9990</v>
      </c>
      <c r="AE23">
        <v>9990</v>
      </c>
      <c r="AF23">
        <v>9990</v>
      </c>
      <c r="AG23">
        <v>9990</v>
      </c>
      <c r="AH23">
        <v>9990</v>
      </c>
      <c r="AI23">
        <v>9990</v>
      </c>
    </row>
    <row r="24" spans="2:36">
      <c r="B24" s="55" t="s">
        <v>1125</v>
      </c>
      <c r="C24" s="55">
        <v>4000</v>
      </c>
      <c r="D24" s="55">
        <v>0</v>
      </c>
      <c r="L24">
        <v>7571</v>
      </c>
      <c r="V24" t="s">
        <v>925</v>
      </c>
      <c r="W24" t="s">
        <v>1050</v>
      </c>
    </row>
    <row r="25" spans="2:36">
      <c r="B25" s="55" t="s">
        <v>1126</v>
      </c>
      <c r="C25" s="55">
        <v>4000</v>
      </c>
      <c r="D25" s="55">
        <v>0</v>
      </c>
      <c r="L25">
        <v>6930</v>
      </c>
      <c r="V25" t="s">
        <v>925</v>
      </c>
      <c r="W25" t="s">
        <v>10435</v>
      </c>
      <c r="X25">
        <v>2000</v>
      </c>
      <c r="Y25">
        <v>2000</v>
      </c>
      <c r="Z25">
        <v>2000</v>
      </c>
      <c r="AA25">
        <v>2000</v>
      </c>
      <c r="AB25">
        <v>2000</v>
      </c>
      <c r="AC25">
        <v>2000</v>
      </c>
      <c r="AD25">
        <v>2000</v>
      </c>
      <c r="AE25">
        <v>2000</v>
      </c>
      <c r="AF25">
        <v>2000</v>
      </c>
      <c r="AG25">
        <v>2000</v>
      </c>
      <c r="AH25">
        <v>2000</v>
      </c>
      <c r="AI25">
        <v>2000</v>
      </c>
    </row>
    <row r="26" spans="2:36">
      <c r="B26" s="55" t="s">
        <v>1127</v>
      </c>
      <c r="C26" s="55">
        <v>4000</v>
      </c>
      <c r="D26" s="55">
        <v>0</v>
      </c>
      <c r="L26">
        <v>6509</v>
      </c>
      <c r="V26" t="s">
        <v>925</v>
      </c>
      <c r="W26" t="s">
        <v>10437</v>
      </c>
      <c r="X26">
        <v>41000</v>
      </c>
      <c r="Y26">
        <v>41000</v>
      </c>
      <c r="Z26">
        <v>41000</v>
      </c>
      <c r="AA26">
        <v>41000</v>
      </c>
      <c r="AB26">
        <v>41000</v>
      </c>
      <c r="AC26">
        <v>41000</v>
      </c>
      <c r="AD26">
        <v>41000</v>
      </c>
      <c r="AE26">
        <v>41000</v>
      </c>
      <c r="AF26">
        <v>41000</v>
      </c>
      <c r="AG26">
        <v>41000</v>
      </c>
      <c r="AH26">
        <v>41000</v>
      </c>
      <c r="AI26">
        <v>41000</v>
      </c>
    </row>
    <row r="27" spans="2:36">
      <c r="B27" s="55" t="s">
        <v>1128</v>
      </c>
      <c r="C27" s="55">
        <v>4000</v>
      </c>
      <c r="D27" s="55">
        <v>0</v>
      </c>
      <c r="L27">
        <v>5448</v>
      </c>
      <c r="V27" t="s">
        <v>925</v>
      </c>
      <c r="W27" t="s">
        <v>1378</v>
      </c>
      <c r="AA27">
        <v>150000</v>
      </c>
    </row>
    <row r="28" spans="2:36">
      <c r="B28" s="55" t="s">
        <v>1129</v>
      </c>
      <c r="C28" s="55">
        <v>4000</v>
      </c>
      <c r="D28" s="55">
        <v>0</v>
      </c>
      <c r="L28">
        <v>5962</v>
      </c>
      <c r="V28" t="s">
        <v>10436</v>
      </c>
      <c r="X28" s="56">
        <f t="shared" ref="X28:AI28" si="8">SUM(X22:X27)</f>
        <v>83742</v>
      </c>
      <c r="Y28" s="56">
        <f t="shared" si="8"/>
        <v>52990</v>
      </c>
      <c r="Z28" s="56">
        <f t="shared" si="8"/>
        <v>52990</v>
      </c>
      <c r="AA28" s="56">
        <f t="shared" si="8"/>
        <v>914210</v>
      </c>
      <c r="AB28" s="56">
        <f t="shared" si="8"/>
        <v>323560</v>
      </c>
      <c r="AC28" s="56">
        <f t="shared" si="8"/>
        <v>52990</v>
      </c>
      <c r="AD28" s="56">
        <f t="shared" si="8"/>
        <v>52990</v>
      </c>
      <c r="AE28" s="56">
        <f t="shared" si="8"/>
        <v>52990</v>
      </c>
      <c r="AF28" s="56">
        <f t="shared" si="8"/>
        <v>52990</v>
      </c>
      <c r="AG28" s="56">
        <f t="shared" si="8"/>
        <v>52990</v>
      </c>
      <c r="AH28" s="56">
        <f t="shared" si="8"/>
        <v>52990</v>
      </c>
      <c r="AI28" s="56">
        <f t="shared" si="8"/>
        <v>52990</v>
      </c>
      <c r="AJ28" s="208">
        <f>SUM(X28:AI28)</f>
        <v>1798422</v>
      </c>
    </row>
    <row r="29" spans="2:36">
      <c r="B29" s="55" t="s">
        <v>1130</v>
      </c>
      <c r="C29" s="55">
        <v>4000</v>
      </c>
      <c r="D29" s="55">
        <v>0</v>
      </c>
      <c r="L29">
        <v>4972</v>
      </c>
    </row>
    <row r="30" spans="2:36">
      <c r="B30" s="55" t="s">
        <v>1131</v>
      </c>
      <c r="C30" s="55">
        <v>4000</v>
      </c>
      <c r="D30" s="55">
        <v>0</v>
      </c>
      <c r="L30">
        <v>4523</v>
      </c>
      <c r="V30" t="s">
        <v>926</v>
      </c>
      <c r="W30" t="s">
        <v>959</v>
      </c>
      <c r="Y30">
        <v>59138</v>
      </c>
      <c r="AA30">
        <v>724180</v>
      </c>
      <c r="AB30">
        <v>245417</v>
      </c>
    </row>
    <row r="31" spans="2:36">
      <c r="B31" s="55" t="s">
        <v>952</v>
      </c>
      <c r="C31" s="56">
        <f>SUM(C19:C30)</f>
        <v>1210542</v>
      </c>
      <c r="D31" s="56">
        <f>SUM(D19:D30)</f>
        <v>1178735</v>
      </c>
      <c r="F31" t="s">
        <v>10447</v>
      </c>
      <c r="L31">
        <v>4108</v>
      </c>
      <c r="V31" t="s">
        <v>926</v>
      </c>
      <c r="W31" t="s">
        <v>1050</v>
      </c>
      <c r="X31" s="1"/>
      <c r="Y31" s="1"/>
      <c r="Z31" s="1"/>
      <c r="AA31" s="1"/>
      <c r="AB31" s="1"/>
      <c r="AC31" s="1"/>
      <c r="AD31" s="1"/>
      <c r="AE31" s="1"/>
      <c r="AF31" s="1"/>
      <c r="AG31" s="1"/>
      <c r="AH31" s="1"/>
      <c r="AI31" s="1"/>
    </row>
    <row r="32" spans="2:36">
      <c r="B32" s="55"/>
      <c r="C32" s="55"/>
      <c r="D32" s="56">
        <f>C31+D31</f>
        <v>2389277</v>
      </c>
      <c r="F32" s="56">
        <f>D32/12</f>
        <v>199106.41666666666</v>
      </c>
      <c r="L32">
        <v>3843</v>
      </c>
      <c r="V32" t="s">
        <v>926</v>
      </c>
      <c r="W32" t="s">
        <v>10437</v>
      </c>
      <c r="X32">
        <v>41000</v>
      </c>
      <c r="Y32">
        <v>41000</v>
      </c>
      <c r="Z32">
        <v>41000</v>
      </c>
      <c r="AA32">
        <v>41000</v>
      </c>
      <c r="AB32">
        <v>41000</v>
      </c>
      <c r="AC32">
        <v>41000</v>
      </c>
      <c r="AD32">
        <v>41000</v>
      </c>
      <c r="AE32">
        <v>41000</v>
      </c>
      <c r="AF32">
        <v>41000</v>
      </c>
      <c r="AG32">
        <v>41000</v>
      </c>
      <c r="AH32">
        <v>41000</v>
      </c>
      <c r="AI32">
        <v>41000</v>
      </c>
    </row>
    <row r="33" spans="12:36">
      <c r="L33">
        <v>3472</v>
      </c>
      <c r="V33" t="s">
        <v>926</v>
      </c>
      <c r="W33" t="s">
        <v>1378</v>
      </c>
      <c r="AA33">
        <v>150000</v>
      </c>
    </row>
    <row r="34" spans="12:36">
      <c r="L34">
        <v>3247</v>
      </c>
      <c r="V34" t="s">
        <v>10438</v>
      </c>
      <c r="X34" s="206">
        <f t="shared" ref="X34:AI34" si="9">SUM(X30:X33)</f>
        <v>41000</v>
      </c>
      <c r="Y34" s="206">
        <f t="shared" si="9"/>
        <v>100138</v>
      </c>
      <c r="Z34" s="206">
        <f t="shared" si="9"/>
        <v>41000</v>
      </c>
      <c r="AA34" s="206">
        <f t="shared" si="9"/>
        <v>915180</v>
      </c>
      <c r="AB34" s="206">
        <f t="shared" si="9"/>
        <v>286417</v>
      </c>
      <c r="AC34" s="206">
        <f t="shared" si="9"/>
        <v>41000</v>
      </c>
      <c r="AD34" s="206">
        <f t="shared" si="9"/>
        <v>41000</v>
      </c>
      <c r="AE34" s="206">
        <f t="shared" si="9"/>
        <v>41000</v>
      </c>
      <c r="AF34" s="206">
        <f t="shared" si="9"/>
        <v>41000</v>
      </c>
      <c r="AG34" s="206">
        <f t="shared" si="9"/>
        <v>41000</v>
      </c>
      <c r="AH34" s="206">
        <f t="shared" si="9"/>
        <v>41000</v>
      </c>
      <c r="AI34" s="206">
        <f t="shared" si="9"/>
        <v>41000</v>
      </c>
      <c r="AJ34" s="208">
        <f>SUM(X34:AI34)</f>
        <v>1670735</v>
      </c>
    </row>
    <row r="35" spans="12:36">
      <c r="L35">
        <v>3278</v>
      </c>
      <c r="V35" t="s">
        <v>10440</v>
      </c>
      <c r="X35" s="249">
        <v>105000</v>
      </c>
      <c r="Y35" s="249">
        <v>105000</v>
      </c>
      <c r="Z35" s="249">
        <v>105000</v>
      </c>
      <c r="AA35" s="249">
        <v>105000</v>
      </c>
      <c r="AB35" s="249">
        <v>105000</v>
      </c>
      <c r="AC35" s="249">
        <v>105000</v>
      </c>
      <c r="AD35" s="249">
        <v>105000</v>
      </c>
      <c r="AE35" s="249">
        <v>105000</v>
      </c>
      <c r="AF35" s="249">
        <v>105000</v>
      </c>
      <c r="AG35" s="249">
        <v>105000</v>
      </c>
      <c r="AH35" s="249">
        <v>105000</v>
      </c>
      <c r="AI35" s="249">
        <v>105000</v>
      </c>
      <c r="AJ35" s="208">
        <f>SUM(X35:AI35)</f>
        <v>1260000</v>
      </c>
    </row>
    <row r="36" spans="12:36">
      <c r="L36">
        <v>3204</v>
      </c>
      <c r="V36" t="s">
        <v>952</v>
      </c>
      <c r="X36" s="205">
        <f>X28+X34</f>
        <v>124742</v>
      </c>
      <c r="Y36" s="205">
        <f t="shared" ref="Y36:AI36" si="10">Y28+Y34</f>
        <v>153128</v>
      </c>
      <c r="Z36" s="205">
        <f t="shared" si="10"/>
        <v>93990</v>
      </c>
      <c r="AA36" s="205">
        <f t="shared" si="10"/>
        <v>1829390</v>
      </c>
      <c r="AB36" s="205">
        <f t="shared" si="10"/>
        <v>609977</v>
      </c>
      <c r="AC36" s="205">
        <f t="shared" si="10"/>
        <v>93990</v>
      </c>
      <c r="AD36" s="205">
        <f t="shared" si="10"/>
        <v>93990</v>
      </c>
      <c r="AE36" s="205">
        <f t="shared" si="10"/>
        <v>93990</v>
      </c>
      <c r="AF36" s="205">
        <f t="shared" si="10"/>
        <v>93990</v>
      </c>
      <c r="AG36" s="205">
        <f t="shared" si="10"/>
        <v>93990</v>
      </c>
      <c r="AH36" s="205">
        <f t="shared" si="10"/>
        <v>93990</v>
      </c>
      <c r="AI36" s="205">
        <f t="shared" si="10"/>
        <v>93990</v>
      </c>
      <c r="AJ36" s="208">
        <f>SUM(X36:AI36)</f>
        <v>3469157</v>
      </c>
    </row>
    <row r="37" spans="12:36">
      <c r="L37">
        <v>3013</v>
      </c>
      <c r="V37" t="s">
        <v>10443</v>
      </c>
      <c r="X37" s="205">
        <f>X28+X34+X35</f>
        <v>229742</v>
      </c>
      <c r="Y37" s="205">
        <f t="shared" ref="Y37:AI37" si="11">Y28+Y34+Y35</f>
        <v>258128</v>
      </c>
      <c r="Z37" s="205">
        <f t="shared" si="11"/>
        <v>198990</v>
      </c>
      <c r="AA37" s="205">
        <f t="shared" si="11"/>
        <v>1934390</v>
      </c>
      <c r="AB37" s="205">
        <f t="shared" si="11"/>
        <v>714977</v>
      </c>
      <c r="AC37" s="205">
        <f t="shared" si="11"/>
        <v>198990</v>
      </c>
      <c r="AD37" s="205">
        <f t="shared" si="11"/>
        <v>198990</v>
      </c>
      <c r="AE37" s="205">
        <f t="shared" si="11"/>
        <v>198990</v>
      </c>
      <c r="AF37" s="205">
        <f t="shared" si="11"/>
        <v>198990</v>
      </c>
      <c r="AG37" s="205">
        <f t="shared" si="11"/>
        <v>198990</v>
      </c>
      <c r="AH37" s="205">
        <f t="shared" si="11"/>
        <v>198990</v>
      </c>
      <c r="AI37" s="205">
        <f t="shared" si="11"/>
        <v>198990</v>
      </c>
      <c r="AJ37" s="208">
        <f>SUM(X37:AI37)</f>
        <v>4729157</v>
      </c>
    </row>
    <row r="38" spans="12:36">
      <c r="L38">
        <v>2945</v>
      </c>
    </row>
    <row r="39" spans="12:36">
      <c r="L39">
        <f>SUM(L13:L38)</f>
        <v>245417</v>
      </c>
    </row>
  </sheetData>
  <pageMargins left="0.7" right="0.7" top="0.75" bottom="0.75" header="0.3" footer="0.3"/>
  <pageSetup paperSize="9" orientation="portrait" r:id="rId1"/>
  <legacyDrawing r:id="rId2"/>
</worksheet>
</file>

<file path=xl/worksheets/sheet1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sheetPr>
    <tabColor theme="6"/>
  </sheetPr>
  <dimension ref="A1:BN59"/>
  <sheetViews>
    <sheetView workbookViewId="0">
      <pane xSplit="4" ySplit="1" topLeftCell="E4" activePane="bottomRight" state="frozen"/>
      <selection pane="topRight" activeCell="C1" sqref="C1"/>
      <selection pane="bottomLeft" activeCell="A2" sqref="A2"/>
      <selection pane="bottomRight" activeCell="A36" sqref="A36:F37"/>
    </sheetView>
  </sheetViews>
  <sheetFormatPr defaultColWidth="9.28515625" defaultRowHeight="15"/>
  <cols>
    <col min="1" max="1" width="10" style="41" bestFit="1" customWidth="1"/>
    <col min="2" max="2" width="9.85546875" style="41" bestFit="1" customWidth="1"/>
    <col min="3" max="3" width="11.7109375" style="41" bestFit="1" customWidth="1"/>
    <col min="4" max="4" width="8.28515625" style="41" bestFit="1" customWidth="1"/>
    <col min="5" max="5" width="14.28515625" bestFit="1" customWidth="1"/>
    <col min="6" max="6" width="10.85546875" style="41" bestFit="1" customWidth="1"/>
    <col min="7" max="7" width="11.140625" style="41" customWidth="1"/>
    <col min="8" max="8" width="8.140625" style="41" customWidth="1"/>
    <col min="9" max="9" width="6.7109375" style="41" customWidth="1"/>
    <col min="10" max="11" width="11.85546875" style="41" bestFit="1" customWidth="1"/>
    <col min="12" max="12" width="12.5703125" style="41" customWidth="1"/>
    <col min="13" max="38" width="11.85546875" style="41" bestFit="1" customWidth="1"/>
    <col min="39" max="39" width="19.42578125" style="41" bestFit="1" customWidth="1"/>
    <col min="40" max="40" width="11.85546875" style="41" bestFit="1" customWidth="1"/>
    <col min="41" max="55" width="10.28515625" style="41" bestFit="1" customWidth="1"/>
    <col min="56" max="56" width="5" style="41" customWidth="1"/>
    <col min="57" max="57" width="9.28515625" style="41" bestFit="1" customWidth="1"/>
    <col min="58" max="58" width="6.5703125" style="41" bestFit="1" customWidth="1"/>
    <col min="59" max="60" width="12.140625" style="41" bestFit="1" customWidth="1"/>
    <col min="61" max="61" width="23.28515625" style="41" bestFit="1" customWidth="1"/>
    <col min="62" max="62" width="10.28515625" style="41" bestFit="1" customWidth="1"/>
    <col min="63" max="63" width="11.28515625" style="41" bestFit="1" customWidth="1"/>
    <col min="64" max="64" width="12.7109375" style="41" bestFit="1" customWidth="1"/>
    <col min="65" max="65" width="10.28515625" style="41" bestFit="1" customWidth="1"/>
    <col min="66" max="16384" width="9.28515625" style="41"/>
  </cols>
  <sheetData>
    <row r="1" spans="1:66" ht="39">
      <c r="A1" t="s">
        <v>10448</v>
      </c>
      <c r="B1" t="s">
        <v>10449</v>
      </c>
      <c r="C1" s="285" t="s">
        <v>10450</v>
      </c>
      <c r="D1" t="s">
        <v>10451</v>
      </c>
      <c r="E1" t="s">
        <v>10452</v>
      </c>
      <c r="F1"/>
      <c r="G1" t="s">
        <v>10453</v>
      </c>
      <c r="H1" t="s">
        <v>10454</v>
      </c>
      <c r="I1" t="s">
        <v>10455</v>
      </c>
      <c r="J1" s="29">
        <v>2008</v>
      </c>
      <c r="K1" s="29">
        <v>2009</v>
      </c>
      <c r="L1" s="39">
        <v>2010</v>
      </c>
      <c r="M1" s="39">
        <v>2011</v>
      </c>
      <c r="N1" s="39">
        <v>2012</v>
      </c>
      <c r="O1" s="39">
        <v>2013</v>
      </c>
      <c r="P1" s="39">
        <v>2014</v>
      </c>
      <c r="Q1" s="39">
        <v>2015</v>
      </c>
      <c r="R1" s="39">
        <v>2016</v>
      </c>
      <c r="S1" s="39">
        <v>2017</v>
      </c>
      <c r="T1" s="39">
        <v>2018</v>
      </c>
      <c r="U1" s="39">
        <v>2019</v>
      </c>
      <c r="V1" s="39">
        <v>2020</v>
      </c>
      <c r="W1" s="39">
        <v>2021</v>
      </c>
      <c r="X1" s="39">
        <v>2022</v>
      </c>
      <c r="Y1" s="39">
        <v>2023</v>
      </c>
      <c r="Z1" s="39">
        <v>2024</v>
      </c>
      <c r="AA1" s="39">
        <v>2025</v>
      </c>
      <c r="AB1" s="39">
        <v>2026</v>
      </c>
      <c r="AC1" s="39">
        <v>2027</v>
      </c>
      <c r="AD1" s="39">
        <v>2028</v>
      </c>
      <c r="AE1" s="39">
        <v>2029</v>
      </c>
      <c r="AF1" s="39">
        <v>2030</v>
      </c>
      <c r="AG1" s="39">
        <v>2031</v>
      </c>
      <c r="AH1" s="39">
        <v>2032</v>
      </c>
      <c r="AI1" s="39">
        <v>2033</v>
      </c>
      <c r="AJ1" s="39">
        <v>2034</v>
      </c>
      <c r="AK1" s="39">
        <v>2035</v>
      </c>
      <c r="AL1" s="39">
        <v>2036</v>
      </c>
      <c r="AM1" s="39">
        <v>2037</v>
      </c>
      <c r="AN1" s="39">
        <v>2038</v>
      </c>
      <c r="AO1" s="39">
        <v>2039</v>
      </c>
      <c r="AP1" s="39">
        <v>2040</v>
      </c>
      <c r="AQ1" s="39">
        <v>2041</v>
      </c>
      <c r="AR1" s="39">
        <v>2042</v>
      </c>
      <c r="AS1" s="39">
        <v>2043</v>
      </c>
      <c r="AT1" s="39">
        <v>2044</v>
      </c>
      <c r="AU1" s="39">
        <v>2045</v>
      </c>
      <c r="AV1" s="39">
        <v>2046</v>
      </c>
      <c r="AW1" s="39">
        <v>2047</v>
      </c>
      <c r="AX1" s="39">
        <v>2048</v>
      </c>
      <c r="AY1" s="39">
        <v>2049</v>
      </c>
      <c r="AZ1" s="39">
        <v>2050</v>
      </c>
      <c r="BA1" s="39">
        <v>2051</v>
      </c>
      <c r="BB1" s="39">
        <v>2052</v>
      </c>
      <c r="BC1" s="39">
        <v>2053</v>
      </c>
      <c r="BD1" s="39"/>
      <c r="BE1" s="40" t="s">
        <v>10456</v>
      </c>
      <c r="BF1" s="40" t="s">
        <v>10457</v>
      </c>
      <c r="BG1" s="39" t="s">
        <v>10458</v>
      </c>
      <c r="BH1" s="41" t="s">
        <v>10459</v>
      </c>
      <c r="BI1" s="42" t="s">
        <v>10460</v>
      </c>
      <c r="BJ1" s="41" t="s">
        <v>10461</v>
      </c>
      <c r="BK1" s="41" t="s">
        <v>10462</v>
      </c>
      <c r="BL1" s="41" t="s">
        <v>10463</v>
      </c>
      <c r="BM1" s="41" t="s">
        <v>10464</v>
      </c>
      <c r="BN1" s="41" t="s">
        <v>1022</v>
      </c>
    </row>
    <row r="2" spans="1:66">
      <c r="A2">
        <v>925247781</v>
      </c>
      <c r="B2" s="105">
        <v>40320</v>
      </c>
      <c r="C2" s="43">
        <v>490000</v>
      </c>
      <c r="D2">
        <v>29106</v>
      </c>
      <c r="E2" t="s">
        <v>10465</v>
      </c>
      <c r="F2" t="s">
        <v>10466</v>
      </c>
      <c r="G2">
        <v>149</v>
      </c>
      <c r="H2">
        <v>19</v>
      </c>
      <c r="I2">
        <v>69</v>
      </c>
      <c r="J2"/>
      <c r="K2"/>
      <c r="L2" s="41">
        <v>1</v>
      </c>
      <c r="M2" s="41">
        <v>1</v>
      </c>
      <c r="N2" s="41">
        <v>1</v>
      </c>
      <c r="O2" s="41">
        <v>1</v>
      </c>
      <c r="P2" s="41">
        <v>1</v>
      </c>
      <c r="Q2" s="41">
        <v>1</v>
      </c>
      <c r="R2" s="41">
        <v>1</v>
      </c>
      <c r="S2" s="41">
        <v>1</v>
      </c>
      <c r="T2" s="41">
        <v>1</v>
      </c>
      <c r="U2" s="41">
        <v>1</v>
      </c>
      <c r="V2" s="41">
        <v>1</v>
      </c>
      <c r="W2" s="41">
        <v>1</v>
      </c>
      <c r="X2" s="41">
        <v>1</v>
      </c>
      <c r="Y2" s="41">
        <v>1</v>
      </c>
      <c r="Z2" s="41">
        <v>1</v>
      </c>
      <c r="AA2" s="41">
        <v>1</v>
      </c>
      <c r="AB2" s="41">
        <v>1</v>
      </c>
      <c r="AC2" s="41">
        <v>1</v>
      </c>
      <c r="AD2" s="41">
        <v>1</v>
      </c>
      <c r="BE2" s="41">
        <f t="shared" ref="BE2:BE27" si="0">SUM(J2:BC2)</f>
        <v>19</v>
      </c>
      <c r="BF2" s="41">
        <v>69</v>
      </c>
      <c r="BG2" s="44">
        <f t="shared" ref="BG2:BG27" si="1">BE2*D2</f>
        <v>553014</v>
      </c>
      <c r="BH2" s="44">
        <v>930510</v>
      </c>
      <c r="BI2" s="44">
        <f>BH2-AO42</f>
        <v>297800</v>
      </c>
      <c r="BJ2" s="44">
        <f t="shared" ref="BJ2:BJ20" si="2">BI2/12</f>
        <v>24816.666666666668</v>
      </c>
      <c r="BK2" s="44">
        <f t="shared" ref="BK2:BK20" si="3">BH2-BG2</f>
        <v>377496</v>
      </c>
      <c r="BL2" s="45">
        <f t="shared" ref="BL2:BL20" si="4">BK2/BG2</f>
        <v>0.68261562998405101</v>
      </c>
      <c r="BM2" s="46">
        <f t="shared" ref="BM2:BM20" si="5">BL2/BE2</f>
        <v>3.5927138420213209E-2</v>
      </c>
      <c r="BN2" s="39">
        <v>2029</v>
      </c>
    </row>
    <row r="3" spans="1:66">
      <c r="A3">
        <v>925247782</v>
      </c>
      <c r="B3" s="105">
        <v>40320</v>
      </c>
      <c r="C3" s="43">
        <v>445000</v>
      </c>
      <c r="D3">
        <v>24914</v>
      </c>
      <c r="E3" t="s">
        <v>10465</v>
      </c>
      <c r="F3" t="s">
        <v>10466</v>
      </c>
      <c r="G3">
        <v>149</v>
      </c>
      <c r="H3">
        <v>20</v>
      </c>
      <c r="I3">
        <v>69</v>
      </c>
      <c r="J3"/>
      <c r="K3"/>
      <c r="L3" s="41">
        <v>1</v>
      </c>
      <c r="M3" s="41">
        <v>1</v>
      </c>
      <c r="N3" s="41">
        <v>1</v>
      </c>
      <c r="O3" s="41">
        <v>1</v>
      </c>
      <c r="P3" s="41">
        <v>1</v>
      </c>
      <c r="Q3" s="41">
        <v>1</v>
      </c>
      <c r="R3" s="41">
        <v>1</v>
      </c>
      <c r="S3" s="41">
        <v>1</v>
      </c>
      <c r="T3" s="41">
        <v>1</v>
      </c>
      <c r="U3" s="41">
        <v>1</v>
      </c>
      <c r="V3" s="41">
        <v>1</v>
      </c>
      <c r="W3" s="41">
        <v>1</v>
      </c>
      <c r="X3" s="41">
        <v>1</v>
      </c>
      <c r="Y3" s="41">
        <v>1</v>
      </c>
      <c r="Z3" s="41">
        <v>1</v>
      </c>
      <c r="AA3" s="41">
        <v>1</v>
      </c>
      <c r="AB3" s="41">
        <v>1</v>
      </c>
      <c r="AC3" s="41">
        <v>1</v>
      </c>
      <c r="AD3" s="41">
        <v>1</v>
      </c>
      <c r="AE3" s="41">
        <v>1</v>
      </c>
      <c r="BE3" s="41">
        <f t="shared" si="0"/>
        <v>20</v>
      </c>
      <c r="BF3" s="41">
        <v>69</v>
      </c>
      <c r="BG3" s="44">
        <f t="shared" si="1"/>
        <v>498280</v>
      </c>
      <c r="BH3" s="44">
        <v>873980</v>
      </c>
      <c r="BI3" s="44">
        <f>BH3-AP42</f>
        <v>248841</v>
      </c>
      <c r="BJ3" s="44">
        <f t="shared" si="2"/>
        <v>20736.75</v>
      </c>
      <c r="BK3" s="44">
        <f t="shared" si="3"/>
        <v>375700</v>
      </c>
      <c r="BL3" s="45">
        <f t="shared" si="4"/>
        <v>0.75399373846030349</v>
      </c>
      <c r="BM3" s="46">
        <f t="shared" si="5"/>
        <v>3.7699686923015174E-2</v>
      </c>
      <c r="BN3" s="39">
        <v>2030</v>
      </c>
    </row>
    <row r="4" spans="1:66">
      <c r="A4">
        <v>925247783</v>
      </c>
      <c r="B4" s="105">
        <v>40320</v>
      </c>
      <c r="C4" s="43">
        <v>395000</v>
      </c>
      <c r="D4">
        <v>20866</v>
      </c>
      <c r="E4" t="s">
        <v>10465</v>
      </c>
      <c r="F4" t="s">
        <v>10466</v>
      </c>
      <c r="G4">
        <v>149</v>
      </c>
      <c r="H4">
        <v>21</v>
      </c>
      <c r="I4">
        <v>69</v>
      </c>
      <c r="J4"/>
      <c r="K4"/>
      <c r="L4" s="41">
        <v>1</v>
      </c>
      <c r="M4" s="41">
        <v>1</v>
      </c>
      <c r="N4" s="41">
        <v>1</v>
      </c>
      <c r="O4" s="41">
        <v>1</v>
      </c>
      <c r="P4" s="41">
        <v>1</v>
      </c>
      <c r="Q4" s="41">
        <v>1</v>
      </c>
      <c r="R4" s="41">
        <v>1</v>
      </c>
      <c r="S4" s="41">
        <v>1</v>
      </c>
      <c r="T4" s="41">
        <v>1</v>
      </c>
      <c r="U4" s="41">
        <v>1</v>
      </c>
      <c r="V4" s="41">
        <v>1</v>
      </c>
      <c r="W4" s="41">
        <v>1</v>
      </c>
      <c r="X4" s="41">
        <v>1</v>
      </c>
      <c r="Y4" s="41">
        <v>1</v>
      </c>
      <c r="Z4" s="41">
        <v>1</v>
      </c>
      <c r="AA4" s="41">
        <v>1</v>
      </c>
      <c r="AB4" s="41">
        <v>1</v>
      </c>
      <c r="AC4" s="41">
        <v>1</v>
      </c>
      <c r="AD4" s="41">
        <v>1</v>
      </c>
      <c r="AE4" s="41">
        <v>1</v>
      </c>
      <c r="AF4" s="41">
        <v>1</v>
      </c>
      <c r="BE4" s="41">
        <f t="shared" si="0"/>
        <v>21</v>
      </c>
      <c r="BF4" s="41">
        <v>69</v>
      </c>
      <c r="BG4" s="44">
        <f t="shared" si="1"/>
        <v>438186</v>
      </c>
      <c r="BH4" s="44">
        <v>838585</v>
      </c>
      <c r="BI4" s="44">
        <f>BH4-AQ42</f>
        <v>220376</v>
      </c>
      <c r="BJ4" s="44">
        <f t="shared" si="2"/>
        <v>18364.666666666668</v>
      </c>
      <c r="BK4" s="44">
        <f t="shared" si="3"/>
        <v>400399</v>
      </c>
      <c r="BL4" s="45">
        <f t="shared" si="4"/>
        <v>0.91376493087410371</v>
      </c>
      <c r="BM4" s="46">
        <f t="shared" si="5"/>
        <v>4.35126157559097E-2</v>
      </c>
      <c r="BN4" s="39">
        <v>2031</v>
      </c>
    </row>
    <row r="5" spans="1:66">
      <c r="A5">
        <v>925247784</v>
      </c>
      <c r="B5" s="105">
        <v>40320</v>
      </c>
      <c r="C5" s="43">
        <v>365000</v>
      </c>
      <c r="D5">
        <v>18233</v>
      </c>
      <c r="E5" t="s">
        <v>10465</v>
      </c>
      <c r="F5" t="s">
        <v>10466</v>
      </c>
      <c r="G5">
        <v>149</v>
      </c>
      <c r="H5">
        <v>22</v>
      </c>
      <c r="I5">
        <v>69</v>
      </c>
      <c r="J5"/>
      <c r="K5"/>
      <c r="L5" s="41">
        <v>1</v>
      </c>
      <c r="M5" s="41">
        <v>1</v>
      </c>
      <c r="N5" s="41">
        <v>1</v>
      </c>
      <c r="O5" s="41">
        <v>1</v>
      </c>
      <c r="P5" s="41">
        <v>1</v>
      </c>
      <c r="Q5" s="41">
        <v>1</v>
      </c>
      <c r="R5" s="41">
        <v>1</v>
      </c>
      <c r="S5" s="41">
        <v>1</v>
      </c>
      <c r="T5" s="41">
        <v>1</v>
      </c>
      <c r="U5" s="41">
        <v>1</v>
      </c>
      <c r="V5" s="41">
        <v>1</v>
      </c>
      <c r="W5" s="41">
        <v>1</v>
      </c>
      <c r="X5" s="41">
        <v>1</v>
      </c>
      <c r="Y5" s="41">
        <v>1</v>
      </c>
      <c r="Z5" s="41">
        <v>1</v>
      </c>
      <c r="AA5" s="41">
        <v>1</v>
      </c>
      <c r="AB5" s="41">
        <v>1</v>
      </c>
      <c r="AC5" s="41">
        <v>1</v>
      </c>
      <c r="AD5" s="41">
        <v>1</v>
      </c>
      <c r="AE5" s="41">
        <v>1</v>
      </c>
      <c r="AF5" s="41">
        <v>1</v>
      </c>
      <c r="AG5" s="41">
        <v>1</v>
      </c>
      <c r="BE5" s="41">
        <f t="shared" si="0"/>
        <v>22</v>
      </c>
      <c r="BF5" s="41">
        <v>69</v>
      </c>
      <c r="BG5" s="44">
        <f t="shared" si="1"/>
        <v>401126</v>
      </c>
      <c r="BH5" s="44">
        <v>811030</v>
      </c>
      <c r="BI5" s="44">
        <v>811030</v>
      </c>
      <c r="BJ5" s="44">
        <f t="shared" si="2"/>
        <v>67585.833333333328</v>
      </c>
      <c r="BK5" s="44">
        <f t="shared" si="3"/>
        <v>409904</v>
      </c>
      <c r="BL5" s="45">
        <f t="shared" si="4"/>
        <v>1.0218833982339715</v>
      </c>
      <c r="BM5" s="46">
        <f t="shared" si="5"/>
        <v>4.6449245374271426E-2</v>
      </c>
      <c r="BN5" s="39">
        <v>2032</v>
      </c>
    </row>
    <row r="6" spans="1:66">
      <c r="A6">
        <v>925247785</v>
      </c>
      <c r="B6" s="105">
        <v>40320</v>
      </c>
      <c r="C6" s="43">
        <v>340000</v>
      </c>
      <c r="D6">
        <v>16090</v>
      </c>
      <c r="E6" t="s">
        <v>10465</v>
      </c>
      <c r="F6" t="s">
        <v>10466</v>
      </c>
      <c r="G6">
        <v>149</v>
      </c>
      <c r="H6">
        <v>23</v>
      </c>
      <c r="I6">
        <v>69</v>
      </c>
      <c r="J6"/>
      <c r="K6"/>
      <c r="L6" s="41">
        <v>1</v>
      </c>
      <c r="M6" s="41">
        <v>1</v>
      </c>
      <c r="N6" s="41">
        <v>1</v>
      </c>
      <c r="O6" s="41">
        <v>1</v>
      </c>
      <c r="P6" s="41">
        <v>1</v>
      </c>
      <c r="Q6" s="41">
        <v>1</v>
      </c>
      <c r="R6" s="41">
        <v>1</v>
      </c>
      <c r="S6" s="41">
        <v>1</v>
      </c>
      <c r="T6" s="41">
        <v>1</v>
      </c>
      <c r="U6" s="41">
        <v>1</v>
      </c>
      <c r="V6" s="41">
        <v>1</v>
      </c>
      <c r="W6" s="41">
        <v>1</v>
      </c>
      <c r="X6" s="41">
        <v>1</v>
      </c>
      <c r="Y6" s="41">
        <v>1</v>
      </c>
      <c r="Z6" s="41">
        <v>1</v>
      </c>
      <c r="AA6" s="41">
        <v>1</v>
      </c>
      <c r="AB6" s="41">
        <v>1</v>
      </c>
      <c r="AC6" s="41">
        <v>1</v>
      </c>
      <c r="AD6" s="41">
        <v>1</v>
      </c>
      <c r="AE6" s="41">
        <v>1</v>
      </c>
      <c r="AF6" s="41">
        <v>1</v>
      </c>
      <c r="AG6" s="41">
        <v>1</v>
      </c>
      <c r="AH6" s="41">
        <v>1</v>
      </c>
      <c r="BE6" s="41">
        <f t="shared" si="0"/>
        <v>23</v>
      </c>
      <c r="BF6" s="41">
        <v>69</v>
      </c>
      <c r="BG6" s="44">
        <f t="shared" si="1"/>
        <v>370070</v>
      </c>
      <c r="BH6" s="44">
        <v>806140</v>
      </c>
      <c r="BI6" s="44">
        <f>BH6-AS42</f>
        <v>200402</v>
      </c>
      <c r="BJ6" s="44">
        <f t="shared" si="2"/>
        <v>16700.166666666668</v>
      </c>
      <c r="BK6" s="44">
        <f t="shared" si="3"/>
        <v>436070</v>
      </c>
      <c r="BL6" s="45">
        <f t="shared" si="4"/>
        <v>1.1783446375010134</v>
      </c>
      <c r="BM6" s="46">
        <f t="shared" si="5"/>
        <v>5.1232375543522321E-2</v>
      </c>
      <c r="BN6" s="39">
        <v>2033</v>
      </c>
    </row>
    <row r="7" spans="1:66">
      <c r="A7">
        <v>925247786</v>
      </c>
      <c r="B7" s="105">
        <v>40320</v>
      </c>
      <c r="C7" s="43">
        <v>320000</v>
      </c>
      <c r="D7">
        <v>14380</v>
      </c>
      <c r="E7" t="s">
        <v>10465</v>
      </c>
      <c r="F7" t="s">
        <v>10466</v>
      </c>
      <c r="G7">
        <v>149</v>
      </c>
      <c r="H7" s="41">
        <v>24</v>
      </c>
      <c r="I7">
        <v>69</v>
      </c>
      <c r="L7" s="41">
        <v>1</v>
      </c>
      <c r="M7" s="41">
        <v>1</v>
      </c>
      <c r="N7" s="41">
        <v>1</v>
      </c>
      <c r="O7" s="41">
        <v>1</v>
      </c>
      <c r="P7" s="41">
        <v>1</v>
      </c>
      <c r="Q7" s="41">
        <v>1</v>
      </c>
      <c r="R7" s="41">
        <v>1</v>
      </c>
      <c r="S7" s="41">
        <v>1</v>
      </c>
      <c r="T7" s="41">
        <v>1</v>
      </c>
      <c r="U7" s="41">
        <v>1</v>
      </c>
      <c r="V7" s="41">
        <v>1</v>
      </c>
      <c r="W7" s="41">
        <v>1</v>
      </c>
      <c r="X7" s="41">
        <v>1</v>
      </c>
      <c r="Y7" s="41">
        <v>1</v>
      </c>
      <c r="Z7" s="41">
        <v>1</v>
      </c>
      <c r="AA7" s="41">
        <v>1</v>
      </c>
      <c r="AB7" s="41">
        <v>1</v>
      </c>
      <c r="AC7" s="41">
        <v>1</v>
      </c>
      <c r="AD7" s="41">
        <v>1</v>
      </c>
      <c r="AE7" s="41">
        <v>1</v>
      </c>
      <c r="AF7" s="41">
        <v>1</v>
      </c>
      <c r="AG7" s="41">
        <v>1</v>
      </c>
      <c r="AH7" s="41">
        <v>1</v>
      </c>
      <c r="AI7" s="41">
        <v>1</v>
      </c>
      <c r="BE7" s="41">
        <f t="shared" si="0"/>
        <v>24</v>
      </c>
      <c r="BF7" s="41">
        <v>69</v>
      </c>
      <c r="BG7" s="44">
        <f t="shared" si="1"/>
        <v>345120</v>
      </c>
      <c r="BH7" s="44">
        <v>806400</v>
      </c>
      <c r="BI7" s="44">
        <f>BH7-AT42</f>
        <v>206110</v>
      </c>
      <c r="BJ7" s="44">
        <f t="shared" si="2"/>
        <v>17175.833333333332</v>
      </c>
      <c r="BK7" s="44">
        <f t="shared" si="3"/>
        <v>461280</v>
      </c>
      <c r="BL7" s="45">
        <f t="shared" si="4"/>
        <v>1.3365785813630042</v>
      </c>
      <c r="BM7" s="46">
        <f t="shared" si="5"/>
        <v>5.5690774223458507E-2</v>
      </c>
      <c r="BN7" s="39">
        <v>2034</v>
      </c>
    </row>
    <row r="8" spans="1:66">
      <c r="A8">
        <v>925247787</v>
      </c>
      <c r="B8" s="105">
        <v>40320</v>
      </c>
      <c r="C8" s="43">
        <v>300000</v>
      </c>
      <c r="D8">
        <v>12869</v>
      </c>
      <c r="E8" t="s">
        <v>10465</v>
      </c>
      <c r="F8" t="s">
        <v>10466</v>
      </c>
      <c r="G8">
        <v>149</v>
      </c>
      <c r="H8" s="41">
        <v>25</v>
      </c>
      <c r="I8">
        <v>69</v>
      </c>
      <c r="L8" s="41">
        <v>1</v>
      </c>
      <c r="M8" s="41">
        <v>1</v>
      </c>
      <c r="N8" s="41">
        <v>1</v>
      </c>
      <c r="O8" s="41">
        <v>1</v>
      </c>
      <c r="P8" s="41">
        <v>1</v>
      </c>
      <c r="Q8" s="41">
        <v>1</v>
      </c>
      <c r="R8" s="41">
        <v>1</v>
      </c>
      <c r="S8" s="41">
        <v>1</v>
      </c>
      <c r="T8" s="41">
        <v>1</v>
      </c>
      <c r="U8" s="41">
        <v>1</v>
      </c>
      <c r="V8" s="41">
        <v>1</v>
      </c>
      <c r="W8" s="41">
        <v>1</v>
      </c>
      <c r="X8" s="41">
        <v>1</v>
      </c>
      <c r="Y8" s="41">
        <v>1</v>
      </c>
      <c r="Z8" s="41">
        <v>1</v>
      </c>
      <c r="AA8" s="41">
        <v>1</v>
      </c>
      <c r="AB8" s="41">
        <v>1</v>
      </c>
      <c r="AC8" s="41">
        <v>1</v>
      </c>
      <c r="AD8" s="41">
        <v>1</v>
      </c>
      <c r="AE8" s="41">
        <v>1</v>
      </c>
      <c r="AF8" s="41">
        <v>1</v>
      </c>
      <c r="AG8" s="41">
        <v>1</v>
      </c>
      <c r="AH8" s="41">
        <v>1</v>
      </c>
      <c r="AI8" s="41">
        <v>1</v>
      </c>
      <c r="AJ8" s="41">
        <v>1</v>
      </c>
      <c r="BE8" s="41">
        <f t="shared" si="0"/>
        <v>25</v>
      </c>
      <c r="BF8" s="41">
        <v>69</v>
      </c>
      <c r="BG8" s="44">
        <f t="shared" si="1"/>
        <v>321725</v>
      </c>
      <c r="BH8" s="44">
        <v>800700</v>
      </c>
      <c r="BI8" s="44">
        <f>BH8-AU42</f>
        <v>205382</v>
      </c>
      <c r="BJ8" s="44">
        <f t="shared" si="2"/>
        <v>17115.166666666668</v>
      </c>
      <c r="BK8" s="44">
        <f t="shared" si="3"/>
        <v>478975</v>
      </c>
      <c r="BL8" s="45">
        <f t="shared" si="4"/>
        <v>1.4887714663143989</v>
      </c>
      <c r="BM8" s="46">
        <f t="shared" si="5"/>
        <v>5.9550858652575957E-2</v>
      </c>
      <c r="BN8" s="39">
        <v>2035</v>
      </c>
    </row>
    <row r="9" spans="1:66">
      <c r="A9">
        <v>925247788</v>
      </c>
      <c r="B9" s="105">
        <v>40320</v>
      </c>
      <c r="C9" s="43">
        <v>280000</v>
      </c>
      <c r="D9">
        <v>11718</v>
      </c>
      <c r="E9" t="s">
        <v>10465</v>
      </c>
      <c r="F9" t="s">
        <v>10466</v>
      </c>
      <c r="G9">
        <v>149</v>
      </c>
      <c r="H9" s="41">
        <v>26</v>
      </c>
      <c r="I9">
        <v>69</v>
      </c>
      <c r="L9" s="41">
        <v>1</v>
      </c>
      <c r="M9" s="41">
        <v>1</v>
      </c>
      <c r="N9" s="41">
        <v>1</v>
      </c>
      <c r="O9" s="41">
        <v>1</v>
      </c>
      <c r="P9" s="41">
        <v>1</v>
      </c>
      <c r="Q9" s="41">
        <v>1</v>
      </c>
      <c r="R9" s="41">
        <v>1</v>
      </c>
      <c r="S9" s="41">
        <v>1</v>
      </c>
      <c r="T9" s="41">
        <v>1</v>
      </c>
      <c r="U9" s="41">
        <v>1</v>
      </c>
      <c r="V9" s="41">
        <v>1</v>
      </c>
      <c r="W9" s="41">
        <v>1</v>
      </c>
      <c r="X9" s="41">
        <v>1</v>
      </c>
      <c r="Y9" s="41">
        <v>1</v>
      </c>
      <c r="Z9" s="41">
        <v>1</v>
      </c>
      <c r="AA9" s="41">
        <v>1</v>
      </c>
      <c r="AB9" s="41">
        <v>1</v>
      </c>
      <c r="AC9" s="41">
        <v>1</v>
      </c>
      <c r="AD9" s="41">
        <v>1</v>
      </c>
      <c r="AE9" s="41">
        <v>1</v>
      </c>
      <c r="AF9" s="41">
        <v>1</v>
      </c>
      <c r="AG9" s="41">
        <v>1</v>
      </c>
      <c r="AH9" s="41">
        <v>1</v>
      </c>
      <c r="AI9" s="41">
        <v>1</v>
      </c>
      <c r="AJ9" s="41">
        <v>1</v>
      </c>
      <c r="AK9" s="41">
        <v>1</v>
      </c>
      <c r="BE9" s="41">
        <f t="shared" si="0"/>
        <v>26</v>
      </c>
      <c r="BF9" s="41">
        <v>69</v>
      </c>
      <c r="BG9" s="44">
        <f t="shared" si="1"/>
        <v>304668</v>
      </c>
      <c r="BH9" s="44">
        <v>789040</v>
      </c>
      <c r="BI9" s="44">
        <f>BH9-AV42</f>
        <v>198245</v>
      </c>
      <c r="BJ9" s="44">
        <f t="shared" si="2"/>
        <v>16520.416666666668</v>
      </c>
      <c r="BK9" s="44">
        <f t="shared" si="3"/>
        <v>484372</v>
      </c>
      <c r="BL9" s="45">
        <f t="shared" si="4"/>
        <v>1.5898354930612995</v>
      </c>
      <c r="BM9" s="46">
        <f t="shared" si="5"/>
        <v>6.1147518963896134E-2</v>
      </c>
      <c r="BN9" s="39">
        <v>2036</v>
      </c>
    </row>
    <row r="10" spans="1:66">
      <c r="A10">
        <v>925247789</v>
      </c>
      <c r="B10" s="105">
        <v>40320</v>
      </c>
      <c r="C10" s="43">
        <v>260000</v>
      </c>
      <c r="D10">
        <v>10399</v>
      </c>
      <c r="E10" t="s">
        <v>10465</v>
      </c>
      <c r="F10" t="s">
        <v>10466</v>
      </c>
      <c r="G10">
        <v>149</v>
      </c>
      <c r="H10" s="41">
        <v>27</v>
      </c>
      <c r="I10">
        <v>69</v>
      </c>
      <c r="L10" s="41">
        <v>1</v>
      </c>
      <c r="M10" s="41">
        <v>1</v>
      </c>
      <c r="N10" s="41">
        <v>1</v>
      </c>
      <c r="O10" s="41">
        <v>1</v>
      </c>
      <c r="P10" s="41">
        <v>1</v>
      </c>
      <c r="Q10" s="41">
        <v>1</v>
      </c>
      <c r="R10" s="41">
        <v>1</v>
      </c>
      <c r="S10" s="41">
        <v>1</v>
      </c>
      <c r="T10" s="41">
        <v>1</v>
      </c>
      <c r="U10" s="41">
        <v>1</v>
      </c>
      <c r="V10" s="41">
        <v>1</v>
      </c>
      <c r="W10" s="41">
        <v>1</v>
      </c>
      <c r="X10" s="41">
        <v>1</v>
      </c>
      <c r="Y10" s="41">
        <v>1</v>
      </c>
      <c r="Z10" s="41">
        <v>1</v>
      </c>
      <c r="AA10" s="41">
        <v>1</v>
      </c>
      <c r="AB10" s="41">
        <v>1</v>
      </c>
      <c r="AC10" s="41">
        <v>1</v>
      </c>
      <c r="AD10" s="41">
        <v>1</v>
      </c>
      <c r="AE10" s="41">
        <v>1</v>
      </c>
      <c r="AF10" s="41">
        <v>1</v>
      </c>
      <c r="AG10" s="41">
        <v>1</v>
      </c>
      <c r="AH10" s="41">
        <v>1</v>
      </c>
      <c r="AI10" s="41">
        <v>1</v>
      </c>
      <c r="AJ10" s="41">
        <v>1</v>
      </c>
      <c r="AK10" s="41">
        <v>1</v>
      </c>
      <c r="AL10" s="41">
        <v>1</v>
      </c>
      <c r="BE10" s="41">
        <f t="shared" si="0"/>
        <v>27</v>
      </c>
      <c r="BF10" s="41">
        <v>69</v>
      </c>
      <c r="BG10" s="44">
        <f t="shared" si="1"/>
        <v>280773</v>
      </c>
      <c r="BH10" s="44">
        <v>776620</v>
      </c>
      <c r="BI10" s="44">
        <f>BH10-AW42</f>
        <v>225080</v>
      </c>
      <c r="BJ10" s="44">
        <f t="shared" si="2"/>
        <v>18756.666666666668</v>
      </c>
      <c r="BK10" s="44">
        <f t="shared" si="3"/>
        <v>495847</v>
      </c>
      <c r="BL10" s="45">
        <f t="shared" si="4"/>
        <v>1.7660067029237141</v>
      </c>
      <c r="BM10" s="46">
        <f t="shared" si="5"/>
        <v>6.5407655663841269E-2</v>
      </c>
      <c r="BN10" s="39">
        <v>2037</v>
      </c>
    </row>
    <row r="11" spans="1:66">
      <c r="A11">
        <v>925247790</v>
      </c>
      <c r="B11" s="105">
        <v>40320</v>
      </c>
      <c r="C11" s="43">
        <v>245000</v>
      </c>
      <c r="D11">
        <v>9381</v>
      </c>
      <c r="E11" t="s">
        <v>10465</v>
      </c>
      <c r="F11" t="s">
        <v>10466</v>
      </c>
      <c r="G11">
        <v>149</v>
      </c>
      <c r="H11" s="41">
        <v>28</v>
      </c>
      <c r="I11">
        <v>69</v>
      </c>
      <c r="L11" s="41">
        <v>1</v>
      </c>
      <c r="M11" s="41">
        <v>1</v>
      </c>
      <c r="N11" s="41">
        <v>1</v>
      </c>
      <c r="O11" s="41">
        <v>1</v>
      </c>
      <c r="P11" s="41">
        <v>1</v>
      </c>
      <c r="Q11" s="41">
        <v>1</v>
      </c>
      <c r="R11" s="41">
        <v>1</v>
      </c>
      <c r="S11" s="41">
        <v>1</v>
      </c>
      <c r="T11" s="41">
        <v>1</v>
      </c>
      <c r="U11" s="41">
        <v>1</v>
      </c>
      <c r="V11" s="41">
        <v>1</v>
      </c>
      <c r="W11" s="41">
        <v>1</v>
      </c>
      <c r="X11" s="41">
        <v>1</v>
      </c>
      <c r="Y11" s="41">
        <v>1</v>
      </c>
      <c r="Z11" s="41">
        <v>1</v>
      </c>
      <c r="AA11" s="41">
        <v>1</v>
      </c>
      <c r="AB11" s="41">
        <v>1</v>
      </c>
      <c r="AC11" s="41">
        <v>1</v>
      </c>
      <c r="AD11" s="41">
        <v>1</v>
      </c>
      <c r="AE11" s="41">
        <v>1</v>
      </c>
      <c r="AF11" s="41">
        <v>1</v>
      </c>
      <c r="AG11" s="41">
        <v>1</v>
      </c>
      <c r="AH11" s="41">
        <v>1</v>
      </c>
      <c r="AI11" s="41">
        <v>1</v>
      </c>
      <c r="AJ11" s="41">
        <v>1</v>
      </c>
      <c r="AK11" s="41">
        <v>1</v>
      </c>
      <c r="AL11" s="41">
        <v>1</v>
      </c>
      <c r="AM11" s="41">
        <v>1</v>
      </c>
      <c r="BE11" s="41">
        <f t="shared" si="0"/>
        <v>28</v>
      </c>
      <c r="BF11" s="41">
        <v>69</v>
      </c>
      <c r="BG11" s="44">
        <f t="shared" si="1"/>
        <v>262668</v>
      </c>
      <c r="BH11" s="44">
        <v>773220</v>
      </c>
      <c r="BI11" s="44">
        <f>BH11-AX42</f>
        <v>225523</v>
      </c>
      <c r="BJ11" s="44">
        <f t="shared" si="2"/>
        <v>18793.583333333332</v>
      </c>
      <c r="BK11" s="44">
        <f t="shared" si="3"/>
        <v>510552</v>
      </c>
      <c r="BL11" s="45">
        <f t="shared" si="4"/>
        <v>1.9437160217460825</v>
      </c>
      <c r="BM11" s="46">
        <f t="shared" si="5"/>
        <v>6.9418429348074379E-2</v>
      </c>
      <c r="BN11" s="39">
        <v>2038</v>
      </c>
    </row>
    <row r="12" spans="1:66">
      <c r="A12">
        <v>925247791</v>
      </c>
      <c r="B12" s="105">
        <v>40320</v>
      </c>
      <c r="C12" s="43">
        <v>230000</v>
      </c>
      <c r="D12">
        <v>8436</v>
      </c>
      <c r="E12" t="s">
        <v>10465</v>
      </c>
      <c r="F12" t="s">
        <v>10466</v>
      </c>
      <c r="G12">
        <v>149</v>
      </c>
      <c r="H12" s="41">
        <v>29</v>
      </c>
      <c r="I12">
        <v>69</v>
      </c>
      <c r="L12" s="41">
        <v>1</v>
      </c>
      <c r="M12" s="41">
        <v>1</v>
      </c>
      <c r="N12" s="41">
        <v>1</v>
      </c>
      <c r="O12" s="41">
        <v>1</v>
      </c>
      <c r="P12" s="41">
        <v>1</v>
      </c>
      <c r="Q12" s="41">
        <v>1</v>
      </c>
      <c r="R12" s="41">
        <v>1</v>
      </c>
      <c r="S12" s="41">
        <v>1</v>
      </c>
      <c r="T12" s="41">
        <v>1</v>
      </c>
      <c r="U12" s="41">
        <v>1</v>
      </c>
      <c r="V12" s="41">
        <v>1</v>
      </c>
      <c r="W12" s="41">
        <v>1</v>
      </c>
      <c r="X12" s="41">
        <v>1</v>
      </c>
      <c r="Y12" s="41">
        <v>1</v>
      </c>
      <c r="Z12" s="41">
        <v>1</v>
      </c>
      <c r="AA12" s="41">
        <v>1</v>
      </c>
      <c r="AB12" s="41">
        <v>1</v>
      </c>
      <c r="AC12" s="41">
        <v>1</v>
      </c>
      <c r="AD12" s="41">
        <v>1</v>
      </c>
      <c r="AE12" s="41">
        <v>1</v>
      </c>
      <c r="AF12" s="41">
        <v>1</v>
      </c>
      <c r="AG12" s="41">
        <v>1</v>
      </c>
      <c r="AH12" s="41">
        <v>1</v>
      </c>
      <c r="AI12" s="41">
        <v>1</v>
      </c>
      <c r="AJ12" s="41">
        <v>1</v>
      </c>
      <c r="AK12" s="41">
        <v>1</v>
      </c>
      <c r="AL12" s="41">
        <v>1</v>
      </c>
      <c r="AM12" s="41">
        <v>1</v>
      </c>
      <c r="AN12" s="41">
        <v>1</v>
      </c>
      <c r="BE12" s="41">
        <f t="shared" si="0"/>
        <v>29</v>
      </c>
      <c r="BF12" s="41">
        <v>69</v>
      </c>
      <c r="BG12" s="44">
        <f t="shared" si="1"/>
        <v>244644</v>
      </c>
      <c r="BH12" s="44">
        <v>764750</v>
      </c>
      <c r="BI12" s="44">
        <f>BH12-AY42</f>
        <v>220525</v>
      </c>
      <c r="BJ12" s="44">
        <f t="shared" si="2"/>
        <v>18377.083333333332</v>
      </c>
      <c r="BK12" s="44">
        <f t="shared" si="3"/>
        <v>520106</v>
      </c>
      <c r="BL12" s="45">
        <f t="shared" si="4"/>
        <v>2.1259707983845915</v>
      </c>
      <c r="BM12" s="46">
        <f t="shared" si="5"/>
        <v>7.3309337875330741E-2</v>
      </c>
      <c r="BN12" s="39">
        <v>2039</v>
      </c>
    </row>
    <row r="13" spans="1:66">
      <c r="A13">
        <v>925247792</v>
      </c>
      <c r="B13" s="105">
        <v>40320</v>
      </c>
      <c r="C13" s="43">
        <v>215000</v>
      </c>
      <c r="D13">
        <v>7571</v>
      </c>
      <c r="E13" t="s">
        <v>10465</v>
      </c>
      <c r="F13" t="s">
        <v>10466</v>
      </c>
      <c r="G13">
        <v>149</v>
      </c>
      <c r="H13" s="41">
        <v>30</v>
      </c>
      <c r="I13">
        <v>69</v>
      </c>
      <c r="L13" s="41">
        <v>1</v>
      </c>
      <c r="M13" s="41">
        <v>1</v>
      </c>
      <c r="N13" s="41">
        <v>1</v>
      </c>
      <c r="O13" s="41">
        <v>1</v>
      </c>
      <c r="P13" s="41">
        <v>1</v>
      </c>
      <c r="Q13" s="41">
        <v>1</v>
      </c>
      <c r="R13" s="41">
        <v>1</v>
      </c>
      <c r="S13" s="41">
        <v>1</v>
      </c>
      <c r="T13" s="41">
        <v>1</v>
      </c>
      <c r="U13" s="41">
        <v>1</v>
      </c>
      <c r="V13" s="41">
        <v>1</v>
      </c>
      <c r="W13" s="41">
        <v>1</v>
      </c>
      <c r="X13" s="41">
        <v>1</v>
      </c>
      <c r="Y13" s="41">
        <v>1</v>
      </c>
      <c r="Z13" s="41">
        <v>1</v>
      </c>
      <c r="AA13" s="41">
        <v>1</v>
      </c>
      <c r="AB13" s="41">
        <v>1</v>
      </c>
      <c r="AC13" s="41">
        <v>1</v>
      </c>
      <c r="AD13" s="41">
        <v>1</v>
      </c>
      <c r="AE13" s="41">
        <v>1</v>
      </c>
      <c r="AF13" s="41">
        <v>1</v>
      </c>
      <c r="AG13" s="41">
        <v>1</v>
      </c>
      <c r="AH13" s="41">
        <v>1</v>
      </c>
      <c r="AI13" s="41">
        <v>1</v>
      </c>
      <c r="AJ13" s="41">
        <v>1</v>
      </c>
      <c r="AK13" s="41">
        <v>1</v>
      </c>
      <c r="AL13" s="41">
        <v>1</v>
      </c>
      <c r="AM13" s="41">
        <v>1</v>
      </c>
      <c r="AN13" s="41">
        <v>1</v>
      </c>
      <c r="AO13" s="41">
        <v>1</v>
      </c>
      <c r="BE13" s="41">
        <f t="shared" si="0"/>
        <v>30</v>
      </c>
      <c r="BF13" s="41">
        <v>69</v>
      </c>
      <c r="BG13" s="44">
        <f t="shared" si="1"/>
        <v>227130</v>
      </c>
      <c r="BH13" s="44">
        <v>766260</v>
      </c>
      <c r="BI13" s="44">
        <f>BH13-AZ42</f>
        <v>225282</v>
      </c>
      <c r="BJ13" s="44">
        <f t="shared" si="2"/>
        <v>18773.5</v>
      </c>
      <c r="BK13" s="44">
        <f t="shared" si="3"/>
        <v>539130</v>
      </c>
      <c r="BL13" s="45">
        <f t="shared" si="4"/>
        <v>2.3736626601505746</v>
      </c>
      <c r="BM13" s="46">
        <f t="shared" si="5"/>
        <v>7.9122088671685825E-2</v>
      </c>
      <c r="BN13" s="39">
        <v>2040</v>
      </c>
    </row>
    <row r="14" spans="1:66">
      <c r="A14">
        <v>925247793</v>
      </c>
      <c r="B14" s="105">
        <v>40320</v>
      </c>
      <c r="C14" s="43">
        <v>205000</v>
      </c>
      <c r="D14">
        <v>6930</v>
      </c>
      <c r="E14" t="s">
        <v>10465</v>
      </c>
      <c r="F14" t="s">
        <v>10466</v>
      </c>
      <c r="G14">
        <v>149</v>
      </c>
      <c r="H14" s="41">
        <v>31</v>
      </c>
      <c r="I14">
        <v>69</v>
      </c>
      <c r="L14" s="41">
        <v>1</v>
      </c>
      <c r="M14" s="41">
        <v>1</v>
      </c>
      <c r="N14" s="41">
        <v>1</v>
      </c>
      <c r="O14" s="41">
        <v>1</v>
      </c>
      <c r="P14" s="41">
        <v>1</v>
      </c>
      <c r="Q14" s="41">
        <v>1</v>
      </c>
      <c r="R14" s="41">
        <v>1</v>
      </c>
      <c r="S14" s="41">
        <v>1</v>
      </c>
      <c r="T14" s="41">
        <v>1</v>
      </c>
      <c r="U14" s="41">
        <v>1</v>
      </c>
      <c r="V14" s="41">
        <v>1</v>
      </c>
      <c r="W14" s="41">
        <v>1</v>
      </c>
      <c r="X14" s="41">
        <v>1</v>
      </c>
      <c r="Y14" s="41">
        <v>1</v>
      </c>
      <c r="Z14" s="41">
        <v>1</v>
      </c>
      <c r="AA14" s="41">
        <v>1</v>
      </c>
      <c r="AB14" s="41">
        <v>1</v>
      </c>
      <c r="AC14" s="41">
        <v>1</v>
      </c>
      <c r="AD14" s="41">
        <v>1</v>
      </c>
      <c r="AE14" s="41">
        <v>1</v>
      </c>
      <c r="AF14" s="41">
        <v>1</v>
      </c>
      <c r="AG14" s="41">
        <v>1</v>
      </c>
      <c r="AH14" s="41">
        <v>1</v>
      </c>
      <c r="AI14" s="41">
        <v>1</v>
      </c>
      <c r="AJ14" s="41">
        <v>1</v>
      </c>
      <c r="AK14" s="41">
        <v>1</v>
      </c>
      <c r="AL14" s="41">
        <v>1</v>
      </c>
      <c r="AM14" s="41">
        <v>1</v>
      </c>
      <c r="AN14" s="41">
        <v>1</v>
      </c>
      <c r="AO14" s="41">
        <v>1</v>
      </c>
      <c r="AP14" s="41">
        <v>1</v>
      </c>
      <c r="BE14" s="41">
        <f t="shared" si="0"/>
        <v>31</v>
      </c>
      <c r="BF14" s="41">
        <v>69</v>
      </c>
      <c r="BG14" s="44">
        <f t="shared" si="1"/>
        <v>214830</v>
      </c>
      <c r="BH14" s="44">
        <v>781665</v>
      </c>
      <c r="BI14" s="44">
        <f>BH14-BA42</f>
        <v>243965</v>
      </c>
      <c r="BJ14" s="44">
        <f t="shared" si="2"/>
        <v>20330.416666666668</v>
      </c>
      <c r="BK14" s="44">
        <f t="shared" si="3"/>
        <v>566835</v>
      </c>
      <c r="BL14" s="45">
        <f t="shared" si="4"/>
        <v>2.6385281385281387</v>
      </c>
      <c r="BM14" s="46">
        <f t="shared" si="5"/>
        <v>8.5113810920262545E-2</v>
      </c>
      <c r="BN14" s="39">
        <v>2041</v>
      </c>
    </row>
    <row r="15" spans="1:66">
      <c r="A15">
        <v>925247794</v>
      </c>
      <c r="B15" s="105">
        <v>40320</v>
      </c>
      <c r="C15" s="43">
        <v>200000</v>
      </c>
      <c r="D15">
        <v>6509</v>
      </c>
      <c r="E15" t="s">
        <v>10465</v>
      </c>
      <c r="F15" t="s">
        <v>10466</v>
      </c>
      <c r="G15">
        <v>149</v>
      </c>
      <c r="H15" s="41">
        <v>32</v>
      </c>
      <c r="I15">
        <v>69</v>
      </c>
      <c r="L15" s="41">
        <v>1</v>
      </c>
      <c r="M15" s="41">
        <v>1</v>
      </c>
      <c r="N15" s="41">
        <v>1</v>
      </c>
      <c r="O15" s="41">
        <v>1</v>
      </c>
      <c r="P15" s="41">
        <v>1</v>
      </c>
      <c r="Q15" s="41">
        <v>1</v>
      </c>
      <c r="R15" s="41">
        <v>1</v>
      </c>
      <c r="S15" s="41">
        <v>1</v>
      </c>
      <c r="T15" s="41">
        <v>1</v>
      </c>
      <c r="U15" s="41">
        <v>1</v>
      </c>
      <c r="V15" s="41">
        <v>1</v>
      </c>
      <c r="W15" s="41">
        <v>1</v>
      </c>
      <c r="X15" s="41">
        <v>1</v>
      </c>
      <c r="Y15" s="41">
        <v>1</v>
      </c>
      <c r="Z15" s="41">
        <v>1</v>
      </c>
      <c r="AA15" s="41">
        <v>1</v>
      </c>
      <c r="AB15" s="41">
        <v>1</v>
      </c>
      <c r="AC15" s="41">
        <v>1</v>
      </c>
      <c r="AD15" s="41">
        <v>1</v>
      </c>
      <c r="AE15" s="41">
        <v>1</v>
      </c>
      <c r="AF15" s="41">
        <v>1</v>
      </c>
      <c r="AG15" s="41">
        <v>1</v>
      </c>
      <c r="AH15" s="41">
        <v>1</v>
      </c>
      <c r="AI15" s="41">
        <v>1</v>
      </c>
      <c r="AJ15" s="41">
        <v>1</v>
      </c>
      <c r="AK15" s="41">
        <v>1</v>
      </c>
      <c r="AL15" s="41">
        <v>1</v>
      </c>
      <c r="AM15" s="41">
        <v>1</v>
      </c>
      <c r="AN15" s="41">
        <v>1</v>
      </c>
      <c r="AO15" s="41">
        <v>1</v>
      </c>
      <c r="AP15" s="41">
        <v>1</v>
      </c>
      <c r="AQ15" s="41">
        <v>1</v>
      </c>
      <c r="BE15" s="41">
        <f t="shared" si="0"/>
        <v>32</v>
      </c>
      <c r="BF15" s="41">
        <v>69</v>
      </c>
      <c r="BG15" s="44">
        <f t="shared" si="1"/>
        <v>208288</v>
      </c>
      <c r="BH15" s="44">
        <v>822400</v>
      </c>
      <c r="BI15" s="44">
        <f>BH15-BB42</f>
        <v>324442</v>
      </c>
      <c r="BJ15" s="44">
        <f t="shared" si="2"/>
        <v>27036.833333333332</v>
      </c>
      <c r="BK15" s="44">
        <f t="shared" si="3"/>
        <v>614112</v>
      </c>
      <c r="BL15" s="45">
        <f t="shared" si="4"/>
        <v>2.9483791673068058</v>
      </c>
      <c r="BM15" s="46">
        <f t="shared" si="5"/>
        <v>9.2136848978337682E-2</v>
      </c>
      <c r="BN15" s="39">
        <v>2042</v>
      </c>
    </row>
    <row r="16" spans="1:66">
      <c r="A16">
        <v>925247795</v>
      </c>
      <c r="B16" s="105">
        <v>40320</v>
      </c>
      <c r="C16" s="43">
        <v>180000</v>
      </c>
      <c r="D16">
        <v>5448</v>
      </c>
      <c r="E16" t="s">
        <v>10465</v>
      </c>
      <c r="F16" t="s">
        <v>10466</v>
      </c>
      <c r="G16">
        <v>149</v>
      </c>
      <c r="H16" s="41">
        <v>34</v>
      </c>
      <c r="I16">
        <v>69</v>
      </c>
      <c r="L16" s="41">
        <v>1</v>
      </c>
      <c r="M16" s="41">
        <v>1</v>
      </c>
      <c r="N16" s="41">
        <v>1</v>
      </c>
      <c r="O16" s="41">
        <v>1</v>
      </c>
      <c r="P16" s="41">
        <v>1</v>
      </c>
      <c r="Q16" s="41">
        <v>1</v>
      </c>
      <c r="R16" s="41">
        <v>1</v>
      </c>
      <c r="S16" s="41">
        <v>1</v>
      </c>
      <c r="T16" s="41">
        <v>1</v>
      </c>
      <c r="U16" s="41">
        <v>1</v>
      </c>
      <c r="V16" s="41">
        <v>1</v>
      </c>
      <c r="W16" s="41">
        <v>1</v>
      </c>
      <c r="X16" s="41">
        <v>1</v>
      </c>
      <c r="Y16" s="41">
        <v>1</v>
      </c>
      <c r="Z16" s="41">
        <v>1</v>
      </c>
      <c r="AA16" s="41">
        <v>1</v>
      </c>
      <c r="AB16" s="41">
        <v>1</v>
      </c>
      <c r="AC16" s="41">
        <v>1</v>
      </c>
      <c r="AD16" s="41">
        <v>1</v>
      </c>
      <c r="AE16" s="41">
        <v>1</v>
      </c>
      <c r="AF16" s="41">
        <v>1</v>
      </c>
      <c r="AG16" s="41">
        <v>1</v>
      </c>
      <c r="AH16" s="41">
        <v>1</v>
      </c>
      <c r="AI16" s="41">
        <v>1</v>
      </c>
      <c r="AJ16" s="41">
        <v>1</v>
      </c>
      <c r="AK16" s="41">
        <v>1</v>
      </c>
      <c r="AL16" s="41">
        <v>1</v>
      </c>
      <c r="AM16" s="41">
        <v>1</v>
      </c>
      <c r="AN16" s="41">
        <v>1</v>
      </c>
      <c r="AO16" s="41">
        <v>1</v>
      </c>
      <c r="AP16" s="41">
        <v>1</v>
      </c>
      <c r="AQ16" s="41">
        <v>1</v>
      </c>
      <c r="AR16" s="41">
        <v>1</v>
      </c>
      <c r="AS16" s="41">
        <v>1</v>
      </c>
      <c r="BE16" s="41">
        <f t="shared" si="0"/>
        <v>34</v>
      </c>
      <c r="BF16" s="41">
        <v>69</v>
      </c>
      <c r="BG16" s="44">
        <f t="shared" si="1"/>
        <v>185232</v>
      </c>
      <c r="BH16" s="44">
        <v>784800</v>
      </c>
      <c r="BI16" s="44">
        <f>BH16-BC42</f>
        <v>289855</v>
      </c>
      <c r="BJ16" s="44">
        <f t="shared" si="2"/>
        <v>24154.583333333332</v>
      </c>
      <c r="BK16" s="44">
        <f t="shared" si="3"/>
        <v>599568</v>
      </c>
      <c r="BL16" s="45">
        <f t="shared" si="4"/>
        <v>3.2368489245918632</v>
      </c>
      <c r="BM16" s="46">
        <f t="shared" si="5"/>
        <v>9.5201438958584211E-2</v>
      </c>
      <c r="BN16" s="39">
        <v>2043</v>
      </c>
    </row>
    <row r="17" spans="1:66">
      <c r="A17">
        <v>925247796</v>
      </c>
      <c r="B17" s="105">
        <v>40320</v>
      </c>
      <c r="C17" s="43">
        <v>190000</v>
      </c>
      <c r="D17">
        <v>5962</v>
      </c>
      <c r="E17" t="s">
        <v>10465</v>
      </c>
      <c r="F17" t="s">
        <v>10466</v>
      </c>
      <c r="G17">
        <v>149</v>
      </c>
      <c r="H17" s="41">
        <v>33</v>
      </c>
      <c r="I17">
        <v>69</v>
      </c>
      <c r="L17" s="41">
        <v>1</v>
      </c>
      <c r="M17" s="41">
        <v>1</v>
      </c>
      <c r="N17" s="41">
        <v>1</v>
      </c>
      <c r="O17" s="41">
        <v>1</v>
      </c>
      <c r="P17" s="41">
        <v>1</v>
      </c>
      <c r="Q17" s="41">
        <v>1</v>
      </c>
      <c r="R17" s="41">
        <v>1</v>
      </c>
      <c r="S17" s="41">
        <v>1</v>
      </c>
      <c r="T17" s="41">
        <v>1</v>
      </c>
      <c r="U17" s="41">
        <v>1</v>
      </c>
      <c r="V17" s="41">
        <v>1</v>
      </c>
      <c r="W17" s="41">
        <v>1</v>
      </c>
      <c r="X17" s="41">
        <v>1</v>
      </c>
      <c r="Y17" s="41">
        <v>1</v>
      </c>
      <c r="Z17" s="41">
        <v>1</v>
      </c>
      <c r="AA17" s="41">
        <v>1</v>
      </c>
      <c r="AB17" s="41">
        <v>1</v>
      </c>
      <c r="AC17" s="41">
        <v>1</v>
      </c>
      <c r="AD17" s="41">
        <v>1</v>
      </c>
      <c r="AE17" s="41">
        <v>1</v>
      </c>
      <c r="AF17" s="41">
        <v>1</v>
      </c>
      <c r="AG17" s="41">
        <v>1</v>
      </c>
      <c r="AH17" s="41">
        <v>1</v>
      </c>
      <c r="AI17" s="41">
        <v>1</v>
      </c>
      <c r="AJ17" s="41">
        <v>1</v>
      </c>
      <c r="AK17" s="41">
        <v>1</v>
      </c>
      <c r="AL17" s="41">
        <v>1</v>
      </c>
      <c r="AM17" s="41">
        <v>1</v>
      </c>
      <c r="AN17" s="41">
        <v>1</v>
      </c>
      <c r="AO17" s="41">
        <v>1</v>
      </c>
      <c r="AP17" s="41">
        <v>1</v>
      </c>
      <c r="AQ17" s="41">
        <v>1</v>
      </c>
      <c r="AR17" s="41">
        <v>1</v>
      </c>
      <c r="BE17" s="41">
        <f t="shared" si="0"/>
        <v>33</v>
      </c>
      <c r="BF17" s="41">
        <v>69</v>
      </c>
      <c r="BG17" s="44">
        <f t="shared" si="1"/>
        <v>196746</v>
      </c>
      <c r="BH17" s="44">
        <v>790590</v>
      </c>
      <c r="BI17" s="44">
        <f>BH17-BD42</f>
        <v>790590</v>
      </c>
      <c r="BJ17" s="44">
        <f t="shared" si="2"/>
        <v>65882.5</v>
      </c>
      <c r="BK17" s="44">
        <f t="shared" si="3"/>
        <v>593844</v>
      </c>
      <c r="BL17" s="45">
        <f t="shared" si="4"/>
        <v>3.0183281998109237</v>
      </c>
      <c r="BM17" s="46">
        <f t="shared" si="5"/>
        <v>9.1464490903361326E-2</v>
      </c>
      <c r="BN17" s="39">
        <v>2044</v>
      </c>
    </row>
    <row r="18" spans="1:66">
      <c r="A18">
        <v>925247797</v>
      </c>
      <c r="B18" s="105">
        <v>40320</v>
      </c>
      <c r="C18" s="43">
        <v>170000</v>
      </c>
      <c r="D18">
        <v>4972</v>
      </c>
      <c r="E18" t="s">
        <v>10465</v>
      </c>
      <c r="F18" t="s">
        <v>10466</v>
      </c>
      <c r="G18">
        <v>149</v>
      </c>
      <c r="H18" s="41">
        <v>35</v>
      </c>
      <c r="I18">
        <v>69</v>
      </c>
      <c r="L18" s="41">
        <v>1</v>
      </c>
      <c r="M18" s="41">
        <v>1</v>
      </c>
      <c r="N18" s="41">
        <v>1</v>
      </c>
      <c r="O18" s="41">
        <v>1</v>
      </c>
      <c r="P18" s="41">
        <v>1</v>
      </c>
      <c r="Q18" s="41">
        <v>1</v>
      </c>
      <c r="R18" s="41">
        <v>1</v>
      </c>
      <c r="S18" s="41">
        <v>1</v>
      </c>
      <c r="T18" s="41">
        <v>1</v>
      </c>
      <c r="U18" s="41">
        <v>1</v>
      </c>
      <c r="V18" s="41">
        <v>1</v>
      </c>
      <c r="W18" s="41">
        <v>1</v>
      </c>
      <c r="X18" s="41">
        <v>1</v>
      </c>
      <c r="Y18" s="41">
        <v>1</v>
      </c>
      <c r="Z18" s="41">
        <v>1</v>
      </c>
      <c r="AA18" s="41">
        <v>1</v>
      </c>
      <c r="AB18" s="41">
        <v>1</v>
      </c>
      <c r="AC18" s="41">
        <v>1</v>
      </c>
      <c r="AD18" s="41">
        <v>1</v>
      </c>
      <c r="AE18" s="41">
        <v>1</v>
      </c>
      <c r="AF18" s="41">
        <v>1</v>
      </c>
      <c r="AG18" s="41">
        <v>1</v>
      </c>
      <c r="AH18" s="41">
        <v>1</v>
      </c>
      <c r="AI18" s="41">
        <v>1</v>
      </c>
      <c r="AJ18" s="41">
        <v>1</v>
      </c>
      <c r="AK18" s="41">
        <v>1</v>
      </c>
      <c r="AL18" s="41">
        <v>1</v>
      </c>
      <c r="AM18" s="41">
        <v>1</v>
      </c>
      <c r="AN18" s="41">
        <v>1</v>
      </c>
      <c r="AO18" s="41">
        <v>1</v>
      </c>
      <c r="AP18" s="41">
        <v>1</v>
      </c>
      <c r="AQ18" s="41">
        <v>1</v>
      </c>
      <c r="AR18" s="41">
        <v>1</v>
      </c>
      <c r="AS18" s="41">
        <v>1</v>
      </c>
      <c r="AT18" s="41">
        <v>1</v>
      </c>
      <c r="BE18" s="41">
        <f t="shared" si="0"/>
        <v>35</v>
      </c>
      <c r="BF18" s="41">
        <v>69</v>
      </c>
      <c r="BG18" s="44">
        <f t="shared" si="1"/>
        <v>174020</v>
      </c>
      <c r="BH18" s="44">
        <v>775030</v>
      </c>
      <c r="BI18" s="44">
        <f>BH18-BD43</f>
        <v>775030</v>
      </c>
      <c r="BJ18" s="44">
        <f t="shared" si="2"/>
        <v>64585.833333333336</v>
      </c>
      <c r="BK18" s="44">
        <f t="shared" si="3"/>
        <v>601010</v>
      </c>
      <c r="BL18" s="45">
        <f t="shared" si="4"/>
        <v>3.4536834846569362</v>
      </c>
      <c r="BM18" s="46">
        <f t="shared" si="5"/>
        <v>9.8676670990198181E-2</v>
      </c>
      <c r="BN18" s="39">
        <v>2045</v>
      </c>
    </row>
    <row r="19" spans="1:66">
      <c r="A19">
        <v>925247798</v>
      </c>
      <c r="B19" s="105">
        <v>40320</v>
      </c>
      <c r="C19" s="43">
        <v>160000</v>
      </c>
      <c r="D19">
        <v>4523</v>
      </c>
      <c r="E19" t="s">
        <v>10465</v>
      </c>
      <c r="F19" t="s">
        <v>10466</v>
      </c>
      <c r="G19">
        <v>149</v>
      </c>
      <c r="H19" s="41">
        <v>36</v>
      </c>
      <c r="I19">
        <v>69</v>
      </c>
      <c r="L19" s="41">
        <v>1</v>
      </c>
      <c r="M19" s="41">
        <v>1</v>
      </c>
      <c r="N19" s="41">
        <v>1</v>
      </c>
      <c r="O19" s="41">
        <v>1</v>
      </c>
      <c r="P19" s="41">
        <v>1</v>
      </c>
      <c r="Q19" s="41">
        <v>1</v>
      </c>
      <c r="R19" s="41">
        <v>1</v>
      </c>
      <c r="S19" s="41">
        <v>1</v>
      </c>
      <c r="T19" s="41">
        <v>1</v>
      </c>
      <c r="U19" s="41">
        <v>1</v>
      </c>
      <c r="V19" s="41">
        <v>1</v>
      </c>
      <c r="W19" s="41">
        <v>1</v>
      </c>
      <c r="X19" s="41">
        <v>1</v>
      </c>
      <c r="Y19" s="41">
        <v>1</v>
      </c>
      <c r="Z19" s="41">
        <v>1</v>
      </c>
      <c r="AA19" s="41">
        <v>1</v>
      </c>
      <c r="AB19" s="41">
        <v>1</v>
      </c>
      <c r="AC19" s="41">
        <v>1</v>
      </c>
      <c r="AD19" s="41">
        <v>1</v>
      </c>
      <c r="AE19" s="41">
        <v>1</v>
      </c>
      <c r="AF19" s="41">
        <v>1</v>
      </c>
      <c r="AG19" s="41">
        <v>1</v>
      </c>
      <c r="AH19" s="41">
        <v>1</v>
      </c>
      <c r="AI19" s="41">
        <v>1</v>
      </c>
      <c r="AJ19" s="41">
        <v>1</v>
      </c>
      <c r="AK19" s="41">
        <v>1</v>
      </c>
      <c r="AL19" s="41">
        <v>1</v>
      </c>
      <c r="AM19" s="41">
        <v>1</v>
      </c>
      <c r="AN19" s="41">
        <v>1</v>
      </c>
      <c r="AO19" s="41">
        <v>1</v>
      </c>
      <c r="AP19" s="41">
        <v>1</v>
      </c>
      <c r="AQ19" s="41">
        <v>1</v>
      </c>
      <c r="AR19" s="41">
        <v>1</v>
      </c>
      <c r="AS19" s="41">
        <v>1</v>
      </c>
      <c r="AT19" s="41">
        <v>1</v>
      </c>
      <c r="AU19" s="41">
        <v>1</v>
      </c>
      <c r="BE19" s="41">
        <f t="shared" si="0"/>
        <v>36</v>
      </c>
      <c r="BF19" s="41">
        <v>69</v>
      </c>
      <c r="BG19" s="44">
        <f t="shared" si="1"/>
        <v>162828</v>
      </c>
      <c r="BH19" s="44">
        <v>769280</v>
      </c>
      <c r="BI19" s="44">
        <f>BH19-BD44</f>
        <v>769280</v>
      </c>
      <c r="BJ19" s="44">
        <f t="shared" si="2"/>
        <v>64106.666666666664</v>
      </c>
      <c r="BK19" s="44">
        <f t="shared" si="3"/>
        <v>606452</v>
      </c>
      <c r="BL19" s="45">
        <f t="shared" si="4"/>
        <v>3.7244945586754121</v>
      </c>
      <c r="BM19" s="46">
        <f t="shared" si="5"/>
        <v>0.10345818218542811</v>
      </c>
      <c r="BN19" s="39">
        <v>2046</v>
      </c>
    </row>
    <row r="20" spans="1:66">
      <c r="A20">
        <v>925247799</v>
      </c>
      <c r="B20" s="105">
        <v>40320</v>
      </c>
      <c r="C20" s="43">
        <v>150000</v>
      </c>
      <c r="D20">
        <v>4108</v>
      </c>
      <c r="E20" t="s">
        <v>10465</v>
      </c>
      <c r="F20" t="s">
        <v>10466</v>
      </c>
      <c r="G20">
        <v>149</v>
      </c>
      <c r="H20" s="41">
        <v>37</v>
      </c>
      <c r="I20">
        <v>69</v>
      </c>
      <c r="L20" s="41">
        <v>1</v>
      </c>
      <c r="M20" s="41">
        <v>1</v>
      </c>
      <c r="N20" s="41">
        <v>1</v>
      </c>
      <c r="O20" s="41">
        <v>1</v>
      </c>
      <c r="P20" s="41">
        <v>1</v>
      </c>
      <c r="Q20" s="41">
        <v>1</v>
      </c>
      <c r="R20" s="41">
        <v>1</v>
      </c>
      <c r="S20" s="41">
        <v>1</v>
      </c>
      <c r="T20" s="41">
        <v>1</v>
      </c>
      <c r="U20" s="41">
        <v>1</v>
      </c>
      <c r="V20" s="41">
        <v>1</v>
      </c>
      <c r="W20" s="41">
        <v>1</v>
      </c>
      <c r="X20" s="41">
        <v>1</v>
      </c>
      <c r="Y20" s="41">
        <v>1</v>
      </c>
      <c r="Z20" s="41">
        <v>1</v>
      </c>
      <c r="AA20" s="41">
        <v>1</v>
      </c>
      <c r="AB20" s="41">
        <v>1</v>
      </c>
      <c r="AC20" s="41">
        <v>1</v>
      </c>
      <c r="AD20" s="41">
        <v>1</v>
      </c>
      <c r="AE20" s="41">
        <v>1</v>
      </c>
      <c r="AF20" s="41">
        <v>1</v>
      </c>
      <c r="AG20" s="41">
        <v>1</v>
      </c>
      <c r="AH20" s="41">
        <v>1</v>
      </c>
      <c r="AI20" s="41">
        <v>1</v>
      </c>
      <c r="AJ20" s="41">
        <v>1</v>
      </c>
      <c r="AK20" s="41">
        <v>1</v>
      </c>
      <c r="AL20" s="41">
        <v>1</v>
      </c>
      <c r="AM20" s="41">
        <v>1</v>
      </c>
      <c r="AN20" s="41">
        <v>1</v>
      </c>
      <c r="AO20" s="41">
        <v>1</v>
      </c>
      <c r="AP20" s="41">
        <v>1</v>
      </c>
      <c r="AQ20" s="41">
        <v>1</v>
      </c>
      <c r="AR20" s="41">
        <v>1</v>
      </c>
      <c r="AS20" s="41">
        <v>1</v>
      </c>
      <c r="AT20" s="41">
        <v>1</v>
      </c>
      <c r="AU20" s="41">
        <v>1</v>
      </c>
      <c r="AV20" s="41">
        <v>1</v>
      </c>
      <c r="BE20" s="41">
        <f t="shared" si="0"/>
        <v>37</v>
      </c>
      <c r="BF20" s="41">
        <v>69</v>
      </c>
      <c r="BG20" s="44">
        <f t="shared" si="1"/>
        <v>151996</v>
      </c>
      <c r="BH20" s="44">
        <v>758550</v>
      </c>
      <c r="BI20" s="44">
        <f>BH20-BD45</f>
        <v>758550</v>
      </c>
      <c r="BJ20" s="44">
        <f t="shared" si="2"/>
        <v>63212.5</v>
      </c>
      <c r="BK20" s="44">
        <f t="shared" si="3"/>
        <v>606554</v>
      </c>
      <c r="BL20" s="45">
        <f t="shared" si="4"/>
        <v>3.9905918576804651</v>
      </c>
      <c r="BM20" s="46">
        <f t="shared" si="5"/>
        <v>0.10785383399136392</v>
      </c>
      <c r="BN20" s="39">
        <v>2047</v>
      </c>
    </row>
    <row r="21" spans="1:66">
      <c r="A21">
        <v>925247800</v>
      </c>
      <c r="B21" s="105">
        <v>40320</v>
      </c>
      <c r="C21" s="43">
        <v>145000</v>
      </c>
      <c r="D21">
        <v>3843</v>
      </c>
      <c r="E21" t="s">
        <v>10465</v>
      </c>
      <c r="F21" t="s">
        <v>10466</v>
      </c>
      <c r="G21">
        <v>149</v>
      </c>
      <c r="H21" s="41">
        <v>38</v>
      </c>
      <c r="I21">
        <v>69</v>
      </c>
      <c r="L21" s="41">
        <v>1</v>
      </c>
      <c r="M21" s="41">
        <v>1</v>
      </c>
      <c r="N21" s="41">
        <v>1</v>
      </c>
      <c r="O21" s="41">
        <v>1</v>
      </c>
      <c r="P21" s="41">
        <v>1</v>
      </c>
      <c r="Q21" s="41">
        <v>1</v>
      </c>
      <c r="R21" s="41">
        <v>1</v>
      </c>
      <c r="S21" s="41">
        <v>1</v>
      </c>
      <c r="T21" s="41">
        <v>1</v>
      </c>
      <c r="U21" s="41">
        <v>1</v>
      </c>
      <c r="V21" s="41">
        <v>1</v>
      </c>
      <c r="W21" s="41">
        <v>1</v>
      </c>
      <c r="X21" s="41">
        <v>1</v>
      </c>
      <c r="Y21" s="41">
        <v>1</v>
      </c>
      <c r="Z21" s="41">
        <v>1</v>
      </c>
      <c r="AA21" s="41">
        <v>1</v>
      </c>
      <c r="AB21" s="41">
        <v>1</v>
      </c>
      <c r="AC21" s="41">
        <v>1</v>
      </c>
      <c r="AD21" s="41">
        <v>1</v>
      </c>
      <c r="AE21" s="41">
        <v>1</v>
      </c>
      <c r="AF21" s="41">
        <v>1</v>
      </c>
      <c r="AG21" s="41">
        <v>1</v>
      </c>
      <c r="AH21" s="41">
        <v>1</v>
      </c>
      <c r="AI21" s="41">
        <v>1</v>
      </c>
      <c r="AJ21" s="41">
        <v>1</v>
      </c>
      <c r="AK21" s="41">
        <v>1</v>
      </c>
      <c r="AL21" s="41">
        <v>1</v>
      </c>
      <c r="AM21" s="41">
        <v>1</v>
      </c>
      <c r="AN21" s="41">
        <v>1</v>
      </c>
      <c r="AO21" s="41">
        <v>1</v>
      </c>
      <c r="AP21" s="41">
        <v>1</v>
      </c>
      <c r="AQ21" s="41">
        <v>1</v>
      </c>
      <c r="AR21" s="41">
        <v>1</v>
      </c>
      <c r="AS21" s="41">
        <v>1</v>
      </c>
      <c r="AT21" s="41">
        <v>1</v>
      </c>
      <c r="AU21" s="41">
        <v>1</v>
      </c>
      <c r="AV21" s="41">
        <v>1</v>
      </c>
      <c r="AW21" s="41">
        <v>1</v>
      </c>
      <c r="BE21" s="41">
        <f t="shared" si="0"/>
        <v>38</v>
      </c>
      <c r="BF21" s="41">
        <v>69</v>
      </c>
      <c r="BG21" s="44">
        <f t="shared" si="1"/>
        <v>146034</v>
      </c>
      <c r="BH21" s="44">
        <v>776620</v>
      </c>
      <c r="BI21" s="44">
        <f>BH21-BD46</f>
        <v>776620</v>
      </c>
      <c r="BJ21" s="44">
        <f t="shared" ref="BJ21:BJ27" si="6">BI21/12</f>
        <v>64718.333333333336</v>
      </c>
      <c r="BK21" s="44">
        <f t="shared" ref="BK21:BK27" si="7">BH21-BG21</f>
        <v>630586</v>
      </c>
      <c r="BL21" s="45">
        <f t="shared" ref="BL21:BL27" si="8">BK21/BG21</f>
        <v>4.3180766122957666</v>
      </c>
      <c r="BM21" s="46">
        <f t="shared" ref="BM21:BM27" si="9">BL21/BE21</f>
        <v>0.11363359506041491</v>
      </c>
      <c r="BN21" s="39">
        <v>2048</v>
      </c>
    </row>
    <row r="22" spans="1:66">
      <c r="A22">
        <v>925247801</v>
      </c>
      <c r="B22" s="105">
        <v>40320</v>
      </c>
      <c r="C22" s="43">
        <v>135000</v>
      </c>
      <c r="D22">
        <v>3472</v>
      </c>
      <c r="E22" t="s">
        <v>10465</v>
      </c>
      <c r="F22" t="s">
        <v>10466</v>
      </c>
      <c r="G22">
        <v>149</v>
      </c>
      <c r="H22" s="41">
        <v>39</v>
      </c>
      <c r="I22">
        <v>69</v>
      </c>
      <c r="L22" s="41">
        <v>1</v>
      </c>
      <c r="M22" s="41">
        <v>1</v>
      </c>
      <c r="N22" s="41">
        <v>1</v>
      </c>
      <c r="O22" s="41">
        <v>1</v>
      </c>
      <c r="P22" s="41">
        <v>1</v>
      </c>
      <c r="Q22" s="41">
        <v>1</v>
      </c>
      <c r="R22" s="41">
        <v>1</v>
      </c>
      <c r="S22" s="41">
        <v>1</v>
      </c>
      <c r="T22" s="41">
        <v>1</v>
      </c>
      <c r="U22" s="41">
        <v>1</v>
      </c>
      <c r="V22" s="41">
        <v>1</v>
      </c>
      <c r="W22" s="41">
        <v>1</v>
      </c>
      <c r="X22" s="41">
        <v>1</v>
      </c>
      <c r="Y22" s="41">
        <v>1</v>
      </c>
      <c r="Z22" s="41">
        <v>1</v>
      </c>
      <c r="AA22" s="41">
        <v>1</v>
      </c>
      <c r="AB22" s="41">
        <v>1</v>
      </c>
      <c r="AC22" s="41">
        <v>1</v>
      </c>
      <c r="AD22" s="41">
        <v>1</v>
      </c>
      <c r="AE22" s="41">
        <v>1</v>
      </c>
      <c r="AF22" s="41">
        <v>1</v>
      </c>
      <c r="AG22" s="41">
        <v>1</v>
      </c>
      <c r="AH22" s="41">
        <v>1</v>
      </c>
      <c r="AI22" s="41">
        <v>1</v>
      </c>
      <c r="AJ22" s="41">
        <v>1</v>
      </c>
      <c r="AK22" s="41">
        <v>1</v>
      </c>
      <c r="AL22" s="41">
        <v>1</v>
      </c>
      <c r="AM22" s="41">
        <v>1</v>
      </c>
      <c r="AN22" s="41">
        <v>1</v>
      </c>
      <c r="AO22" s="41">
        <v>1</v>
      </c>
      <c r="AP22" s="41">
        <v>1</v>
      </c>
      <c r="AQ22" s="41">
        <v>1</v>
      </c>
      <c r="AR22" s="41">
        <v>1</v>
      </c>
      <c r="AS22" s="41">
        <v>1</v>
      </c>
      <c r="AT22" s="41">
        <v>1</v>
      </c>
      <c r="AU22" s="41">
        <v>1</v>
      </c>
      <c r="AV22" s="41">
        <v>1</v>
      </c>
      <c r="AW22" s="41">
        <v>1</v>
      </c>
      <c r="AX22" s="41">
        <v>1</v>
      </c>
      <c r="BE22" s="41">
        <f t="shared" si="0"/>
        <v>39</v>
      </c>
      <c r="BF22" s="41">
        <v>69</v>
      </c>
      <c r="BG22" s="44">
        <f t="shared" si="1"/>
        <v>135408</v>
      </c>
      <c r="BH22" s="44">
        <v>763425</v>
      </c>
      <c r="BI22" s="44">
        <f t="shared" ref="BI22:BI25" si="10">BH22-BD48</f>
        <v>763425</v>
      </c>
      <c r="BJ22" s="44">
        <f t="shared" si="6"/>
        <v>63618.75</v>
      </c>
      <c r="BK22" s="44">
        <f t="shared" si="7"/>
        <v>628017</v>
      </c>
      <c r="BL22" s="45">
        <f t="shared" si="8"/>
        <v>4.6379608294930872</v>
      </c>
      <c r="BM22" s="46">
        <f t="shared" si="9"/>
        <v>0.1189220725511048</v>
      </c>
      <c r="BN22" s="39">
        <v>2049</v>
      </c>
    </row>
    <row r="23" spans="1:66">
      <c r="A23">
        <v>925247802</v>
      </c>
      <c r="B23" s="105">
        <v>40320</v>
      </c>
      <c r="C23" s="43">
        <v>130000</v>
      </c>
      <c r="D23">
        <v>3247</v>
      </c>
      <c r="E23" t="s">
        <v>10465</v>
      </c>
      <c r="F23" t="s">
        <v>10466</v>
      </c>
      <c r="G23">
        <v>149</v>
      </c>
      <c r="H23" s="41">
        <v>40</v>
      </c>
      <c r="I23">
        <v>69</v>
      </c>
      <c r="L23" s="41">
        <v>1</v>
      </c>
      <c r="M23" s="41">
        <v>1</v>
      </c>
      <c r="N23" s="41">
        <v>1</v>
      </c>
      <c r="O23" s="41">
        <v>1</v>
      </c>
      <c r="P23" s="41">
        <v>1</v>
      </c>
      <c r="Q23" s="41">
        <v>1</v>
      </c>
      <c r="R23" s="41">
        <v>1</v>
      </c>
      <c r="S23" s="41">
        <v>1</v>
      </c>
      <c r="T23" s="41">
        <v>1</v>
      </c>
      <c r="U23" s="41">
        <v>1</v>
      </c>
      <c r="V23" s="41">
        <v>1</v>
      </c>
      <c r="W23" s="41">
        <v>1</v>
      </c>
      <c r="X23" s="41">
        <v>1</v>
      </c>
      <c r="Y23" s="41">
        <v>1</v>
      </c>
      <c r="Z23" s="41">
        <v>1</v>
      </c>
      <c r="AA23" s="41">
        <v>1</v>
      </c>
      <c r="AB23" s="41">
        <v>1</v>
      </c>
      <c r="AC23" s="41">
        <v>1</v>
      </c>
      <c r="AD23" s="41">
        <v>1</v>
      </c>
      <c r="AE23" s="41">
        <v>1</v>
      </c>
      <c r="AF23" s="41">
        <v>1</v>
      </c>
      <c r="AG23" s="41">
        <v>1</v>
      </c>
      <c r="AH23" s="41">
        <v>1</v>
      </c>
      <c r="AI23" s="41">
        <v>1</v>
      </c>
      <c r="AJ23" s="41">
        <v>1</v>
      </c>
      <c r="AK23" s="41">
        <v>1</v>
      </c>
      <c r="AL23" s="41">
        <v>1</v>
      </c>
      <c r="AM23" s="41">
        <v>1</v>
      </c>
      <c r="AN23" s="41">
        <v>1</v>
      </c>
      <c r="AO23" s="41">
        <v>1</v>
      </c>
      <c r="AP23" s="41">
        <v>1</v>
      </c>
      <c r="AQ23" s="41">
        <v>1</v>
      </c>
      <c r="AR23" s="41">
        <v>1</v>
      </c>
      <c r="AS23" s="41">
        <v>1</v>
      </c>
      <c r="AT23" s="41">
        <v>1</v>
      </c>
      <c r="AU23" s="41">
        <v>1</v>
      </c>
      <c r="AV23" s="41">
        <v>1</v>
      </c>
      <c r="AW23" s="41">
        <v>1</v>
      </c>
      <c r="AX23" s="41">
        <v>1</v>
      </c>
      <c r="AY23" s="41">
        <v>1</v>
      </c>
      <c r="BE23" s="41">
        <f t="shared" si="0"/>
        <v>40</v>
      </c>
      <c r="BF23" s="41">
        <v>69</v>
      </c>
      <c r="BG23" s="44">
        <f t="shared" si="1"/>
        <v>129880</v>
      </c>
      <c r="BH23" s="44">
        <v>774020</v>
      </c>
      <c r="BI23" s="44">
        <f t="shared" si="10"/>
        <v>774020</v>
      </c>
      <c r="BJ23" s="44">
        <f t="shared" si="6"/>
        <v>64501.666666666664</v>
      </c>
      <c r="BK23" s="44">
        <f t="shared" si="7"/>
        <v>644140</v>
      </c>
      <c r="BL23" s="45">
        <f t="shared" si="8"/>
        <v>4.9595010779180786</v>
      </c>
      <c r="BM23" s="46">
        <f t="shared" si="9"/>
        <v>0.12398752694795197</v>
      </c>
      <c r="BN23" s="39">
        <v>2050</v>
      </c>
    </row>
    <row r="24" spans="1:66">
      <c r="A24">
        <v>925247803</v>
      </c>
      <c r="B24" s="105">
        <v>40320</v>
      </c>
      <c r="C24" s="43">
        <v>130000</v>
      </c>
      <c r="D24">
        <v>3278</v>
      </c>
      <c r="E24" t="s">
        <v>10465</v>
      </c>
      <c r="F24" t="s">
        <v>10466</v>
      </c>
      <c r="G24">
        <v>149</v>
      </c>
      <c r="H24" s="41">
        <v>41</v>
      </c>
      <c r="I24">
        <v>69</v>
      </c>
      <c r="L24" s="41">
        <v>1</v>
      </c>
      <c r="M24" s="41">
        <v>1</v>
      </c>
      <c r="N24" s="41">
        <v>1</v>
      </c>
      <c r="O24" s="41">
        <v>1</v>
      </c>
      <c r="P24" s="41">
        <v>1</v>
      </c>
      <c r="Q24" s="41">
        <v>1</v>
      </c>
      <c r="R24" s="41">
        <v>1</v>
      </c>
      <c r="S24" s="41">
        <v>1</v>
      </c>
      <c r="T24" s="41">
        <v>1</v>
      </c>
      <c r="U24" s="41">
        <v>1</v>
      </c>
      <c r="V24" s="41">
        <v>1</v>
      </c>
      <c r="W24" s="41">
        <v>1</v>
      </c>
      <c r="X24" s="41">
        <v>1</v>
      </c>
      <c r="Y24" s="41">
        <v>1</v>
      </c>
      <c r="Z24" s="41">
        <v>1</v>
      </c>
      <c r="AA24" s="41">
        <v>1</v>
      </c>
      <c r="AB24" s="41">
        <v>1</v>
      </c>
      <c r="AC24" s="41">
        <v>1</v>
      </c>
      <c r="AD24" s="41">
        <v>1</v>
      </c>
      <c r="AE24" s="41">
        <v>1</v>
      </c>
      <c r="AF24" s="41">
        <v>1</v>
      </c>
      <c r="AG24" s="41">
        <v>1</v>
      </c>
      <c r="AH24" s="41">
        <v>1</v>
      </c>
      <c r="AI24" s="41">
        <v>1</v>
      </c>
      <c r="AJ24" s="41">
        <v>1</v>
      </c>
      <c r="AK24" s="41">
        <v>1</v>
      </c>
      <c r="AL24" s="41">
        <v>1</v>
      </c>
      <c r="AM24" s="41">
        <v>1</v>
      </c>
      <c r="AN24" s="41">
        <v>1</v>
      </c>
      <c r="AO24" s="41">
        <v>1</v>
      </c>
      <c r="AP24" s="41">
        <v>1</v>
      </c>
      <c r="AQ24" s="41">
        <v>1</v>
      </c>
      <c r="AR24" s="41">
        <v>1</v>
      </c>
      <c r="AS24" s="41">
        <v>1</v>
      </c>
      <c r="AT24" s="41">
        <v>1</v>
      </c>
      <c r="AU24" s="41">
        <v>1</v>
      </c>
      <c r="AV24" s="41">
        <v>1</v>
      </c>
      <c r="AW24" s="41">
        <v>1</v>
      </c>
      <c r="AX24" s="41">
        <v>1</v>
      </c>
      <c r="AY24" s="41">
        <v>1</v>
      </c>
      <c r="AZ24" s="41">
        <v>1</v>
      </c>
      <c r="BE24" s="41">
        <f t="shared" si="0"/>
        <v>41</v>
      </c>
      <c r="BF24" s="41">
        <v>69</v>
      </c>
      <c r="BG24" s="44">
        <f t="shared" si="1"/>
        <v>134398</v>
      </c>
      <c r="BH24" s="44">
        <v>780390</v>
      </c>
      <c r="BI24" s="44">
        <f t="shared" si="10"/>
        <v>780390</v>
      </c>
      <c r="BJ24" s="44">
        <f t="shared" si="6"/>
        <v>65032.5</v>
      </c>
      <c r="BK24" s="44">
        <f t="shared" si="7"/>
        <v>645992</v>
      </c>
      <c r="BL24" s="45">
        <f t="shared" si="8"/>
        <v>4.806559621422938</v>
      </c>
      <c r="BM24" s="46">
        <f t="shared" si="9"/>
        <v>0.11723316149812044</v>
      </c>
      <c r="BN24" s="39">
        <v>2051</v>
      </c>
    </row>
    <row r="25" spans="1:66">
      <c r="A25">
        <v>925247804</v>
      </c>
      <c r="B25" s="105">
        <v>40320</v>
      </c>
      <c r="C25" s="43">
        <v>130000</v>
      </c>
      <c r="D25">
        <v>3204</v>
      </c>
      <c r="E25" t="s">
        <v>10465</v>
      </c>
      <c r="F25" t="s">
        <v>10466</v>
      </c>
      <c r="G25">
        <v>149</v>
      </c>
      <c r="H25" s="41">
        <v>42</v>
      </c>
      <c r="I25">
        <v>69</v>
      </c>
      <c r="L25" s="41">
        <v>1</v>
      </c>
      <c r="M25" s="41">
        <v>1</v>
      </c>
      <c r="N25" s="41">
        <v>1</v>
      </c>
      <c r="O25" s="41">
        <v>1</v>
      </c>
      <c r="P25" s="41">
        <v>1</v>
      </c>
      <c r="Q25" s="41">
        <v>1</v>
      </c>
      <c r="R25" s="41">
        <v>1</v>
      </c>
      <c r="S25" s="41">
        <v>1</v>
      </c>
      <c r="T25" s="41">
        <v>1</v>
      </c>
      <c r="U25" s="41">
        <v>1</v>
      </c>
      <c r="V25" s="41">
        <v>1</v>
      </c>
      <c r="W25" s="41">
        <v>1</v>
      </c>
      <c r="X25" s="41">
        <v>1</v>
      </c>
      <c r="Y25" s="41">
        <v>1</v>
      </c>
      <c r="Z25" s="41">
        <v>1</v>
      </c>
      <c r="AA25" s="41">
        <v>1</v>
      </c>
      <c r="AB25" s="41">
        <v>1</v>
      </c>
      <c r="AC25" s="41">
        <v>1</v>
      </c>
      <c r="AD25" s="41">
        <v>1</v>
      </c>
      <c r="AE25" s="41">
        <v>1</v>
      </c>
      <c r="AF25" s="41">
        <v>1</v>
      </c>
      <c r="AG25" s="41">
        <v>1</v>
      </c>
      <c r="AH25" s="41">
        <v>1</v>
      </c>
      <c r="AI25" s="41">
        <v>1</v>
      </c>
      <c r="AJ25" s="41">
        <v>1</v>
      </c>
      <c r="AK25" s="41">
        <v>1</v>
      </c>
      <c r="AL25" s="41">
        <v>1</v>
      </c>
      <c r="AM25" s="41">
        <v>1</v>
      </c>
      <c r="AN25" s="41">
        <v>1</v>
      </c>
      <c r="AO25" s="41">
        <v>1</v>
      </c>
      <c r="AP25" s="41">
        <v>1</v>
      </c>
      <c r="AQ25" s="41">
        <v>1</v>
      </c>
      <c r="AR25" s="41">
        <v>1</v>
      </c>
      <c r="AS25" s="41">
        <v>1</v>
      </c>
      <c r="AT25" s="41">
        <v>1</v>
      </c>
      <c r="AU25" s="41">
        <v>1</v>
      </c>
      <c r="AV25" s="41">
        <v>1</v>
      </c>
      <c r="AW25" s="41">
        <v>1</v>
      </c>
      <c r="AX25" s="41">
        <v>1</v>
      </c>
      <c r="AY25" s="41">
        <v>1</v>
      </c>
      <c r="AZ25" s="41">
        <v>1</v>
      </c>
      <c r="BA25" s="41">
        <v>1</v>
      </c>
      <c r="BE25" s="41">
        <f t="shared" si="0"/>
        <v>42</v>
      </c>
      <c r="BF25" s="41">
        <v>69</v>
      </c>
      <c r="BG25" s="44">
        <f t="shared" si="1"/>
        <v>134568</v>
      </c>
      <c r="BH25" s="44">
        <v>786760</v>
      </c>
      <c r="BI25" s="44">
        <f t="shared" si="10"/>
        <v>786760</v>
      </c>
      <c r="BJ25" s="44">
        <f t="shared" si="6"/>
        <v>65563.333333333328</v>
      </c>
      <c r="BK25" s="44">
        <f t="shared" si="7"/>
        <v>652192</v>
      </c>
      <c r="BL25" s="45">
        <f t="shared" si="8"/>
        <v>4.8465608465608465</v>
      </c>
      <c r="BM25" s="46">
        <f t="shared" si="9"/>
        <v>0.11539430587049634</v>
      </c>
      <c r="BN25" s="39">
        <v>2052</v>
      </c>
    </row>
    <row r="26" spans="1:66">
      <c r="A26">
        <v>925247805</v>
      </c>
      <c r="B26" s="105">
        <v>40320</v>
      </c>
      <c r="C26" s="43">
        <v>125000</v>
      </c>
      <c r="D26">
        <v>3013</v>
      </c>
      <c r="E26" t="s">
        <v>10465</v>
      </c>
      <c r="F26" t="s">
        <v>10466</v>
      </c>
      <c r="G26">
        <v>149</v>
      </c>
      <c r="H26" s="41">
        <v>43</v>
      </c>
      <c r="I26">
        <v>69</v>
      </c>
      <c r="L26" s="41">
        <v>1</v>
      </c>
      <c r="M26" s="41">
        <v>1</v>
      </c>
      <c r="N26" s="41">
        <v>1</v>
      </c>
      <c r="O26" s="41">
        <v>1</v>
      </c>
      <c r="P26" s="41">
        <v>1</v>
      </c>
      <c r="Q26" s="41">
        <v>1</v>
      </c>
      <c r="R26" s="41">
        <v>1</v>
      </c>
      <c r="S26" s="41">
        <v>1</v>
      </c>
      <c r="T26" s="41">
        <v>1</v>
      </c>
      <c r="U26" s="41">
        <v>1</v>
      </c>
      <c r="V26" s="41">
        <v>1</v>
      </c>
      <c r="W26" s="41">
        <v>1</v>
      </c>
      <c r="X26" s="41">
        <v>1</v>
      </c>
      <c r="Y26" s="41">
        <v>1</v>
      </c>
      <c r="Z26" s="41">
        <v>1</v>
      </c>
      <c r="AA26" s="41">
        <v>1</v>
      </c>
      <c r="AB26" s="41">
        <v>1</v>
      </c>
      <c r="AC26" s="41">
        <v>1</v>
      </c>
      <c r="AD26" s="41">
        <v>1</v>
      </c>
      <c r="AE26" s="41">
        <v>1</v>
      </c>
      <c r="AF26" s="41">
        <v>1</v>
      </c>
      <c r="AG26" s="41">
        <v>1</v>
      </c>
      <c r="AH26" s="41">
        <v>1</v>
      </c>
      <c r="AI26" s="41">
        <v>1</v>
      </c>
      <c r="AJ26" s="41">
        <v>1</v>
      </c>
      <c r="AK26" s="41">
        <v>1</v>
      </c>
      <c r="AL26" s="41">
        <v>1</v>
      </c>
      <c r="AM26" s="41">
        <v>1</v>
      </c>
      <c r="AN26" s="41">
        <v>1</v>
      </c>
      <c r="AO26" s="41">
        <v>1</v>
      </c>
      <c r="AP26" s="41">
        <v>1</v>
      </c>
      <c r="AQ26" s="41">
        <v>1</v>
      </c>
      <c r="AR26" s="41">
        <v>1</v>
      </c>
      <c r="AS26" s="41">
        <v>1</v>
      </c>
      <c r="AT26" s="41">
        <v>1</v>
      </c>
      <c r="AU26" s="41">
        <v>1</v>
      </c>
      <c r="AV26" s="41">
        <v>1</v>
      </c>
      <c r="AW26" s="41">
        <v>1</v>
      </c>
      <c r="AX26" s="41">
        <v>1</v>
      </c>
      <c r="AY26" s="41">
        <v>1</v>
      </c>
      <c r="AZ26" s="41">
        <v>1</v>
      </c>
      <c r="BA26" s="41">
        <v>1</v>
      </c>
      <c r="BB26" s="41">
        <v>1</v>
      </c>
      <c r="BE26" s="41">
        <f t="shared" si="0"/>
        <v>43</v>
      </c>
      <c r="BF26" s="41">
        <v>69</v>
      </c>
      <c r="BG26" s="44">
        <f t="shared" si="1"/>
        <v>129559</v>
      </c>
      <c r="BH26" s="44">
        <v>762625</v>
      </c>
      <c r="BI26" s="44" t="e">
        <f>BH26-#REF!</f>
        <v>#REF!</v>
      </c>
      <c r="BJ26" s="44" t="e">
        <f t="shared" si="6"/>
        <v>#REF!</v>
      </c>
      <c r="BK26" s="44">
        <f t="shared" si="7"/>
        <v>633066</v>
      </c>
      <c r="BL26" s="45">
        <f t="shared" si="8"/>
        <v>4.8863143432721774</v>
      </c>
      <c r="BM26" s="46">
        <f t="shared" si="9"/>
        <v>0.11363521728539948</v>
      </c>
      <c r="BN26" s="39">
        <v>2053</v>
      </c>
    </row>
    <row r="27" spans="1:66">
      <c r="A27">
        <v>925247806</v>
      </c>
      <c r="B27" s="105">
        <v>40320</v>
      </c>
      <c r="C27" s="43">
        <v>125000</v>
      </c>
      <c r="D27">
        <v>2945</v>
      </c>
      <c r="E27" t="s">
        <v>10465</v>
      </c>
      <c r="F27" t="s">
        <v>10466</v>
      </c>
      <c r="G27">
        <v>149</v>
      </c>
      <c r="H27" s="41">
        <v>44</v>
      </c>
      <c r="I27">
        <v>69</v>
      </c>
      <c r="L27" s="41">
        <v>1</v>
      </c>
      <c r="M27" s="41">
        <v>1</v>
      </c>
      <c r="N27" s="41">
        <v>1</v>
      </c>
      <c r="O27" s="41">
        <v>1</v>
      </c>
      <c r="P27" s="41">
        <v>1</v>
      </c>
      <c r="Q27" s="41">
        <v>1</v>
      </c>
      <c r="R27" s="41">
        <v>1</v>
      </c>
      <c r="S27" s="41">
        <v>1</v>
      </c>
      <c r="T27" s="41">
        <v>1</v>
      </c>
      <c r="U27" s="41">
        <v>1</v>
      </c>
      <c r="V27" s="41">
        <v>1</v>
      </c>
      <c r="W27" s="41">
        <v>1</v>
      </c>
      <c r="X27" s="41">
        <v>1</v>
      </c>
      <c r="Y27" s="41">
        <v>1</v>
      </c>
      <c r="Z27" s="41">
        <v>1</v>
      </c>
      <c r="AA27" s="41">
        <v>1</v>
      </c>
      <c r="AB27" s="41">
        <v>1</v>
      </c>
      <c r="AC27" s="41">
        <v>1</v>
      </c>
      <c r="AD27" s="41">
        <v>1</v>
      </c>
      <c r="AE27" s="41">
        <v>1</v>
      </c>
      <c r="AF27" s="41">
        <v>1</v>
      </c>
      <c r="AG27" s="41">
        <v>1</v>
      </c>
      <c r="AH27" s="41">
        <v>1</v>
      </c>
      <c r="AI27" s="41">
        <v>1</v>
      </c>
      <c r="AJ27" s="41">
        <v>1</v>
      </c>
      <c r="AK27" s="41">
        <v>1</v>
      </c>
      <c r="AL27" s="41">
        <v>1</v>
      </c>
      <c r="AM27" s="41">
        <v>1</v>
      </c>
      <c r="AN27" s="41">
        <v>1</v>
      </c>
      <c r="AO27" s="41">
        <v>1</v>
      </c>
      <c r="AP27" s="41">
        <v>1</v>
      </c>
      <c r="AQ27" s="41">
        <v>1</v>
      </c>
      <c r="AR27" s="41">
        <v>1</v>
      </c>
      <c r="AS27" s="41">
        <v>1</v>
      </c>
      <c r="AT27" s="41">
        <v>1</v>
      </c>
      <c r="AU27" s="41">
        <v>1</v>
      </c>
      <c r="AV27" s="41">
        <v>1</v>
      </c>
      <c r="AW27" s="41">
        <v>1</v>
      </c>
      <c r="AX27" s="41">
        <v>1</v>
      </c>
      <c r="AY27" s="41">
        <v>1</v>
      </c>
      <c r="AZ27" s="41">
        <v>1</v>
      </c>
      <c r="BA27" s="41">
        <v>1</v>
      </c>
      <c r="BB27" s="41">
        <v>1</v>
      </c>
      <c r="BC27" s="41">
        <v>1</v>
      </c>
      <c r="BE27" s="41">
        <f t="shared" si="0"/>
        <v>44</v>
      </c>
      <c r="BF27" s="41">
        <v>69</v>
      </c>
      <c r="BG27" s="44">
        <f t="shared" si="1"/>
        <v>129580</v>
      </c>
      <c r="BH27" s="44">
        <v>768750</v>
      </c>
      <c r="BI27" s="44">
        <f>BH27-BD52</f>
        <v>768750</v>
      </c>
      <c r="BJ27" s="44">
        <f t="shared" si="6"/>
        <v>64062.5</v>
      </c>
      <c r="BK27" s="44">
        <f t="shared" si="7"/>
        <v>639170</v>
      </c>
      <c r="BL27" s="45">
        <f t="shared" si="8"/>
        <v>4.9326284920512427</v>
      </c>
      <c r="BM27" s="46">
        <f t="shared" si="9"/>
        <v>0.1121051930011646</v>
      </c>
      <c r="BN27" s="39">
        <v>2054</v>
      </c>
    </row>
    <row r="28" spans="1:66">
      <c r="A28">
        <v>911603041</v>
      </c>
      <c r="B28" s="105">
        <v>43587</v>
      </c>
      <c r="C28" s="43">
        <v>3000000</v>
      </c>
      <c r="D28">
        <v>160812</v>
      </c>
      <c r="E28" t="s">
        <v>10465</v>
      </c>
      <c r="F28" t="s">
        <v>10439</v>
      </c>
      <c r="G28">
        <v>845</v>
      </c>
      <c r="H28">
        <v>20</v>
      </c>
      <c r="I28">
        <v>60</v>
      </c>
      <c r="J28"/>
      <c r="K28"/>
      <c r="U28" s="41">
        <v>1</v>
      </c>
      <c r="V28" s="41">
        <v>1</v>
      </c>
      <c r="W28" s="41">
        <v>1</v>
      </c>
      <c r="X28" s="41">
        <v>1</v>
      </c>
      <c r="Y28" s="41">
        <v>1</v>
      </c>
      <c r="Z28" s="41">
        <v>1</v>
      </c>
      <c r="AA28" s="41">
        <v>1</v>
      </c>
      <c r="AB28" s="41">
        <v>1</v>
      </c>
      <c r="AC28" s="41">
        <v>1</v>
      </c>
      <c r="AD28" s="41">
        <v>1</v>
      </c>
      <c r="AE28" s="41">
        <v>1</v>
      </c>
      <c r="AF28" s="41">
        <v>1</v>
      </c>
      <c r="AG28" s="41">
        <v>1</v>
      </c>
      <c r="AH28" s="41">
        <v>1</v>
      </c>
      <c r="AI28" s="41">
        <v>1</v>
      </c>
      <c r="AJ28" s="41">
        <v>1</v>
      </c>
      <c r="AK28" s="41">
        <v>1</v>
      </c>
      <c r="AL28" s="41">
        <v>1</v>
      </c>
      <c r="AM28" s="41">
        <v>1</v>
      </c>
      <c r="AN28" s="41">
        <v>1</v>
      </c>
      <c r="BE28" s="41">
        <f>SUM(J28:BC28)</f>
        <v>20</v>
      </c>
      <c r="BF28" s="41">
        <v>60</v>
      </c>
      <c r="BG28" s="44">
        <f>BE28*D28</f>
        <v>3216240</v>
      </c>
      <c r="BH28" s="44">
        <f>240000*25</f>
        <v>6000000</v>
      </c>
      <c r="BI28" s="44">
        <f>BH28-AE$42</f>
        <v>4605007</v>
      </c>
      <c r="BJ28" s="44">
        <f t="shared" ref="BJ28:BJ37" si="11">BI28/12</f>
        <v>383750.58333333331</v>
      </c>
      <c r="BK28" s="44">
        <f t="shared" ref="BK28:BK37" si="12">BH28-BG28</f>
        <v>2783760</v>
      </c>
      <c r="BL28" s="45">
        <f t="shared" ref="BL28:BL37" si="13">BK28/BG28</f>
        <v>0.86553242295351096</v>
      </c>
      <c r="BM28" s="46">
        <f t="shared" ref="BM28:BM37" si="14">BL28/BE28</f>
        <v>4.3276621147675547E-2</v>
      </c>
      <c r="BN28" s="39">
        <v>2039</v>
      </c>
    </row>
    <row r="29" spans="1:66">
      <c r="A29">
        <v>911603043</v>
      </c>
      <c r="B29" s="105">
        <v>43587</v>
      </c>
      <c r="C29" s="43">
        <v>3000000</v>
      </c>
      <c r="D29">
        <v>160812</v>
      </c>
      <c r="E29" t="s">
        <v>10465</v>
      </c>
      <c r="F29" t="s">
        <v>10439</v>
      </c>
      <c r="G29">
        <v>845</v>
      </c>
      <c r="H29">
        <v>20</v>
      </c>
      <c r="I29">
        <v>60</v>
      </c>
      <c r="J29"/>
      <c r="K29"/>
      <c r="U29" s="41">
        <v>1</v>
      </c>
      <c r="V29" s="41">
        <v>1</v>
      </c>
      <c r="W29" s="41">
        <v>1</v>
      </c>
      <c r="X29" s="41">
        <v>1</v>
      </c>
      <c r="Y29" s="41">
        <v>1</v>
      </c>
      <c r="Z29" s="41">
        <v>1</v>
      </c>
      <c r="AA29" s="41">
        <v>1</v>
      </c>
      <c r="AB29" s="41">
        <v>1</v>
      </c>
      <c r="AC29" s="41">
        <v>1</v>
      </c>
      <c r="AD29" s="41">
        <v>1</v>
      </c>
      <c r="AE29" s="41">
        <v>1</v>
      </c>
      <c r="AF29" s="41">
        <v>1</v>
      </c>
      <c r="AG29" s="41">
        <v>1</v>
      </c>
      <c r="AH29" s="41">
        <v>1</v>
      </c>
      <c r="AI29" s="41">
        <v>1</v>
      </c>
      <c r="AJ29" s="41">
        <v>1</v>
      </c>
      <c r="AK29" s="41">
        <v>1</v>
      </c>
      <c r="AL29" s="41">
        <v>1</v>
      </c>
      <c r="AM29" s="41">
        <v>1</v>
      </c>
      <c r="AN29" s="41">
        <v>1</v>
      </c>
      <c r="BE29" s="41">
        <f t="shared" ref="BE29:BE34" si="15">SUM(J29:BC29)</f>
        <v>20</v>
      </c>
      <c r="BF29" s="41">
        <v>60</v>
      </c>
      <c r="BG29" s="44">
        <f t="shared" ref="BG29:BG37" si="16">BE29*D29</f>
        <v>3216240</v>
      </c>
      <c r="BH29" s="44">
        <f>240000*25</f>
        <v>6000000</v>
      </c>
      <c r="BI29" s="44">
        <f>BH29-AF$42</f>
        <v>4629921</v>
      </c>
      <c r="BJ29" s="44">
        <f t="shared" si="11"/>
        <v>385826.75</v>
      </c>
      <c r="BK29" s="44">
        <f t="shared" si="12"/>
        <v>2783760</v>
      </c>
      <c r="BL29" s="45">
        <f t="shared" si="13"/>
        <v>0.86553242295351096</v>
      </c>
      <c r="BM29" s="46">
        <f t="shared" si="14"/>
        <v>4.3276621147675547E-2</v>
      </c>
      <c r="BN29" s="39">
        <v>2039</v>
      </c>
    </row>
    <row r="30" spans="1:66">
      <c r="A30">
        <v>911603044</v>
      </c>
      <c r="B30" s="105">
        <v>43587</v>
      </c>
      <c r="C30" s="43">
        <v>2000000</v>
      </c>
      <c r="D30">
        <v>107708</v>
      </c>
      <c r="E30" t="s">
        <v>10465</v>
      </c>
      <c r="F30" t="s">
        <v>10439</v>
      </c>
      <c r="G30">
        <v>845</v>
      </c>
      <c r="H30">
        <v>20</v>
      </c>
      <c r="I30">
        <v>60</v>
      </c>
      <c r="J30"/>
      <c r="K30"/>
      <c r="U30" s="41">
        <v>1</v>
      </c>
      <c r="V30" s="41">
        <v>1</v>
      </c>
      <c r="W30" s="41">
        <v>1</v>
      </c>
      <c r="X30" s="41">
        <v>1</v>
      </c>
      <c r="Y30" s="41">
        <v>1</v>
      </c>
      <c r="Z30" s="41">
        <v>1</v>
      </c>
      <c r="AA30" s="41">
        <v>1</v>
      </c>
      <c r="AB30" s="41">
        <v>1</v>
      </c>
      <c r="AC30" s="41">
        <v>1</v>
      </c>
      <c r="AD30" s="41">
        <v>1</v>
      </c>
      <c r="AE30" s="41">
        <v>1</v>
      </c>
      <c r="AF30" s="41">
        <v>1</v>
      </c>
      <c r="AG30" s="41">
        <v>1</v>
      </c>
      <c r="AH30" s="41">
        <v>1</v>
      </c>
      <c r="AI30" s="41">
        <v>1</v>
      </c>
      <c r="AJ30" s="41">
        <v>1</v>
      </c>
      <c r="AK30" s="41">
        <v>1</v>
      </c>
      <c r="AL30" s="41">
        <v>1</v>
      </c>
      <c r="AM30" s="41">
        <v>1</v>
      </c>
      <c r="AN30" s="41">
        <v>1</v>
      </c>
      <c r="BB30" s="107"/>
      <c r="BE30" s="41">
        <f t="shared" si="15"/>
        <v>20</v>
      </c>
      <c r="BF30" s="41">
        <v>60</v>
      </c>
      <c r="BG30" s="44">
        <f t="shared" si="16"/>
        <v>2154160</v>
      </c>
      <c r="BH30" s="44">
        <f>160000*25</f>
        <v>4000000</v>
      </c>
      <c r="BI30" s="44">
        <f>BH30-AG$42</f>
        <v>2650787</v>
      </c>
      <c r="BJ30" s="44">
        <f t="shared" si="11"/>
        <v>220898.91666666666</v>
      </c>
      <c r="BK30" s="44">
        <f t="shared" si="12"/>
        <v>1845840</v>
      </c>
      <c r="BL30" s="45">
        <f t="shared" si="13"/>
        <v>0.85687228432428419</v>
      </c>
      <c r="BM30" s="46">
        <f t="shared" si="14"/>
        <v>4.2843614216214208E-2</v>
      </c>
      <c r="BN30" s="39">
        <v>2039</v>
      </c>
    </row>
    <row r="31" spans="1:66">
      <c r="A31">
        <v>911603094</v>
      </c>
      <c r="B31" s="105">
        <v>43583</v>
      </c>
      <c r="C31" s="106">
        <v>3000000</v>
      </c>
      <c r="D31" s="8">
        <v>157062</v>
      </c>
      <c r="E31" t="s">
        <v>10465</v>
      </c>
      <c r="F31" t="s">
        <v>10439</v>
      </c>
      <c r="G31">
        <v>845</v>
      </c>
      <c r="H31">
        <v>20</v>
      </c>
      <c r="I31">
        <v>60</v>
      </c>
      <c r="J31"/>
      <c r="K31"/>
      <c r="U31" s="41">
        <v>1</v>
      </c>
      <c r="V31" s="41">
        <v>1</v>
      </c>
      <c r="W31" s="41">
        <v>1</v>
      </c>
      <c r="X31" s="41">
        <v>1</v>
      </c>
      <c r="Y31" s="41">
        <v>1</v>
      </c>
      <c r="Z31" s="41">
        <v>1</v>
      </c>
      <c r="AA31" s="41">
        <v>1</v>
      </c>
      <c r="AB31" s="41">
        <v>1</v>
      </c>
      <c r="AC31" s="41">
        <v>1</v>
      </c>
      <c r="AD31" s="41">
        <v>1</v>
      </c>
      <c r="AE31" s="41">
        <v>1</v>
      </c>
      <c r="AF31" s="41">
        <v>1</v>
      </c>
      <c r="AG31" s="41">
        <v>1</v>
      </c>
      <c r="AH31" s="41">
        <v>1</v>
      </c>
      <c r="AI31" s="41">
        <v>1</v>
      </c>
      <c r="AJ31" s="41">
        <v>1</v>
      </c>
      <c r="AK31" s="41">
        <v>1</v>
      </c>
      <c r="AL31" s="41">
        <v>1</v>
      </c>
      <c r="AM31" s="41">
        <v>1</v>
      </c>
      <c r="AN31" s="41">
        <v>1</v>
      </c>
      <c r="BB31" s="107"/>
      <c r="BE31" s="41">
        <f t="shared" si="15"/>
        <v>20</v>
      </c>
      <c r="BF31" s="41">
        <v>60</v>
      </c>
      <c r="BG31" s="44">
        <f t="shared" si="16"/>
        <v>3141240</v>
      </c>
      <c r="BH31" s="44">
        <f>240000*25</f>
        <v>6000000</v>
      </c>
      <c r="BI31" s="44">
        <f>BH31-AH78</f>
        <v>6000000</v>
      </c>
      <c r="BJ31" s="44">
        <f t="shared" si="11"/>
        <v>500000</v>
      </c>
      <c r="BK31" s="44">
        <f t="shared" si="12"/>
        <v>2858760</v>
      </c>
      <c r="BL31" s="45">
        <f t="shared" si="13"/>
        <v>0.91007372884593341</v>
      </c>
      <c r="BM31" s="46">
        <f t="shared" si="14"/>
        <v>4.5503686442296673E-2</v>
      </c>
      <c r="BN31" s="39">
        <v>2039</v>
      </c>
    </row>
    <row r="32" spans="1:66">
      <c r="A32">
        <v>911603289</v>
      </c>
      <c r="B32" s="105">
        <v>43583</v>
      </c>
      <c r="C32" s="43">
        <v>500000</v>
      </c>
      <c r="D32">
        <v>18734</v>
      </c>
      <c r="E32" t="s">
        <v>10465</v>
      </c>
      <c r="F32" t="s">
        <v>10467</v>
      </c>
      <c r="G32">
        <v>815</v>
      </c>
      <c r="H32">
        <v>33</v>
      </c>
      <c r="I32">
        <v>33</v>
      </c>
      <c r="J32"/>
      <c r="K32"/>
      <c r="U32" s="41">
        <v>1</v>
      </c>
      <c r="V32" s="41">
        <v>1</v>
      </c>
      <c r="W32" s="41">
        <v>1</v>
      </c>
      <c r="X32" s="41">
        <v>1</v>
      </c>
      <c r="Y32" s="41">
        <v>1</v>
      </c>
      <c r="Z32" s="41">
        <v>1</v>
      </c>
      <c r="AA32" s="41">
        <v>1</v>
      </c>
      <c r="AB32" s="41">
        <v>1</v>
      </c>
      <c r="AC32" s="41">
        <v>1</v>
      </c>
      <c r="AD32" s="41">
        <v>1</v>
      </c>
      <c r="AE32" s="41">
        <v>1</v>
      </c>
      <c r="AF32" s="41">
        <v>1</v>
      </c>
      <c r="AG32" s="41">
        <v>1</v>
      </c>
      <c r="AH32" s="41">
        <v>1</v>
      </c>
      <c r="AI32" s="41">
        <v>1</v>
      </c>
      <c r="AJ32" s="41">
        <v>1</v>
      </c>
      <c r="AK32" s="41">
        <v>1</v>
      </c>
      <c r="AL32" s="41">
        <v>1</v>
      </c>
      <c r="AM32" s="41">
        <v>1</v>
      </c>
      <c r="AN32" s="41">
        <v>1</v>
      </c>
      <c r="AO32" s="41">
        <v>1</v>
      </c>
      <c r="AP32" s="41">
        <v>1</v>
      </c>
      <c r="AQ32" s="41">
        <v>1</v>
      </c>
      <c r="AR32" s="41">
        <v>1</v>
      </c>
      <c r="AS32" s="41">
        <v>1</v>
      </c>
      <c r="AT32" s="41">
        <v>1</v>
      </c>
      <c r="AU32" s="41">
        <v>1</v>
      </c>
      <c r="AV32" s="41">
        <v>1</v>
      </c>
      <c r="AW32" s="41">
        <v>1</v>
      </c>
      <c r="AX32" s="41">
        <v>1</v>
      </c>
      <c r="AY32" s="41">
        <v>1</v>
      </c>
      <c r="AZ32" s="41">
        <v>1</v>
      </c>
      <c r="BA32" s="41">
        <v>1</v>
      </c>
      <c r="BB32" s="107"/>
      <c r="BE32" s="41">
        <f t="shared" si="15"/>
        <v>33</v>
      </c>
      <c r="BF32" s="41">
        <v>33</v>
      </c>
      <c r="BG32" s="44">
        <f t="shared" si="16"/>
        <v>618222</v>
      </c>
      <c r="BH32" s="44">
        <v>2208500</v>
      </c>
      <c r="BI32" s="44">
        <f>BH32-AI78</f>
        <v>2208500</v>
      </c>
      <c r="BJ32" s="44">
        <f t="shared" si="11"/>
        <v>184041.66666666666</v>
      </c>
      <c r="BK32" s="44">
        <f t="shared" si="12"/>
        <v>1590278</v>
      </c>
      <c r="BL32" s="45">
        <f t="shared" si="13"/>
        <v>2.5723413272254949</v>
      </c>
      <c r="BM32" s="46">
        <f t="shared" si="14"/>
        <v>7.7949737188651363E-2</v>
      </c>
      <c r="BN32" s="39">
        <v>2052</v>
      </c>
    </row>
    <row r="33" spans="1:66">
      <c r="A33">
        <v>911603290</v>
      </c>
      <c r="B33" s="105">
        <v>43583</v>
      </c>
      <c r="C33" s="43">
        <v>800000</v>
      </c>
      <c r="D33">
        <v>35147</v>
      </c>
      <c r="E33" t="s">
        <v>10465</v>
      </c>
      <c r="F33" t="s">
        <v>10467</v>
      </c>
      <c r="G33">
        <v>815</v>
      </c>
      <c r="H33">
        <v>28</v>
      </c>
      <c r="I33">
        <v>28</v>
      </c>
      <c r="J33"/>
      <c r="K33"/>
      <c r="U33" s="41">
        <v>1</v>
      </c>
      <c r="V33" s="41">
        <v>1</v>
      </c>
      <c r="W33" s="41">
        <v>1</v>
      </c>
      <c r="X33" s="41">
        <v>1</v>
      </c>
      <c r="Y33" s="41">
        <v>1</v>
      </c>
      <c r="Z33" s="41">
        <v>1</v>
      </c>
      <c r="AA33" s="41">
        <v>1</v>
      </c>
      <c r="AB33" s="41">
        <v>1</v>
      </c>
      <c r="AC33" s="41">
        <v>1</v>
      </c>
      <c r="AD33" s="41">
        <v>1</v>
      </c>
      <c r="AE33" s="41">
        <v>1</v>
      </c>
      <c r="AF33" s="41">
        <v>1</v>
      </c>
      <c r="AG33" s="41">
        <v>1</v>
      </c>
      <c r="AH33" s="41">
        <v>1</v>
      </c>
      <c r="AI33" s="41">
        <v>1</v>
      </c>
      <c r="AJ33" s="41">
        <v>1</v>
      </c>
      <c r="AK33" s="41">
        <v>1</v>
      </c>
      <c r="AL33" s="41">
        <v>1</v>
      </c>
      <c r="AM33" s="41">
        <v>1</v>
      </c>
      <c r="AN33" s="41">
        <v>1</v>
      </c>
      <c r="AO33" s="41">
        <v>1</v>
      </c>
      <c r="AP33" s="41">
        <v>1</v>
      </c>
      <c r="AQ33" s="41">
        <v>1</v>
      </c>
      <c r="AR33" s="41">
        <v>1</v>
      </c>
      <c r="AS33" s="41">
        <v>1</v>
      </c>
      <c r="AT33" s="41">
        <v>1</v>
      </c>
      <c r="AU33" s="41">
        <v>1</v>
      </c>
      <c r="AV33" s="41">
        <v>1</v>
      </c>
      <c r="BE33" s="41">
        <f t="shared" si="15"/>
        <v>28</v>
      </c>
      <c r="BF33" s="41">
        <v>28</v>
      </c>
      <c r="BG33" s="44">
        <f t="shared" si="16"/>
        <v>984116</v>
      </c>
      <c r="BH33" s="44">
        <v>2529600</v>
      </c>
      <c r="BI33" s="44">
        <f>BH33-AJ78</f>
        <v>2529600</v>
      </c>
      <c r="BJ33" s="44">
        <f t="shared" si="11"/>
        <v>210800</v>
      </c>
      <c r="BK33" s="44">
        <f t="shared" si="12"/>
        <v>1545484</v>
      </c>
      <c r="BL33" s="45">
        <f t="shared" si="13"/>
        <v>1.5704286893008548</v>
      </c>
      <c r="BM33" s="46">
        <f t="shared" si="14"/>
        <v>5.6086738903601954E-2</v>
      </c>
      <c r="BN33" s="39">
        <v>2047</v>
      </c>
    </row>
    <row r="34" spans="1:66">
      <c r="A34">
        <v>911603291</v>
      </c>
      <c r="B34" s="105">
        <v>43583</v>
      </c>
      <c r="C34" s="43">
        <v>600000</v>
      </c>
      <c r="D34">
        <v>28603</v>
      </c>
      <c r="E34" t="s">
        <v>10465</v>
      </c>
      <c r="F34" t="s">
        <v>10444</v>
      </c>
      <c r="G34">
        <v>836</v>
      </c>
      <c r="H34">
        <v>16</v>
      </c>
      <c r="I34">
        <v>25</v>
      </c>
      <c r="J34"/>
      <c r="K34"/>
      <c r="U34" s="41">
        <v>1</v>
      </c>
      <c r="V34" s="41">
        <v>1</v>
      </c>
      <c r="W34" s="41">
        <v>1</v>
      </c>
      <c r="X34" s="41">
        <v>1</v>
      </c>
      <c r="Y34" s="41">
        <v>1</v>
      </c>
      <c r="Z34" s="41">
        <v>1</v>
      </c>
      <c r="AA34" s="41">
        <v>1</v>
      </c>
      <c r="AB34" s="41">
        <v>1</v>
      </c>
      <c r="AC34" s="41">
        <v>1</v>
      </c>
      <c r="AD34" s="41">
        <v>1</v>
      </c>
      <c r="AE34" s="41">
        <v>1</v>
      </c>
      <c r="AF34" s="41">
        <v>1</v>
      </c>
      <c r="AG34" s="41">
        <v>1</v>
      </c>
      <c r="AH34" s="41">
        <v>1</v>
      </c>
      <c r="AI34" s="41">
        <v>1</v>
      </c>
      <c r="AJ34" s="41">
        <v>1</v>
      </c>
      <c r="BE34" s="41">
        <f t="shared" si="15"/>
        <v>16</v>
      </c>
      <c r="BF34" s="41">
        <v>25</v>
      </c>
      <c r="BG34" s="44">
        <f t="shared" si="16"/>
        <v>457648</v>
      </c>
      <c r="BH34" s="44">
        <v>1620000</v>
      </c>
      <c r="BI34" s="44">
        <f>BH34-AK78</f>
        <v>1620000</v>
      </c>
      <c r="BJ34" s="44">
        <f t="shared" si="11"/>
        <v>135000</v>
      </c>
      <c r="BK34" s="44">
        <f t="shared" si="12"/>
        <v>1162352</v>
      </c>
      <c r="BL34" s="45">
        <f t="shared" si="13"/>
        <v>2.5398384784812782</v>
      </c>
      <c r="BM34" s="46">
        <f t="shared" si="14"/>
        <v>0.15873990490507989</v>
      </c>
      <c r="BN34" s="39">
        <v>2035</v>
      </c>
    </row>
    <row r="35" spans="1:66">
      <c r="A35">
        <v>911603292</v>
      </c>
      <c r="B35" s="105">
        <v>43583</v>
      </c>
      <c r="C35" s="43">
        <v>500000</v>
      </c>
      <c r="D35">
        <v>17804</v>
      </c>
      <c r="E35" t="s">
        <v>10465</v>
      </c>
      <c r="F35" t="s">
        <v>10467</v>
      </c>
      <c r="G35">
        <v>815</v>
      </c>
      <c r="H35">
        <v>35</v>
      </c>
      <c r="I35">
        <v>35</v>
      </c>
      <c r="J35"/>
      <c r="K35"/>
      <c r="U35" s="41">
        <v>1</v>
      </c>
      <c r="V35" s="41">
        <v>1</v>
      </c>
      <c r="W35" s="41">
        <v>1</v>
      </c>
      <c r="X35" s="41">
        <v>1</v>
      </c>
      <c r="Y35" s="41">
        <v>1</v>
      </c>
      <c r="Z35" s="41">
        <v>1</v>
      </c>
      <c r="AA35" s="41">
        <v>1</v>
      </c>
      <c r="AB35" s="41">
        <v>1</v>
      </c>
      <c r="AC35" s="41">
        <v>1</v>
      </c>
      <c r="AD35" s="41">
        <v>1</v>
      </c>
      <c r="AE35" s="41">
        <v>1</v>
      </c>
      <c r="AF35" s="41">
        <v>1</v>
      </c>
      <c r="AG35" s="41">
        <v>1</v>
      </c>
      <c r="AH35" s="41">
        <v>1</v>
      </c>
      <c r="AI35" s="41">
        <v>1</v>
      </c>
      <c r="AJ35" s="41">
        <v>1</v>
      </c>
      <c r="AK35" s="41">
        <v>1</v>
      </c>
      <c r="AL35" s="41">
        <v>1</v>
      </c>
      <c r="AM35" s="41">
        <v>1</v>
      </c>
      <c r="AN35" s="41">
        <v>1</v>
      </c>
      <c r="AO35" s="41">
        <v>1</v>
      </c>
      <c r="AP35" s="41">
        <v>1</v>
      </c>
      <c r="AQ35" s="41">
        <v>1</v>
      </c>
      <c r="AR35" s="41">
        <v>1</v>
      </c>
      <c r="AS35" s="41">
        <v>1</v>
      </c>
      <c r="AT35" s="41">
        <v>1</v>
      </c>
      <c r="AU35" s="41">
        <v>1</v>
      </c>
      <c r="AV35" s="41">
        <v>1</v>
      </c>
      <c r="AW35" s="41">
        <v>1</v>
      </c>
      <c r="AX35" s="41">
        <v>1</v>
      </c>
      <c r="AY35" s="41">
        <v>1</v>
      </c>
      <c r="AZ35" s="41">
        <v>1</v>
      </c>
      <c r="BA35" s="41">
        <v>1</v>
      </c>
      <c r="BE35" s="41">
        <f t="shared" ref="BE35:BE36" si="17">SUM(J35:BC35)</f>
        <v>33</v>
      </c>
      <c r="BF35" s="41">
        <v>35</v>
      </c>
      <c r="BG35" s="44">
        <f t="shared" si="16"/>
        <v>587532</v>
      </c>
      <c r="BH35" s="44">
        <v>2507500</v>
      </c>
      <c r="BI35" s="44">
        <f>BH35-AL78</f>
        <v>2507500</v>
      </c>
      <c r="BJ35" s="44">
        <f t="shared" si="11"/>
        <v>208958.33333333334</v>
      </c>
      <c r="BK35" s="44">
        <f t="shared" si="12"/>
        <v>1919968</v>
      </c>
      <c r="BL35" s="45">
        <f t="shared" si="13"/>
        <v>3.2678526446219101</v>
      </c>
      <c r="BM35" s="46">
        <f t="shared" si="14"/>
        <v>9.9025837715815454E-2</v>
      </c>
      <c r="BN35" s="39">
        <v>2052</v>
      </c>
    </row>
    <row r="36" spans="1:66">
      <c r="A36">
        <v>923803169</v>
      </c>
      <c r="B36" s="105">
        <v>39506</v>
      </c>
      <c r="C36" s="43">
        <v>500000</v>
      </c>
      <c r="D36">
        <v>35907</v>
      </c>
      <c r="E36" t="s">
        <v>10468</v>
      </c>
      <c r="F36" t="s">
        <v>10469</v>
      </c>
      <c r="G36">
        <v>159</v>
      </c>
      <c r="H36">
        <v>18</v>
      </c>
      <c r="I36">
        <v>26</v>
      </c>
      <c r="J36">
        <v>1</v>
      </c>
      <c r="K36">
        <v>1</v>
      </c>
      <c r="L36" s="41">
        <v>1</v>
      </c>
      <c r="M36" s="41">
        <v>1</v>
      </c>
      <c r="N36" s="41">
        <v>1</v>
      </c>
      <c r="O36" s="41">
        <v>1</v>
      </c>
      <c r="P36" s="41">
        <v>1</v>
      </c>
      <c r="Q36" s="41">
        <v>1</v>
      </c>
      <c r="R36" s="41">
        <v>1</v>
      </c>
      <c r="S36" s="41">
        <v>1</v>
      </c>
      <c r="T36" s="41">
        <v>1</v>
      </c>
      <c r="U36" s="41">
        <v>1</v>
      </c>
      <c r="V36" s="41">
        <v>1</v>
      </c>
      <c r="W36" s="41">
        <v>1</v>
      </c>
      <c r="X36" s="41">
        <v>1</v>
      </c>
      <c r="Y36" s="41">
        <v>1</v>
      </c>
      <c r="Z36" s="41">
        <v>1</v>
      </c>
      <c r="AA36" s="41">
        <v>1</v>
      </c>
      <c r="BE36" s="41">
        <f t="shared" si="17"/>
        <v>18</v>
      </c>
      <c r="BF36" s="41">
        <v>26</v>
      </c>
      <c r="BG36" s="44">
        <f t="shared" si="16"/>
        <v>646326</v>
      </c>
      <c r="BH36" s="44">
        <v>1700000</v>
      </c>
      <c r="BI36" s="44">
        <f>BH36-AM78</f>
        <v>1700000</v>
      </c>
      <c r="BJ36" s="44">
        <f t="shared" si="11"/>
        <v>141666.66666666666</v>
      </c>
      <c r="BK36" s="44">
        <f t="shared" si="12"/>
        <v>1053674</v>
      </c>
      <c r="BL36" s="45">
        <f t="shared" si="13"/>
        <v>1.6302516067742903</v>
      </c>
      <c r="BM36" s="46">
        <f t="shared" si="14"/>
        <v>9.0569533709682792E-2</v>
      </c>
      <c r="BN36" s="39"/>
    </row>
    <row r="37" spans="1:66">
      <c r="A37">
        <v>923803170</v>
      </c>
      <c r="B37" s="105">
        <v>39506</v>
      </c>
      <c r="C37" s="43">
        <v>500000</v>
      </c>
      <c r="D37">
        <v>23231</v>
      </c>
      <c r="E37" t="s">
        <v>10468</v>
      </c>
      <c r="F37" t="s">
        <v>10470</v>
      </c>
      <c r="G37">
        <v>185</v>
      </c>
      <c r="H37">
        <v>19</v>
      </c>
      <c r="I37">
        <v>24</v>
      </c>
      <c r="J37">
        <v>1</v>
      </c>
      <c r="K37">
        <v>1</v>
      </c>
      <c r="L37" s="41">
        <v>1</v>
      </c>
      <c r="M37" s="41">
        <v>1</v>
      </c>
      <c r="N37" s="41">
        <v>1</v>
      </c>
      <c r="O37" s="41">
        <v>1</v>
      </c>
      <c r="P37" s="41">
        <v>1</v>
      </c>
      <c r="Q37" s="41">
        <v>1</v>
      </c>
      <c r="R37" s="41">
        <v>1</v>
      </c>
      <c r="S37" s="41">
        <v>1</v>
      </c>
      <c r="T37" s="41">
        <v>1</v>
      </c>
      <c r="U37" s="41">
        <v>1</v>
      </c>
      <c r="V37" s="41">
        <v>1</v>
      </c>
      <c r="W37" s="41">
        <v>1</v>
      </c>
      <c r="X37" s="41">
        <v>1</v>
      </c>
      <c r="Y37" s="41">
        <v>1</v>
      </c>
      <c r="Z37" s="41">
        <v>1</v>
      </c>
      <c r="AA37" s="41">
        <v>1</v>
      </c>
      <c r="AB37" s="41">
        <v>1</v>
      </c>
      <c r="BE37" s="117">
        <f>SUM(J37:BC37)</f>
        <v>19</v>
      </c>
      <c r="BF37" s="41">
        <v>24</v>
      </c>
      <c r="BG37" s="44">
        <f t="shared" si="16"/>
        <v>441389</v>
      </c>
      <c r="BH37" s="44">
        <v>1100000</v>
      </c>
      <c r="BI37" s="44">
        <f>BH37-AN78</f>
        <v>1100000</v>
      </c>
      <c r="BJ37" s="44">
        <f t="shared" si="11"/>
        <v>91666.666666666672</v>
      </c>
      <c r="BK37" s="44">
        <f t="shared" si="12"/>
        <v>658611</v>
      </c>
      <c r="BL37" s="45">
        <f t="shared" si="13"/>
        <v>1.4921327898973469</v>
      </c>
      <c r="BM37" s="46">
        <f t="shared" si="14"/>
        <v>7.853330473143931E-2</v>
      </c>
      <c r="BN37" s="39"/>
    </row>
    <row r="38" spans="1:66" s="117" customFormat="1">
      <c r="C38" s="125"/>
      <c r="D38" s="117">
        <v>300000</v>
      </c>
      <c r="E38" s="292" t="s">
        <v>10465</v>
      </c>
      <c r="F38" s="126" t="s">
        <v>10471</v>
      </c>
      <c r="R38" s="117">
        <v>1</v>
      </c>
      <c r="S38" s="117">
        <v>1</v>
      </c>
      <c r="T38" s="117">
        <v>1</v>
      </c>
      <c r="U38" s="117">
        <v>1</v>
      </c>
      <c r="V38" s="117">
        <v>1</v>
      </c>
      <c r="BB38" s="124"/>
      <c r="BC38" s="124"/>
      <c r="BD38" s="124"/>
      <c r="BE38" s="117">
        <f>SUM(E38:BC38)</f>
        <v>5</v>
      </c>
      <c r="BG38" s="124">
        <f>BE38*D38</f>
        <v>1500000</v>
      </c>
      <c r="BH38" s="124">
        <f>BG38*1.2</f>
        <v>1800000</v>
      </c>
      <c r="BI38" s="325">
        <f>FV(9%/15, 5*15, 0, -BG38)</f>
        <v>2349307.2181915455</v>
      </c>
      <c r="BJ38" s="292" t="s">
        <v>13288</v>
      </c>
      <c r="BL38" s="45"/>
    </row>
    <row r="39" spans="1:66" s="117" customFormat="1">
      <c r="C39" s="125"/>
      <c r="D39" s="117">
        <v>500000</v>
      </c>
      <c r="E39" s="292" t="s">
        <v>10465</v>
      </c>
      <c r="F39" s="126" t="s">
        <v>10472</v>
      </c>
      <c r="S39" s="117">
        <v>1</v>
      </c>
      <c r="T39" s="117">
        <v>1</v>
      </c>
      <c r="U39" s="117">
        <v>1</v>
      </c>
      <c r="V39" s="117">
        <v>1</v>
      </c>
      <c r="W39" s="117">
        <v>1</v>
      </c>
      <c r="X39" s="204">
        <v>1</v>
      </c>
      <c r="Y39" s="204">
        <v>1</v>
      </c>
      <c r="BB39" s="124"/>
      <c r="BC39" s="124"/>
      <c r="BD39" s="124"/>
      <c r="BE39" s="117">
        <f>SUM(E39:BC39)</f>
        <v>7</v>
      </c>
      <c r="BG39" s="124">
        <f>BE39*D39</f>
        <v>3500000</v>
      </c>
      <c r="BH39" s="124">
        <f>BG39*1.2</f>
        <v>4200000</v>
      </c>
      <c r="BI39" s="325">
        <f>FV(9%/15, 5*15, 0, -BG39)</f>
        <v>5481716.84244694</v>
      </c>
      <c r="BJ39" s="292" t="s">
        <v>13288</v>
      </c>
      <c r="BL39" s="45"/>
    </row>
    <row r="40" spans="1:66" s="117" customFormat="1">
      <c r="C40" s="125"/>
      <c r="D40" s="117">
        <v>300000</v>
      </c>
      <c r="E40" s="292" t="s">
        <v>10465</v>
      </c>
      <c r="F40" s="126" t="s">
        <v>10472</v>
      </c>
      <c r="T40" s="117">
        <v>1</v>
      </c>
      <c r="U40" s="117">
        <v>1</v>
      </c>
      <c r="V40" s="117">
        <v>1</v>
      </c>
      <c r="W40" s="117">
        <v>1</v>
      </c>
      <c r="X40" s="117">
        <v>1</v>
      </c>
      <c r="Y40" s="204">
        <v>1</v>
      </c>
      <c r="Z40" s="204">
        <v>1</v>
      </c>
      <c r="BB40" s="124"/>
      <c r="BC40" s="124"/>
      <c r="BD40" s="124"/>
      <c r="BE40" s="117">
        <f>SUM(E40:BC40)</f>
        <v>7</v>
      </c>
      <c r="BG40" s="124">
        <f>BE40*D40</f>
        <v>2100000</v>
      </c>
      <c r="BH40" s="124">
        <f>BG40*1.2</f>
        <v>2520000</v>
      </c>
      <c r="BI40" s="325">
        <f>FV(9%/15, 5*15, 0, -BG40)</f>
        <v>3289030.1054681637</v>
      </c>
      <c r="BJ40" s="292" t="s">
        <v>13288</v>
      </c>
      <c r="BL40" s="45"/>
    </row>
    <row r="41" spans="1:66" s="117" customFormat="1">
      <c r="C41" s="125"/>
      <c r="D41" s="117">
        <f>12*41000</f>
        <v>492000</v>
      </c>
      <c r="E41" s="292" t="s">
        <v>10465</v>
      </c>
      <c r="F41" s="126" t="s">
        <v>10473</v>
      </c>
      <c r="W41" s="117">
        <v>1</v>
      </c>
      <c r="X41" s="117">
        <v>1</v>
      </c>
      <c r="Y41" s="117">
        <v>1</v>
      </c>
      <c r="Z41" s="117">
        <v>1</v>
      </c>
      <c r="AA41" s="117">
        <v>1</v>
      </c>
      <c r="AB41" s="117">
        <v>1</v>
      </c>
      <c r="AC41" s="117">
        <v>1</v>
      </c>
      <c r="AD41" s="117">
        <v>1</v>
      </c>
      <c r="AE41" s="117">
        <v>1</v>
      </c>
      <c r="AF41" s="117">
        <v>1</v>
      </c>
      <c r="AG41" s="117">
        <v>1</v>
      </c>
      <c r="AH41" s="117">
        <v>1</v>
      </c>
      <c r="AI41" s="117">
        <v>1</v>
      </c>
      <c r="AJ41" s="117">
        <v>1</v>
      </c>
      <c r="AK41" s="117">
        <v>1</v>
      </c>
      <c r="AL41" s="117">
        <v>1</v>
      </c>
      <c r="AM41" s="117">
        <v>1</v>
      </c>
      <c r="AN41" s="117">
        <v>1</v>
      </c>
      <c r="AO41" s="117">
        <v>1</v>
      </c>
      <c r="AP41" s="117">
        <v>1</v>
      </c>
      <c r="AQ41" s="117">
        <v>1</v>
      </c>
      <c r="AR41" s="117">
        <v>1</v>
      </c>
      <c r="AS41" s="117">
        <v>1</v>
      </c>
      <c r="AT41" s="117">
        <v>1</v>
      </c>
      <c r="AU41" s="117">
        <v>1</v>
      </c>
      <c r="AV41" s="117">
        <v>1</v>
      </c>
      <c r="AW41" s="117">
        <v>1</v>
      </c>
      <c r="AX41" s="117">
        <v>1</v>
      </c>
      <c r="AY41" s="117">
        <v>1</v>
      </c>
      <c r="AZ41" s="117">
        <v>1</v>
      </c>
      <c r="BA41" s="117">
        <v>1</v>
      </c>
      <c r="BB41" s="117">
        <v>1</v>
      </c>
      <c r="BC41" s="117">
        <v>1</v>
      </c>
      <c r="BD41" s="124"/>
      <c r="BE41" s="117">
        <f>SUM(E41:BC41)</f>
        <v>33</v>
      </c>
      <c r="BG41" s="124">
        <f>BE41*D41</f>
        <v>16236000</v>
      </c>
      <c r="BH41" s="124">
        <f>BG41*1.2</f>
        <v>19483200</v>
      </c>
      <c r="BL41" s="45"/>
    </row>
    <row r="42" spans="1:66" ht="12.75">
      <c r="A42" s="292" t="s">
        <v>10474</v>
      </c>
      <c r="E42" s="41"/>
      <c r="J42" s="47">
        <f>SUMPRODUCT($D$2:$D$41,J2:J41)</f>
        <v>59138</v>
      </c>
      <c r="K42" s="47">
        <f>SUMPRODUCT($D$2:$D$41,K2:K41)</f>
        <v>59138</v>
      </c>
      <c r="L42" s="47">
        <f>SUMPRODUCT($D$2:$D$41,L2:L41)</f>
        <v>304555</v>
      </c>
      <c r="M42" s="47">
        <f>SUMPRODUCT($D$2:$D$41,M2:M41)</f>
        <v>304555</v>
      </c>
      <c r="N42" s="47">
        <f>SUMPRODUCT($D$2:$D$41,N2:N41)</f>
        <v>304555</v>
      </c>
      <c r="O42" s="47">
        <f t="shared" ref="O42:BC42" si="18">SUMPRODUCT($D$2:$D$41,O2:O41)</f>
        <v>304555</v>
      </c>
      <c r="P42" s="47">
        <f t="shared" si="18"/>
        <v>304555</v>
      </c>
      <c r="Q42" s="47">
        <f t="shared" si="18"/>
        <v>304555</v>
      </c>
      <c r="R42" s="47">
        <f>SUMPRODUCT($D$2:$D$41,R2:R41)</f>
        <v>604555</v>
      </c>
      <c r="S42" s="47">
        <f>SUMPRODUCT($D$2:$D$41,S2:S41)</f>
        <v>1104555</v>
      </c>
      <c r="T42" s="47">
        <f>SUMPRODUCT($D$2:$D$41,T2:T41)</f>
        <v>1404555</v>
      </c>
      <c r="U42" s="47">
        <f t="shared" si="18"/>
        <v>2091237</v>
      </c>
      <c r="V42" s="47">
        <f t="shared" si="18"/>
        <v>2091237</v>
      </c>
      <c r="W42" s="47">
        <f t="shared" si="18"/>
        <v>2283237</v>
      </c>
      <c r="X42" s="47">
        <f t="shared" si="18"/>
        <v>2283237</v>
      </c>
      <c r="Y42" s="47">
        <f t="shared" si="18"/>
        <v>2283237</v>
      </c>
      <c r="Z42" s="47">
        <f t="shared" si="18"/>
        <v>1783237</v>
      </c>
      <c r="AA42" s="47">
        <f>SUMPRODUCT($D$2:$D$41,AA2:AA41)</f>
        <v>1483237</v>
      </c>
      <c r="AB42" s="47">
        <f t="shared" si="18"/>
        <v>1447330</v>
      </c>
      <c r="AC42" s="47">
        <f t="shared" si="18"/>
        <v>1424099</v>
      </c>
      <c r="AD42" s="47">
        <f t="shared" si="18"/>
        <v>1424099</v>
      </c>
      <c r="AE42" s="47">
        <f t="shared" si="18"/>
        <v>1394993</v>
      </c>
      <c r="AF42" s="47">
        <f t="shared" si="18"/>
        <v>1370079</v>
      </c>
      <c r="AG42" s="47">
        <f t="shared" si="18"/>
        <v>1349213</v>
      </c>
      <c r="AH42" s="47">
        <f t="shared" si="18"/>
        <v>1330980</v>
      </c>
      <c r="AI42" s="47">
        <f t="shared" si="18"/>
        <v>1314890</v>
      </c>
      <c r="AJ42" s="47">
        <f t="shared" si="18"/>
        <v>1300510</v>
      </c>
      <c r="AK42" s="47">
        <f t="shared" si="18"/>
        <v>1259038</v>
      </c>
      <c r="AL42" s="47">
        <f t="shared" si="18"/>
        <v>1247320</v>
      </c>
      <c r="AM42" s="47">
        <f t="shared" si="18"/>
        <v>1236921</v>
      </c>
      <c r="AN42" s="47">
        <f t="shared" si="18"/>
        <v>1227540</v>
      </c>
      <c r="AO42" s="47">
        <f t="shared" si="18"/>
        <v>632710</v>
      </c>
      <c r="AP42" s="47">
        <f t="shared" si="18"/>
        <v>625139</v>
      </c>
      <c r="AQ42" s="47">
        <f t="shared" si="18"/>
        <v>618209</v>
      </c>
      <c r="AR42" s="47">
        <f t="shared" si="18"/>
        <v>611700</v>
      </c>
      <c r="AS42" s="47">
        <f t="shared" si="18"/>
        <v>605738</v>
      </c>
      <c r="AT42" s="47">
        <f t="shared" si="18"/>
        <v>600290</v>
      </c>
      <c r="AU42" s="47">
        <f t="shared" si="18"/>
        <v>595318</v>
      </c>
      <c r="AV42" s="47">
        <f t="shared" si="18"/>
        <v>590795</v>
      </c>
      <c r="AW42" s="47">
        <f t="shared" si="18"/>
        <v>551540</v>
      </c>
      <c r="AX42" s="47">
        <f t="shared" si="18"/>
        <v>547697</v>
      </c>
      <c r="AY42" s="47">
        <f t="shared" si="18"/>
        <v>544225</v>
      </c>
      <c r="AZ42" s="47">
        <f t="shared" si="18"/>
        <v>540978</v>
      </c>
      <c r="BA42" s="47">
        <f t="shared" si="18"/>
        <v>537700</v>
      </c>
      <c r="BB42" s="47">
        <f t="shared" si="18"/>
        <v>497958</v>
      </c>
      <c r="BC42" s="47">
        <f t="shared" si="18"/>
        <v>494945</v>
      </c>
      <c r="BG42" s="47">
        <f>SUM(BG2:BG41)</f>
        <v>45279884</v>
      </c>
      <c r="BH42" s="48">
        <f>SUM(BH2:BH41)</f>
        <v>82300940</v>
      </c>
    </row>
    <row r="43" spans="1:66" ht="12.75">
      <c r="A43" s="292" t="s">
        <v>10475</v>
      </c>
      <c r="E43" s="41"/>
      <c r="J43" s="49">
        <f>SUM(J42:$BC$42)</f>
        <v>45279884</v>
      </c>
      <c r="K43" s="49">
        <f>SUM(K42:$BC$42)</f>
        <v>45220746</v>
      </c>
      <c r="L43" s="49">
        <f>SUM(L42:$BC$42)</f>
        <v>45161608</v>
      </c>
      <c r="M43" s="49">
        <f>SUM(M42:$BC$42)</f>
        <v>44857053</v>
      </c>
      <c r="N43" s="49">
        <f>SUM(N42:$BC$42)</f>
        <v>44552498</v>
      </c>
      <c r="O43" s="49">
        <f>SUM(O42:$BC$42)</f>
        <v>44247943</v>
      </c>
      <c r="P43" s="49">
        <f>SUM(P42:$BC$42)</f>
        <v>43943388</v>
      </c>
      <c r="Q43" s="49">
        <f>SUM(Q42:$BC$42)</f>
        <v>43638833</v>
      </c>
      <c r="R43" s="49">
        <f>SUM(R42:$BC$42)</f>
        <v>43334278</v>
      </c>
      <c r="S43" s="49">
        <f>SUM(S42:$BC$42)</f>
        <v>42729723</v>
      </c>
      <c r="T43" s="49">
        <f>SUM(T42:$BC$42)</f>
        <v>41625168</v>
      </c>
      <c r="U43" s="49">
        <f>SUM(U42:$BC$42)</f>
        <v>40220613</v>
      </c>
      <c r="V43" s="49">
        <f>SUM(V42:$BC$42)</f>
        <v>38129376</v>
      </c>
      <c r="W43" s="49">
        <f>SUM(W42:$BC$42)</f>
        <v>36038139</v>
      </c>
      <c r="X43" s="49">
        <f>SUM(X42:$BC$42)</f>
        <v>33754902</v>
      </c>
      <c r="Y43" s="49">
        <f>SUM(Y42:$BC$42)</f>
        <v>31471665</v>
      </c>
      <c r="Z43" s="49">
        <f>SUM(Z42:$BC$42)</f>
        <v>29188428</v>
      </c>
      <c r="AA43" s="49">
        <f>SUM(AA42:$BC$42)</f>
        <v>27405191</v>
      </c>
      <c r="AB43" s="49">
        <f>SUM(AB42:$BC$42)</f>
        <v>25921954</v>
      </c>
      <c r="AC43" s="49">
        <f>SUM(AC42:$BC$42)</f>
        <v>24474624</v>
      </c>
      <c r="AD43" s="49">
        <f>SUM(AD42:$BC$42)</f>
        <v>23050525</v>
      </c>
      <c r="AE43" s="49">
        <f>SUM(AE42:$BC$42)</f>
        <v>21626426</v>
      </c>
      <c r="AF43" s="49">
        <f>SUM(AF42:$BC$42)</f>
        <v>20231433</v>
      </c>
      <c r="AG43" s="49">
        <f>SUM(AG42:$BC$42)</f>
        <v>18861354</v>
      </c>
      <c r="AH43" s="49">
        <f>SUM(AH42:$BC$42)</f>
        <v>17512141</v>
      </c>
      <c r="AI43" s="49">
        <f>SUM(AI42:$BC$42)</f>
        <v>16181161</v>
      </c>
      <c r="AJ43" s="49">
        <f>SUM(AJ42:$BC$42)</f>
        <v>14866271</v>
      </c>
      <c r="AK43" s="49">
        <f>SUM(AK42:$BC$42)</f>
        <v>13565761</v>
      </c>
      <c r="AL43" s="49">
        <f>SUM(AL42:$BC$42)</f>
        <v>12306723</v>
      </c>
      <c r="AM43" s="49">
        <f>SUM(AM42:$BC$42)</f>
        <v>11059403</v>
      </c>
      <c r="AN43" s="49">
        <f>SUM(AN42:$BC$42)</f>
        <v>9822482</v>
      </c>
      <c r="AO43" s="49">
        <f>SUM(AO42:$BC$42)</f>
        <v>8594942</v>
      </c>
      <c r="AP43" s="49">
        <f>SUM(AP42:$BC$42)</f>
        <v>7962232</v>
      </c>
      <c r="AQ43" s="49">
        <f>SUM(AQ42:$BC$42)</f>
        <v>7337093</v>
      </c>
      <c r="AR43" s="49">
        <f>SUM(AR42:$BC$42)</f>
        <v>6718884</v>
      </c>
      <c r="AS43" s="49">
        <f>SUM(AS42:$BC$42)</f>
        <v>6107184</v>
      </c>
      <c r="AT43" s="49">
        <f>SUM(AT42:$BC$42)</f>
        <v>5501446</v>
      </c>
      <c r="AU43" s="49">
        <f>SUM(AU42:$BC$42)</f>
        <v>4901156</v>
      </c>
      <c r="AV43" s="49">
        <f>SUM(AV42:$BC$42)</f>
        <v>4305838</v>
      </c>
      <c r="AW43" s="49">
        <f>SUM(AW42:$BC$42)</f>
        <v>3715043</v>
      </c>
      <c r="AX43" s="49">
        <f>SUM(AX42:$BC$42)</f>
        <v>3163503</v>
      </c>
      <c r="AY43" s="49">
        <f>SUM(AY42:$BC$42)</f>
        <v>2615806</v>
      </c>
      <c r="AZ43" s="49">
        <f>SUM(AZ42:$BC$42)</f>
        <v>2071581</v>
      </c>
      <c r="BA43" s="49">
        <f>SUM(BA42:$BC$42)</f>
        <v>1530603</v>
      </c>
      <c r="BB43" s="49">
        <f>SUM(BB42:$BC$42)</f>
        <v>992903</v>
      </c>
      <c r="BC43" s="49">
        <f>SUM(BC42:$BC$42)</f>
        <v>494945</v>
      </c>
    </row>
    <row r="44" spans="1:66" ht="12.75">
      <c r="A44" s="285" t="s">
        <v>10476</v>
      </c>
      <c r="E44" s="41"/>
      <c r="F44" s="50"/>
      <c r="G44" s="50"/>
      <c r="H44" s="50"/>
      <c r="I44" s="50"/>
      <c r="J44" s="50"/>
      <c r="K44" s="50"/>
      <c r="AE44" s="107">
        <f>AE42-BH2</f>
        <v>464483</v>
      </c>
      <c r="AF44" s="107">
        <f>AF42-BH3</f>
        <v>496099</v>
      </c>
      <c r="AG44" s="107">
        <f>AG42-BH4</f>
        <v>510628</v>
      </c>
      <c r="AH44" s="107">
        <f>AH42-BH5</f>
        <v>519950</v>
      </c>
      <c r="AI44" s="107">
        <f>AI42-BH6</f>
        <v>508750</v>
      </c>
      <c r="AJ44" s="107">
        <f>AJ42-BH7</f>
        <v>494110</v>
      </c>
      <c r="AK44" s="107">
        <f>AK42-BH8</f>
        <v>458338</v>
      </c>
      <c r="AL44" s="107">
        <f>AL42-BH9</f>
        <v>458280</v>
      </c>
      <c r="AM44" s="107">
        <f>AM42-BH10</f>
        <v>460301</v>
      </c>
      <c r="AN44" s="107">
        <f>AN42-BH11</f>
        <v>454320</v>
      </c>
      <c r="AO44" s="107">
        <f>AO42-BH12</f>
        <v>-132040</v>
      </c>
      <c r="AP44" s="107">
        <f>AP42-BH13</f>
        <v>-141121</v>
      </c>
      <c r="AQ44" s="107">
        <f>AQ42-BH14</f>
        <v>-163456</v>
      </c>
      <c r="AR44" s="107">
        <f>AR42-BH15</f>
        <v>-210700</v>
      </c>
      <c r="AS44" s="107">
        <f>AS42-BH16</f>
        <v>-179062</v>
      </c>
      <c r="AT44" s="107">
        <f>AT42-BH17</f>
        <v>-190300</v>
      </c>
      <c r="AU44" s="107">
        <f>AU42-BH18</f>
        <v>-179712</v>
      </c>
      <c r="AV44" s="107">
        <f>AV42-BH19</f>
        <v>-178485</v>
      </c>
      <c r="AW44" s="107">
        <f>AW42-BH20</f>
        <v>-207010</v>
      </c>
      <c r="AX44" s="107">
        <f>AX42-BH21</f>
        <v>-228923</v>
      </c>
      <c r="AY44" s="107">
        <f>AY42-BH22</f>
        <v>-219200</v>
      </c>
      <c r="AZ44" s="107">
        <f>AZ42-BH23</f>
        <v>-233042</v>
      </c>
      <c r="BA44" s="107">
        <f>BA42-BH24</f>
        <v>-242690</v>
      </c>
      <c r="BB44" s="107">
        <f>BB42-BH25</f>
        <v>-288802</v>
      </c>
      <c r="BC44" s="107">
        <f>BC42-BH26</f>
        <v>-267680</v>
      </c>
    </row>
    <row r="46" spans="1:66">
      <c r="A46" s="39" t="s">
        <v>10477</v>
      </c>
      <c r="W46" s="49">
        <f>W42+'Vinay Policies'!P42</f>
        <v>4543406</v>
      </c>
      <c r="X46" s="49">
        <f>X42+'Vinay Policies'!Q42</f>
        <v>4543406</v>
      </c>
      <c r="Y46" s="49">
        <f>Y42+'Vinay Policies'!R42</f>
        <v>4543406</v>
      </c>
      <c r="Z46" s="49">
        <f>Z42+'Vinay Policies'!S42</f>
        <v>3526401</v>
      </c>
      <c r="AA46" s="49">
        <f>AA42+'Vinay Policies'!T42</f>
        <v>2926401</v>
      </c>
      <c r="AB46" s="49">
        <f>AB42+'Vinay Policies'!U42</f>
        <v>2890494</v>
      </c>
      <c r="AC46" s="49">
        <f>AC42+'Vinay Policies'!V42</f>
        <v>2867263</v>
      </c>
      <c r="AD46" s="49">
        <f>AD42+'Vinay Policies'!W42</f>
        <v>2834689</v>
      </c>
      <c r="AE46" s="49">
        <f>AE42+'Vinay Policies'!X42</f>
        <v>2776837</v>
      </c>
      <c r="AF46" s="49">
        <f>AF42+'Vinay Policies'!Y42</f>
        <v>2727348</v>
      </c>
      <c r="AG46" s="49">
        <f>AG42+'Vinay Policies'!Z42</f>
        <v>2685913</v>
      </c>
      <c r="AH46" s="49">
        <f>AH42+'Vinay Policies'!AA42</f>
        <v>2649718</v>
      </c>
      <c r="AI46" s="49">
        <f>AI42+'Vinay Policies'!AB42</f>
        <v>2617787</v>
      </c>
      <c r="AJ46" s="49">
        <f>AJ42+'Vinay Policies'!AC42</f>
        <v>2589273</v>
      </c>
      <c r="AK46" s="49">
        <f>AK42+'Vinay Policies'!AD42</f>
        <v>2497509</v>
      </c>
      <c r="AL46" s="49">
        <f>AL42+'Vinay Policies'!AE42</f>
        <v>2474270</v>
      </c>
      <c r="AM46" s="49">
        <f>AM42+'Vinay Policies'!AF42</f>
        <v>2453665</v>
      </c>
      <c r="AN46" s="49">
        <f>AN42+'Vinay Policies'!AG42</f>
        <v>2435082</v>
      </c>
      <c r="AO46" s="49">
        <f>AO42+'Vinay Policies'!AH42</f>
        <v>1260043</v>
      </c>
      <c r="AP46" s="49">
        <f>AP42+'Vinay Policies'!AI42</f>
        <v>1245054</v>
      </c>
      <c r="AQ46" s="49">
        <f>AQ42+'Vinay Policies'!AJ42</f>
        <v>1231339</v>
      </c>
      <c r="AR46" s="49">
        <f>AR42+'Vinay Policies'!AK42</f>
        <v>1218622</v>
      </c>
      <c r="AS46" s="49">
        <f>AS42+'Vinay Policies'!AL42</f>
        <v>1206986</v>
      </c>
      <c r="AT46" s="49">
        <f>AT42+'Vinay Policies'!AM42</f>
        <v>1196218</v>
      </c>
      <c r="AU46" s="49">
        <f>AU42+'Vinay Policies'!AN42</f>
        <v>1186395</v>
      </c>
      <c r="AV46" s="49">
        <f>AV42+'Vinay Policies'!AO42</f>
        <v>1177461</v>
      </c>
      <c r="AW46" s="49">
        <f>AW42+'Vinay Policies'!AP42</f>
        <v>1134209</v>
      </c>
      <c r="AX46" s="49">
        <f>AX42+'Vinay Policies'!AQ42</f>
        <v>1126622</v>
      </c>
      <c r="AY46" s="49">
        <f>AY42+'Vinay Policies'!AR42</f>
        <v>1083740</v>
      </c>
      <c r="AZ46" s="49">
        <f>AZ42+'Vinay Policies'!AS42</f>
        <v>1077217</v>
      </c>
      <c r="BA46" s="49">
        <f>BA42+'Vinay Policies'!AT42</f>
        <v>1070736</v>
      </c>
      <c r="BB46" s="49">
        <f>BB42+'Vinay Policies'!AU42</f>
        <v>1027867</v>
      </c>
      <c r="BC46" s="49">
        <f>BC42+'Vinay Policies'!AV42</f>
        <v>494945</v>
      </c>
    </row>
    <row r="47" spans="1:66">
      <c r="A47" s="39" t="s">
        <v>10478</v>
      </c>
      <c r="W47" s="49">
        <f>W46+300000</f>
        <v>4843406</v>
      </c>
      <c r="X47" s="49">
        <f t="shared" ref="X47:BC47" si="19">X46+300000</f>
        <v>4843406</v>
      </c>
      <c r="Y47" s="49">
        <f t="shared" si="19"/>
        <v>4843406</v>
      </c>
      <c r="Z47" s="49">
        <f t="shared" si="19"/>
        <v>3826401</v>
      </c>
      <c r="AA47" s="49">
        <f t="shared" si="19"/>
        <v>3226401</v>
      </c>
      <c r="AB47" s="49">
        <f t="shared" si="19"/>
        <v>3190494</v>
      </c>
      <c r="AC47" s="49">
        <f t="shared" si="19"/>
        <v>3167263</v>
      </c>
      <c r="AD47" s="49">
        <f t="shared" si="19"/>
        <v>3134689</v>
      </c>
      <c r="AE47" s="49">
        <f t="shared" si="19"/>
        <v>3076837</v>
      </c>
      <c r="AF47" s="49">
        <f t="shared" si="19"/>
        <v>3027348</v>
      </c>
      <c r="AG47" s="49">
        <f t="shared" si="19"/>
        <v>2985913</v>
      </c>
      <c r="AH47" s="49">
        <f t="shared" si="19"/>
        <v>2949718</v>
      </c>
      <c r="AI47" s="49">
        <f t="shared" si="19"/>
        <v>2917787</v>
      </c>
      <c r="AJ47" s="49">
        <f t="shared" si="19"/>
        <v>2889273</v>
      </c>
      <c r="AK47" s="49">
        <f t="shared" si="19"/>
        <v>2797509</v>
      </c>
      <c r="AL47" s="49">
        <f t="shared" si="19"/>
        <v>2774270</v>
      </c>
      <c r="AM47" s="49">
        <f t="shared" si="19"/>
        <v>2753665</v>
      </c>
      <c r="AN47" s="49">
        <f t="shared" si="19"/>
        <v>2735082</v>
      </c>
      <c r="AO47" s="49">
        <f t="shared" si="19"/>
        <v>1560043</v>
      </c>
      <c r="AP47" s="49">
        <f t="shared" si="19"/>
        <v>1545054</v>
      </c>
      <c r="AQ47" s="49">
        <f t="shared" si="19"/>
        <v>1531339</v>
      </c>
      <c r="AR47" s="49">
        <f t="shared" si="19"/>
        <v>1518622</v>
      </c>
      <c r="AS47" s="49">
        <f t="shared" si="19"/>
        <v>1506986</v>
      </c>
      <c r="AT47" s="49">
        <f t="shared" si="19"/>
        <v>1496218</v>
      </c>
      <c r="AU47" s="49">
        <f t="shared" si="19"/>
        <v>1486395</v>
      </c>
      <c r="AV47" s="49">
        <f t="shared" si="19"/>
        <v>1477461</v>
      </c>
      <c r="AW47" s="49">
        <f t="shared" si="19"/>
        <v>1434209</v>
      </c>
      <c r="AX47" s="49">
        <f t="shared" si="19"/>
        <v>1426622</v>
      </c>
      <c r="AY47" s="49">
        <f t="shared" si="19"/>
        <v>1383740</v>
      </c>
      <c r="AZ47" s="49">
        <f t="shared" si="19"/>
        <v>1377217</v>
      </c>
      <c r="BA47" s="49">
        <f t="shared" si="19"/>
        <v>1370736</v>
      </c>
      <c r="BB47" s="49">
        <f t="shared" si="19"/>
        <v>1327867</v>
      </c>
      <c r="BC47" s="49">
        <f t="shared" si="19"/>
        <v>794945</v>
      </c>
    </row>
    <row r="48" spans="1:66">
      <c r="A48" s="39" t="s">
        <v>10479</v>
      </c>
      <c r="AE48" s="49">
        <f>AE44+'Vinay Policies'!W44</f>
        <v>909598</v>
      </c>
      <c r="AF48" s="49">
        <f>AF44+'Vinay Policies'!X44</f>
        <v>947433</v>
      </c>
      <c r="AG48" s="49">
        <f>AG44+'Vinay Policies'!Y44</f>
        <v>996917</v>
      </c>
      <c r="AH48" s="49">
        <f>AH44+'Vinay Policies'!Z44</f>
        <v>1018065</v>
      </c>
      <c r="AI48" s="49">
        <f>AI44+'Vinay Policies'!AA44</f>
        <v>1016458</v>
      </c>
      <c r="AJ48" s="49">
        <f>AJ44+'Vinay Policies'!AB44</f>
        <v>990867</v>
      </c>
      <c r="AK48" s="49">
        <f>AK44+'Vinay Policies'!AC44</f>
        <v>940701</v>
      </c>
      <c r="AL48" s="49">
        <f>AL44+'Vinay Policies'!AD44</f>
        <v>896051</v>
      </c>
      <c r="AM48" s="49">
        <f>AM44+'Vinay Policies'!AE44</f>
        <v>898211</v>
      </c>
      <c r="AN48" s="49">
        <f>AN44+'Vinay Policies'!AF44</f>
        <v>894444</v>
      </c>
      <c r="AO48" s="49">
        <f>AO44+'Vinay Policies'!AG44</f>
        <v>302282</v>
      </c>
      <c r="AP48" s="49">
        <f>AP44+'Vinay Policies'!AH44</f>
        <v>-278538</v>
      </c>
      <c r="AQ48" s="49">
        <f>AQ44+'Vinay Policies'!AI44</f>
        <v>-309801</v>
      </c>
      <c r="AR48" s="49">
        <f>AR44+'Vinay Policies'!AJ44</f>
        <v>-379235</v>
      </c>
      <c r="AS48" s="49">
        <f>AS44+'Vinay Policies'!AK44</f>
        <v>-325230</v>
      </c>
      <c r="AT48" s="49">
        <f>AT44+'Vinay Policies'!AL44</f>
        <v>-358737</v>
      </c>
      <c r="AU48" s="49">
        <f>AU44+'Vinay Policies'!AM44</f>
        <v>-368584</v>
      </c>
      <c r="AV48" s="49">
        <f>AV44+'Vinay Policies'!AN44</f>
        <v>-363438</v>
      </c>
      <c r="AW48" s="49">
        <f>AW44+'Vinay Policies'!AO44</f>
        <v>-389624</v>
      </c>
      <c r="AX48" s="49">
        <f>AX44+'Vinay Policies'!AP44</f>
        <v>-404804</v>
      </c>
      <c r="AY48" s="49">
        <f>AY44+'Vinay Policies'!AQ44</f>
        <v>-416895</v>
      </c>
      <c r="AZ48" s="49">
        <f>AZ44+'Vinay Policies'!AR44</f>
        <v>-456952</v>
      </c>
      <c r="BA48" s="49">
        <f>BA44+'Vinay Policies'!AS44</f>
        <v>-480471</v>
      </c>
      <c r="BB48" s="49">
        <f>BB44+'Vinay Policies'!AT44</f>
        <v>-542526</v>
      </c>
      <c r="BC48" s="49">
        <f>BC44+'Vinay Policies'!AU44</f>
        <v>-500396</v>
      </c>
    </row>
    <row r="49" spans="1:55">
      <c r="L49" s="50" t="s">
        <v>10480</v>
      </c>
      <c r="AM49" s="39" t="s">
        <v>10481</v>
      </c>
    </row>
    <row r="50" spans="1:55">
      <c r="A50" s="39" t="s">
        <v>10482</v>
      </c>
      <c r="Y50" s="107">
        <f>Y47+1200000</f>
        <v>6043406</v>
      </c>
      <c r="Z50" s="107">
        <f t="shared" ref="Z50:AM50" si="20">Z47+1200000</f>
        <v>5026401</v>
      </c>
      <c r="AA50" s="107">
        <f t="shared" si="20"/>
        <v>4426401</v>
      </c>
      <c r="AB50" s="107">
        <f t="shared" si="20"/>
        <v>4390494</v>
      </c>
      <c r="AC50" s="107">
        <f t="shared" si="20"/>
        <v>4367263</v>
      </c>
      <c r="AD50" s="107">
        <f t="shared" si="20"/>
        <v>4334689</v>
      </c>
      <c r="AE50" s="107">
        <f t="shared" si="20"/>
        <v>4276837</v>
      </c>
      <c r="AF50" s="107">
        <f t="shared" si="20"/>
        <v>4227348</v>
      </c>
      <c r="AG50" s="107">
        <f t="shared" si="20"/>
        <v>4185913</v>
      </c>
      <c r="AH50" s="107">
        <f t="shared" si="20"/>
        <v>4149718</v>
      </c>
      <c r="AI50" s="107">
        <f t="shared" si="20"/>
        <v>4117787</v>
      </c>
      <c r="AJ50" s="107">
        <f t="shared" si="20"/>
        <v>4089273</v>
      </c>
      <c r="AK50" s="107">
        <f t="shared" si="20"/>
        <v>3997509</v>
      </c>
      <c r="AL50" s="107">
        <f t="shared" si="20"/>
        <v>3974270</v>
      </c>
      <c r="AM50" s="107">
        <f t="shared" si="20"/>
        <v>3953665</v>
      </c>
      <c r="AN50" s="107">
        <f>AN47</f>
        <v>2735082</v>
      </c>
      <c r="AO50" s="107">
        <f t="shared" ref="AO50:BC50" si="21">AO47</f>
        <v>1560043</v>
      </c>
      <c r="AP50" s="107">
        <f t="shared" si="21"/>
        <v>1545054</v>
      </c>
      <c r="AQ50" s="107">
        <f t="shared" si="21"/>
        <v>1531339</v>
      </c>
      <c r="AR50" s="107">
        <f t="shared" si="21"/>
        <v>1518622</v>
      </c>
      <c r="AS50" s="107">
        <f t="shared" si="21"/>
        <v>1506986</v>
      </c>
      <c r="AT50" s="107">
        <f t="shared" si="21"/>
        <v>1496218</v>
      </c>
      <c r="AU50" s="107">
        <f t="shared" si="21"/>
        <v>1486395</v>
      </c>
      <c r="AV50" s="107">
        <f t="shared" si="21"/>
        <v>1477461</v>
      </c>
      <c r="AW50" s="107">
        <f t="shared" si="21"/>
        <v>1434209</v>
      </c>
      <c r="AX50" s="107">
        <f t="shared" si="21"/>
        <v>1426622</v>
      </c>
      <c r="AY50" s="107">
        <f t="shared" si="21"/>
        <v>1383740</v>
      </c>
      <c r="AZ50" s="107">
        <f t="shared" si="21"/>
        <v>1377217</v>
      </c>
      <c r="BA50" s="107">
        <f t="shared" si="21"/>
        <v>1370736</v>
      </c>
      <c r="BB50" s="107">
        <f t="shared" si="21"/>
        <v>1327867</v>
      </c>
      <c r="BC50" s="107">
        <f t="shared" si="21"/>
        <v>794945</v>
      </c>
    </row>
    <row r="51" spans="1:55">
      <c r="A51" s="285" t="s">
        <v>10483</v>
      </c>
      <c r="Y51" s="107">
        <f>9000000*2</f>
        <v>18000000</v>
      </c>
      <c r="Z51" s="107">
        <f>Y51*1.04</f>
        <v>18720000</v>
      </c>
      <c r="AA51" s="107">
        <f t="shared" ref="AA51:AN51" si="22">Z51*1.04</f>
        <v>19468800</v>
      </c>
      <c r="AB51" s="107">
        <f t="shared" si="22"/>
        <v>20247552</v>
      </c>
      <c r="AC51" s="107">
        <f t="shared" si="22"/>
        <v>21057454.080000002</v>
      </c>
      <c r="AD51" s="107">
        <f t="shared" si="22"/>
        <v>21899752.243200004</v>
      </c>
      <c r="AE51" s="107">
        <f t="shared" si="22"/>
        <v>22775742.332928006</v>
      </c>
      <c r="AF51" s="107">
        <f t="shared" si="22"/>
        <v>23686772.026245128</v>
      </c>
      <c r="AG51" s="107">
        <f t="shared" si="22"/>
        <v>24634242.907294933</v>
      </c>
      <c r="AH51" s="107">
        <f t="shared" si="22"/>
        <v>25619612.623586729</v>
      </c>
      <c r="AI51" s="107">
        <f t="shared" si="22"/>
        <v>26644397.128530201</v>
      </c>
      <c r="AJ51" s="107">
        <f t="shared" si="22"/>
        <v>27710173.013671409</v>
      </c>
      <c r="AK51" s="107">
        <f t="shared" si="22"/>
        <v>28818579.934218265</v>
      </c>
      <c r="AL51" s="107">
        <f t="shared" si="22"/>
        <v>29971323.131586995</v>
      </c>
      <c r="AM51" s="107">
        <f t="shared" si="22"/>
        <v>31170176.056850474</v>
      </c>
      <c r="AN51" s="107">
        <f t="shared" si="22"/>
        <v>32416983.099124495</v>
      </c>
    </row>
    <row r="52" spans="1:55">
      <c r="A52" s="285" t="s">
        <v>10484</v>
      </c>
      <c r="Y52" s="107">
        <f>Y51*0.7</f>
        <v>12600000</v>
      </c>
      <c r="Z52" s="107">
        <f>Z51*0.7</f>
        <v>13104000</v>
      </c>
      <c r="AA52" s="107">
        <f t="shared" ref="AA52:AN52" si="23">AA51*0.7</f>
        <v>13628160</v>
      </c>
      <c r="AB52" s="107">
        <f t="shared" si="23"/>
        <v>14173286.399999999</v>
      </c>
      <c r="AC52" s="107">
        <f t="shared" si="23"/>
        <v>14740217.856000001</v>
      </c>
      <c r="AD52" s="107">
        <f t="shared" si="23"/>
        <v>15329826.570240002</v>
      </c>
      <c r="AE52" s="107">
        <f t="shared" si="23"/>
        <v>15943019.633049604</v>
      </c>
      <c r="AF52" s="107">
        <f t="shared" si="23"/>
        <v>16580740.418371588</v>
      </c>
      <c r="AG52" s="107">
        <f t="shared" si="23"/>
        <v>17243970.03510645</v>
      </c>
      <c r="AH52" s="107">
        <f t="shared" si="23"/>
        <v>17933728.83651071</v>
      </c>
      <c r="AI52" s="107">
        <f t="shared" si="23"/>
        <v>18651077.989971139</v>
      </c>
      <c r="AJ52" s="107">
        <f t="shared" si="23"/>
        <v>19397121.109569985</v>
      </c>
      <c r="AK52" s="107">
        <f t="shared" si="23"/>
        <v>20173005.953952786</v>
      </c>
      <c r="AL52" s="107">
        <f t="shared" si="23"/>
        <v>20979926.192110896</v>
      </c>
      <c r="AM52" s="107">
        <f t="shared" si="23"/>
        <v>21819123.239795331</v>
      </c>
      <c r="AN52" s="107">
        <f t="shared" si="23"/>
        <v>22691888.169387147</v>
      </c>
      <c r="AU52" s="285" t="s">
        <v>10485</v>
      </c>
      <c r="AW52" s="41" t="s">
        <v>10486</v>
      </c>
    </row>
    <row r="53" spans="1:55">
      <c r="A53" s="285" t="s">
        <v>10487</v>
      </c>
      <c r="Y53" s="293">
        <f>Y50/Y52</f>
        <v>0.4796353968253968</v>
      </c>
      <c r="Z53" s="293">
        <f>Z50/Z52</f>
        <v>0.38357760989010992</v>
      </c>
      <c r="AA53" s="293">
        <f t="shared" ref="AA53:AN53" si="24">AA50/AA52</f>
        <v>0.32479813856015777</v>
      </c>
      <c r="AB53" s="293">
        <f t="shared" si="24"/>
        <v>0.30977247450527778</v>
      </c>
      <c r="AC53" s="293">
        <f t="shared" si="24"/>
        <v>0.29628212029595663</v>
      </c>
      <c r="AD53" s="293">
        <f t="shared" si="24"/>
        <v>0.28276177686282439</v>
      </c>
      <c r="AE53" s="293">
        <f t="shared" si="24"/>
        <v>0.2682576512127095</v>
      </c>
      <c r="AF53" s="293">
        <f t="shared" si="24"/>
        <v>0.25495532125429488</v>
      </c>
      <c r="AG53" s="293">
        <f t="shared" si="24"/>
        <v>0.24274647841987854</v>
      </c>
      <c r="AH53" s="293">
        <f t="shared" si="24"/>
        <v>0.2313918113645011</v>
      </c>
      <c r="AI53" s="293">
        <f t="shared" si="24"/>
        <v>0.22078010730608563</v>
      </c>
      <c r="AJ53" s="293">
        <f t="shared" si="24"/>
        <v>0.2108185527584539</v>
      </c>
      <c r="AK53" s="293">
        <f t="shared" si="24"/>
        <v>0.19816129579918706</v>
      </c>
      <c r="AL53" s="293">
        <f t="shared" si="24"/>
        <v>0.18943202962717995</v>
      </c>
      <c r="AM53" s="293">
        <f t="shared" si="24"/>
        <v>0.18120182724799011</v>
      </c>
      <c r="AN53" s="293">
        <f t="shared" si="24"/>
        <v>0.12053126560397058</v>
      </c>
      <c r="AW53" s="41" t="s">
        <v>10488</v>
      </c>
      <c r="AZ53" s="41">
        <f>537.809+4302.465</f>
        <v>4840.2740000000003</v>
      </c>
    </row>
    <row r="54" spans="1:55">
      <c r="A54" s="285" t="s">
        <v>10489</v>
      </c>
      <c r="Y54" s="293">
        <f>Y47/Y52</f>
        <v>0.38439730158730157</v>
      </c>
      <c r="Z54" s="293">
        <f t="shared" ref="Z54:AN54" si="25">Z47/Z52</f>
        <v>0.29200251831501833</v>
      </c>
      <c r="AA54" s="293">
        <f t="shared" si="25"/>
        <v>0.2367451658918005</v>
      </c>
      <c r="AB54" s="293">
        <f t="shared" si="25"/>
        <v>0.22510615463185732</v>
      </c>
      <c r="AC54" s="293">
        <f t="shared" si="25"/>
        <v>0.21487219734074464</v>
      </c>
      <c r="AD54" s="293">
        <f t="shared" si="25"/>
        <v>0.20448300479050519</v>
      </c>
      <c r="AE54" s="293">
        <f t="shared" si="25"/>
        <v>0.19298960114317179</v>
      </c>
      <c r="AF54" s="293">
        <f t="shared" si="25"/>
        <v>0.18258219618743171</v>
      </c>
      <c r="AG54" s="293">
        <f t="shared" si="25"/>
        <v>0.17315693508635627</v>
      </c>
      <c r="AH54" s="293">
        <f t="shared" si="25"/>
        <v>0.16447878892842199</v>
      </c>
      <c r="AI54" s="293">
        <f t="shared" si="25"/>
        <v>0.15644066265600956</v>
      </c>
      <c r="AJ54" s="293">
        <f t="shared" si="25"/>
        <v>0.14895370213338077</v>
      </c>
      <c r="AK54" s="293">
        <f t="shared" si="25"/>
        <v>0.13867586250584751</v>
      </c>
      <c r="AL54" s="293">
        <f t="shared" si="25"/>
        <v>0.13223449761435346</v>
      </c>
      <c r="AM54" s="293">
        <f t="shared" si="25"/>
        <v>0.12620420031258003</v>
      </c>
      <c r="AN54" s="293">
        <f t="shared" si="25"/>
        <v>0.12053126560397058</v>
      </c>
      <c r="AW54" s="285" t="s">
        <v>10490</v>
      </c>
    </row>
    <row r="55" spans="1:55">
      <c r="AN55" s="248" t="s">
        <v>10491</v>
      </c>
      <c r="AW55" s="41" t="s">
        <v>10492</v>
      </c>
    </row>
    <row r="56" spans="1:55">
      <c r="AW56" s="285" t="s">
        <v>10493</v>
      </c>
      <c r="AZ56" s="41">
        <f>AZ53*33.2583</f>
        <v>160979.2847742</v>
      </c>
    </row>
    <row r="58" spans="1:55">
      <c r="A58" s="285" t="s">
        <v>14250</v>
      </c>
      <c r="AD58" s="107">
        <f>972825</f>
        <v>972825</v>
      </c>
      <c r="AE58" s="107">
        <f>940310+940310</f>
        <v>1880620</v>
      </c>
      <c r="AF58" s="107">
        <f>887775+887775</f>
        <v>1775550</v>
      </c>
      <c r="AG58" s="107">
        <f>839375+839375</f>
        <v>1678750</v>
      </c>
      <c r="AH58" s="107">
        <f>799350*2+20000</f>
        <v>1618700</v>
      </c>
      <c r="AI58" s="107">
        <f>790500*2+337600</f>
        <v>1918600</v>
      </c>
      <c r="AJ58" s="107">
        <f>790400*2</f>
        <v>1580800</v>
      </c>
      <c r="AK58" s="107">
        <f>784500*2</f>
        <v>1569000</v>
      </c>
      <c r="AL58" s="107">
        <f>772800*2</f>
        <v>1545600</v>
      </c>
      <c r="AM58" s="107">
        <f>760500*2+20000</f>
        <v>1541000</v>
      </c>
      <c r="AN58" s="107">
        <f>757050*2</f>
        <v>1514100</v>
      </c>
      <c r="AO58" s="41">
        <f>880000*2</f>
        <v>1760000</v>
      </c>
    </row>
    <row r="59" spans="1:55">
      <c r="A59" s="285" t="s">
        <v>14251</v>
      </c>
      <c r="AD59" s="107">
        <f t="shared" ref="AD59:AN59" si="26">AD50-AD58</f>
        <v>3361864</v>
      </c>
      <c r="AE59" s="107">
        <f t="shared" si="26"/>
        <v>2396217</v>
      </c>
      <c r="AF59" s="107">
        <f t="shared" si="26"/>
        <v>2451798</v>
      </c>
      <c r="AG59" s="107">
        <f t="shared" si="26"/>
        <v>2507163</v>
      </c>
      <c r="AH59" s="107">
        <f t="shared" si="26"/>
        <v>2531018</v>
      </c>
      <c r="AI59" s="107">
        <f t="shared" si="26"/>
        <v>2199187</v>
      </c>
      <c r="AJ59" s="107">
        <f t="shared" si="26"/>
        <v>2508473</v>
      </c>
      <c r="AK59" s="107">
        <f t="shared" si="26"/>
        <v>2428509</v>
      </c>
      <c r="AL59" s="107">
        <f t="shared" si="26"/>
        <v>2428670</v>
      </c>
      <c r="AM59" s="107">
        <f t="shared" si="26"/>
        <v>2412665</v>
      </c>
      <c r="AN59" s="107">
        <f t="shared" si="26"/>
        <v>1220982</v>
      </c>
    </row>
  </sheetData>
  <hyperlinks>
    <hyperlink ref="L49" r:id="rId1" xr:uid="{00000000-0004-0000-0A00-000000000000}"/>
  </hyperlinks>
  <pageMargins left="0.7" right="0.7" top="0.75" bottom="0.75" header="0.3" footer="0.3"/>
  <pageSetup paperSize="9" orientation="portrait" r:id="rId2"/>
  <legacyDrawing r:id="rId3"/>
</worksheet>
</file>

<file path=xl/worksheets/sheet1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B00-000000000000}">
  <sheetPr>
    <tabColor theme="6"/>
  </sheetPr>
  <dimension ref="A1:BG45"/>
  <sheetViews>
    <sheetView tabSelected="1" workbookViewId="0">
      <pane xSplit="3" ySplit="1" topLeftCell="J2" activePane="bottomRight" state="frozen"/>
      <selection pane="topRight" activeCell="C1" sqref="C1"/>
      <selection pane="bottomLeft" activeCell="A2" sqref="A2"/>
      <selection pane="bottomRight" activeCell="W4" sqref="W4"/>
    </sheetView>
  </sheetViews>
  <sheetFormatPr defaultColWidth="9.28515625" defaultRowHeight="12.75"/>
  <cols>
    <col min="1" max="1" width="16.28515625" style="117" bestFit="1" customWidth="1"/>
    <col min="2" max="2" width="13.28515625" style="117" bestFit="1" customWidth="1"/>
    <col min="3" max="3" width="12.140625" style="117" bestFit="1" customWidth="1"/>
    <col min="4" max="4" width="9.28515625" style="117" bestFit="1" customWidth="1"/>
    <col min="5" max="32" width="11.85546875" style="117" bestFit="1" customWidth="1"/>
    <col min="33" max="46" width="10.28515625" style="117" bestFit="1" customWidth="1"/>
    <col min="47" max="47" width="9.5703125" style="117" bestFit="1" customWidth="1"/>
    <col min="48" max="48" width="4.7109375" style="117" bestFit="1" customWidth="1"/>
    <col min="49" max="49" width="5" style="117" customWidth="1"/>
    <col min="50" max="50" width="9.28515625" style="117" bestFit="1" customWidth="1"/>
    <col min="51" max="51" width="6.5703125" style="117" bestFit="1" customWidth="1"/>
    <col min="52" max="53" width="11.85546875" style="117" bestFit="1" customWidth="1"/>
    <col min="54" max="54" width="24" style="117" bestFit="1" customWidth="1"/>
    <col min="55" max="55" width="10.28515625" style="117" bestFit="1" customWidth="1"/>
    <col min="56" max="56" width="11.28515625" style="117" bestFit="1" customWidth="1"/>
    <col min="57" max="57" width="12.7109375" style="117" bestFit="1" customWidth="1"/>
    <col min="58" max="58" width="10.28515625" style="117" bestFit="1" customWidth="1"/>
    <col min="59" max="16384" width="9.28515625" style="117"/>
  </cols>
  <sheetData>
    <row r="1" spans="1:59" ht="38.25">
      <c r="A1" s="117" t="s">
        <v>10452</v>
      </c>
      <c r="B1" s="121" t="s">
        <v>10494</v>
      </c>
      <c r="C1" s="121" t="s">
        <v>10450</v>
      </c>
      <c r="D1" s="121" t="s">
        <v>10451</v>
      </c>
      <c r="E1" s="121">
        <v>2010</v>
      </c>
      <c r="F1" s="121">
        <v>2011</v>
      </c>
      <c r="G1" s="121">
        <v>2012</v>
      </c>
      <c r="H1" s="121">
        <v>2013</v>
      </c>
      <c r="I1" s="121">
        <v>2014</v>
      </c>
      <c r="J1" s="121">
        <v>2015</v>
      </c>
      <c r="K1" s="121">
        <v>2016</v>
      </c>
      <c r="L1" s="121">
        <v>2017</v>
      </c>
      <c r="M1" s="121">
        <v>2018</v>
      </c>
      <c r="N1" s="121">
        <v>2019</v>
      </c>
      <c r="O1" s="121">
        <v>2020</v>
      </c>
      <c r="P1" s="121">
        <v>2021</v>
      </c>
      <c r="Q1" s="121">
        <v>2022</v>
      </c>
      <c r="R1" s="121">
        <v>2023</v>
      </c>
      <c r="S1" s="121">
        <v>2024</v>
      </c>
      <c r="T1" s="121">
        <v>2025</v>
      </c>
      <c r="U1" s="121">
        <v>2026</v>
      </c>
      <c r="V1" s="121">
        <v>2027</v>
      </c>
      <c r="W1" s="121">
        <v>2028</v>
      </c>
      <c r="X1" s="121">
        <v>2029</v>
      </c>
      <c r="Y1" s="121">
        <v>2030</v>
      </c>
      <c r="Z1" s="121">
        <v>2031</v>
      </c>
      <c r="AA1" s="121">
        <v>2032</v>
      </c>
      <c r="AB1" s="121">
        <v>2033</v>
      </c>
      <c r="AC1" s="121">
        <v>2034</v>
      </c>
      <c r="AD1" s="121">
        <v>2035</v>
      </c>
      <c r="AE1" s="121">
        <v>2036</v>
      </c>
      <c r="AF1" s="121">
        <v>2037</v>
      </c>
      <c r="AG1" s="121">
        <v>2038</v>
      </c>
      <c r="AH1" s="121">
        <v>2039</v>
      </c>
      <c r="AI1" s="121">
        <v>2040</v>
      </c>
      <c r="AJ1" s="121">
        <v>2041</v>
      </c>
      <c r="AK1" s="121">
        <v>2042</v>
      </c>
      <c r="AL1" s="121">
        <v>2043</v>
      </c>
      <c r="AM1" s="121">
        <v>2044</v>
      </c>
      <c r="AN1" s="121">
        <v>2045</v>
      </c>
      <c r="AO1" s="121">
        <v>2046</v>
      </c>
      <c r="AP1" s="121">
        <v>2047</v>
      </c>
      <c r="AQ1" s="121">
        <v>2048</v>
      </c>
      <c r="AR1" s="121">
        <v>2049</v>
      </c>
      <c r="AS1" s="121">
        <v>2050</v>
      </c>
      <c r="AT1" s="121">
        <v>2051</v>
      </c>
      <c r="AU1" s="121">
        <v>2052</v>
      </c>
      <c r="AV1" s="121">
        <v>2053</v>
      </c>
      <c r="AW1" s="121"/>
      <c r="AX1" s="128" t="s">
        <v>10456</v>
      </c>
      <c r="AY1" s="128" t="s">
        <v>10457</v>
      </c>
      <c r="AZ1" s="121" t="s">
        <v>10458</v>
      </c>
      <c r="BA1" s="117" t="s">
        <v>10459</v>
      </c>
      <c r="BB1" s="127" t="s">
        <v>10460</v>
      </c>
      <c r="BC1" s="117" t="s">
        <v>10461</v>
      </c>
      <c r="BD1" s="117" t="s">
        <v>10462</v>
      </c>
      <c r="BE1" s="117" t="s">
        <v>10463</v>
      </c>
      <c r="BF1" s="117" t="s">
        <v>10464</v>
      </c>
      <c r="BG1" s="117" t="s">
        <v>1022</v>
      </c>
    </row>
    <row r="2" spans="1:59" ht="15">
      <c r="A2" s="117" t="s">
        <v>10495</v>
      </c>
      <c r="B2" s="117">
        <v>925247716</v>
      </c>
      <c r="C2" s="125">
        <v>525000</v>
      </c>
      <c r="D2" s="117">
        <v>32574</v>
      </c>
      <c r="E2" s="117">
        <v>1</v>
      </c>
      <c r="F2" s="117">
        <v>1</v>
      </c>
      <c r="G2" s="117">
        <v>1</v>
      </c>
      <c r="H2" s="117">
        <v>1</v>
      </c>
      <c r="I2" s="117">
        <v>1</v>
      </c>
      <c r="J2" s="117">
        <v>1</v>
      </c>
      <c r="K2" s="117">
        <v>1</v>
      </c>
      <c r="L2" s="117">
        <v>1</v>
      </c>
      <c r="M2" s="117">
        <v>1</v>
      </c>
      <c r="N2" s="117">
        <v>1</v>
      </c>
      <c r="O2" s="117">
        <v>1</v>
      </c>
      <c r="P2" s="117">
        <v>1</v>
      </c>
      <c r="Q2" s="117">
        <v>1</v>
      </c>
      <c r="R2" s="117">
        <v>1</v>
      </c>
      <c r="S2" s="117">
        <v>1</v>
      </c>
      <c r="T2" s="117">
        <v>1</v>
      </c>
      <c r="U2" s="117">
        <v>1</v>
      </c>
      <c r="V2" s="117">
        <v>1</v>
      </c>
      <c r="AX2" s="117">
        <f t="shared" ref="AX2:AX35" si="0">SUM(E2:AV2)</f>
        <v>18</v>
      </c>
      <c r="AY2" s="117">
        <v>68</v>
      </c>
      <c r="AZ2" s="124">
        <f t="shared" ref="AZ2:AZ35" si="1">AX2*D2</f>
        <v>586332</v>
      </c>
      <c r="BA2" s="124">
        <v>965475</v>
      </c>
      <c r="BB2" s="124">
        <f>BA2-X$42</f>
        <v>-416369</v>
      </c>
      <c r="BC2" s="124">
        <f t="shared" ref="BC2:BC35" si="2">BB2/12</f>
        <v>-34697.416666666664</v>
      </c>
      <c r="BD2" s="124">
        <f t="shared" ref="BD2:BD35" si="3">BA2-AZ2</f>
        <v>379143</v>
      </c>
      <c r="BE2" s="123">
        <f t="shared" ref="BE2:BE35" si="4">BD2/AZ2</f>
        <v>0.646635353349297</v>
      </c>
      <c r="BF2" s="122">
        <f t="shared" ref="BF2:BF35" si="5">BE2/AX2</f>
        <v>3.5924186297183164E-2</v>
      </c>
      <c r="BG2" s="121">
        <v>2028</v>
      </c>
    </row>
    <row r="3" spans="1:59" ht="15">
      <c r="A3" s="117" t="s">
        <v>10495</v>
      </c>
      <c r="B3" s="117">
        <v>925247717</v>
      </c>
      <c r="C3" s="125">
        <v>490000</v>
      </c>
      <c r="D3" s="117">
        <v>28746</v>
      </c>
      <c r="E3" s="117">
        <v>1</v>
      </c>
      <c r="F3" s="117">
        <v>1</v>
      </c>
      <c r="G3" s="117">
        <v>1</v>
      </c>
      <c r="H3" s="117">
        <v>1</v>
      </c>
      <c r="I3" s="117">
        <v>1</v>
      </c>
      <c r="J3" s="117">
        <v>1</v>
      </c>
      <c r="K3" s="117">
        <v>1</v>
      </c>
      <c r="L3" s="117">
        <v>1</v>
      </c>
      <c r="M3" s="117">
        <v>1</v>
      </c>
      <c r="N3" s="117">
        <v>1</v>
      </c>
      <c r="O3" s="117">
        <v>1</v>
      </c>
      <c r="P3" s="117">
        <v>1</v>
      </c>
      <c r="Q3" s="117">
        <v>1</v>
      </c>
      <c r="R3" s="117">
        <v>1</v>
      </c>
      <c r="S3" s="117">
        <v>1</v>
      </c>
      <c r="T3" s="117">
        <v>1</v>
      </c>
      <c r="U3" s="117">
        <v>1</v>
      </c>
      <c r="V3" s="117">
        <v>1</v>
      </c>
      <c r="W3" s="117">
        <v>1</v>
      </c>
      <c r="AX3" s="117">
        <f t="shared" si="0"/>
        <v>19</v>
      </c>
      <c r="AY3" s="117">
        <v>68</v>
      </c>
      <c r="AZ3" s="124">
        <f t="shared" si="1"/>
        <v>546174</v>
      </c>
      <c r="BA3" s="124">
        <v>930510</v>
      </c>
      <c r="BB3" s="124">
        <f>BA3-Y$42</f>
        <v>-426759</v>
      </c>
      <c r="BC3" s="124">
        <f t="shared" si="2"/>
        <v>-35563.25</v>
      </c>
      <c r="BD3" s="124">
        <f t="shared" si="3"/>
        <v>384336</v>
      </c>
      <c r="BE3" s="123">
        <f t="shared" si="4"/>
        <v>0.70368783574465277</v>
      </c>
      <c r="BF3" s="122">
        <f t="shared" si="5"/>
        <v>3.7036201881297512E-2</v>
      </c>
      <c r="BG3" s="121">
        <v>2029</v>
      </c>
    </row>
    <row r="4" spans="1:59" ht="15">
      <c r="A4" s="117" t="s">
        <v>10495</v>
      </c>
      <c r="B4" s="117">
        <v>925247718</v>
      </c>
      <c r="C4" s="125">
        <v>445000</v>
      </c>
      <c r="D4" s="117">
        <v>24575</v>
      </c>
      <c r="E4" s="117">
        <v>1</v>
      </c>
      <c r="F4" s="117">
        <v>1</v>
      </c>
      <c r="G4" s="117">
        <v>1</v>
      </c>
      <c r="H4" s="117">
        <v>1</v>
      </c>
      <c r="I4" s="117">
        <v>1</v>
      </c>
      <c r="J4" s="117">
        <v>1</v>
      </c>
      <c r="K4" s="117">
        <v>1</v>
      </c>
      <c r="L4" s="117">
        <v>1</v>
      </c>
      <c r="M4" s="117">
        <v>1</v>
      </c>
      <c r="N4" s="117">
        <v>1</v>
      </c>
      <c r="O4" s="117">
        <v>1</v>
      </c>
      <c r="P4" s="117">
        <v>1</v>
      </c>
      <c r="Q4" s="117">
        <v>1</v>
      </c>
      <c r="R4" s="117">
        <v>1</v>
      </c>
      <c r="S4" s="117">
        <v>1</v>
      </c>
      <c r="T4" s="117">
        <v>1</v>
      </c>
      <c r="U4" s="117">
        <v>1</v>
      </c>
      <c r="V4" s="117">
        <v>1</v>
      </c>
      <c r="W4" s="117">
        <v>1</v>
      </c>
      <c r="X4" s="117">
        <v>1</v>
      </c>
      <c r="AX4" s="117">
        <f t="shared" si="0"/>
        <v>20</v>
      </c>
      <c r="AY4" s="117">
        <v>68</v>
      </c>
      <c r="AZ4" s="124">
        <f t="shared" si="1"/>
        <v>491500</v>
      </c>
      <c r="BA4" s="124">
        <v>870980</v>
      </c>
      <c r="BB4" s="124">
        <f>BA4-Z$42</f>
        <v>-465720</v>
      </c>
      <c r="BC4" s="124">
        <f t="shared" si="2"/>
        <v>-38810</v>
      </c>
      <c r="BD4" s="124">
        <f t="shared" si="3"/>
        <v>379480</v>
      </c>
      <c r="BE4" s="123">
        <f t="shared" si="4"/>
        <v>0.77208545269582907</v>
      </c>
      <c r="BF4" s="122">
        <f t="shared" si="5"/>
        <v>3.8604272634791451E-2</v>
      </c>
      <c r="BG4" s="121">
        <v>2030</v>
      </c>
    </row>
    <row r="5" spans="1:59" ht="15">
      <c r="A5" s="117" t="s">
        <v>10495</v>
      </c>
      <c r="B5" s="117">
        <v>925247719</v>
      </c>
      <c r="C5" s="125">
        <v>395000</v>
      </c>
      <c r="D5" s="117">
        <v>20569</v>
      </c>
      <c r="E5" s="117">
        <v>1</v>
      </c>
      <c r="F5" s="117">
        <v>1</v>
      </c>
      <c r="G5" s="117">
        <v>1</v>
      </c>
      <c r="H5" s="117">
        <v>1</v>
      </c>
      <c r="I5" s="117">
        <v>1</v>
      </c>
      <c r="J5" s="117">
        <v>1</v>
      </c>
      <c r="K5" s="117">
        <v>1</v>
      </c>
      <c r="L5" s="117">
        <v>1</v>
      </c>
      <c r="M5" s="117">
        <v>1</v>
      </c>
      <c r="N5" s="117">
        <v>1</v>
      </c>
      <c r="O5" s="117">
        <v>1</v>
      </c>
      <c r="P5" s="117">
        <v>1</v>
      </c>
      <c r="Q5" s="117">
        <v>1</v>
      </c>
      <c r="R5" s="117">
        <v>1</v>
      </c>
      <c r="S5" s="117">
        <v>1</v>
      </c>
      <c r="T5" s="117">
        <v>1</v>
      </c>
      <c r="U5" s="117">
        <v>1</v>
      </c>
      <c r="V5" s="117">
        <v>1</v>
      </c>
      <c r="W5" s="117">
        <v>1</v>
      </c>
      <c r="X5" s="117">
        <v>1</v>
      </c>
      <c r="Y5" s="117">
        <v>1</v>
      </c>
      <c r="AX5" s="117">
        <f t="shared" si="0"/>
        <v>21</v>
      </c>
      <c r="AY5" s="117">
        <v>68</v>
      </c>
      <c r="AZ5" s="124">
        <f t="shared" si="1"/>
        <v>431949</v>
      </c>
      <c r="BA5" s="124">
        <v>838585</v>
      </c>
      <c r="BB5" s="124">
        <f>BA5-AA42</f>
        <v>-480153</v>
      </c>
      <c r="BC5" s="124">
        <f t="shared" si="2"/>
        <v>-40012.75</v>
      </c>
      <c r="BD5" s="124">
        <f t="shared" si="3"/>
        <v>406636</v>
      </c>
      <c r="BE5" s="123">
        <f t="shared" si="4"/>
        <v>0.94139817432150552</v>
      </c>
      <c r="BF5" s="122">
        <f t="shared" si="5"/>
        <v>4.4828484491500266E-2</v>
      </c>
      <c r="BG5" s="121">
        <v>2031</v>
      </c>
    </row>
    <row r="6" spans="1:59" ht="15">
      <c r="A6" s="117" t="s">
        <v>10495</v>
      </c>
      <c r="B6" s="117">
        <v>925247720</v>
      </c>
      <c r="C6" s="125">
        <v>365000</v>
      </c>
      <c r="D6" s="117">
        <v>17962</v>
      </c>
      <c r="E6" s="117">
        <v>1</v>
      </c>
      <c r="F6" s="117">
        <v>1</v>
      </c>
      <c r="G6" s="117">
        <v>1</v>
      </c>
      <c r="H6" s="117">
        <v>1</v>
      </c>
      <c r="I6" s="117">
        <v>1</v>
      </c>
      <c r="J6" s="117">
        <v>1</v>
      </c>
      <c r="K6" s="117">
        <v>1</v>
      </c>
      <c r="L6" s="117">
        <v>1</v>
      </c>
      <c r="M6" s="117">
        <v>1</v>
      </c>
      <c r="N6" s="117">
        <v>1</v>
      </c>
      <c r="O6" s="117">
        <v>1</v>
      </c>
      <c r="P6" s="117">
        <v>1</v>
      </c>
      <c r="Q6" s="117">
        <v>1</v>
      </c>
      <c r="R6" s="117">
        <v>1</v>
      </c>
      <c r="S6" s="117">
        <v>1</v>
      </c>
      <c r="T6" s="117">
        <v>1</v>
      </c>
      <c r="U6" s="117">
        <v>1</v>
      </c>
      <c r="V6" s="117">
        <v>1</v>
      </c>
      <c r="W6" s="117">
        <v>1</v>
      </c>
      <c r="X6" s="117">
        <v>1</v>
      </c>
      <c r="Y6" s="117">
        <v>1</v>
      </c>
      <c r="Z6" s="117">
        <v>1</v>
      </c>
      <c r="AX6" s="117">
        <f t="shared" si="0"/>
        <v>22</v>
      </c>
      <c r="AY6" s="117">
        <v>68</v>
      </c>
      <c r="AZ6" s="124">
        <f t="shared" si="1"/>
        <v>395164</v>
      </c>
      <c r="BA6" s="124">
        <v>811030</v>
      </c>
      <c r="BB6" s="124">
        <f>BA6-AB42</f>
        <v>-491867</v>
      </c>
      <c r="BC6" s="124">
        <f t="shared" si="2"/>
        <v>-40988.916666666664</v>
      </c>
      <c r="BD6" s="124">
        <f t="shared" si="3"/>
        <v>415866</v>
      </c>
      <c r="BE6" s="123">
        <f t="shared" si="4"/>
        <v>1.0523883754593031</v>
      </c>
      <c r="BF6" s="122">
        <f t="shared" si="5"/>
        <v>4.7835835248150139E-2</v>
      </c>
      <c r="BG6" s="121">
        <v>2032</v>
      </c>
    </row>
    <row r="7" spans="1:59" ht="15">
      <c r="A7" s="117" t="s">
        <v>10495</v>
      </c>
      <c r="B7" s="117">
        <v>925247721</v>
      </c>
      <c r="C7" s="125">
        <v>340000</v>
      </c>
      <c r="D7" s="117">
        <v>15841</v>
      </c>
      <c r="E7" s="117">
        <v>1</v>
      </c>
      <c r="F7" s="117">
        <v>1</v>
      </c>
      <c r="G7" s="117">
        <v>1</v>
      </c>
      <c r="H7" s="117">
        <v>1</v>
      </c>
      <c r="I7" s="117">
        <v>1</v>
      </c>
      <c r="J7" s="117">
        <v>1</v>
      </c>
      <c r="K7" s="117">
        <v>1</v>
      </c>
      <c r="L7" s="117">
        <v>1</v>
      </c>
      <c r="M7" s="117">
        <v>1</v>
      </c>
      <c r="N7" s="117">
        <v>1</v>
      </c>
      <c r="O7" s="117">
        <v>1</v>
      </c>
      <c r="P7" s="117">
        <v>1</v>
      </c>
      <c r="Q7" s="117">
        <v>1</v>
      </c>
      <c r="R7" s="117">
        <v>1</v>
      </c>
      <c r="S7" s="117">
        <v>1</v>
      </c>
      <c r="T7" s="117">
        <v>1</v>
      </c>
      <c r="U7" s="117">
        <v>1</v>
      </c>
      <c r="V7" s="117">
        <v>1</v>
      </c>
      <c r="W7" s="117">
        <v>1</v>
      </c>
      <c r="X7" s="117">
        <v>1</v>
      </c>
      <c r="Y7" s="117">
        <v>1</v>
      </c>
      <c r="Z7" s="117">
        <v>1</v>
      </c>
      <c r="AA7" s="117">
        <v>1</v>
      </c>
      <c r="AX7" s="117">
        <f t="shared" si="0"/>
        <v>23</v>
      </c>
      <c r="AY7" s="117">
        <v>68</v>
      </c>
      <c r="AZ7" s="124">
        <f t="shared" si="1"/>
        <v>364343</v>
      </c>
      <c r="BA7" s="124">
        <v>806140</v>
      </c>
      <c r="BB7" s="124">
        <f>BA7-AC42</f>
        <v>-482623</v>
      </c>
      <c r="BC7" s="124">
        <f t="shared" si="2"/>
        <v>-40218.583333333336</v>
      </c>
      <c r="BD7" s="124">
        <f t="shared" si="3"/>
        <v>441797</v>
      </c>
      <c r="BE7" s="123">
        <f t="shared" si="4"/>
        <v>1.212585393434209</v>
      </c>
      <c r="BF7" s="122">
        <f t="shared" si="5"/>
        <v>5.2721104062356916E-2</v>
      </c>
      <c r="BG7" s="121">
        <v>2033</v>
      </c>
    </row>
    <row r="8" spans="1:59" ht="15">
      <c r="A8" s="117" t="s">
        <v>10495</v>
      </c>
      <c r="B8" s="117">
        <v>925247722</v>
      </c>
      <c r="C8" s="125">
        <v>320000</v>
      </c>
      <c r="D8" s="117">
        <v>14134</v>
      </c>
      <c r="E8" s="117">
        <v>1</v>
      </c>
      <c r="F8" s="117">
        <v>1</v>
      </c>
      <c r="G8" s="117">
        <v>1</v>
      </c>
      <c r="H8" s="117">
        <v>1</v>
      </c>
      <c r="I8" s="117">
        <v>1</v>
      </c>
      <c r="J8" s="117">
        <v>1</v>
      </c>
      <c r="K8" s="117">
        <v>1</v>
      </c>
      <c r="L8" s="117">
        <v>1</v>
      </c>
      <c r="M8" s="117">
        <v>1</v>
      </c>
      <c r="N8" s="117">
        <v>1</v>
      </c>
      <c r="O8" s="117">
        <v>1</v>
      </c>
      <c r="P8" s="117">
        <v>1</v>
      </c>
      <c r="Q8" s="117">
        <v>1</v>
      </c>
      <c r="R8" s="117">
        <v>1</v>
      </c>
      <c r="S8" s="117">
        <v>1</v>
      </c>
      <c r="T8" s="117">
        <v>1</v>
      </c>
      <c r="U8" s="117">
        <v>1</v>
      </c>
      <c r="V8" s="117">
        <v>1</v>
      </c>
      <c r="W8" s="117">
        <v>1</v>
      </c>
      <c r="X8" s="117">
        <v>1</v>
      </c>
      <c r="Y8" s="117">
        <v>1</v>
      </c>
      <c r="Z8" s="117">
        <v>1</v>
      </c>
      <c r="AA8" s="117">
        <v>1</v>
      </c>
      <c r="AB8" s="117">
        <v>1</v>
      </c>
      <c r="AX8" s="117">
        <f t="shared" si="0"/>
        <v>24</v>
      </c>
      <c r="AY8" s="117">
        <v>68</v>
      </c>
      <c r="AZ8" s="124">
        <f t="shared" si="1"/>
        <v>339216</v>
      </c>
      <c r="BA8" s="124">
        <v>806400</v>
      </c>
      <c r="BB8" s="124">
        <f>BA8-AD42</f>
        <v>-432071</v>
      </c>
      <c r="BC8" s="124">
        <f t="shared" si="2"/>
        <v>-36005.916666666664</v>
      </c>
      <c r="BD8" s="124">
        <f t="shared" si="3"/>
        <v>467184</v>
      </c>
      <c r="BE8" s="123">
        <f t="shared" si="4"/>
        <v>1.3772463563039479</v>
      </c>
      <c r="BF8" s="122">
        <f t="shared" si="5"/>
        <v>5.7385264845997826E-2</v>
      </c>
      <c r="BG8" s="121">
        <v>2034</v>
      </c>
    </row>
    <row r="9" spans="1:59" ht="15">
      <c r="A9" s="117" t="s">
        <v>10495</v>
      </c>
      <c r="B9" s="117">
        <v>925247723</v>
      </c>
      <c r="C9" s="125">
        <v>300000</v>
      </c>
      <c r="D9" s="117">
        <v>12641</v>
      </c>
      <c r="E9" s="117">
        <v>1</v>
      </c>
      <c r="F9" s="117">
        <v>1</v>
      </c>
      <c r="G9" s="117">
        <v>1</v>
      </c>
      <c r="H9" s="117">
        <v>1</v>
      </c>
      <c r="I9" s="117">
        <v>1</v>
      </c>
      <c r="J9" s="117">
        <v>1</v>
      </c>
      <c r="K9" s="117">
        <v>1</v>
      </c>
      <c r="L9" s="117">
        <v>1</v>
      </c>
      <c r="M9" s="117">
        <v>1</v>
      </c>
      <c r="N9" s="117">
        <v>1</v>
      </c>
      <c r="O9" s="117">
        <v>1</v>
      </c>
      <c r="P9" s="117">
        <v>1</v>
      </c>
      <c r="Q9" s="117">
        <v>1</v>
      </c>
      <c r="R9" s="117">
        <v>1</v>
      </c>
      <c r="S9" s="117">
        <v>1</v>
      </c>
      <c r="T9" s="117">
        <v>1</v>
      </c>
      <c r="U9" s="117">
        <v>1</v>
      </c>
      <c r="V9" s="117">
        <v>1</v>
      </c>
      <c r="W9" s="117">
        <v>1</v>
      </c>
      <c r="X9" s="117">
        <v>1</v>
      </c>
      <c r="Y9" s="117">
        <v>1</v>
      </c>
      <c r="Z9" s="117">
        <v>1</v>
      </c>
      <c r="AA9" s="117">
        <v>1</v>
      </c>
      <c r="AB9" s="117">
        <v>1</v>
      </c>
      <c r="AC9" s="117">
        <v>1</v>
      </c>
      <c r="AX9" s="117">
        <f t="shared" si="0"/>
        <v>25</v>
      </c>
      <c r="AY9" s="117">
        <v>68</v>
      </c>
      <c r="AZ9" s="124">
        <f t="shared" si="1"/>
        <v>316025</v>
      </c>
      <c r="BA9" s="124">
        <v>800700</v>
      </c>
      <c r="BB9" s="124">
        <f>BA9-AE42</f>
        <v>-426250</v>
      </c>
      <c r="BC9" s="124">
        <f t="shared" si="2"/>
        <v>-35520.833333333336</v>
      </c>
      <c r="BD9" s="124">
        <f t="shared" si="3"/>
        <v>484675</v>
      </c>
      <c r="BE9" s="123">
        <f t="shared" si="4"/>
        <v>1.5336603116842022</v>
      </c>
      <c r="BF9" s="122">
        <f t="shared" si="5"/>
        <v>6.1346412467368092E-2</v>
      </c>
      <c r="BG9" s="121">
        <v>2035</v>
      </c>
    </row>
    <row r="10" spans="1:59" ht="15">
      <c r="A10" s="117" t="s">
        <v>10495</v>
      </c>
      <c r="B10" s="117">
        <v>925247724</v>
      </c>
      <c r="C10" s="125">
        <v>280000</v>
      </c>
      <c r="D10" s="117">
        <v>11521</v>
      </c>
      <c r="E10" s="117">
        <v>1</v>
      </c>
      <c r="F10" s="117">
        <v>1</v>
      </c>
      <c r="G10" s="117">
        <v>1</v>
      </c>
      <c r="H10" s="117">
        <v>1</v>
      </c>
      <c r="I10" s="117">
        <v>1</v>
      </c>
      <c r="J10" s="117">
        <v>1</v>
      </c>
      <c r="K10" s="117">
        <v>1</v>
      </c>
      <c r="L10" s="117">
        <v>1</v>
      </c>
      <c r="M10" s="117">
        <v>1</v>
      </c>
      <c r="N10" s="117">
        <v>1</v>
      </c>
      <c r="O10" s="117">
        <v>1</v>
      </c>
      <c r="P10" s="117">
        <v>1</v>
      </c>
      <c r="Q10" s="117">
        <v>1</v>
      </c>
      <c r="R10" s="117">
        <v>1</v>
      </c>
      <c r="S10" s="117">
        <v>1</v>
      </c>
      <c r="T10" s="117">
        <v>1</v>
      </c>
      <c r="U10" s="117">
        <v>1</v>
      </c>
      <c r="V10" s="117">
        <v>1</v>
      </c>
      <c r="W10" s="117">
        <v>1</v>
      </c>
      <c r="X10" s="117">
        <v>1</v>
      </c>
      <c r="Y10" s="117">
        <v>1</v>
      </c>
      <c r="Z10" s="117">
        <v>1</v>
      </c>
      <c r="AA10" s="117">
        <v>1</v>
      </c>
      <c r="AB10" s="117">
        <v>1</v>
      </c>
      <c r="AC10" s="117">
        <v>1</v>
      </c>
      <c r="AD10" s="117">
        <v>1</v>
      </c>
      <c r="AX10" s="117">
        <f t="shared" si="0"/>
        <v>26</v>
      </c>
      <c r="AY10" s="117">
        <v>68</v>
      </c>
      <c r="AZ10" s="124">
        <f t="shared" si="1"/>
        <v>299546</v>
      </c>
      <c r="BA10" s="124">
        <v>789040</v>
      </c>
      <c r="BB10" s="124">
        <f>BA10-AF42</f>
        <v>-427704</v>
      </c>
      <c r="BC10" s="124">
        <f t="shared" si="2"/>
        <v>-35642</v>
      </c>
      <c r="BD10" s="124">
        <f t="shared" si="3"/>
        <v>489494</v>
      </c>
      <c r="BE10" s="123">
        <f t="shared" si="4"/>
        <v>1.6341196343800284</v>
      </c>
      <c r="BF10" s="122">
        <f t="shared" si="5"/>
        <v>6.2850755168462627E-2</v>
      </c>
      <c r="BG10" s="121">
        <v>2036</v>
      </c>
    </row>
    <row r="11" spans="1:59" ht="15">
      <c r="A11" s="117" t="s">
        <v>10495</v>
      </c>
      <c r="B11" s="117">
        <v>925247725</v>
      </c>
      <c r="C11" s="125">
        <v>260000</v>
      </c>
      <c r="D11" s="117">
        <v>10206</v>
      </c>
      <c r="E11" s="117">
        <v>1</v>
      </c>
      <c r="F11" s="117">
        <v>1</v>
      </c>
      <c r="G11" s="117">
        <v>1</v>
      </c>
      <c r="H11" s="117">
        <v>1</v>
      </c>
      <c r="I11" s="117">
        <v>1</v>
      </c>
      <c r="J11" s="117">
        <v>1</v>
      </c>
      <c r="K11" s="117">
        <v>1</v>
      </c>
      <c r="L11" s="117">
        <v>1</v>
      </c>
      <c r="M11" s="117">
        <v>1</v>
      </c>
      <c r="N11" s="117">
        <v>1</v>
      </c>
      <c r="O11" s="117">
        <v>1</v>
      </c>
      <c r="P11" s="117">
        <v>1</v>
      </c>
      <c r="Q11" s="117">
        <v>1</v>
      </c>
      <c r="R11" s="117">
        <v>1</v>
      </c>
      <c r="S11" s="117">
        <v>1</v>
      </c>
      <c r="T11" s="117">
        <v>1</v>
      </c>
      <c r="U11" s="117">
        <v>1</v>
      </c>
      <c r="V11" s="117">
        <v>1</v>
      </c>
      <c r="W11" s="117">
        <v>1</v>
      </c>
      <c r="X11" s="117">
        <v>1</v>
      </c>
      <c r="Y11" s="117">
        <v>1</v>
      </c>
      <c r="Z11" s="117">
        <v>1</v>
      </c>
      <c r="AA11" s="117">
        <v>1</v>
      </c>
      <c r="AB11" s="117">
        <v>1</v>
      </c>
      <c r="AC11" s="117">
        <v>1</v>
      </c>
      <c r="AD11" s="117">
        <v>1</v>
      </c>
      <c r="AE11" s="117">
        <v>1</v>
      </c>
      <c r="AX11" s="117">
        <f t="shared" si="0"/>
        <v>27</v>
      </c>
      <c r="AY11" s="117">
        <v>68</v>
      </c>
      <c r="AZ11" s="124">
        <f t="shared" si="1"/>
        <v>275562</v>
      </c>
      <c r="BA11" s="124">
        <v>776620</v>
      </c>
      <c r="BB11" s="124">
        <f>BA11-AG42</f>
        <v>-430922</v>
      </c>
      <c r="BC11" s="124">
        <f t="shared" si="2"/>
        <v>-35910.166666666664</v>
      </c>
      <c r="BD11" s="124">
        <f t="shared" si="3"/>
        <v>501058</v>
      </c>
      <c r="BE11" s="123">
        <f t="shared" si="4"/>
        <v>1.8183131200963849</v>
      </c>
      <c r="BF11" s="122">
        <f t="shared" si="5"/>
        <v>6.7344930373940182E-2</v>
      </c>
      <c r="BG11" s="121">
        <v>2037</v>
      </c>
    </row>
    <row r="12" spans="1:59" ht="15">
      <c r="A12" s="117" t="s">
        <v>10495</v>
      </c>
      <c r="B12" s="117">
        <v>925247726</v>
      </c>
      <c r="C12" s="125">
        <v>245000</v>
      </c>
      <c r="D12" s="117">
        <v>9202</v>
      </c>
      <c r="E12" s="117">
        <v>1</v>
      </c>
      <c r="F12" s="117">
        <v>1</v>
      </c>
      <c r="G12" s="117">
        <v>1</v>
      </c>
      <c r="H12" s="117">
        <v>1</v>
      </c>
      <c r="I12" s="117">
        <v>1</v>
      </c>
      <c r="J12" s="117">
        <v>1</v>
      </c>
      <c r="K12" s="117">
        <v>1</v>
      </c>
      <c r="L12" s="117">
        <v>1</v>
      </c>
      <c r="M12" s="117">
        <v>1</v>
      </c>
      <c r="N12" s="117">
        <v>1</v>
      </c>
      <c r="O12" s="117">
        <v>1</v>
      </c>
      <c r="P12" s="117">
        <v>1</v>
      </c>
      <c r="Q12" s="117">
        <v>1</v>
      </c>
      <c r="R12" s="117">
        <v>1</v>
      </c>
      <c r="S12" s="117">
        <v>1</v>
      </c>
      <c r="T12" s="117">
        <v>1</v>
      </c>
      <c r="U12" s="117">
        <v>1</v>
      </c>
      <c r="V12" s="117">
        <v>1</v>
      </c>
      <c r="W12" s="117">
        <v>1</v>
      </c>
      <c r="X12" s="117">
        <v>1</v>
      </c>
      <c r="Y12" s="117">
        <v>1</v>
      </c>
      <c r="Z12" s="117">
        <v>1</v>
      </c>
      <c r="AA12" s="117">
        <v>1</v>
      </c>
      <c r="AB12" s="117">
        <v>1</v>
      </c>
      <c r="AC12" s="117">
        <v>1</v>
      </c>
      <c r="AD12" s="117">
        <v>1</v>
      </c>
      <c r="AE12" s="117">
        <v>1</v>
      </c>
      <c r="AF12" s="117">
        <v>1</v>
      </c>
      <c r="AX12" s="117">
        <f t="shared" si="0"/>
        <v>28</v>
      </c>
      <c r="AY12" s="117">
        <v>68</v>
      </c>
      <c r="AZ12" s="124">
        <f t="shared" si="1"/>
        <v>257656</v>
      </c>
      <c r="BA12" s="124">
        <v>773220</v>
      </c>
      <c r="BB12" s="124">
        <f>BA12-AH42</f>
        <v>145887</v>
      </c>
      <c r="BC12" s="124">
        <f t="shared" si="2"/>
        <v>12157.25</v>
      </c>
      <c r="BD12" s="124">
        <f t="shared" si="3"/>
        <v>515564</v>
      </c>
      <c r="BE12" s="123">
        <f t="shared" si="4"/>
        <v>2.0009780482503805</v>
      </c>
      <c r="BF12" s="122">
        <f t="shared" si="5"/>
        <v>7.1463501723227879E-2</v>
      </c>
      <c r="BG12" s="121">
        <v>2038</v>
      </c>
    </row>
    <row r="13" spans="1:59" ht="15">
      <c r="A13" s="117" t="s">
        <v>10495</v>
      </c>
      <c r="B13" s="117">
        <v>925247727</v>
      </c>
      <c r="C13" s="125">
        <v>230000</v>
      </c>
      <c r="D13" s="117">
        <v>8270</v>
      </c>
      <c r="E13" s="117">
        <v>1</v>
      </c>
      <c r="F13" s="117">
        <v>1</v>
      </c>
      <c r="G13" s="117">
        <v>1</v>
      </c>
      <c r="H13" s="117">
        <v>1</v>
      </c>
      <c r="I13" s="117">
        <v>1</v>
      </c>
      <c r="J13" s="117">
        <v>1</v>
      </c>
      <c r="K13" s="117">
        <v>1</v>
      </c>
      <c r="L13" s="117">
        <v>1</v>
      </c>
      <c r="M13" s="117">
        <v>1</v>
      </c>
      <c r="N13" s="117">
        <v>1</v>
      </c>
      <c r="O13" s="117">
        <v>1</v>
      </c>
      <c r="P13" s="117">
        <v>1</v>
      </c>
      <c r="Q13" s="117">
        <v>1</v>
      </c>
      <c r="R13" s="117">
        <v>1</v>
      </c>
      <c r="S13" s="117">
        <v>1</v>
      </c>
      <c r="T13" s="117">
        <v>1</v>
      </c>
      <c r="U13" s="117">
        <v>1</v>
      </c>
      <c r="V13" s="117">
        <v>1</v>
      </c>
      <c r="W13" s="117">
        <v>1</v>
      </c>
      <c r="X13" s="117">
        <v>1</v>
      </c>
      <c r="Y13" s="117">
        <v>1</v>
      </c>
      <c r="Z13" s="117">
        <v>1</v>
      </c>
      <c r="AA13" s="117">
        <v>1</v>
      </c>
      <c r="AB13" s="117">
        <v>1</v>
      </c>
      <c r="AC13" s="117">
        <v>1</v>
      </c>
      <c r="AD13" s="117">
        <v>1</v>
      </c>
      <c r="AE13" s="117">
        <v>1</v>
      </c>
      <c r="AF13" s="117">
        <v>1</v>
      </c>
      <c r="AG13" s="117">
        <v>1</v>
      </c>
      <c r="AX13" s="117">
        <f t="shared" si="0"/>
        <v>29</v>
      </c>
      <c r="AY13" s="117">
        <v>68</v>
      </c>
      <c r="AZ13" s="124">
        <f t="shared" si="1"/>
        <v>239830</v>
      </c>
      <c r="BA13" s="124">
        <v>764750</v>
      </c>
      <c r="BB13" s="124">
        <f>BA13-AI42</f>
        <v>144835</v>
      </c>
      <c r="BC13" s="124">
        <f t="shared" si="2"/>
        <v>12069.583333333334</v>
      </c>
      <c r="BD13" s="124">
        <f t="shared" si="3"/>
        <v>524920</v>
      </c>
      <c r="BE13" s="123">
        <f t="shared" si="4"/>
        <v>2.188717007880582</v>
      </c>
      <c r="BF13" s="122">
        <f t="shared" si="5"/>
        <v>7.5473000271744209E-2</v>
      </c>
      <c r="BG13" s="121">
        <v>2039</v>
      </c>
    </row>
    <row r="14" spans="1:59" ht="15">
      <c r="A14" s="117" t="s">
        <v>10495</v>
      </c>
      <c r="B14" s="117">
        <v>925247728</v>
      </c>
      <c r="C14" s="125">
        <v>215000</v>
      </c>
      <c r="D14" s="117">
        <v>7418</v>
      </c>
      <c r="E14" s="117">
        <v>1</v>
      </c>
      <c r="F14" s="117">
        <v>1</v>
      </c>
      <c r="G14" s="117">
        <v>1</v>
      </c>
      <c r="H14" s="117">
        <v>1</v>
      </c>
      <c r="I14" s="117">
        <v>1</v>
      </c>
      <c r="J14" s="117">
        <v>1</v>
      </c>
      <c r="K14" s="117">
        <v>1</v>
      </c>
      <c r="L14" s="117">
        <v>1</v>
      </c>
      <c r="M14" s="117">
        <v>1</v>
      </c>
      <c r="N14" s="117">
        <v>1</v>
      </c>
      <c r="O14" s="117">
        <v>1</v>
      </c>
      <c r="P14" s="117">
        <v>1</v>
      </c>
      <c r="Q14" s="117">
        <v>1</v>
      </c>
      <c r="R14" s="117">
        <v>1</v>
      </c>
      <c r="S14" s="117">
        <v>1</v>
      </c>
      <c r="T14" s="117">
        <v>1</v>
      </c>
      <c r="U14" s="117">
        <v>1</v>
      </c>
      <c r="V14" s="117">
        <v>1</v>
      </c>
      <c r="W14" s="117">
        <v>1</v>
      </c>
      <c r="X14" s="117">
        <v>1</v>
      </c>
      <c r="Y14" s="117">
        <v>1</v>
      </c>
      <c r="Z14" s="117">
        <v>1</v>
      </c>
      <c r="AA14" s="117">
        <v>1</v>
      </c>
      <c r="AB14" s="117">
        <v>1</v>
      </c>
      <c r="AC14" s="117">
        <v>1</v>
      </c>
      <c r="AD14" s="117">
        <v>1</v>
      </c>
      <c r="AE14" s="117">
        <v>1</v>
      </c>
      <c r="AF14" s="117">
        <v>1</v>
      </c>
      <c r="AG14" s="117">
        <v>1</v>
      </c>
      <c r="AH14" s="117">
        <v>1</v>
      </c>
      <c r="AX14" s="117">
        <f t="shared" si="0"/>
        <v>30</v>
      </c>
      <c r="AY14" s="117">
        <v>68</v>
      </c>
      <c r="AZ14" s="124">
        <f t="shared" si="1"/>
        <v>222540</v>
      </c>
      <c r="BA14" s="124">
        <v>766260</v>
      </c>
      <c r="BB14" s="124">
        <f>BA14-AJ42</f>
        <v>153130</v>
      </c>
      <c r="BC14" s="124">
        <f t="shared" si="2"/>
        <v>12760.833333333334</v>
      </c>
      <c r="BD14" s="124">
        <f t="shared" si="3"/>
        <v>543720</v>
      </c>
      <c r="BE14" s="123">
        <f t="shared" si="4"/>
        <v>2.4432461579940683</v>
      </c>
      <c r="BF14" s="122">
        <f t="shared" si="5"/>
        <v>8.1441538599802271E-2</v>
      </c>
      <c r="BG14" s="121">
        <v>2040</v>
      </c>
    </row>
    <row r="15" spans="1:59" ht="15">
      <c r="A15" s="117" t="s">
        <v>10495</v>
      </c>
      <c r="B15" s="117">
        <v>925247729</v>
      </c>
      <c r="C15" s="125">
        <v>205000</v>
      </c>
      <c r="D15" s="117">
        <v>6785</v>
      </c>
      <c r="E15" s="117">
        <v>1</v>
      </c>
      <c r="F15" s="117">
        <v>1</v>
      </c>
      <c r="G15" s="117">
        <v>1</v>
      </c>
      <c r="H15" s="117">
        <v>1</v>
      </c>
      <c r="I15" s="117">
        <v>1</v>
      </c>
      <c r="J15" s="117">
        <v>1</v>
      </c>
      <c r="K15" s="117">
        <v>1</v>
      </c>
      <c r="L15" s="117">
        <v>1</v>
      </c>
      <c r="M15" s="117">
        <v>1</v>
      </c>
      <c r="N15" s="117">
        <v>1</v>
      </c>
      <c r="O15" s="117">
        <v>1</v>
      </c>
      <c r="P15" s="117">
        <v>1</v>
      </c>
      <c r="Q15" s="117">
        <v>1</v>
      </c>
      <c r="R15" s="117">
        <v>1</v>
      </c>
      <c r="S15" s="117">
        <v>1</v>
      </c>
      <c r="T15" s="117">
        <v>1</v>
      </c>
      <c r="U15" s="117">
        <v>1</v>
      </c>
      <c r="V15" s="117">
        <v>1</v>
      </c>
      <c r="W15" s="117">
        <v>1</v>
      </c>
      <c r="X15" s="117">
        <v>1</v>
      </c>
      <c r="Y15" s="117">
        <v>1</v>
      </c>
      <c r="Z15" s="117">
        <v>1</v>
      </c>
      <c r="AA15" s="117">
        <v>1</v>
      </c>
      <c r="AB15" s="117">
        <v>1</v>
      </c>
      <c r="AC15" s="117">
        <v>1</v>
      </c>
      <c r="AD15" s="117">
        <v>1</v>
      </c>
      <c r="AE15" s="117">
        <v>1</v>
      </c>
      <c r="AF15" s="117">
        <v>1</v>
      </c>
      <c r="AG15" s="117">
        <v>1</v>
      </c>
      <c r="AH15" s="117">
        <v>1</v>
      </c>
      <c r="AI15" s="117">
        <v>1</v>
      </c>
      <c r="AX15" s="117">
        <f t="shared" si="0"/>
        <v>31</v>
      </c>
      <c r="AY15" s="117">
        <v>68</v>
      </c>
      <c r="AZ15" s="124">
        <f t="shared" si="1"/>
        <v>210335</v>
      </c>
      <c r="BA15" s="124">
        <v>781665</v>
      </c>
      <c r="BB15" s="124">
        <f>BA15-AK42</f>
        <v>174743</v>
      </c>
      <c r="BC15" s="124">
        <f t="shared" si="2"/>
        <v>14561.916666666666</v>
      </c>
      <c r="BD15" s="124">
        <f t="shared" si="3"/>
        <v>571330</v>
      </c>
      <c r="BE15" s="123">
        <f t="shared" si="4"/>
        <v>2.7162859248341933</v>
      </c>
      <c r="BF15" s="122">
        <f t="shared" si="5"/>
        <v>8.7622126607554626E-2</v>
      </c>
      <c r="BG15" s="121">
        <v>2041</v>
      </c>
    </row>
    <row r="16" spans="1:59" ht="15">
      <c r="A16" s="117" t="s">
        <v>10495</v>
      </c>
      <c r="B16" s="117">
        <v>925247730</v>
      </c>
      <c r="C16" s="125">
        <v>195000</v>
      </c>
      <c r="D16" s="117">
        <v>6208</v>
      </c>
      <c r="E16" s="117">
        <v>1</v>
      </c>
      <c r="F16" s="117">
        <v>1</v>
      </c>
      <c r="G16" s="117">
        <v>1</v>
      </c>
      <c r="H16" s="117">
        <v>1</v>
      </c>
      <c r="I16" s="117">
        <v>1</v>
      </c>
      <c r="J16" s="117">
        <v>1</v>
      </c>
      <c r="K16" s="117">
        <v>1</v>
      </c>
      <c r="L16" s="117">
        <v>1</v>
      </c>
      <c r="M16" s="117">
        <v>1</v>
      </c>
      <c r="N16" s="117">
        <v>1</v>
      </c>
      <c r="O16" s="117">
        <v>1</v>
      </c>
      <c r="P16" s="117">
        <v>1</v>
      </c>
      <c r="Q16" s="117">
        <v>1</v>
      </c>
      <c r="R16" s="117">
        <v>1</v>
      </c>
      <c r="S16" s="117">
        <v>1</v>
      </c>
      <c r="T16" s="117">
        <v>1</v>
      </c>
      <c r="U16" s="117">
        <v>1</v>
      </c>
      <c r="V16" s="117">
        <v>1</v>
      </c>
      <c r="W16" s="117">
        <v>1</v>
      </c>
      <c r="X16" s="117">
        <v>1</v>
      </c>
      <c r="Y16" s="117">
        <v>1</v>
      </c>
      <c r="Z16" s="117">
        <v>1</v>
      </c>
      <c r="AA16" s="117">
        <v>1</v>
      </c>
      <c r="AB16" s="117">
        <v>1</v>
      </c>
      <c r="AC16" s="117">
        <v>1</v>
      </c>
      <c r="AD16" s="117">
        <v>1</v>
      </c>
      <c r="AE16" s="117">
        <v>1</v>
      </c>
      <c r="AF16" s="117">
        <v>1</v>
      </c>
      <c r="AG16" s="117">
        <v>1</v>
      </c>
      <c r="AH16" s="117">
        <v>1</v>
      </c>
      <c r="AI16" s="117">
        <v>1</v>
      </c>
      <c r="AJ16" s="117">
        <v>1</v>
      </c>
      <c r="AX16" s="117">
        <f t="shared" si="0"/>
        <v>32</v>
      </c>
      <c r="AY16" s="117">
        <v>68</v>
      </c>
      <c r="AZ16" s="124">
        <f t="shared" si="1"/>
        <v>198656</v>
      </c>
      <c r="BA16" s="124">
        <v>753090</v>
      </c>
      <c r="BB16" s="124">
        <f>BA16-AL42</f>
        <v>151842</v>
      </c>
      <c r="BC16" s="124">
        <f t="shared" si="2"/>
        <v>12653.5</v>
      </c>
      <c r="BD16" s="124">
        <f t="shared" si="3"/>
        <v>554434</v>
      </c>
      <c r="BE16" s="123">
        <f t="shared" si="4"/>
        <v>2.7909250161082473</v>
      </c>
      <c r="BF16" s="122">
        <f t="shared" si="5"/>
        <v>8.7216406753382728E-2</v>
      </c>
      <c r="BG16" s="121">
        <v>2042</v>
      </c>
    </row>
    <row r="17" spans="1:59" ht="15">
      <c r="A17" s="117" t="s">
        <v>10495</v>
      </c>
      <c r="B17" s="117">
        <v>925247731</v>
      </c>
      <c r="C17" s="125">
        <v>185000</v>
      </c>
      <c r="D17" s="117">
        <v>5674</v>
      </c>
      <c r="E17" s="117">
        <v>1</v>
      </c>
      <c r="F17" s="117">
        <v>1</v>
      </c>
      <c r="G17" s="117">
        <v>1</v>
      </c>
      <c r="H17" s="117">
        <v>1</v>
      </c>
      <c r="I17" s="117">
        <v>1</v>
      </c>
      <c r="J17" s="117">
        <v>1</v>
      </c>
      <c r="K17" s="117">
        <v>1</v>
      </c>
      <c r="L17" s="117">
        <v>1</v>
      </c>
      <c r="M17" s="117">
        <v>1</v>
      </c>
      <c r="N17" s="117">
        <v>1</v>
      </c>
      <c r="O17" s="117">
        <v>1</v>
      </c>
      <c r="P17" s="117">
        <v>1</v>
      </c>
      <c r="Q17" s="117">
        <v>1</v>
      </c>
      <c r="R17" s="117">
        <v>1</v>
      </c>
      <c r="S17" s="117">
        <v>1</v>
      </c>
      <c r="T17" s="117">
        <v>1</v>
      </c>
      <c r="U17" s="117">
        <v>1</v>
      </c>
      <c r="V17" s="117">
        <v>1</v>
      </c>
      <c r="W17" s="117">
        <v>1</v>
      </c>
      <c r="X17" s="117">
        <v>1</v>
      </c>
      <c r="Y17" s="117">
        <v>1</v>
      </c>
      <c r="Z17" s="117">
        <v>1</v>
      </c>
      <c r="AA17" s="117">
        <v>1</v>
      </c>
      <c r="AB17" s="117">
        <v>1</v>
      </c>
      <c r="AC17" s="117">
        <v>1</v>
      </c>
      <c r="AD17" s="117">
        <v>1</v>
      </c>
      <c r="AE17" s="117">
        <v>1</v>
      </c>
      <c r="AF17" s="117">
        <v>1</v>
      </c>
      <c r="AG17" s="117">
        <v>1</v>
      </c>
      <c r="AH17" s="117">
        <v>1</v>
      </c>
      <c r="AI17" s="117">
        <v>1</v>
      </c>
      <c r="AJ17" s="117">
        <v>1</v>
      </c>
      <c r="AK17" s="117">
        <v>1</v>
      </c>
      <c r="AX17" s="117">
        <f t="shared" si="0"/>
        <v>33</v>
      </c>
      <c r="AY17" s="117">
        <v>68</v>
      </c>
      <c r="AZ17" s="124">
        <f t="shared" si="1"/>
        <v>187242</v>
      </c>
      <c r="BA17" s="124">
        <v>769685</v>
      </c>
      <c r="BB17" s="124">
        <f>BA17-AM42</f>
        <v>173757</v>
      </c>
      <c r="BC17" s="124">
        <f t="shared" si="2"/>
        <v>14479.75</v>
      </c>
      <c r="BD17" s="124">
        <f t="shared" si="3"/>
        <v>582443</v>
      </c>
      <c r="BE17" s="123">
        <f t="shared" si="4"/>
        <v>3.1106429113126328</v>
      </c>
      <c r="BF17" s="122">
        <f t="shared" si="5"/>
        <v>9.4261906403413115E-2</v>
      </c>
      <c r="BG17" s="121">
        <v>2043</v>
      </c>
    </row>
    <row r="18" spans="1:59" ht="15">
      <c r="A18" s="117" t="s">
        <v>10495</v>
      </c>
      <c r="B18" s="117">
        <v>925247732</v>
      </c>
      <c r="C18" s="125">
        <v>180000</v>
      </c>
      <c r="D18" s="117">
        <v>5320</v>
      </c>
      <c r="E18" s="117">
        <v>1</v>
      </c>
      <c r="F18" s="117">
        <v>1</v>
      </c>
      <c r="G18" s="117">
        <v>1</v>
      </c>
      <c r="H18" s="117">
        <v>1</v>
      </c>
      <c r="I18" s="117">
        <v>1</v>
      </c>
      <c r="J18" s="117">
        <v>1</v>
      </c>
      <c r="K18" s="117">
        <v>1</v>
      </c>
      <c r="L18" s="117">
        <v>1</v>
      </c>
      <c r="M18" s="117">
        <v>1</v>
      </c>
      <c r="N18" s="117">
        <v>1</v>
      </c>
      <c r="O18" s="117">
        <v>1</v>
      </c>
      <c r="P18" s="117">
        <v>1</v>
      </c>
      <c r="Q18" s="117">
        <v>1</v>
      </c>
      <c r="R18" s="117">
        <v>1</v>
      </c>
      <c r="S18" s="117">
        <v>1</v>
      </c>
      <c r="T18" s="117">
        <v>1</v>
      </c>
      <c r="U18" s="117">
        <v>1</v>
      </c>
      <c r="V18" s="117">
        <v>1</v>
      </c>
      <c r="W18" s="117">
        <v>1</v>
      </c>
      <c r="X18" s="117">
        <v>1</v>
      </c>
      <c r="Y18" s="117">
        <v>1</v>
      </c>
      <c r="Z18" s="117">
        <v>1</v>
      </c>
      <c r="AA18" s="117">
        <v>1</v>
      </c>
      <c r="AB18" s="117">
        <v>1</v>
      </c>
      <c r="AC18" s="117">
        <v>1</v>
      </c>
      <c r="AD18" s="117">
        <v>1</v>
      </c>
      <c r="AE18" s="117">
        <v>1</v>
      </c>
      <c r="AF18" s="117">
        <v>1</v>
      </c>
      <c r="AG18" s="117">
        <v>1</v>
      </c>
      <c r="AH18" s="117">
        <v>1</v>
      </c>
      <c r="AI18" s="117">
        <v>1</v>
      </c>
      <c r="AJ18" s="117">
        <v>1</v>
      </c>
      <c r="AK18" s="117">
        <v>1</v>
      </c>
      <c r="AL18" s="117">
        <v>1</v>
      </c>
      <c r="AX18" s="117">
        <f t="shared" si="0"/>
        <v>34</v>
      </c>
      <c r="AY18" s="117">
        <v>68</v>
      </c>
      <c r="AZ18" s="124">
        <f t="shared" si="1"/>
        <v>180880</v>
      </c>
      <c r="BA18" s="124">
        <v>784800</v>
      </c>
      <c r="BB18" s="124">
        <f>BA18-AN42</f>
        <v>193723</v>
      </c>
      <c r="BC18" s="124">
        <f t="shared" si="2"/>
        <v>16143.583333333334</v>
      </c>
      <c r="BD18" s="124">
        <f t="shared" si="3"/>
        <v>603920</v>
      </c>
      <c r="BE18" s="123">
        <f t="shared" si="4"/>
        <v>3.3387881468376825</v>
      </c>
      <c r="BF18" s="122">
        <f t="shared" si="5"/>
        <v>9.8199651377578898E-2</v>
      </c>
      <c r="BG18" s="121">
        <v>2044</v>
      </c>
    </row>
    <row r="19" spans="1:59" ht="15">
      <c r="A19" s="117" t="s">
        <v>10495</v>
      </c>
      <c r="B19" s="117">
        <v>925247733</v>
      </c>
      <c r="C19" s="125">
        <v>170000</v>
      </c>
      <c r="D19" s="117">
        <v>4851</v>
      </c>
      <c r="E19" s="117">
        <v>1</v>
      </c>
      <c r="F19" s="117">
        <v>1</v>
      </c>
      <c r="G19" s="117">
        <v>1</v>
      </c>
      <c r="H19" s="117">
        <v>1</v>
      </c>
      <c r="I19" s="117">
        <v>1</v>
      </c>
      <c r="J19" s="117">
        <v>1</v>
      </c>
      <c r="K19" s="117">
        <v>1</v>
      </c>
      <c r="L19" s="117">
        <v>1</v>
      </c>
      <c r="M19" s="117">
        <v>1</v>
      </c>
      <c r="N19" s="117">
        <v>1</v>
      </c>
      <c r="O19" s="117">
        <v>1</v>
      </c>
      <c r="P19" s="117">
        <v>1</v>
      </c>
      <c r="Q19" s="117">
        <v>1</v>
      </c>
      <c r="R19" s="117">
        <v>1</v>
      </c>
      <c r="S19" s="117">
        <v>1</v>
      </c>
      <c r="T19" s="117">
        <v>1</v>
      </c>
      <c r="U19" s="117">
        <v>1</v>
      </c>
      <c r="V19" s="117">
        <v>1</v>
      </c>
      <c r="W19" s="117">
        <v>1</v>
      </c>
      <c r="X19" s="117">
        <v>1</v>
      </c>
      <c r="Y19" s="117">
        <v>1</v>
      </c>
      <c r="Z19" s="117">
        <v>1</v>
      </c>
      <c r="AA19" s="117">
        <v>1</v>
      </c>
      <c r="AB19" s="117">
        <v>1</v>
      </c>
      <c r="AC19" s="117">
        <v>1</v>
      </c>
      <c r="AD19" s="117">
        <v>1</v>
      </c>
      <c r="AE19" s="117">
        <v>1</v>
      </c>
      <c r="AF19" s="117">
        <v>1</v>
      </c>
      <c r="AG19" s="117">
        <v>1</v>
      </c>
      <c r="AH19" s="117">
        <v>1</v>
      </c>
      <c r="AI19" s="117">
        <v>1</v>
      </c>
      <c r="AJ19" s="117">
        <v>1</v>
      </c>
      <c r="AK19" s="117">
        <v>1</v>
      </c>
      <c r="AL19" s="117">
        <v>1</v>
      </c>
      <c r="AM19" s="117">
        <v>1</v>
      </c>
      <c r="AX19" s="117">
        <f t="shared" si="0"/>
        <v>35</v>
      </c>
      <c r="AY19" s="117">
        <v>68</v>
      </c>
      <c r="AZ19" s="124">
        <f t="shared" si="1"/>
        <v>169785</v>
      </c>
      <c r="BA19" s="124">
        <v>776030</v>
      </c>
      <c r="BB19" s="124">
        <f>BA19-AO42</f>
        <v>189364</v>
      </c>
      <c r="BC19" s="124">
        <f t="shared" si="2"/>
        <v>15780.333333333334</v>
      </c>
      <c r="BD19" s="124">
        <f t="shared" si="3"/>
        <v>606245</v>
      </c>
      <c r="BE19" s="123">
        <f t="shared" si="4"/>
        <v>3.5706628971935093</v>
      </c>
      <c r="BF19" s="122">
        <f t="shared" si="5"/>
        <v>0.10201893991981455</v>
      </c>
      <c r="BG19" s="121">
        <v>2045</v>
      </c>
    </row>
    <row r="20" spans="1:59" ht="15">
      <c r="A20" s="117" t="s">
        <v>10495</v>
      </c>
      <c r="B20" s="117">
        <v>925247734</v>
      </c>
      <c r="C20" s="125">
        <v>160000</v>
      </c>
      <c r="D20" s="117">
        <v>4411</v>
      </c>
      <c r="E20" s="117">
        <v>1</v>
      </c>
      <c r="F20" s="117">
        <v>1</v>
      </c>
      <c r="G20" s="117">
        <v>1</v>
      </c>
      <c r="H20" s="117">
        <v>1</v>
      </c>
      <c r="I20" s="117">
        <v>1</v>
      </c>
      <c r="J20" s="117">
        <v>1</v>
      </c>
      <c r="K20" s="117">
        <v>1</v>
      </c>
      <c r="L20" s="117">
        <v>1</v>
      </c>
      <c r="M20" s="117">
        <v>1</v>
      </c>
      <c r="N20" s="117">
        <v>1</v>
      </c>
      <c r="O20" s="117">
        <v>1</v>
      </c>
      <c r="P20" s="117">
        <v>1</v>
      </c>
      <c r="Q20" s="117">
        <v>1</v>
      </c>
      <c r="R20" s="117">
        <v>1</v>
      </c>
      <c r="S20" s="117">
        <v>1</v>
      </c>
      <c r="T20" s="117">
        <v>1</v>
      </c>
      <c r="U20" s="117">
        <v>1</v>
      </c>
      <c r="V20" s="117">
        <v>1</v>
      </c>
      <c r="W20" s="117">
        <v>1</v>
      </c>
      <c r="X20" s="117">
        <v>1</v>
      </c>
      <c r="Y20" s="117">
        <v>1</v>
      </c>
      <c r="Z20" s="117">
        <v>1</v>
      </c>
      <c r="AA20" s="117">
        <v>1</v>
      </c>
      <c r="AB20" s="117">
        <v>1</v>
      </c>
      <c r="AC20" s="117">
        <v>1</v>
      </c>
      <c r="AD20" s="117">
        <v>1</v>
      </c>
      <c r="AE20" s="117">
        <v>1</v>
      </c>
      <c r="AF20" s="117">
        <v>1</v>
      </c>
      <c r="AG20" s="117">
        <v>1</v>
      </c>
      <c r="AH20" s="117">
        <v>1</v>
      </c>
      <c r="AI20" s="117">
        <v>1</v>
      </c>
      <c r="AJ20" s="117">
        <v>1</v>
      </c>
      <c r="AK20" s="117">
        <v>1</v>
      </c>
      <c r="AL20" s="117">
        <v>1</v>
      </c>
      <c r="AM20" s="117">
        <v>1</v>
      </c>
      <c r="AN20" s="117">
        <v>1</v>
      </c>
      <c r="AX20" s="117">
        <f t="shared" si="0"/>
        <v>36</v>
      </c>
      <c r="AY20" s="117">
        <v>68</v>
      </c>
      <c r="AZ20" s="124">
        <f t="shared" si="1"/>
        <v>158796</v>
      </c>
      <c r="BA20" s="124">
        <v>769280</v>
      </c>
      <c r="BB20" s="124">
        <f>BA20-AP42</f>
        <v>186611</v>
      </c>
      <c r="BC20" s="124">
        <f t="shared" si="2"/>
        <v>15550.916666666666</v>
      </c>
      <c r="BD20" s="124">
        <f t="shared" si="3"/>
        <v>610484</v>
      </c>
      <c r="BE20" s="123">
        <f t="shared" si="4"/>
        <v>3.844454520264994</v>
      </c>
      <c r="BF20" s="122">
        <f t="shared" si="5"/>
        <v>0.10679040334069428</v>
      </c>
      <c r="BG20" s="121">
        <v>2046</v>
      </c>
    </row>
    <row r="21" spans="1:59" ht="15">
      <c r="A21" s="117" t="s">
        <v>10495</v>
      </c>
      <c r="B21" s="117">
        <v>925247735</v>
      </c>
      <c r="C21" s="125">
        <v>150000</v>
      </c>
      <c r="D21" s="117">
        <v>3997</v>
      </c>
      <c r="E21" s="117">
        <v>1</v>
      </c>
      <c r="F21" s="117">
        <v>1</v>
      </c>
      <c r="G21" s="117">
        <v>1</v>
      </c>
      <c r="H21" s="117">
        <v>1</v>
      </c>
      <c r="I21" s="117">
        <v>1</v>
      </c>
      <c r="J21" s="117">
        <v>1</v>
      </c>
      <c r="K21" s="117">
        <v>1</v>
      </c>
      <c r="L21" s="117">
        <v>1</v>
      </c>
      <c r="M21" s="117">
        <v>1</v>
      </c>
      <c r="N21" s="117">
        <v>1</v>
      </c>
      <c r="O21" s="117">
        <v>1</v>
      </c>
      <c r="P21" s="117">
        <v>1</v>
      </c>
      <c r="Q21" s="117">
        <v>1</v>
      </c>
      <c r="R21" s="117">
        <v>1</v>
      </c>
      <c r="S21" s="117">
        <v>1</v>
      </c>
      <c r="T21" s="117">
        <v>1</v>
      </c>
      <c r="U21" s="117">
        <v>1</v>
      </c>
      <c r="V21" s="117">
        <v>1</v>
      </c>
      <c r="W21" s="117">
        <v>1</v>
      </c>
      <c r="X21" s="117">
        <v>1</v>
      </c>
      <c r="Y21" s="117">
        <v>1</v>
      </c>
      <c r="Z21" s="117">
        <v>1</v>
      </c>
      <c r="AA21" s="117">
        <v>1</v>
      </c>
      <c r="AB21" s="117">
        <v>1</v>
      </c>
      <c r="AC21" s="117">
        <v>1</v>
      </c>
      <c r="AD21" s="117">
        <v>1</v>
      </c>
      <c r="AE21" s="117">
        <v>1</v>
      </c>
      <c r="AF21" s="117">
        <v>1</v>
      </c>
      <c r="AG21" s="117">
        <v>1</v>
      </c>
      <c r="AH21" s="117">
        <v>1</v>
      </c>
      <c r="AI21" s="117">
        <v>1</v>
      </c>
      <c r="AJ21" s="117">
        <v>1</v>
      </c>
      <c r="AK21" s="117">
        <v>1</v>
      </c>
      <c r="AL21" s="117">
        <v>1</v>
      </c>
      <c r="AM21" s="117">
        <v>1</v>
      </c>
      <c r="AN21" s="117">
        <v>1</v>
      </c>
      <c r="AO21" s="117">
        <v>1</v>
      </c>
      <c r="AX21" s="117">
        <f t="shared" si="0"/>
        <v>37</v>
      </c>
      <c r="AY21" s="117">
        <v>68</v>
      </c>
      <c r="AZ21" s="124">
        <f t="shared" si="1"/>
        <v>147889</v>
      </c>
      <c r="BA21" s="124">
        <v>758550</v>
      </c>
      <c r="BB21" s="124">
        <f>BA21-AQ42</f>
        <v>179625</v>
      </c>
      <c r="BC21" s="124">
        <f t="shared" si="2"/>
        <v>14968.75</v>
      </c>
      <c r="BD21" s="124">
        <f t="shared" si="3"/>
        <v>610661</v>
      </c>
      <c r="BE21" s="123">
        <f t="shared" si="4"/>
        <v>4.1291847263826247</v>
      </c>
      <c r="BF21" s="122">
        <f t="shared" si="5"/>
        <v>0.11159958719953039</v>
      </c>
      <c r="BG21" s="121">
        <v>2047</v>
      </c>
    </row>
    <row r="22" spans="1:59" ht="15">
      <c r="A22" s="117" t="s">
        <v>10495</v>
      </c>
      <c r="B22" s="117">
        <v>925247736</v>
      </c>
      <c r="C22" s="125">
        <v>145000</v>
      </c>
      <c r="D22" s="117">
        <v>3744</v>
      </c>
      <c r="E22" s="117">
        <v>1</v>
      </c>
      <c r="F22" s="117">
        <v>1</v>
      </c>
      <c r="G22" s="117">
        <v>1</v>
      </c>
      <c r="H22" s="117">
        <v>1</v>
      </c>
      <c r="I22" s="117">
        <v>1</v>
      </c>
      <c r="J22" s="117">
        <v>1</v>
      </c>
      <c r="K22" s="117">
        <v>1</v>
      </c>
      <c r="L22" s="117">
        <v>1</v>
      </c>
      <c r="M22" s="117">
        <v>1</v>
      </c>
      <c r="N22" s="117">
        <v>1</v>
      </c>
      <c r="O22" s="117">
        <v>1</v>
      </c>
      <c r="P22" s="117">
        <v>1</v>
      </c>
      <c r="Q22" s="117">
        <v>1</v>
      </c>
      <c r="R22" s="117">
        <v>1</v>
      </c>
      <c r="S22" s="117">
        <v>1</v>
      </c>
      <c r="T22" s="117">
        <v>1</v>
      </c>
      <c r="U22" s="117">
        <v>1</v>
      </c>
      <c r="V22" s="117">
        <v>1</v>
      </c>
      <c r="W22" s="117">
        <v>1</v>
      </c>
      <c r="X22" s="117">
        <v>1</v>
      </c>
      <c r="Y22" s="117">
        <v>1</v>
      </c>
      <c r="Z22" s="117">
        <v>1</v>
      </c>
      <c r="AA22" s="117">
        <v>1</v>
      </c>
      <c r="AB22" s="117">
        <v>1</v>
      </c>
      <c r="AC22" s="117">
        <v>1</v>
      </c>
      <c r="AD22" s="117">
        <v>1</v>
      </c>
      <c r="AE22" s="117">
        <v>1</v>
      </c>
      <c r="AF22" s="117">
        <v>1</v>
      </c>
      <c r="AG22" s="117">
        <v>1</v>
      </c>
      <c r="AH22" s="117">
        <v>1</v>
      </c>
      <c r="AI22" s="117">
        <v>1</v>
      </c>
      <c r="AJ22" s="117">
        <v>1</v>
      </c>
      <c r="AK22" s="117">
        <v>1</v>
      </c>
      <c r="AL22" s="117">
        <v>1</v>
      </c>
      <c r="AM22" s="117">
        <v>1</v>
      </c>
      <c r="AN22" s="117">
        <v>1</v>
      </c>
      <c r="AO22" s="117">
        <v>1</v>
      </c>
      <c r="AP22" s="117">
        <v>1</v>
      </c>
      <c r="AX22" s="117">
        <f t="shared" si="0"/>
        <v>38</v>
      </c>
      <c r="AY22" s="117">
        <v>68</v>
      </c>
      <c r="AZ22" s="124">
        <f t="shared" si="1"/>
        <v>142272</v>
      </c>
      <c r="BA22" s="124">
        <v>776620</v>
      </c>
      <c r="BB22" s="124">
        <f>BA22-AR42</f>
        <v>237105</v>
      </c>
      <c r="BC22" s="124">
        <f t="shared" si="2"/>
        <v>19758.75</v>
      </c>
      <c r="BD22" s="124">
        <f t="shared" si="3"/>
        <v>634348</v>
      </c>
      <c r="BE22" s="123">
        <f t="shared" si="4"/>
        <v>4.4586988304093564</v>
      </c>
      <c r="BF22" s="122">
        <f t="shared" si="5"/>
        <v>0.11733417974761465</v>
      </c>
      <c r="BG22" s="121">
        <v>2048</v>
      </c>
    </row>
    <row r="23" spans="1:59" ht="15">
      <c r="A23" s="117" t="s">
        <v>10495</v>
      </c>
      <c r="B23" s="117">
        <v>925247737</v>
      </c>
      <c r="C23" s="125">
        <v>135000</v>
      </c>
      <c r="D23" s="117">
        <v>3381</v>
      </c>
      <c r="E23" s="117">
        <v>1</v>
      </c>
      <c r="F23" s="117">
        <v>1</v>
      </c>
      <c r="G23" s="117">
        <v>1</v>
      </c>
      <c r="H23" s="117">
        <v>1</v>
      </c>
      <c r="I23" s="117">
        <v>1</v>
      </c>
      <c r="J23" s="117">
        <v>1</v>
      </c>
      <c r="K23" s="117">
        <v>1</v>
      </c>
      <c r="L23" s="117">
        <v>1</v>
      </c>
      <c r="M23" s="117">
        <v>1</v>
      </c>
      <c r="N23" s="117">
        <v>1</v>
      </c>
      <c r="O23" s="117">
        <v>1</v>
      </c>
      <c r="P23" s="117">
        <v>1</v>
      </c>
      <c r="Q23" s="117">
        <v>1</v>
      </c>
      <c r="R23" s="117">
        <v>1</v>
      </c>
      <c r="S23" s="117">
        <v>1</v>
      </c>
      <c r="T23" s="117">
        <v>1</v>
      </c>
      <c r="U23" s="117">
        <v>1</v>
      </c>
      <c r="V23" s="117">
        <v>1</v>
      </c>
      <c r="W23" s="117">
        <v>1</v>
      </c>
      <c r="X23" s="117">
        <v>1</v>
      </c>
      <c r="Y23" s="117">
        <v>1</v>
      </c>
      <c r="Z23" s="117">
        <v>1</v>
      </c>
      <c r="AA23" s="117">
        <v>1</v>
      </c>
      <c r="AB23" s="117">
        <v>1</v>
      </c>
      <c r="AC23" s="117">
        <v>1</v>
      </c>
      <c r="AD23" s="117">
        <v>1</v>
      </c>
      <c r="AE23" s="117">
        <v>1</v>
      </c>
      <c r="AF23" s="117">
        <v>1</v>
      </c>
      <c r="AG23" s="117">
        <v>1</v>
      </c>
      <c r="AH23" s="117">
        <v>1</v>
      </c>
      <c r="AI23" s="117">
        <v>1</v>
      </c>
      <c r="AJ23" s="117">
        <v>1</v>
      </c>
      <c r="AK23" s="117">
        <v>1</v>
      </c>
      <c r="AL23" s="117">
        <v>1</v>
      </c>
      <c r="AM23" s="117">
        <v>1</v>
      </c>
      <c r="AN23" s="117">
        <v>1</v>
      </c>
      <c r="AO23" s="117">
        <v>1</v>
      </c>
      <c r="AP23" s="117">
        <v>1</v>
      </c>
      <c r="AQ23" s="117">
        <v>1</v>
      </c>
      <c r="AX23" s="117">
        <f t="shared" si="0"/>
        <v>39</v>
      </c>
      <c r="AY23" s="117">
        <v>68</v>
      </c>
      <c r="AZ23" s="124">
        <f t="shared" si="1"/>
        <v>131859</v>
      </c>
      <c r="BA23" s="124">
        <v>763425</v>
      </c>
      <c r="BB23" s="124">
        <f>BA23-AS42</f>
        <v>227186</v>
      </c>
      <c r="BC23" s="124">
        <f t="shared" si="2"/>
        <v>18932.166666666668</v>
      </c>
      <c r="BD23" s="124">
        <f t="shared" si="3"/>
        <v>631566</v>
      </c>
      <c r="BE23" s="123">
        <f t="shared" si="4"/>
        <v>4.7897071872227155</v>
      </c>
      <c r="BF23" s="122">
        <f t="shared" si="5"/>
        <v>0.12281300480058245</v>
      </c>
      <c r="BG23" s="121">
        <v>2049</v>
      </c>
    </row>
    <row r="24" spans="1:59" ht="15">
      <c r="A24" s="117" t="s">
        <v>10495</v>
      </c>
      <c r="B24" s="117">
        <v>925247738</v>
      </c>
      <c r="C24" s="125">
        <v>130000</v>
      </c>
      <c r="D24" s="117">
        <v>3276</v>
      </c>
      <c r="E24" s="117">
        <v>1</v>
      </c>
      <c r="F24" s="117">
        <v>1</v>
      </c>
      <c r="G24" s="117">
        <v>1</v>
      </c>
      <c r="H24" s="117">
        <v>1</v>
      </c>
      <c r="I24" s="117">
        <v>1</v>
      </c>
      <c r="J24" s="117">
        <v>1</v>
      </c>
      <c r="K24" s="117">
        <v>1</v>
      </c>
      <c r="L24" s="117">
        <v>1</v>
      </c>
      <c r="M24" s="117">
        <v>1</v>
      </c>
      <c r="N24" s="117">
        <v>1</v>
      </c>
      <c r="O24" s="117">
        <v>1</v>
      </c>
      <c r="P24" s="117">
        <v>1</v>
      </c>
      <c r="Q24" s="117">
        <v>1</v>
      </c>
      <c r="R24" s="117">
        <v>1</v>
      </c>
      <c r="S24" s="117">
        <v>1</v>
      </c>
      <c r="T24" s="117">
        <v>1</v>
      </c>
      <c r="U24" s="117">
        <v>1</v>
      </c>
      <c r="V24" s="117">
        <v>1</v>
      </c>
      <c r="W24" s="117">
        <v>1</v>
      </c>
      <c r="X24" s="117">
        <v>1</v>
      </c>
      <c r="Y24" s="117">
        <v>1</v>
      </c>
      <c r="Z24" s="117">
        <v>1</v>
      </c>
      <c r="AA24" s="117">
        <v>1</v>
      </c>
      <c r="AB24" s="117">
        <v>1</v>
      </c>
      <c r="AC24" s="117">
        <v>1</v>
      </c>
      <c r="AD24" s="117">
        <v>1</v>
      </c>
      <c r="AE24" s="117">
        <v>1</v>
      </c>
      <c r="AF24" s="117">
        <v>1</v>
      </c>
      <c r="AG24" s="117">
        <v>1</v>
      </c>
      <c r="AH24" s="117">
        <v>1</v>
      </c>
      <c r="AI24" s="117">
        <v>1</v>
      </c>
      <c r="AJ24" s="117">
        <v>1</v>
      </c>
      <c r="AK24" s="117">
        <v>1</v>
      </c>
      <c r="AL24" s="117">
        <v>1</v>
      </c>
      <c r="AM24" s="117">
        <v>1</v>
      </c>
      <c r="AN24" s="117">
        <v>1</v>
      </c>
      <c r="AO24" s="117">
        <v>1</v>
      </c>
      <c r="AP24" s="117">
        <v>1</v>
      </c>
      <c r="AQ24" s="117">
        <v>1</v>
      </c>
      <c r="AR24" s="117">
        <v>1</v>
      </c>
      <c r="AX24" s="117">
        <f t="shared" si="0"/>
        <v>40</v>
      </c>
      <c r="AY24" s="117">
        <v>68</v>
      </c>
      <c r="AZ24" s="124">
        <f t="shared" si="1"/>
        <v>131040</v>
      </c>
      <c r="BA24" s="124">
        <v>774020</v>
      </c>
      <c r="BB24" s="124">
        <f>BA24-AT42</f>
        <v>240984</v>
      </c>
      <c r="BC24" s="124">
        <f t="shared" si="2"/>
        <v>20082</v>
      </c>
      <c r="BD24" s="124">
        <f t="shared" si="3"/>
        <v>642980</v>
      </c>
      <c r="BE24" s="123">
        <f t="shared" si="4"/>
        <v>4.9067460317460316</v>
      </c>
      <c r="BF24" s="122">
        <f t="shared" si="5"/>
        <v>0.12266865079365079</v>
      </c>
      <c r="BG24" s="121">
        <v>2050</v>
      </c>
    </row>
    <row r="25" spans="1:59" ht="15">
      <c r="A25" s="117" t="s">
        <v>10495</v>
      </c>
      <c r="B25" s="117">
        <v>925247739</v>
      </c>
      <c r="C25" s="125">
        <v>130000</v>
      </c>
      <c r="D25" s="117">
        <v>3203</v>
      </c>
      <c r="E25" s="117">
        <v>1</v>
      </c>
      <c r="F25" s="117">
        <v>1</v>
      </c>
      <c r="G25" s="117">
        <v>1</v>
      </c>
      <c r="H25" s="117">
        <v>1</v>
      </c>
      <c r="I25" s="117">
        <v>1</v>
      </c>
      <c r="J25" s="117">
        <v>1</v>
      </c>
      <c r="K25" s="117">
        <v>1</v>
      </c>
      <c r="L25" s="117">
        <v>1</v>
      </c>
      <c r="M25" s="117">
        <v>1</v>
      </c>
      <c r="N25" s="117">
        <v>1</v>
      </c>
      <c r="O25" s="117">
        <v>1</v>
      </c>
      <c r="P25" s="117">
        <v>1</v>
      </c>
      <c r="Q25" s="117">
        <v>1</v>
      </c>
      <c r="R25" s="117">
        <v>1</v>
      </c>
      <c r="S25" s="117">
        <v>1</v>
      </c>
      <c r="T25" s="117">
        <v>1</v>
      </c>
      <c r="U25" s="117">
        <v>1</v>
      </c>
      <c r="V25" s="117">
        <v>1</v>
      </c>
      <c r="W25" s="117">
        <v>1</v>
      </c>
      <c r="X25" s="117">
        <v>1</v>
      </c>
      <c r="Y25" s="117">
        <v>1</v>
      </c>
      <c r="Z25" s="117">
        <v>1</v>
      </c>
      <c r="AA25" s="117">
        <v>1</v>
      </c>
      <c r="AB25" s="117">
        <v>1</v>
      </c>
      <c r="AC25" s="117">
        <v>1</v>
      </c>
      <c r="AD25" s="117">
        <v>1</v>
      </c>
      <c r="AE25" s="117">
        <v>1</v>
      </c>
      <c r="AF25" s="117">
        <v>1</v>
      </c>
      <c r="AG25" s="117">
        <v>1</v>
      </c>
      <c r="AH25" s="117">
        <v>1</v>
      </c>
      <c r="AI25" s="117">
        <v>1</v>
      </c>
      <c r="AJ25" s="117">
        <v>1</v>
      </c>
      <c r="AK25" s="117">
        <v>1</v>
      </c>
      <c r="AL25" s="117">
        <v>1</v>
      </c>
      <c r="AM25" s="117">
        <v>1</v>
      </c>
      <c r="AN25" s="117">
        <v>1</v>
      </c>
      <c r="AO25" s="117">
        <v>1</v>
      </c>
      <c r="AP25" s="117">
        <v>1</v>
      </c>
      <c r="AQ25" s="117">
        <v>1</v>
      </c>
      <c r="AR25" s="117">
        <v>1</v>
      </c>
      <c r="AS25" s="117">
        <v>1</v>
      </c>
      <c r="AX25" s="117">
        <f t="shared" si="0"/>
        <v>41</v>
      </c>
      <c r="AY25" s="117">
        <v>68</v>
      </c>
      <c r="AZ25" s="124">
        <f t="shared" si="1"/>
        <v>131323</v>
      </c>
      <c r="BA25" s="124">
        <v>780390</v>
      </c>
      <c r="BB25" s="124">
        <f>BA25-AU42</f>
        <v>250481</v>
      </c>
      <c r="BC25" s="124">
        <f t="shared" si="2"/>
        <v>20873.416666666668</v>
      </c>
      <c r="BD25" s="124">
        <f t="shared" si="3"/>
        <v>649067</v>
      </c>
      <c r="BE25" s="123">
        <f t="shared" si="4"/>
        <v>4.942523396510893</v>
      </c>
      <c r="BF25" s="122">
        <f t="shared" si="5"/>
        <v>0.12054935113441202</v>
      </c>
      <c r="BG25" s="121">
        <v>2051</v>
      </c>
    </row>
    <row r="26" spans="1:59" ht="15">
      <c r="A26" s="117" t="s">
        <v>10495</v>
      </c>
      <c r="B26" s="117">
        <v>925247740</v>
      </c>
      <c r="C26" s="125">
        <v>130000</v>
      </c>
      <c r="D26" s="117">
        <v>3127</v>
      </c>
      <c r="E26" s="117">
        <v>1</v>
      </c>
      <c r="F26" s="117">
        <v>1</v>
      </c>
      <c r="G26" s="117">
        <v>1</v>
      </c>
      <c r="H26" s="117">
        <v>1</v>
      </c>
      <c r="I26" s="117">
        <v>1</v>
      </c>
      <c r="J26" s="117">
        <v>1</v>
      </c>
      <c r="K26" s="117">
        <v>1</v>
      </c>
      <c r="L26" s="117">
        <v>1</v>
      </c>
      <c r="M26" s="117">
        <v>1</v>
      </c>
      <c r="N26" s="117">
        <v>1</v>
      </c>
      <c r="O26" s="117">
        <v>1</v>
      </c>
      <c r="P26" s="117">
        <v>1</v>
      </c>
      <c r="Q26" s="117">
        <v>1</v>
      </c>
      <c r="R26" s="117">
        <v>1</v>
      </c>
      <c r="S26" s="117">
        <v>1</v>
      </c>
      <c r="T26" s="117">
        <v>1</v>
      </c>
      <c r="U26" s="117">
        <v>1</v>
      </c>
      <c r="V26" s="117">
        <v>1</v>
      </c>
      <c r="W26" s="117">
        <v>1</v>
      </c>
      <c r="X26" s="117">
        <v>1</v>
      </c>
      <c r="Y26" s="117">
        <v>1</v>
      </c>
      <c r="Z26" s="117">
        <v>1</v>
      </c>
      <c r="AA26" s="117">
        <v>1</v>
      </c>
      <c r="AB26" s="117">
        <v>1</v>
      </c>
      <c r="AC26" s="117">
        <v>1</v>
      </c>
      <c r="AD26" s="117">
        <v>1</v>
      </c>
      <c r="AE26" s="117">
        <v>1</v>
      </c>
      <c r="AF26" s="117">
        <v>1</v>
      </c>
      <c r="AG26" s="117">
        <v>1</v>
      </c>
      <c r="AH26" s="117">
        <v>1</v>
      </c>
      <c r="AI26" s="117">
        <v>1</v>
      </c>
      <c r="AJ26" s="117">
        <v>1</v>
      </c>
      <c r="AK26" s="117">
        <v>1</v>
      </c>
      <c r="AL26" s="117">
        <v>1</v>
      </c>
      <c r="AM26" s="117">
        <v>1</v>
      </c>
      <c r="AN26" s="117">
        <v>1</v>
      </c>
      <c r="AO26" s="117">
        <v>1</v>
      </c>
      <c r="AP26" s="117">
        <v>1</v>
      </c>
      <c r="AQ26" s="117">
        <v>1</v>
      </c>
      <c r="AR26" s="117">
        <v>1</v>
      </c>
      <c r="AS26" s="117">
        <v>1</v>
      </c>
      <c r="AT26" s="117">
        <v>1</v>
      </c>
      <c r="AX26" s="117">
        <f t="shared" si="0"/>
        <v>42</v>
      </c>
      <c r="AY26" s="117">
        <v>68</v>
      </c>
      <c r="AZ26" s="124">
        <f t="shared" si="1"/>
        <v>131334</v>
      </c>
      <c r="BA26" s="124">
        <v>786760</v>
      </c>
      <c r="BB26" s="124">
        <f>BA26-AV42</f>
        <v>786760</v>
      </c>
      <c r="BC26" s="124">
        <f t="shared" si="2"/>
        <v>65563.333333333328</v>
      </c>
      <c r="BD26" s="124">
        <f t="shared" si="3"/>
        <v>655426</v>
      </c>
      <c r="BE26" s="123">
        <f t="shared" si="4"/>
        <v>4.9905279668631124</v>
      </c>
      <c r="BF26" s="122">
        <f t="shared" si="5"/>
        <v>0.11882209444912173</v>
      </c>
      <c r="BG26" s="121">
        <v>2052</v>
      </c>
    </row>
    <row r="27" spans="1:59" ht="15">
      <c r="A27" s="117" t="s">
        <v>10495</v>
      </c>
      <c r="B27" s="117">
        <v>925247741</v>
      </c>
      <c r="C27" s="125">
        <v>125000</v>
      </c>
      <c r="D27" s="117">
        <v>2934</v>
      </c>
      <c r="E27" s="117">
        <v>1</v>
      </c>
      <c r="F27" s="117">
        <v>1</v>
      </c>
      <c r="G27" s="117">
        <v>1</v>
      </c>
      <c r="H27" s="117">
        <v>1</v>
      </c>
      <c r="I27" s="117">
        <v>1</v>
      </c>
      <c r="J27" s="117">
        <v>1</v>
      </c>
      <c r="K27" s="117">
        <v>1</v>
      </c>
      <c r="L27" s="117">
        <v>1</v>
      </c>
      <c r="M27" s="117">
        <v>1</v>
      </c>
      <c r="N27" s="117">
        <v>1</v>
      </c>
      <c r="O27" s="117">
        <v>1</v>
      </c>
      <c r="P27" s="117">
        <v>1</v>
      </c>
      <c r="Q27" s="117">
        <v>1</v>
      </c>
      <c r="R27" s="117">
        <v>1</v>
      </c>
      <c r="S27" s="117">
        <v>1</v>
      </c>
      <c r="T27" s="117">
        <v>1</v>
      </c>
      <c r="U27" s="117">
        <v>1</v>
      </c>
      <c r="V27" s="117">
        <v>1</v>
      </c>
      <c r="W27" s="117">
        <v>1</v>
      </c>
      <c r="X27" s="117">
        <v>1</v>
      </c>
      <c r="Y27" s="117">
        <v>1</v>
      </c>
      <c r="Z27" s="117">
        <v>1</v>
      </c>
      <c r="AA27" s="117">
        <v>1</v>
      </c>
      <c r="AB27" s="117">
        <v>1</v>
      </c>
      <c r="AC27" s="117">
        <v>1</v>
      </c>
      <c r="AD27" s="117">
        <v>1</v>
      </c>
      <c r="AE27" s="117">
        <v>1</v>
      </c>
      <c r="AF27" s="117">
        <v>1</v>
      </c>
      <c r="AG27" s="117">
        <v>1</v>
      </c>
      <c r="AH27" s="117">
        <v>1</v>
      </c>
      <c r="AI27" s="117">
        <v>1</v>
      </c>
      <c r="AJ27" s="117">
        <v>1</v>
      </c>
      <c r="AK27" s="117">
        <v>1</v>
      </c>
      <c r="AL27" s="117">
        <v>1</v>
      </c>
      <c r="AM27" s="117">
        <v>1</v>
      </c>
      <c r="AN27" s="117">
        <v>1</v>
      </c>
      <c r="AO27" s="117">
        <v>1</v>
      </c>
      <c r="AP27" s="117">
        <v>1</v>
      </c>
      <c r="AQ27" s="117">
        <v>1</v>
      </c>
      <c r="AR27" s="117">
        <v>1</v>
      </c>
      <c r="AS27" s="117">
        <v>1</v>
      </c>
      <c r="AT27" s="117">
        <v>1</v>
      </c>
      <c r="AU27" s="117">
        <v>1</v>
      </c>
      <c r="AX27" s="117">
        <f t="shared" si="0"/>
        <v>43</v>
      </c>
      <c r="AY27" s="117">
        <v>68</v>
      </c>
      <c r="AZ27" s="124">
        <f t="shared" si="1"/>
        <v>126162</v>
      </c>
      <c r="BA27" s="124">
        <v>762625</v>
      </c>
      <c r="BB27" s="124">
        <f t="shared" ref="BB27:BB35" si="6">BA27-AW42</f>
        <v>762625</v>
      </c>
      <c r="BC27" s="124">
        <f t="shared" si="2"/>
        <v>63552.083333333336</v>
      </c>
      <c r="BD27" s="124">
        <f t="shared" si="3"/>
        <v>636463</v>
      </c>
      <c r="BE27" s="123">
        <f t="shared" si="4"/>
        <v>5.0448074697611007</v>
      </c>
      <c r="BF27" s="122">
        <f t="shared" si="5"/>
        <v>0.11732110394793258</v>
      </c>
      <c r="BG27" s="121">
        <v>2053</v>
      </c>
    </row>
    <row r="28" spans="1:59" ht="15">
      <c r="A28" s="117" t="s">
        <v>10444</v>
      </c>
      <c r="B28" s="117">
        <v>911602982</v>
      </c>
      <c r="C28" s="125">
        <v>800000</v>
      </c>
      <c r="D28" s="117">
        <v>37651</v>
      </c>
      <c r="N28" s="117">
        <v>1</v>
      </c>
      <c r="O28" s="117">
        <v>1</v>
      </c>
      <c r="P28" s="117">
        <v>1</v>
      </c>
      <c r="Q28" s="117">
        <v>1</v>
      </c>
      <c r="R28" s="117">
        <v>1</v>
      </c>
      <c r="S28" s="117">
        <v>1</v>
      </c>
      <c r="T28" s="117">
        <v>1</v>
      </c>
      <c r="U28" s="117">
        <v>1</v>
      </c>
      <c r="V28" s="117">
        <v>1</v>
      </c>
      <c r="W28" s="117">
        <v>1</v>
      </c>
      <c r="X28" s="117">
        <v>1</v>
      </c>
      <c r="Y28" s="117">
        <v>1</v>
      </c>
      <c r="Z28" s="117">
        <v>1</v>
      </c>
      <c r="AA28" s="117">
        <v>1</v>
      </c>
      <c r="AB28" s="117">
        <v>1</v>
      </c>
      <c r="AC28" s="117">
        <v>1</v>
      </c>
      <c r="AX28" s="117">
        <f t="shared" si="0"/>
        <v>16</v>
      </c>
      <c r="AY28" s="117">
        <v>25</v>
      </c>
      <c r="AZ28" s="124">
        <f t="shared" si="1"/>
        <v>602416</v>
      </c>
      <c r="BA28" s="124">
        <v>2160000</v>
      </c>
      <c r="BB28" s="124">
        <f t="shared" si="6"/>
        <v>2160000</v>
      </c>
      <c r="BC28" s="124">
        <f t="shared" si="2"/>
        <v>180000</v>
      </c>
      <c r="BD28" s="124">
        <f t="shared" si="3"/>
        <v>1557584</v>
      </c>
      <c r="BE28" s="123">
        <f t="shared" si="4"/>
        <v>2.5855621364638388</v>
      </c>
      <c r="BF28" s="122">
        <f t="shared" si="5"/>
        <v>0.16159763352898993</v>
      </c>
      <c r="BG28" s="121">
        <v>2044</v>
      </c>
    </row>
    <row r="29" spans="1:59" ht="15">
      <c r="A29" s="117" t="s">
        <v>10441</v>
      </c>
      <c r="B29" s="117">
        <v>911602980</v>
      </c>
      <c r="C29" s="125">
        <v>900000</v>
      </c>
      <c r="D29" s="117">
        <v>36029</v>
      </c>
      <c r="N29" s="117">
        <v>1</v>
      </c>
      <c r="O29" s="117">
        <v>1</v>
      </c>
      <c r="P29" s="117">
        <v>1</v>
      </c>
      <c r="Q29" s="117">
        <v>1</v>
      </c>
      <c r="R29" s="117">
        <v>1</v>
      </c>
      <c r="S29" s="117">
        <v>1</v>
      </c>
      <c r="T29" s="117">
        <v>1</v>
      </c>
      <c r="U29" s="117">
        <v>1</v>
      </c>
      <c r="V29" s="117">
        <v>1</v>
      </c>
      <c r="W29" s="117">
        <v>1</v>
      </c>
      <c r="X29" s="117">
        <v>1</v>
      </c>
      <c r="Y29" s="117">
        <v>1</v>
      </c>
      <c r="Z29" s="117">
        <v>1</v>
      </c>
      <c r="AA29" s="117">
        <v>1</v>
      </c>
      <c r="AB29" s="117">
        <v>1</v>
      </c>
      <c r="AC29" s="117">
        <v>1</v>
      </c>
      <c r="AD29" s="117">
        <v>1</v>
      </c>
      <c r="AE29" s="117">
        <v>1</v>
      </c>
      <c r="AF29" s="117">
        <v>1</v>
      </c>
      <c r="AG29" s="117">
        <v>1</v>
      </c>
      <c r="AH29" s="117">
        <v>1</v>
      </c>
      <c r="AI29" s="117">
        <v>1</v>
      </c>
      <c r="AJ29" s="117">
        <v>1</v>
      </c>
      <c r="AK29" s="117">
        <v>1</v>
      </c>
      <c r="AL29" s="117">
        <v>1</v>
      </c>
      <c r="AM29" s="117">
        <v>1</v>
      </c>
      <c r="AN29" s="117">
        <v>1</v>
      </c>
      <c r="AO29" s="117">
        <v>1</v>
      </c>
      <c r="AP29" s="117">
        <v>1</v>
      </c>
      <c r="AQ29" s="117">
        <v>1</v>
      </c>
      <c r="AX29" s="117">
        <f t="shared" si="0"/>
        <v>30</v>
      </c>
      <c r="AY29" s="117">
        <v>30</v>
      </c>
      <c r="AZ29" s="124">
        <f t="shared" si="1"/>
        <v>1080870</v>
      </c>
      <c r="BA29" s="124">
        <v>3213000</v>
      </c>
      <c r="BB29" s="124">
        <f t="shared" si="6"/>
        <v>3213000</v>
      </c>
      <c r="BC29" s="124">
        <f t="shared" si="2"/>
        <v>267750</v>
      </c>
      <c r="BD29" s="124">
        <f t="shared" si="3"/>
        <v>2132130</v>
      </c>
      <c r="BE29" s="123">
        <f t="shared" si="4"/>
        <v>1.9726054012045853</v>
      </c>
      <c r="BF29" s="122">
        <f t="shared" si="5"/>
        <v>6.5753513373486172E-2</v>
      </c>
      <c r="BG29" s="121">
        <v>2049</v>
      </c>
    </row>
    <row r="30" spans="1:59" ht="15">
      <c r="A30" s="117" t="s">
        <v>10441</v>
      </c>
      <c r="B30" s="117">
        <v>911602981</v>
      </c>
      <c r="C30" s="125">
        <v>1000000</v>
      </c>
      <c r="D30" s="117">
        <v>34975</v>
      </c>
      <c r="N30" s="117">
        <v>1</v>
      </c>
      <c r="O30" s="117">
        <v>1</v>
      </c>
      <c r="P30" s="117">
        <v>1</v>
      </c>
      <c r="Q30" s="117">
        <v>1</v>
      </c>
      <c r="R30" s="117">
        <v>1</v>
      </c>
      <c r="S30" s="117">
        <v>1</v>
      </c>
      <c r="T30" s="117">
        <v>1</v>
      </c>
      <c r="U30" s="117">
        <v>1</v>
      </c>
      <c r="V30" s="117">
        <v>1</v>
      </c>
      <c r="W30" s="117">
        <v>1</v>
      </c>
      <c r="X30" s="117">
        <v>1</v>
      </c>
      <c r="Y30" s="117">
        <v>1</v>
      </c>
      <c r="Z30" s="117">
        <v>1</v>
      </c>
      <c r="AA30" s="117">
        <v>1</v>
      </c>
      <c r="AB30" s="117">
        <v>1</v>
      </c>
      <c r="AC30" s="117">
        <v>1</v>
      </c>
      <c r="AD30" s="117">
        <v>1</v>
      </c>
      <c r="AE30" s="117">
        <v>1</v>
      </c>
      <c r="AF30" s="117">
        <v>1</v>
      </c>
      <c r="AG30" s="117">
        <v>1</v>
      </c>
      <c r="AH30" s="117">
        <v>1</v>
      </c>
      <c r="AI30" s="117">
        <v>1</v>
      </c>
      <c r="AJ30" s="117">
        <v>1</v>
      </c>
      <c r="AK30" s="117">
        <v>1</v>
      </c>
      <c r="AL30" s="117">
        <v>1</v>
      </c>
      <c r="AM30" s="117">
        <v>1</v>
      </c>
      <c r="AN30" s="117">
        <v>1</v>
      </c>
      <c r="AO30" s="117">
        <v>1</v>
      </c>
      <c r="AP30" s="117">
        <v>1</v>
      </c>
      <c r="AQ30" s="117">
        <v>1</v>
      </c>
      <c r="AR30" s="117">
        <v>1</v>
      </c>
      <c r="AS30" s="117">
        <v>1</v>
      </c>
      <c r="AT30" s="117">
        <v>1</v>
      </c>
      <c r="AU30" s="117">
        <v>1</v>
      </c>
      <c r="AX30" s="117">
        <f t="shared" si="0"/>
        <v>34</v>
      </c>
      <c r="AY30" s="117">
        <v>34</v>
      </c>
      <c r="AZ30" s="124">
        <f t="shared" si="1"/>
        <v>1189150</v>
      </c>
      <c r="BA30" s="124">
        <v>4417000</v>
      </c>
      <c r="BB30" s="124">
        <f t="shared" si="6"/>
        <v>4417000</v>
      </c>
      <c r="BC30" s="124">
        <f t="shared" si="2"/>
        <v>368083.33333333331</v>
      </c>
      <c r="BD30" s="124">
        <f t="shared" si="3"/>
        <v>3227850</v>
      </c>
      <c r="BE30" s="123">
        <f t="shared" si="4"/>
        <v>2.7144178614977084</v>
      </c>
      <c r="BF30" s="122">
        <f t="shared" si="5"/>
        <v>7.9835819455814958E-2</v>
      </c>
      <c r="BG30" s="121">
        <v>2053</v>
      </c>
    </row>
    <row r="31" spans="1:59" ht="15">
      <c r="A31" s="117" t="s">
        <v>10496</v>
      </c>
      <c r="B31" s="117">
        <v>911602983</v>
      </c>
      <c r="C31" s="125">
        <v>3000000</v>
      </c>
      <c r="D31" s="117">
        <v>155847</v>
      </c>
      <c r="N31" s="117">
        <v>1</v>
      </c>
      <c r="O31" s="117">
        <v>1</v>
      </c>
      <c r="P31" s="117">
        <v>1</v>
      </c>
      <c r="Q31" s="117">
        <v>1</v>
      </c>
      <c r="R31" s="117">
        <v>1</v>
      </c>
      <c r="S31" s="117">
        <v>1</v>
      </c>
      <c r="T31" s="117">
        <v>1</v>
      </c>
      <c r="U31" s="117">
        <v>1</v>
      </c>
      <c r="V31" s="117">
        <v>1</v>
      </c>
      <c r="W31" s="117">
        <v>1</v>
      </c>
      <c r="X31" s="117">
        <v>1</v>
      </c>
      <c r="Y31" s="117">
        <v>1</v>
      </c>
      <c r="Z31" s="117">
        <v>1</v>
      </c>
      <c r="AA31" s="117">
        <v>1</v>
      </c>
      <c r="AB31" s="117">
        <v>1</v>
      </c>
      <c r="AC31" s="117">
        <v>1</v>
      </c>
      <c r="AD31" s="117">
        <v>1</v>
      </c>
      <c r="AE31" s="117">
        <v>1</v>
      </c>
      <c r="AF31" s="117">
        <v>1</v>
      </c>
      <c r="AG31" s="117">
        <v>1</v>
      </c>
      <c r="AX31" s="117">
        <f t="shared" si="0"/>
        <v>20</v>
      </c>
      <c r="AY31" s="117">
        <v>59</v>
      </c>
      <c r="AZ31" s="124">
        <f t="shared" si="1"/>
        <v>3116940</v>
      </c>
      <c r="BA31" s="124">
        <f>240000*25</f>
        <v>6000000</v>
      </c>
      <c r="BB31" s="124">
        <f t="shared" si="6"/>
        <v>6000000</v>
      </c>
      <c r="BC31" s="124">
        <f t="shared" si="2"/>
        <v>500000</v>
      </c>
      <c r="BD31" s="124">
        <f t="shared" si="3"/>
        <v>2883060</v>
      </c>
      <c r="BE31" s="123">
        <f t="shared" si="4"/>
        <v>0.92496486939113365</v>
      </c>
      <c r="BF31" s="122">
        <f t="shared" si="5"/>
        <v>4.624824346955668E-2</v>
      </c>
      <c r="BG31" s="121">
        <v>2039</v>
      </c>
    </row>
    <row r="32" spans="1:59" ht="15">
      <c r="A32" s="117" t="s">
        <v>10496</v>
      </c>
      <c r="B32" s="117">
        <v>911602984</v>
      </c>
      <c r="C32" s="125">
        <v>3000000</v>
      </c>
      <c r="D32" s="117">
        <v>155847</v>
      </c>
      <c r="N32" s="117">
        <v>1</v>
      </c>
      <c r="O32" s="117">
        <v>1</v>
      </c>
      <c r="P32" s="117">
        <v>1</v>
      </c>
      <c r="Q32" s="117">
        <v>1</v>
      </c>
      <c r="R32" s="117">
        <v>1</v>
      </c>
      <c r="S32" s="117">
        <v>1</v>
      </c>
      <c r="T32" s="117">
        <v>1</v>
      </c>
      <c r="U32" s="117">
        <v>1</v>
      </c>
      <c r="V32" s="117">
        <v>1</v>
      </c>
      <c r="W32" s="117">
        <v>1</v>
      </c>
      <c r="X32" s="117">
        <v>1</v>
      </c>
      <c r="Y32" s="117">
        <v>1</v>
      </c>
      <c r="Z32" s="117">
        <v>1</v>
      </c>
      <c r="AA32" s="117">
        <v>1</v>
      </c>
      <c r="AB32" s="117">
        <v>1</v>
      </c>
      <c r="AC32" s="117">
        <v>1</v>
      </c>
      <c r="AD32" s="117">
        <v>1</v>
      </c>
      <c r="AE32" s="117">
        <v>1</v>
      </c>
      <c r="AF32" s="117">
        <v>1</v>
      </c>
      <c r="AG32" s="117">
        <v>1</v>
      </c>
      <c r="AX32" s="117">
        <f t="shared" si="0"/>
        <v>20</v>
      </c>
      <c r="AY32" s="117">
        <v>59</v>
      </c>
      <c r="AZ32" s="124">
        <f t="shared" si="1"/>
        <v>3116940</v>
      </c>
      <c r="BA32" s="124">
        <f>240000*25</f>
        <v>6000000</v>
      </c>
      <c r="BB32" s="124">
        <f t="shared" si="6"/>
        <v>6000000</v>
      </c>
      <c r="BC32" s="124">
        <f t="shared" si="2"/>
        <v>500000</v>
      </c>
      <c r="BD32" s="124">
        <f t="shared" si="3"/>
        <v>2883060</v>
      </c>
      <c r="BE32" s="123">
        <f t="shared" si="4"/>
        <v>0.92496486939113365</v>
      </c>
      <c r="BF32" s="122">
        <f t="shared" si="5"/>
        <v>4.624824346955668E-2</v>
      </c>
      <c r="BG32" s="121">
        <v>2039</v>
      </c>
    </row>
    <row r="33" spans="1:59" ht="15">
      <c r="A33" s="117" t="s">
        <v>10496</v>
      </c>
      <c r="B33" s="117">
        <v>911602985</v>
      </c>
      <c r="C33" s="125">
        <v>1000000</v>
      </c>
      <c r="D33" s="117">
        <v>52199</v>
      </c>
      <c r="N33" s="117">
        <v>1</v>
      </c>
      <c r="O33" s="117">
        <v>1</v>
      </c>
      <c r="P33" s="117">
        <v>1</v>
      </c>
      <c r="Q33" s="117">
        <v>1</v>
      </c>
      <c r="R33" s="117">
        <v>1</v>
      </c>
      <c r="S33" s="117">
        <v>1</v>
      </c>
      <c r="T33" s="117">
        <v>1</v>
      </c>
      <c r="U33" s="117">
        <v>1</v>
      </c>
      <c r="V33" s="117">
        <v>1</v>
      </c>
      <c r="W33" s="117">
        <v>1</v>
      </c>
      <c r="X33" s="117">
        <v>1</v>
      </c>
      <c r="Y33" s="117">
        <v>1</v>
      </c>
      <c r="Z33" s="117">
        <v>1</v>
      </c>
      <c r="AA33" s="117">
        <v>1</v>
      </c>
      <c r="AB33" s="117">
        <v>1</v>
      </c>
      <c r="AC33" s="117">
        <v>1</v>
      </c>
      <c r="AD33" s="117">
        <v>1</v>
      </c>
      <c r="AE33" s="117">
        <v>1</v>
      </c>
      <c r="AF33" s="117">
        <v>1</v>
      </c>
      <c r="AG33" s="117">
        <v>1</v>
      </c>
      <c r="AX33" s="117">
        <f t="shared" si="0"/>
        <v>20</v>
      </c>
      <c r="AY33" s="117">
        <v>59</v>
      </c>
      <c r="AZ33" s="124">
        <f t="shared" si="1"/>
        <v>1043980</v>
      </c>
      <c r="BA33" s="124">
        <f>80000*25</f>
        <v>2000000</v>
      </c>
      <c r="BB33" s="124">
        <f t="shared" si="6"/>
        <v>2000000</v>
      </c>
      <c r="BC33" s="124">
        <f t="shared" si="2"/>
        <v>166666.66666666666</v>
      </c>
      <c r="BD33" s="124">
        <f t="shared" si="3"/>
        <v>956020</v>
      </c>
      <c r="BE33" s="123">
        <f t="shared" si="4"/>
        <v>0.91574551236613733</v>
      </c>
      <c r="BF33" s="122">
        <f t="shared" si="5"/>
        <v>4.5787275618306866E-2</v>
      </c>
      <c r="BG33" s="121">
        <v>2039</v>
      </c>
    </row>
    <row r="34" spans="1:59" ht="15">
      <c r="A34" s="117" t="s">
        <v>10496</v>
      </c>
      <c r="B34" s="117">
        <v>911603018</v>
      </c>
      <c r="C34" s="125">
        <v>3000000</v>
      </c>
      <c r="D34" s="117">
        <v>155847</v>
      </c>
      <c r="N34" s="117">
        <v>1</v>
      </c>
      <c r="O34" s="117">
        <v>1</v>
      </c>
      <c r="P34" s="117">
        <v>1</v>
      </c>
      <c r="Q34" s="117">
        <v>1</v>
      </c>
      <c r="R34" s="117">
        <v>1</v>
      </c>
      <c r="S34" s="117">
        <v>1</v>
      </c>
      <c r="T34" s="117">
        <v>1</v>
      </c>
      <c r="U34" s="117">
        <v>1</v>
      </c>
      <c r="V34" s="117">
        <v>1</v>
      </c>
      <c r="W34" s="117">
        <v>1</v>
      </c>
      <c r="X34" s="117">
        <v>1</v>
      </c>
      <c r="Y34" s="117">
        <v>1</v>
      </c>
      <c r="Z34" s="117">
        <v>1</v>
      </c>
      <c r="AA34" s="117">
        <v>1</v>
      </c>
      <c r="AB34" s="117">
        <v>1</v>
      </c>
      <c r="AC34" s="117">
        <v>1</v>
      </c>
      <c r="AD34" s="117">
        <v>1</v>
      </c>
      <c r="AE34" s="117">
        <v>1</v>
      </c>
      <c r="AF34" s="117">
        <v>1</v>
      </c>
      <c r="AG34" s="117">
        <v>1</v>
      </c>
      <c r="AX34" s="117">
        <f t="shared" si="0"/>
        <v>20</v>
      </c>
      <c r="AY34" s="117">
        <v>59</v>
      </c>
      <c r="AZ34" s="124">
        <f t="shared" si="1"/>
        <v>3116940</v>
      </c>
      <c r="BA34" s="124">
        <f>240000*25</f>
        <v>6000000</v>
      </c>
      <c r="BB34" s="124">
        <f t="shared" si="6"/>
        <v>6000000</v>
      </c>
      <c r="BC34" s="124">
        <f t="shared" si="2"/>
        <v>500000</v>
      </c>
      <c r="BD34" s="124">
        <f t="shared" si="3"/>
        <v>2883060</v>
      </c>
      <c r="BE34" s="123">
        <f t="shared" si="4"/>
        <v>0.92496486939113365</v>
      </c>
      <c r="BF34" s="122">
        <f t="shared" si="5"/>
        <v>4.624824346955668E-2</v>
      </c>
      <c r="BG34" s="121">
        <v>2039</v>
      </c>
    </row>
    <row r="35" spans="1:59" ht="15">
      <c r="A35" s="117" t="s">
        <v>10496</v>
      </c>
      <c r="B35" s="117">
        <v>911603021</v>
      </c>
      <c r="C35" s="125">
        <v>1000000</v>
      </c>
      <c r="D35" s="117">
        <v>52199</v>
      </c>
      <c r="N35" s="117">
        <v>1</v>
      </c>
      <c r="O35" s="117">
        <v>1</v>
      </c>
      <c r="P35" s="117">
        <v>1</v>
      </c>
      <c r="Q35" s="117">
        <v>1</v>
      </c>
      <c r="R35" s="117">
        <v>1</v>
      </c>
      <c r="S35" s="117">
        <v>1</v>
      </c>
      <c r="T35" s="117">
        <v>1</v>
      </c>
      <c r="U35" s="117">
        <v>1</v>
      </c>
      <c r="V35" s="117">
        <v>1</v>
      </c>
      <c r="W35" s="117">
        <v>1</v>
      </c>
      <c r="X35" s="117">
        <v>1</v>
      </c>
      <c r="Y35" s="117">
        <v>1</v>
      </c>
      <c r="Z35" s="117">
        <v>1</v>
      </c>
      <c r="AA35" s="117">
        <v>1</v>
      </c>
      <c r="AB35" s="117">
        <v>1</v>
      </c>
      <c r="AC35" s="117">
        <v>1</v>
      </c>
      <c r="AD35" s="117">
        <v>1</v>
      </c>
      <c r="AE35" s="117">
        <v>1</v>
      </c>
      <c r="AF35" s="117">
        <v>1</v>
      </c>
      <c r="AG35" s="117">
        <v>1</v>
      </c>
      <c r="AX35" s="117">
        <f t="shared" si="0"/>
        <v>20</v>
      </c>
      <c r="AY35" s="117">
        <v>59</v>
      </c>
      <c r="AZ35" s="124">
        <f t="shared" si="1"/>
        <v>1043980</v>
      </c>
      <c r="BA35" s="124">
        <f>80000*25</f>
        <v>2000000</v>
      </c>
      <c r="BB35" s="124">
        <f t="shared" si="6"/>
        <v>2000000</v>
      </c>
      <c r="BC35" s="124">
        <f t="shared" si="2"/>
        <v>166666.66666666666</v>
      </c>
      <c r="BD35" s="124">
        <f t="shared" si="3"/>
        <v>956020</v>
      </c>
      <c r="BE35" s="123">
        <f t="shared" si="4"/>
        <v>0.91574551236613733</v>
      </c>
      <c r="BF35" s="122">
        <f t="shared" si="5"/>
        <v>4.5787275618306866E-2</v>
      </c>
      <c r="BG35" s="121">
        <v>2039</v>
      </c>
    </row>
    <row r="36" spans="1:59" ht="15">
      <c r="A36" s="292" t="s">
        <v>10497</v>
      </c>
      <c r="B36" s="117">
        <v>921378170</v>
      </c>
      <c r="C36" s="125">
        <v>500000</v>
      </c>
      <c r="D36" s="117">
        <v>24520</v>
      </c>
      <c r="AZ36" s="124">
        <f>16*D36</f>
        <v>392320</v>
      </c>
      <c r="BA36" s="124">
        <v>2000000</v>
      </c>
      <c r="BB36" s="124"/>
      <c r="BC36" s="124"/>
      <c r="BD36" s="124"/>
      <c r="BE36" s="123"/>
      <c r="BF36" s="122"/>
      <c r="BG36" s="121">
        <v>2062</v>
      </c>
    </row>
    <row r="37" spans="1:59" ht="15">
      <c r="A37" s="126" t="s">
        <v>10498</v>
      </c>
      <c r="C37" s="125"/>
      <c r="D37" s="117">
        <v>117005</v>
      </c>
      <c r="N37" s="117">
        <v>1</v>
      </c>
      <c r="O37" s="117">
        <v>1</v>
      </c>
      <c r="P37" s="117">
        <v>1</v>
      </c>
      <c r="Q37" s="117">
        <v>1</v>
      </c>
      <c r="R37" s="117">
        <v>1</v>
      </c>
      <c r="AX37" s="117">
        <f>SUM(E37:AV37)</f>
        <v>5</v>
      </c>
      <c r="AZ37" s="124">
        <f>AX37*D37</f>
        <v>585025</v>
      </c>
      <c r="BA37" s="124"/>
      <c r="BB37" s="124" t="s">
        <v>13288</v>
      </c>
      <c r="BC37" s="124"/>
      <c r="BD37" s="124"/>
      <c r="BE37" s="123"/>
      <c r="BF37" s="122"/>
      <c r="BG37" s="121"/>
    </row>
    <row r="38" spans="1:59" ht="15">
      <c r="A38" s="126" t="s">
        <v>10471</v>
      </c>
      <c r="C38" s="125"/>
      <c r="D38" s="117">
        <v>300000</v>
      </c>
      <c r="K38" s="117">
        <v>1</v>
      </c>
      <c r="L38" s="117">
        <v>1</v>
      </c>
      <c r="M38" s="117">
        <v>1</v>
      </c>
      <c r="N38" s="117">
        <v>1</v>
      </c>
      <c r="O38" s="117">
        <v>1</v>
      </c>
      <c r="AX38" s="117">
        <f>SUM(E38:AV38)</f>
        <v>5</v>
      </c>
      <c r="AZ38" s="124">
        <f>AX38*D38</f>
        <v>1500000</v>
      </c>
      <c r="BA38" s="124">
        <f>AZ38*1.1</f>
        <v>1650000.0000000002</v>
      </c>
      <c r="BB38" s="124">
        <f>FV(9%/15, 5*15, 0, -AZ38)</f>
        <v>2349307.2181915455</v>
      </c>
      <c r="BC38" s="124"/>
      <c r="BD38" s="124"/>
      <c r="BE38" s="123"/>
      <c r="BF38" s="122"/>
      <c r="BG38" s="121"/>
    </row>
    <row r="39" spans="1:59" ht="15">
      <c r="A39" s="126" t="s">
        <v>10472</v>
      </c>
      <c r="C39" s="125"/>
      <c r="D39" s="117">
        <v>400000</v>
      </c>
      <c r="L39" s="117">
        <v>1</v>
      </c>
      <c r="M39" s="117">
        <v>1</v>
      </c>
      <c r="N39" s="117">
        <v>1</v>
      </c>
      <c r="O39" s="117">
        <v>1</v>
      </c>
      <c r="P39" s="117">
        <v>1</v>
      </c>
      <c r="Q39" s="204">
        <v>1</v>
      </c>
      <c r="R39" s="204">
        <v>1</v>
      </c>
      <c r="AX39" s="117">
        <f>SUM(E39:AV39)</f>
        <v>7</v>
      </c>
      <c r="AZ39" s="124">
        <f>AX39*D39</f>
        <v>2800000</v>
      </c>
      <c r="BA39" s="124">
        <f>AZ39*1.1</f>
        <v>3080000.0000000005</v>
      </c>
      <c r="BB39" s="124">
        <f>FV(9%/15, 7*15, 0, -AZ39)</f>
        <v>5247422.1833581608</v>
      </c>
      <c r="BC39" s="124"/>
      <c r="BD39" s="124"/>
      <c r="BE39" s="123"/>
      <c r="BF39" s="122"/>
      <c r="BG39" s="121"/>
    </row>
    <row r="40" spans="1:59" ht="15">
      <c r="A40" s="126" t="s">
        <v>10472</v>
      </c>
      <c r="C40" s="125"/>
      <c r="D40" s="117">
        <v>300000</v>
      </c>
      <c r="M40" s="117">
        <v>1</v>
      </c>
      <c r="N40" s="117">
        <v>1</v>
      </c>
      <c r="O40" s="117">
        <v>1</v>
      </c>
      <c r="P40" s="117">
        <v>1</v>
      </c>
      <c r="Q40" s="117">
        <v>1</v>
      </c>
      <c r="R40" s="204">
        <v>1</v>
      </c>
      <c r="S40" s="204">
        <v>1</v>
      </c>
      <c r="AX40" s="117">
        <f>SUM(E40:AV40)</f>
        <v>7</v>
      </c>
      <c r="AZ40" s="124">
        <f>AX40*D40</f>
        <v>2100000</v>
      </c>
      <c r="BA40" s="124">
        <f>AZ40*1.1</f>
        <v>2310000</v>
      </c>
      <c r="BB40" s="124">
        <f>FV(9%/15, 7*15, 0, -AZ40)</f>
        <v>3935566.6375186201</v>
      </c>
      <c r="BC40" s="124"/>
      <c r="BD40" s="124"/>
      <c r="BE40" s="123"/>
      <c r="BF40" s="122"/>
      <c r="BG40" s="121"/>
    </row>
    <row r="41" spans="1:59" ht="15">
      <c r="A41" s="126" t="s">
        <v>10473</v>
      </c>
      <c r="C41" s="125"/>
      <c r="D41" s="117">
        <f>12*41000</f>
        <v>492000</v>
      </c>
      <c r="P41" s="117">
        <v>1</v>
      </c>
      <c r="Q41" s="117">
        <v>1</v>
      </c>
      <c r="R41" s="117">
        <v>1</v>
      </c>
      <c r="S41" s="117">
        <v>1</v>
      </c>
      <c r="T41" s="117">
        <v>1</v>
      </c>
      <c r="U41" s="117">
        <v>1</v>
      </c>
      <c r="V41" s="117">
        <v>1</v>
      </c>
      <c r="W41" s="117">
        <v>1</v>
      </c>
      <c r="X41" s="117">
        <v>1</v>
      </c>
      <c r="Y41" s="117">
        <v>1</v>
      </c>
      <c r="Z41" s="117">
        <v>1</v>
      </c>
      <c r="AA41" s="117">
        <v>1</v>
      </c>
      <c r="AB41" s="117">
        <v>1</v>
      </c>
      <c r="AC41" s="117">
        <v>1</v>
      </c>
      <c r="AD41" s="117">
        <v>1</v>
      </c>
      <c r="AE41" s="117">
        <v>1</v>
      </c>
      <c r="AF41" s="117">
        <v>1</v>
      </c>
      <c r="AG41" s="117">
        <v>1</v>
      </c>
      <c r="AH41" s="117">
        <v>1</v>
      </c>
      <c r="AI41" s="117">
        <v>1</v>
      </c>
      <c r="AJ41" s="117">
        <v>1</v>
      </c>
      <c r="AK41" s="117">
        <v>1</v>
      </c>
      <c r="AL41" s="117">
        <v>1</v>
      </c>
      <c r="AM41" s="117">
        <v>1</v>
      </c>
      <c r="AN41" s="117">
        <v>1</v>
      </c>
      <c r="AO41" s="117">
        <v>1</v>
      </c>
      <c r="AP41" s="117">
        <v>1</v>
      </c>
      <c r="AQ41" s="117">
        <v>1</v>
      </c>
      <c r="AR41" s="117">
        <v>1</v>
      </c>
      <c r="AS41" s="117">
        <v>1</v>
      </c>
      <c r="AT41" s="117">
        <v>1</v>
      </c>
      <c r="AU41" s="117">
        <v>1</v>
      </c>
      <c r="AX41" s="117">
        <f>SUM(E41:AV41)</f>
        <v>32</v>
      </c>
      <c r="AZ41" s="124"/>
      <c r="BA41" s="124"/>
      <c r="BB41" s="124"/>
      <c r="BC41" s="124"/>
      <c r="BD41" s="124"/>
      <c r="BE41" s="123"/>
      <c r="BF41" s="122"/>
      <c r="BG41" s="121"/>
    </row>
    <row r="42" spans="1:59">
      <c r="A42" s="292" t="s">
        <v>10474</v>
      </c>
      <c r="E42" s="120">
        <f>SUMPRODUCT($D$2:$D$41,E2:E41)</f>
        <v>270570</v>
      </c>
      <c r="F42" s="120">
        <f t="shared" ref="F42:AU42" si="7">SUMPRODUCT($D$2:$D$41,F2:F41)</f>
        <v>270570</v>
      </c>
      <c r="G42" s="120">
        <f t="shared" si="7"/>
        <v>270570</v>
      </c>
      <c r="H42" s="120">
        <f t="shared" si="7"/>
        <v>270570</v>
      </c>
      <c r="I42" s="120">
        <f t="shared" si="7"/>
        <v>270570</v>
      </c>
      <c r="J42" s="120">
        <f t="shared" si="7"/>
        <v>270570</v>
      </c>
      <c r="K42" s="120">
        <f t="shared" si="7"/>
        <v>570570</v>
      </c>
      <c r="L42" s="120">
        <f t="shared" si="7"/>
        <v>970570</v>
      </c>
      <c r="M42" s="120">
        <f t="shared" si="7"/>
        <v>1270570</v>
      </c>
      <c r="N42" s="120">
        <f t="shared" si="7"/>
        <v>2068169</v>
      </c>
      <c r="O42" s="120">
        <f t="shared" si="7"/>
        <v>2068169</v>
      </c>
      <c r="P42" s="120">
        <f t="shared" si="7"/>
        <v>2260169</v>
      </c>
      <c r="Q42" s="120">
        <f t="shared" si="7"/>
        <v>2260169</v>
      </c>
      <c r="R42" s="120">
        <f t="shared" si="7"/>
        <v>2260169</v>
      </c>
      <c r="S42" s="120">
        <f t="shared" si="7"/>
        <v>1743164</v>
      </c>
      <c r="T42" s="120">
        <f t="shared" si="7"/>
        <v>1443164</v>
      </c>
      <c r="U42" s="120">
        <f t="shared" si="7"/>
        <v>1443164</v>
      </c>
      <c r="V42" s="120">
        <f t="shared" si="7"/>
        <v>1443164</v>
      </c>
      <c r="W42" s="120">
        <f t="shared" si="7"/>
        <v>1410590</v>
      </c>
      <c r="X42" s="120">
        <f t="shared" si="7"/>
        <v>1381844</v>
      </c>
      <c r="Y42" s="120">
        <f t="shared" si="7"/>
        <v>1357269</v>
      </c>
      <c r="Z42" s="120">
        <f t="shared" si="7"/>
        <v>1336700</v>
      </c>
      <c r="AA42" s="120">
        <f t="shared" si="7"/>
        <v>1318738</v>
      </c>
      <c r="AB42" s="120">
        <f t="shared" si="7"/>
        <v>1302897</v>
      </c>
      <c r="AC42" s="120">
        <f t="shared" si="7"/>
        <v>1288763</v>
      </c>
      <c r="AD42" s="120">
        <f t="shared" si="7"/>
        <v>1238471</v>
      </c>
      <c r="AE42" s="120">
        <f t="shared" si="7"/>
        <v>1226950</v>
      </c>
      <c r="AF42" s="120">
        <f t="shared" si="7"/>
        <v>1216744</v>
      </c>
      <c r="AG42" s="120">
        <f t="shared" si="7"/>
        <v>1207542</v>
      </c>
      <c r="AH42" s="120">
        <f t="shared" si="7"/>
        <v>627333</v>
      </c>
      <c r="AI42" s="120">
        <f t="shared" si="7"/>
        <v>619915</v>
      </c>
      <c r="AJ42" s="120">
        <f t="shared" si="7"/>
        <v>613130</v>
      </c>
      <c r="AK42" s="120">
        <f t="shared" si="7"/>
        <v>606922</v>
      </c>
      <c r="AL42" s="120">
        <f t="shared" si="7"/>
        <v>601248</v>
      </c>
      <c r="AM42" s="120">
        <f t="shared" si="7"/>
        <v>595928</v>
      </c>
      <c r="AN42" s="120">
        <f t="shared" si="7"/>
        <v>591077</v>
      </c>
      <c r="AO42" s="120">
        <f t="shared" si="7"/>
        <v>586666</v>
      </c>
      <c r="AP42" s="120">
        <f t="shared" si="7"/>
        <v>582669</v>
      </c>
      <c r="AQ42" s="120">
        <f t="shared" si="7"/>
        <v>578925</v>
      </c>
      <c r="AR42" s="120">
        <f t="shared" si="7"/>
        <v>539515</v>
      </c>
      <c r="AS42" s="120">
        <f t="shared" si="7"/>
        <v>536239</v>
      </c>
      <c r="AT42" s="120">
        <f t="shared" si="7"/>
        <v>533036</v>
      </c>
      <c r="AU42" s="120">
        <f t="shared" si="7"/>
        <v>529909</v>
      </c>
      <c r="AZ42" s="120">
        <f>SUM(AZ2:AZ40)</f>
        <v>28501971</v>
      </c>
      <c r="BA42" s="119">
        <f>SUM(BA2:BA40)</f>
        <v>61566650</v>
      </c>
    </row>
    <row r="43" spans="1:59">
      <c r="A43" s="292" t="s">
        <v>10475</v>
      </c>
      <c r="E43" s="118">
        <f>SUM(E42:$AU$42)</f>
        <v>43853651</v>
      </c>
      <c r="F43" s="118">
        <f>SUM(F42:$AU$42)</f>
        <v>43583081</v>
      </c>
      <c r="G43" s="118">
        <f>SUM(G42:$AU$42)</f>
        <v>43312511</v>
      </c>
      <c r="H43" s="118">
        <f>SUM(H42:$AU$42)</f>
        <v>43041941</v>
      </c>
      <c r="I43" s="118">
        <f>SUM(I42:$AU$42)</f>
        <v>42771371</v>
      </c>
      <c r="J43" s="118">
        <f>SUM(J42:$AU$42)</f>
        <v>42500801</v>
      </c>
      <c r="K43" s="118">
        <f>SUM(K42:$AU$42)</f>
        <v>42230231</v>
      </c>
      <c r="L43" s="118">
        <f>SUM(L42:$AU$42)</f>
        <v>41659661</v>
      </c>
      <c r="M43" s="118">
        <f>SUM(M42:$AU$42)</f>
        <v>40689091</v>
      </c>
      <c r="N43" s="118">
        <f>SUM(N42:$AU$42)</f>
        <v>39418521</v>
      </c>
      <c r="O43" s="118">
        <f>SUM(O42:$AU$42)</f>
        <v>37350352</v>
      </c>
      <c r="P43" s="118">
        <f>SUM(P42:$AU$42)</f>
        <v>35282183</v>
      </c>
      <c r="Q43" s="118">
        <f>SUM(Q42:$AU$42)</f>
        <v>33022014</v>
      </c>
      <c r="R43" s="118">
        <f>SUM(R42:$AU$42)</f>
        <v>30761845</v>
      </c>
      <c r="S43" s="118">
        <f>SUM(S42:$AU$42)</f>
        <v>28501676</v>
      </c>
      <c r="T43" s="118">
        <f>SUM(T42:$AU$42)</f>
        <v>26758512</v>
      </c>
      <c r="U43" s="118">
        <f>SUM(U42:$AU$42)</f>
        <v>25315348</v>
      </c>
      <c r="V43" s="118">
        <f>SUM(V42:$AU$42)</f>
        <v>23872184</v>
      </c>
      <c r="W43" s="118">
        <f>SUM(W42:$AU$42)</f>
        <v>22429020</v>
      </c>
      <c r="X43" s="118">
        <f>SUM(X42:$AU$42)</f>
        <v>21018430</v>
      </c>
      <c r="Y43" s="118">
        <f>SUM(Y42:$AU$42)</f>
        <v>19636586</v>
      </c>
      <c r="Z43" s="118">
        <f>SUM(Z42:$AU$42)</f>
        <v>18279317</v>
      </c>
      <c r="AA43" s="118">
        <f>SUM(AA42:$AU$42)</f>
        <v>16942617</v>
      </c>
      <c r="AB43" s="118">
        <f>SUM(AB42:$AU$42)</f>
        <v>15623879</v>
      </c>
      <c r="AC43" s="118">
        <f>SUM(AC42:$AU$42)</f>
        <v>14320982</v>
      </c>
      <c r="AD43" s="118">
        <f>SUM(AD42:$AU$42)</f>
        <v>13032219</v>
      </c>
      <c r="AE43" s="118">
        <f>SUM(AE42:$AU$42)</f>
        <v>11793748</v>
      </c>
      <c r="AF43" s="118">
        <f>SUM(AF42:$AU$42)</f>
        <v>10566798</v>
      </c>
      <c r="AG43" s="118">
        <f>SUM(AG42:$AU$42)</f>
        <v>9350054</v>
      </c>
      <c r="AH43" s="118">
        <f>SUM(AH42:$AU$42)</f>
        <v>8142512</v>
      </c>
      <c r="AI43" s="118">
        <f>SUM(AI42:$AU$42)</f>
        <v>7515179</v>
      </c>
      <c r="AJ43" s="118">
        <f>SUM(AJ42:$AU$42)</f>
        <v>6895264</v>
      </c>
      <c r="AK43" s="118">
        <f>SUM(AK42:$AU$42)</f>
        <v>6282134</v>
      </c>
      <c r="AL43" s="118">
        <f>SUM(AL42:$AU$42)</f>
        <v>5675212</v>
      </c>
      <c r="AM43" s="118">
        <f>SUM(AM42:$AU$42)</f>
        <v>5073964</v>
      </c>
      <c r="AN43" s="118">
        <f>SUM(AN42:$AU$42)</f>
        <v>4478036</v>
      </c>
      <c r="AO43" s="118">
        <f>SUM(AO42:$AU$42)</f>
        <v>3886959</v>
      </c>
      <c r="AP43" s="118">
        <f>SUM(AP42:$AU$42)</f>
        <v>3300293</v>
      </c>
      <c r="AQ43" s="118">
        <f>SUM(AQ42:$AU$42)</f>
        <v>2717624</v>
      </c>
      <c r="AR43" s="118">
        <f>SUM(AR42:$AU$42)</f>
        <v>2138699</v>
      </c>
      <c r="AS43" s="118">
        <f>SUM(AS42:$AU$42)</f>
        <v>1599184</v>
      </c>
      <c r="AT43" s="118">
        <f>SUM(AT42:$AU$42)</f>
        <v>1062945</v>
      </c>
      <c r="AU43" s="118">
        <f>SUM(AU42:$AU$42)</f>
        <v>529909</v>
      </c>
    </row>
    <row r="44" spans="1:59">
      <c r="A44" s="285" t="s">
        <v>10476</v>
      </c>
      <c r="D44" s="50" t="s">
        <v>10480</v>
      </c>
      <c r="W44" s="129">
        <f>W42-BA2</f>
        <v>445115</v>
      </c>
      <c r="X44" s="129">
        <f>X42-BA3</f>
        <v>451334</v>
      </c>
      <c r="Y44" s="129">
        <f>Y42-BA4</f>
        <v>486289</v>
      </c>
      <c r="Z44" s="129">
        <f>Z42-BA5</f>
        <v>498115</v>
      </c>
      <c r="AA44" s="129">
        <f>AA42-BA6</f>
        <v>507708</v>
      </c>
      <c r="AB44" s="129">
        <f>AB42-BA7</f>
        <v>496757</v>
      </c>
      <c r="AC44" s="129">
        <f>AC42-BA8</f>
        <v>482363</v>
      </c>
      <c r="AD44" s="129">
        <f>AD42-BA9</f>
        <v>437771</v>
      </c>
      <c r="AE44" s="129">
        <f>AE42-BA10</f>
        <v>437910</v>
      </c>
      <c r="AF44" s="129">
        <f>AF42-BA11</f>
        <v>440124</v>
      </c>
      <c r="AG44" s="129">
        <f>AG42-BA12</f>
        <v>434322</v>
      </c>
      <c r="AH44" s="129">
        <f>AH42-BA13</f>
        <v>-137417</v>
      </c>
      <c r="AI44" s="129">
        <f>AI42-BA14</f>
        <v>-146345</v>
      </c>
      <c r="AJ44" s="129">
        <f>AJ42-BA15</f>
        <v>-168535</v>
      </c>
      <c r="AK44" s="129">
        <f>AK42-BA16</f>
        <v>-146168</v>
      </c>
      <c r="AL44" s="129">
        <f>AL42-BA17</f>
        <v>-168437</v>
      </c>
      <c r="AM44" s="129">
        <f>AM42-BA18</f>
        <v>-188872</v>
      </c>
      <c r="AN44" s="129">
        <f>AN42-BA19</f>
        <v>-184953</v>
      </c>
      <c r="AO44" s="129">
        <f>AO42-BA20</f>
        <v>-182614</v>
      </c>
      <c r="AP44" s="129">
        <f>AP42-BA21</f>
        <v>-175881</v>
      </c>
      <c r="AQ44" s="129">
        <f>AQ42-BA22</f>
        <v>-197695</v>
      </c>
      <c r="AR44" s="129">
        <f>AR42-BA23</f>
        <v>-223910</v>
      </c>
      <c r="AS44" s="129">
        <f>AS42-BA24</f>
        <v>-237781</v>
      </c>
      <c r="AT44" s="129">
        <f>AT42-BA26</f>
        <v>-253724</v>
      </c>
      <c r="AU44" s="129">
        <f>AU42-BA27</f>
        <v>-232716</v>
      </c>
    </row>
    <row r="45" spans="1:59">
      <c r="D45" s="50" t="s">
        <v>10499</v>
      </c>
    </row>
  </sheetData>
  <hyperlinks>
    <hyperlink ref="D44" r:id="rId1" xr:uid="{00000000-0004-0000-0B00-000000000000}"/>
    <hyperlink ref="D45" r:id="rId2" xr:uid="{00000000-0004-0000-0B00-000001000000}"/>
  </hyperlinks>
  <pageMargins left="0.7" right="0.7" top="0.75" bottom="0.75" header="0.3" footer="0.3"/>
  <pageSetup paperSize="9" orientation="portrait" r:id="rId3"/>
  <legacyDrawing r:id="rId4"/>
</worksheet>
</file>

<file path=xl/worksheets/sheet1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dimension ref="A1:BC63"/>
  <sheetViews>
    <sheetView zoomScaleNormal="100" workbookViewId="0">
      <pane xSplit="2" ySplit="4" topLeftCell="AC5" activePane="bottomRight" state="frozen"/>
      <selection pane="topRight" activeCell="C1" sqref="C1"/>
      <selection pane="bottomLeft" activeCell="A5" sqref="A5"/>
      <selection pane="bottomRight" activeCell="AK10" sqref="AK10"/>
    </sheetView>
  </sheetViews>
  <sheetFormatPr defaultColWidth="8.85546875" defaultRowHeight="15"/>
  <cols>
    <col min="1" max="1" width="5" style="72" bestFit="1" customWidth="1"/>
    <col min="2" max="2" width="4.28515625" style="72" bestFit="1" customWidth="1"/>
    <col min="3" max="3" width="12" style="72" bestFit="1" customWidth="1"/>
    <col min="4" max="4" width="13.140625" style="72" bestFit="1" customWidth="1"/>
    <col min="5" max="5" width="14.140625" style="72" bestFit="1" customWidth="1"/>
    <col min="6" max="6" width="14.85546875" style="72" bestFit="1" customWidth="1"/>
    <col min="7" max="7" width="19.42578125" style="72" bestFit="1" customWidth="1"/>
    <col min="8" max="8" width="11.42578125" style="72" bestFit="1" customWidth="1"/>
    <col min="9" max="9" width="12.28515625" style="72" bestFit="1" customWidth="1"/>
    <col min="10" max="10" width="14.42578125" style="72" bestFit="1" customWidth="1"/>
    <col min="11" max="11" width="14.140625" style="72" bestFit="1" customWidth="1"/>
    <col min="12" max="13" width="11" style="72" bestFit="1" customWidth="1"/>
    <col min="14" max="14" width="12" style="72" bestFit="1" customWidth="1"/>
    <col min="15" max="15" width="12.7109375" style="72" bestFit="1" customWidth="1"/>
    <col min="16" max="16" width="15.42578125" style="72" customWidth="1"/>
    <col min="17" max="17" width="18.7109375" style="72" bestFit="1" customWidth="1"/>
    <col min="18" max="18" width="11.42578125" style="72" bestFit="1" customWidth="1"/>
    <col min="19" max="19" width="12.42578125" style="72" bestFit="1" customWidth="1"/>
    <col min="20" max="20" width="9" style="72" bestFit="1" customWidth="1"/>
    <col min="21" max="21" width="2.7109375" style="72" customWidth="1"/>
    <col min="22" max="22" width="12.42578125" style="72" bestFit="1" customWidth="1"/>
    <col min="23" max="23" width="9.28515625" style="72" bestFit="1" customWidth="1"/>
    <col min="24" max="24" width="3.28515625" style="72" customWidth="1"/>
    <col min="25" max="25" width="11.42578125" style="72" bestFit="1" customWidth="1"/>
    <col min="26" max="26" width="12.42578125" style="72" bestFit="1" customWidth="1"/>
    <col min="27" max="27" width="11.42578125" style="72" bestFit="1" customWidth="1"/>
    <col min="28" max="28" width="7.5703125" style="72" customWidth="1"/>
    <col min="29" max="29" width="15.140625" style="72" bestFit="1" customWidth="1"/>
    <col min="30" max="31" width="16.28515625" style="72" bestFit="1" customWidth="1"/>
    <col min="32" max="32" width="8.85546875" style="72"/>
    <col min="33" max="33" width="14.7109375" style="72" bestFit="1" customWidth="1"/>
    <col min="34" max="34" width="14.140625" style="72" bestFit="1" customWidth="1"/>
    <col min="35" max="35" width="10.42578125" style="72" bestFit="1" customWidth="1"/>
    <col min="36" max="36" width="12.7109375" style="72" bestFit="1" customWidth="1"/>
    <col min="37" max="37" width="16" customWidth="1"/>
    <col min="38" max="38" width="14.140625" style="72" bestFit="1" customWidth="1"/>
    <col min="39" max="39" width="15.5703125" style="72" bestFit="1" customWidth="1"/>
    <col min="40" max="40" width="9.7109375" style="72" bestFit="1" customWidth="1"/>
    <col min="41" max="41" width="13.140625" style="72" bestFit="1" customWidth="1"/>
    <col min="42" max="42" width="14.140625" style="72" bestFit="1" customWidth="1"/>
    <col min="43" max="43" width="12.28515625" style="72" bestFit="1" customWidth="1"/>
    <col min="44" max="46" width="13.28515625" style="72" bestFit="1" customWidth="1"/>
    <col min="47" max="50" width="14.140625" style="72" customWidth="1"/>
    <col min="51" max="51" width="16.28515625" style="72" bestFit="1" customWidth="1"/>
    <col min="52" max="52" width="17" style="72" bestFit="1" customWidth="1"/>
    <col min="53" max="53" width="13.7109375" style="72" bestFit="1" customWidth="1"/>
    <col min="54" max="54" width="13.7109375" customWidth="1"/>
    <col min="55" max="55" width="10.28515625" style="72" bestFit="1" customWidth="1"/>
    <col min="56" max="16384" width="8.85546875" style="72"/>
  </cols>
  <sheetData>
    <row r="1" spans="1:55" ht="77.25">
      <c r="C1" s="294" t="s">
        <v>10500</v>
      </c>
      <c r="D1" s="73" t="s">
        <v>10501</v>
      </c>
      <c r="E1" s="73" t="s">
        <v>10502</v>
      </c>
      <c r="F1" s="74" t="s">
        <v>10503</v>
      </c>
      <c r="G1" s="74" t="s">
        <v>10504</v>
      </c>
      <c r="H1" s="74" t="s">
        <v>10505</v>
      </c>
      <c r="I1" s="75" t="s">
        <v>10506</v>
      </c>
      <c r="J1" s="75" t="s">
        <v>10507</v>
      </c>
      <c r="K1" s="76" t="s">
        <v>10508</v>
      </c>
      <c r="P1" s="98">
        <f>$AR$2/(C2-B5)/12</f>
        <v>0</v>
      </c>
      <c r="Q1" s="295" t="s">
        <v>10509</v>
      </c>
      <c r="R1" s="50" t="s">
        <v>10510</v>
      </c>
      <c r="Y1" s="294" t="s">
        <v>10511</v>
      </c>
      <c r="Z1" s="296" t="s">
        <v>10512</v>
      </c>
      <c r="AC1" s="294" t="s">
        <v>10513</v>
      </c>
      <c r="AD1" s="294" t="s">
        <v>10514</v>
      </c>
      <c r="AE1" s="84"/>
      <c r="AG1" s="73" t="s">
        <v>10515</v>
      </c>
      <c r="AH1" s="77" t="s">
        <v>10516</v>
      </c>
      <c r="AI1" s="294" t="s">
        <v>10517</v>
      </c>
      <c r="AL1" s="294" t="s">
        <v>10518</v>
      </c>
      <c r="AM1" s="295"/>
      <c r="AR1" s="73" t="s">
        <v>10519</v>
      </c>
      <c r="AS1" s="73" t="s">
        <v>10520</v>
      </c>
      <c r="AT1" s="73" t="s">
        <v>10521</v>
      </c>
      <c r="AU1" s="73" t="s">
        <v>10522</v>
      </c>
      <c r="AV1" s="73" t="s">
        <v>10523</v>
      </c>
      <c r="AW1" s="75" t="s">
        <v>10524</v>
      </c>
      <c r="AX1" s="73" t="s">
        <v>10525</v>
      </c>
      <c r="AY1" s="73" t="s">
        <v>10526</v>
      </c>
      <c r="AZ1" s="297" t="s">
        <v>10527</v>
      </c>
      <c r="BC1" s="298"/>
    </row>
    <row r="2" spans="1:55">
      <c r="C2" s="299">
        <v>57</v>
      </c>
      <c r="D2" s="78">
        <v>0.06</v>
      </c>
      <c r="E2" s="79">
        <v>0</v>
      </c>
      <c r="F2" s="80">
        <v>0.31</v>
      </c>
      <c r="G2" s="81">
        <v>0.12</v>
      </c>
      <c r="H2" s="79">
        <v>0.33</v>
      </c>
      <c r="I2" s="82">
        <v>8000000</v>
      </c>
      <c r="J2" s="79">
        <v>7.0000000000000007E-2</v>
      </c>
      <c r="K2" s="300">
        <v>0</v>
      </c>
      <c r="P2" s="84">
        <f>P1*12</f>
        <v>0</v>
      </c>
      <c r="Q2" s="298" t="s">
        <v>10528</v>
      </c>
      <c r="T2" s="85"/>
      <c r="Y2" s="79">
        <v>0.06</v>
      </c>
      <c r="Z2" s="79">
        <v>0.03</v>
      </c>
      <c r="AA2" s="84"/>
      <c r="AB2" s="84"/>
      <c r="AC2" s="301">
        <f>INDEX(AH:AH,MATCH($C$2,B:B,0))</f>
        <v>10639409.216617573</v>
      </c>
      <c r="AD2" s="302">
        <f>INDEX(AJ:AJ,MATCH($C$2,B:B,0))</f>
        <v>10639409.216617573</v>
      </c>
      <c r="AE2" s="84"/>
      <c r="AG2" s="79">
        <v>0.03</v>
      </c>
      <c r="AH2" s="82">
        <v>300000</v>
      </c>
      <c r="AI2" s="79">
        <v>0.12</v>
      </c>
      <c r="AL2" s="301">
        <f>INDEX(AL:AL,MATCH($C$2,B:B,0))</f>
        <v>39426000</v>
      </c>
      <c r="AM2" s="303"/>
      <c r="AR2" s="87">
        <f>INDEX(N:N,MATCH($C$2,B:B,0))</f>
        <v>0</v>
      </c>
      <c r="AS2" s="301">
        <f>INDEX(AC:AC,MATCH($C$2,B:B,0))</f>
        <v>85048305.410844877</v>
      </c>
      <c r="AT2" s="301">
        <f>INDEX(AD:AD,MATCH($C$2,B:B,0))</f>
        <v>92938623.050352573</v>
      </c>
      <c r="AU2" s="86">
        <v>0</v>
      </c>
      <c r="AV2" s="79">
        <v>0.04</v>
      </c>
      <c r="AW2" s="97">
        <f>$AU$2*$AV$2</f>
        <v>0</v>
      </c>
      <c r="AX2" s="83">
        <v>2</v>
      </c>
      <c r="AY2" s="87">
        <f>$AR$2*AX2</f>
        <v>0</v>
      </c>
      <c r="AZ2" s="97">
        <f>AY2*$AV$2</f>
        <v>0</v>
      </c>
      <c r="BC2" s="295" t="str">
        <f>IF(BF5=1, "Vin", "")</f>
        <v/>
      </c>
    </row>
    <row r="3" spans="1:55">
      <c r="AK3" t="s">
        <v>10529</v>
      </c>
      <c r="AM3" s="304" t="s">
        <v>10530</v>
      </c>
      <c r="BB3" t="s">
        <v>10529</v>
      </c>
    </row>
    <row r="4" spans="1:55" ht="90">
      <c r="A4" s="74" t="s">
        <v>1022</v>
      </c>
      <c r="B4" s="74" t="s">
        <v>1020</v>
      </c>
      <c r="C4" s="74" t="s">
        <v>1027</v>
      </c>
      <c r="D4" s="74" t="s">
        <v>10531</v>
      </c>
      <c r="E4" s="74" t="s">
        <v>10532</v>
      </c>
      <c r="F4" s="73" t="s">
        <v>10533</v>
      </c>
      <c r="G4" s="73" t="s">
        <v>10534</v>
      </c>
      <c r="H4" s="73" t="s">
        <v>10535</v>
      </c>
      <c r="I4" s="73" t="s">
        <v>10536</v>
      </c>
      <c r="J4" s="73" t="s">
        <v>10537</v>
      </c>
      <c r="K4" s="73" t="s">
        <v>10538</v>
      </c>
      <c r="L4" s="73" t="s">
        <v>10539</v>
      </c>
      <c r="M4" s="73" t="s">
        <v>10540</v>
      </c>
      <c r="N4" s="88" t="s">
        <v>10541</v>
      </c>
      <c r="O4" s="73" t="s">
        <v>10542</v>
      </c>
      <c r="P4" s="73" t="s">
        <v>10543</v>
      </c>
      <c r="Q4" s="294" t="s">
        <v>10544</v>
      </c>
      <c r="R4" s="73" t="s">
        <v>10545</v>
      </c>
      <c r="S4" s="73" t="s">
        <v>10546</v>
      </c>
      <c r="T4" s="73" t="s">
        <v>10547</v>
      </c>
      <c r="V4" s="73" t="s">
        <v>10548</v>
      </c>
      <c r="W4" s="73" t="s">
        <v>10549</v>
      </c>
      <c r="Y4" s="294" t="s">
        <v>10550</v>
      </c>
      <c r="Z4" s="294" t="s">
        <v>10551</v>
      </c>
      <c r="AA4" s="73" t="s">
        <v>10552</v>
      </c>
      <c r="AB4" s="73" t="s">
        <v>10553</v>
      </c>
      <c r="AC4" s="73" t="s">
        <v>10520</v>
      </c>
      <c r="AD4" s="294" t="s">
        <v>10554</v>
      </c>
      <c r="AE4" s="73" t="s">
        <v>10555</v>
      </c>
      <c r="AF4" s="73" t="s">
        <v>10556</v>
      </c>
      <c r="AG4" s="296" t="s">
        <v>10557</v>
      </c>
      <c r="AH4" s="294" t="s">
        <v>10558</v>
      </c>
      <c r="AI4" s="294" t="s">
        <v>10559</v>
      </c>
      <c r="AJ4" s="294" t="s">
        <v>10560</v>
      </c>
      <c r="AK4" s="99" t="s">
        <v>10561</v>
      </c>
      <c r="AL4" s="294" t="s">
        <v>10562</v>
      </c>
      <c r="AM4" s="305" t="s">
        <v>10563</v>
      </c>
      <c r="AN4" s="295"/>
      <c r="AO4" s="295"/>
      <c r="AP4" s="294" t="s">
        <v>10564</v>
      </c>
      <c r="AQ4" s="294" t="s">
        <v>10565</v>
      </c>
      <c r="AR4" s="294" t="s">
        <v>10566</v>
      </c>
      <c r="AS4" s="294" t="s">
        <v>10567</v>
      </c>
      <c r="AT4" s="294" t="s">
        <v>10568</v>
      </c>
      <c r="AU4" s="294" t="s">
        <v>10569</v>
      </c>
      <c r="AV4" s="294" t="s">
        <v>10570</v>
      </c>
      <c r="AW4" s="294" t="s">
        <v>10571</v>
      </c>
      <c r="AX4" s="294" t="s">
        <v>10572</v>
      </c>
      <c r="AY4" s="294" t="s">
        <v>10573</v>
      </c>
      <c r="BB4" s="99" t="s">
        <v>10561</v>
      </c>
      <c r="BC4" s="294" t="s">
        <v>10574</v>
      </c>
    </row>
    <row r="5" spans="1:55">
      <c r="A5" s="72">
        <v>2020</v>
      </c>
      <c r="B5" s="89">
        <v>42</v>
      </c>
      <c r="C5" s="90">
        <v>8000000</v>
      </c>
      <c r="D5" s="90">
        <v>230000</v>
      </c>
      <c r="E5" s="91">
        <f>D5*12</f>
        <v>2760000</v>
      </c>
      <c r="F5" s="91">
        <f>E5*$E$2</f>
        <v>0</v>
      </c>
      <c r="G5" s="91">
        <f>IF(B5&lt;= $C$2,C5-F5-$K$2, 0)</f>
        <v>8000000</v>
      </c>
      <c r="H5" s="91">
        <f>C5*$F$2</f>
        <v>2480000</v>
      </c>
      <c r="I5" s="91">
        <f>G5*$F$2</f>
        <v>2480000</v>
      </c>
      <c r="J5" s="91">
        <f>H5-I5</f>
        <v>0</v>
      </c>
      <c r="K5" s="91">
        <f>IF(B5&lt;= $C$2,F5+$K$2,0)</f>
        <v>0</v>
      </c>
      <c r="L5" s="91">
        <f>J5</f>
        <v>0</v>
      </c>
      <c r="M5" s="92">
        <f>K5+L5</f>
        <v>0</v>
      </c>
      <c r="N5" s="92">
        <f>IF(B6&lt;= $C$2,F5+$K$2,0)</f>
        <v>0</v>
      </c>
      <c r="O5" s="93">
        <f t="shared" ref="O5:O21" si="0">IF(B5&lt;= $C$2,K5/C5, "")</f>
        <v>0</v>
      </c>
      <c r="P5" s="84">
        <f>E5*$G$2</f>
        <v>331200</v>
      </c>
      <c r="Q5" s="84">
        <f>D5*$G$2*12</f>
        <v>331200</v>
      </c>
      <c r="R5" s="84">
        <f>E5*$H$2</f>
        <v>910800</v>
      </c>
      <c r="S5" s="84">
        <f>H5+P5+R5</f>
        <v>3722000</v>
      </c>
      <c r="T5" s="93">
        <f>IF(B5&lt;= $C$2,S5/C5, "")</f>
        <v>0.46525</v>
      </c>
      <c r="V5" s="84">
        <f>I5+P5+R5</f>
        <v>3722000</v>
      </c>
      <c r="W5" s="93">
        <f>IF(B5&lt;= $C$2,V5/G5, "")</f>
        <v>0.46525</v>
      </c>
      <c r="Y5" s="84">
        <f>P5+R5</f>
        <v>1242000</v>
      </c>
      <c r="Z5" s="84">
        <f>IF(B5&lt;= $C$2,Y5, 0)</f>
        <v>1242000</v>
      </c>
      <c r="AA5" s="84">
        <f>P5+Q5+R5</f>
        <v>1573200</v>
      </c>
      <c r="AB5" s="85">
        <f>IF(B5&lt;=$C$2,7%,"")</f>
        <v>7.0000000000000007E-2</v>
      </c>
      <c r="AC5" s="84">
        <f>IF(B5&lt;= $C$2,(AA5+$I$2)*AB5+(AA5+$I$2), 0)</f>
        <v>10243324</v>
      </c>
      <c r="AD5" s="94">
        <f>IF(B5&lt;= $C$2,(AA5+$I$2)*$J$2+(AA5+$I$2), "")</f>
        <v>10243324</v>
      </c>
      <c r="AE5" s="94">
        <f>IF(B5&lt;= $C$2,AD5-Z5, "")</f>
        <v>9001324</v>
      </c>
      <c r="AF5" s="95">
        <f>IF(B5&lt;= $C$2,AE5/Z5, "")</f>
        <v>7.2474428341384867</v>
      </c>
      <c r="AG5" s="289">
        <f>(C5-H5)*$Y$2</f>
        <v>331200</v>
      </c>
      <c r="AH5" s="289">
        <f>IF(B5&lt;= $C$2,AG5*$Z$2+AG5, 0)</f>
        <v>341136</v>
      </c>
      <c r="AI5" s="289">
        <f>IF(B5&lt;= $C$2,(C5-I5)*$Y$2, 0)</f>
        <v>331200</v>
      </c>
      <c r="AJ5" s="289">
        <f>IF(B5&lt;= $C$2,AI5*$Z$2+AI5,0)</f>
        <v>341136</v>
      </c>
      <c r="AK5" s="289"/>
      <c r="AL5" s="289">
        <f>AK5</f>
        <v>0</v>
      </c>
      <c r="AM5" s="84">
        <f t="shared" ref="AM5:AM19" si="1">IF(LEN(AO5)&gt;=1, AL5-$AL$2, 0)</f>
        <v>0</v>
      </c>
      <c r="AN5" t="str">
        <f>IF(B5&lt;=$C$2, "", B5)</f>
        <v/>
      </c>
      <c r="AO5" t="str">
        <f>IF(AN5="","",AN5-$C$2)</f>
        <v/>
      </c>
      <c r="AP5" s="289">
        <f>IF(B5&gt; $C$2, $AR$2, 0)</f>
        <v>0</v>
      </c>
      <c r="AQ5" s="289">
        <f>IF(B5&gt; $C$2, $AS$2, 0)</f>
        <v>0</v>
      </c>
      <c r="AR5" s="289">
        <f>IF(B5&gt; $C$2, $AT$2, 0)</f>
        <v>0</v>
      </c>
      <c r="AS5" s="289">
        <f>IF(LEN(AO5)&gt;=1, $AS$2-$AU$2-AV5, 0)</f>
        <v>0</v>
      </c>
      <c r="AT5" s="289">
        <f>IF(LEN(AO5)&gt;=1,AR5-$AU$2-AV4, 0)</f>
        <v>0</v>
      </c>
      <c r="AU5" s="289">
        <f t="shared" ref="AU5:AU63" si="2">IF(LEN(AO5)&gt;=1, $AH$2 + $AH$2* (AO5-1) * $AI$2 /12, 0)</f>
        <v>0</v>
      </c>
      <c r="AV5" s="289">
        <f>IF(LEN(AU5)&gt;=1, AU5*12, 0)</f>
        <v>0</v>
      </c>
      <c r="AW5" s="289">
        <f>AV5</f>
        <v>0</v>
      </c>
      <c r="AX5" s="289">
        <f>IF(LEN(AO5)&gt;=1,($AW$2+$AZ$2+$AC$2+AS5+AM5-AV5)*$AG$2+$AW$2+$AZ$2+$AC$2+AS5+AM5-AV5,0)</f>
        <v>0</v>
      </c>
      <c r="AY5" s="289">
        <f t="shared" ref="AY5:AY18" si="3">IF(LEN(AO5)&gt;=1,($AW$2 + $AZ$2 +$AC$2 + $AL$2 + AT5 + AM5 - AV5)*$AG$2 + $AW$2 + $AZ$2 + $AC$2 + $AL$2 + AT5 + AM5 - AV5, 0)</f>
        <v>0</v>
      </c>
      <c r="BB5" s="289"/>
      <c r="BC5" s="289"/>
    </row>
    <row r="6" spans="1:55">
      <c r="A6" s="72">
        <f>A5+1</f>
        <v>2021</v>
      </c>
      <c r="B6" s="72">
        <f>B5+1</f>
        <v>43</v>
      </c>
      <c r="C6" s="91">
        <f>IF(B6&lt;= $C$2, C5+C5*$D$2, 0)</f>
        <v>8480000</v>
      </c>
      <c r="D6" s="91">
        <f>IF(B6&lt;= $C$2, D5+D5*$D$2, 0)</f>
        <v>243800</v>
      </c>
      <c r="E6" s="91">
        <f t="shared" ref="E6:E63" si="4">D6*12</f>
        <v>2925600</v>
      </c>
      <c r="F6" s="91">
        <f t="shared" ref="F6:F63" si="5">E6*$E$2</f>
        <v>0</v>
      </c>
      <c r="G6" s="91">
        <f t="shared" ref="G6:G63" si="6">IF(B6&lt;= $C$2,C6-F6-$K$2, 0)</f>
        <v>8480000</v>
      </c>
      <c r="H6" s="91">
        <f t="shared" ref="H6:H63" si="7">C6*$F$2</f>
        <v>2628800</v>
      </c>
      <c r="I6" s="91">
        <f t="shared" ref="I6:I63" si="8">G6*$F$2</f>
        <v>2628800</v>
      </c>
      <c r="J6" s="91">
        <f t="shared" ref="J6:J63" si="9">H6-I6</f>
        <v>0</v>
      </c>
      <c r="K6" s="91">
        <f t="shared" ref="K6:K63" si="10">IF(B6&lt;= $C$2,F6+$K$2,0)</f>
        <v>0</v>
      </c>
      <c r="L6" s="91">
        <f>IF(B6&lt;= $C$2,L5+J6, 0)</f>
        <v>0</v>
      </c>
      <c r="M6" s="92">
        <f t="shared" ref="M6:M63" si="11">K6+L6</f>
        <v>0</v>
      </c>
      <c r="N6" s="92">
        <f>IF(B6&lt;= $C$2,N5+F6+$K$2, 0)</f>
        <v>0</v>
      </c>
      <c r="O6" s="93">
        <f t="shared" si="0"/>
        <v>0</v>
      </c>
      <c r="P6" s="84">
        <f t="shared" ref="P6:P63" si="12">E6*$G$2</f>
        <v>351072</v>
      </c>
      <c r="Q6" s="84">
        <f t="shared" ref="Q6:Q63" si="13">D6*$G$2*12</f>
        <v>351072</v>
      </c>
      <c r="R6" s="84">
        <f t="shared" ref="R6:R63" si="14">E6*$H$2</f>
        <v>965448</v>
      </c>
      <c r="S6" s="84">
        <f t="shared" ref="S6:S63" si="15">H6+P6+R6</f>
        <v>3945320</v>
      </c>
      <c r="T6" s="93">
        <f t="shared" ref="T6:T63" si="16">IF(B6&lt;= $C$2,S6/C6, "")</f>
        <v>0.46525</v>
      </c>
      <c r="V6" s="84">
        <f t="shared" ref="V6:V63" si="17">I6+P6+R6</f>
        <v>3945320</v>
      </c>
      <c r="W6" s="93">
        <f t="shared" ref="W6:W63" si="18">IF(B6&lt;= $C$2,V6/G6, "")</f>
        <v>0.46525</v>
      </c>
      <c r="Y6" s="84">
        <f t="shared" ref="Y6:Y63" si="19">P6+R6</f>
        <v>1316520</v>
      </c>
      <c r="Z6" s="84">
        <f>IF(B6&lt;= $C$2,Z5+Y6, 0)</f>
        <v>2558520</v>
      </c>
      <c r="AA6" s="84">
        <f t="shared" ref="AA6:AA63" si="20">P6+Q6+R6</f>
        <v>1667592</v>
      </c>
      <c r="AB6" s="85">
        <f>IF(B6&lt;=$C$2,AB5-0.1%,"")</f>
        <v>6.9000000000000006E-2</v>
      </c>
      <c r="AC6" s="84">
        <f>IF(B6&lt;= $C$2,(AA6+AC5)*AB6+(AA6+AC5), 0)</f>
        <v>12732769.204</v>
      </c>
      <c r="AD6" s="94">
        <f>IF(B6&lt;= $C$2,(AD5+AA6)*$J$2 +AD5 + AA6, "")</f>
        <v>12744680.120000001</v>
      </c>
      <c r="AE6" s="94">
        <f t="shared" ref="AE6:AE63" si="21">IF(B6&lt;= $C$2,AD6-Z6, "")</f>
        <v>10186160.120000001</v>
      </c>
      <c r="AF6" s="95">
        <f t="shared" ref="AF6:AF63" si="22">IF(B6&lt;= $C$2,AE6/Z6, "")</f>
        <v>3.9812704688648131</v>
      </c>
      <c r="AG6" s="289">
        <f>(C6-H6)*$Y$2</f>
        <v>351072</v>
      </c>
      <c r="AH6" s="84">
        <f>IF(B6&lt;= $C$2,(AG6+AH5)*$Z$2+AG6+AH5, 0)</f>
        <v>712974.24</v>
      </c>
      <c r="AI6" s="289">
        <f>IF(B6&lt;= $C$2,(C6-I6)*$Y$2, 0)</f>
        <v>351072</v>
      </c>
      <c r="AJ6" s="84">
        <f t="shared" ref="AJ6:AJ63" si="23">IF(B6&lt;= $C$2,(AI6+AJ5)*$Z$2+AI6+AJ5,0)</f>
        <v>712974.24</v>
      </c>
      <c r="AK6" s="84"/>
      <c r="AL6" s="84">
        <f>AL5+AK6</f>
        <v>0</v>
      </c>
      <c r="AM6" s="84">
        <f t="shared" si="1"/>
        <v>0</v>
      </c>
      <c r="AN6" t="str">
        <f t="shared" ref="AN6:AN63" si="24">IF(B6&lt;=$C$2, "", B6)</f>
        <v/>
      </c>
      <c r="AO6" t="str">
        <f t="shared" ref="AO6:AO63" si="25">IF(AN6="","",AN6-$C$2)</f>
        <v/>
      </c>
      <c r="AP6" s="289">
        <f>IF(B6&gt; $C$2, $AR$2, 0)</f>
        <v>0</v>
      </c>
      <c r="AQ6" s="289">
        <f>IF(B6&gt; $C$2, $AS$2, 0)</f>
        <v>0</v>
      </c>
      <c r="AR6" s="289">
        <f>IF(B6&gt; $C$2, $AT$2, 0)</f>
        <v>0</v>
      </c>
      <c r="AS6" s="289">
        <f t="shared" ref="AS6:AS12" si="26">IF(LEN(AO6)&gt;=1, $AS$2-$AU$2-AV6, 0)</f>
        <v>0</v>
      </c>
      <c r="AT6" s="289">
        <f t="shared" ref="AT6:AT12" si="27">IF(LEN(AO6)&gt;=1,AR6-$AU$2-AV5, 0)</f>
        <v>0</v>
      </c>
      <c r="AU6" s="289">
        <f t="shared" si="2"/>
        <v>0</v>
      </c>
      <c r="AV6" s="289">
        <f t="shared" ref="AV6:AV63" si="28">IF(LEN(AU6)&gt;=1, AU6*12, 0)</f>
        <v>0</v>
      </c>
      <c r="AW6" s="289">
        <f>AW5+AV6</f>
        <v>0</v>
      </c>
      <c r="AX6" s="289">
        <f t="shared" ref="AX6:AX63" si="29">IF(LEN(AO6)&gt;=1,($AW$2+$AZ$2+$AC$2+AS6+AM6-AV6)*$AG$2+$AW$2+$AZ$2+$AC$2+AS6+AM6-AV6,0)</f>
        <v>0</v>
      </c>
      <c r="AY6" s="289">
        <f t="shared" si="3"/>
        <v>0</v>
      </c>
      <c r="BB6" s="84"/>
      <c r="BC6" s="84"/>
    </row>
    <row r="7" spans="1:55">
      <c r="A7" s="72">
        <f t="shared" ref="A7:B22" si="30">A6+1</f>
        <v>2022</v>
      </c>
      <c r="B7" s="72">
        <f t="shared" si="30"/>
        <v>44</v>
      </c>
      <c r="C7" s="91">
        <f t="shared" ref="C7:C63" si="31">IF(B7&lt;= $C$2, C6+C6*$D$2, 0)</f>
        <v>8988800</v>
      </c>
      <c r="D7" s="91">
        <f t="shared" ref="D7:D63" si="32">IF(B7&lt;= $C$2, D6+D6*$D$2, 0)</f>
        <v>258428</v>
      </c>
      <c r="E7" s="91">
        <f t="shared" si="4"/>
        <v>3101136</v>
      </c>
      <c r="F7" s="91">
        <f t="shared" si="5"/>
        <v>0</v>
      </c>
      <c r="G7" s="91">
        <f t="shared" si="6"/>
        <v>8988800</v>
      </c>
      <c r="H7" s="91">
        <f t="shared" si="7"/>
        <v>2786528</v>
      </c>
      <c r="I7" s="91">
        <f t="shared" si="8"/>
        <v>2786528</v>
      </c>
      <c r="J7" s="91">
        <f t="shared" si="9"/>
        <v>0</v>
      </c>
      <c r="K7" s="91">
        <f t="shared" si="10"/>
        <v>0</v>
      </c>
      <c r="L7" s="91">
        <f t="shared" ref="L7:L63" si="33">IF(B7&lt;= $C$2,L6+J7, 0)</f>
        <v>0</v>
      </c>
      <c r="M7" s="92">
        <f t="shared" si="11"/>
        <v>0</v>
      </c>
      <c r="N7" s="92">
        <f t="shared" ref="N7:N63" si="34">IF(B7&lt;= $C$2,N6+F7+$K$2, 0)</f>
        <v>0</v>
      </c>
      <c r="O7" s="93">
        <f t="shared" si="0"/>
        <v>0</v>
      </c>
      <c r="P7" s="84">
        <f t="shared" si="12"/>
        <v>372136.32</v>
      </c>
      <c r="Q7" s="84">
        <f t="shared" si="13"/>
        <v>372136.32</v>
      </c>
      <c r="R7" s="84">
        <f t="shared" si="14"/>
        <v>1023374.88</v>
      </c>
      <c r="S7" s="84">
        <f t="shared" si="15"/>
        <v>4182039.1999999997</v>
      </c>
      <c r="T7" s="93">
        <f t="shared" si="16"/>
        <v>0.46524999999999994</v>
      </c>
      <c r="V7" s="84">
        <f t="shared" si="17"/>
        <v>4182039.1999999997</v>
      </c>
      <c r="W7" s="93">
        <f t="shared" si="18"/>
        <v>0.46524999999999994</v>
      </c>
      <c r="Y7" s="84">
        <f t="shared" si="19"/>
        <v>1395511.2</v>
      </c>
      <c r="Z7" s="84">
        <f>IF(B7&lt;= $C$2,Z6+Y7, 0)</f>
        <v>3954031.2</v>
      </c>
      <c r="AA7" s="84">
        <f t="shared" si="20"/>
        <v>1767647.52</v>
      </c>
      <c r="AB7" s="85">
        <f t="shared" ref="AB7:AB63" si="35">IF(B7&lt;=$C$2,AB6-0.1%,"")</f>
        <v>6.8000000000000005E-2</v>
      </c>
      <c r="AC7" s="84">
        <f t="shared" ref="AC7:AC63" si="36">IF(B7&lt;= $C$2,(AA7+AC6)*AB7+(AA7+AC6), 0)</f>
        <v>15486445.061231999</v>
      </c>
      <c r="AD7" s="94">
        <f>IF(B7&lt;= $C$2,(AD6+AA7)*$J$2 +AD6 + AA7, "")</f>
        <v>15528190.574800001</v>
      </c>
      <c r="AE7" s="94">
        <f t="shared" si="21"/>
        <v>11574159.3748</v>
      </c>
      <c r="AF7" s="95">
        <f t="shared" si="22"/>
        <v>2.9271795768328785</v>
      </c>
      <c r="AG7" s="289">
        <f t="shared" ref="AG7:AG63" si="37">(C7-H7)*$Y$2</f>
        <v>372136.32</v>
      </c>
      <c r="AH7" s="84">
        <f t="shared" ref="AH7:AH63" si="38">IF(B7&lt;= $C$2,(AG7+AH6)*$Z$2+AG7+AH6, 0)</f>
        <v>1117663.8768</v>
      </c>
      <c r="AI7" s="289">
        <f t="shared" ref="AI7:AI63" si="39">IF(B7&lt;= $C$2,(C7-I7)*$Y$2, 0)</f>
        <v>372136.32</v>
      </c>
      <c r="AJ7" s="84">
        <f t="shared" si="23"/>
        <v>1117663.8768</v>
      </c>
      <c r="AK7" s="84"/>
      <c r="AL7" s="84">
        <f t="shared" ref="AL7:AL63" si="40">AL6+AK7</f>
        <v>0</v>
      </c>
      <c r="AM7" s="84">
        <f t="shared" si="1"/>
        <v>0</v>
      </c>
      <c r="AN7" t="str">
        <f t="shared" si="24"/>
        <v/>
      </c>
      <c r="AO7" t="str">
        <f t="shared" si="25"/>
        <v/>
      </c>
      <c r="AP7" s="289">
        <f>IF(B7&gt; $C$2, $AR$2, 0)</f>
        <v>0</v>
      </c>
      <c r="AQ7" s="289">
        <f t="shared" ref="AQ7:AQ63" si="41">IF(B7&gt; $C$2, $AS$2, 0)</f>
        <v>0</v>
      </c>
      <c r="AR7" s="289">
        <f t="shared" ref="AR7:AR63" si="42">IF(B7&gt; $C$2, $AT$2, 0)</f>
        <v>0</v>
      </c>
      <c r="AS7" s="289">
        <f t="shared" si="26"/>
        <v>0</v>
      </c>
      <c r="AT7" s="289">
        <f t="shared" si="27"/>
        <v>0</v>
      </c>
      <c r="AU7" s="289">
        <f t="shared" si="2"/>
        <v>0</v>
      </c>
      <c r="AV7" s="289">
        <f t="shared" si="28"/>
        <v>0</v>
      </c>
      <c r="AW7" s="289">
        <f t="shared" ref="AW7:AW63" si="43">AW6+AV7</f>
        <v>0</v>
      </c>
      <c r="AX7" s="289">
        <f t="shared" si="29"/>
        <v>0</v>
      </c>
      <c r="AY7" s="289">
        <f t="shared" si="3"/>
        <v>0</v>
      </c>
      <c r="BB7" s="84"/>
      <c r="BC7" s="84"/>
    </row>
    <row r="8" spans="1:55">
      <c r="A8" s="72">
        <f t="shared" si="30"/>
        <v>2023</v>
      </c>
      <c r="B8" s="72">
        <f t="shared" si="30"/>
        <v>45</v>
      </c>
      <c r="C8" s="91">
        <f t="shared" si="31"/>
        <v>9528128</v>
      </c>
      <c r="D8" s="91">
        <f t="shared" si="32"/>
        <v>273933.68</v>
      </c>
      <c r="E8" s="91">
        <f t="shared" si="4"/>
        <v>3287204.16</v>
      </c>
      <c r="F8" s="91">
        <f t="shared" si="5"/>
        <v>0</v>
      </c>
      <c r="G8" s="91">
        <f t="shared" si="6"/>
        <v>9528128</v>
      </c>
      <c r="H8" s="91">
        <f t="shared" si="7"/>
        <v>2953719.68</v>
      </c>
      <c r="I8" s="91">
        <f t="shared" si="8"/>
        <v>2953719.68</v>
      </c>
      <c r="J8" s="91">
        <f t="shared" si="9"/>
        <v>0</v>
      </c>
      <c r="K8" s="91">
        <f t="shared" si="10"/>
        <v>0</v>
      </c>
      <c r="L8" s="91">
        <f t="shared" si="33"/>
        <v>0</v>
      </c>
      <c r="M8" s="92">
        <f t="shared" si="11"/>
        <v>0</v>
      </c>
      <c r="N8" s="92">
        <f t="shared" si="34"/>
        <v>0</v>
      </c>
      <c r="O8" s="93">
        <f t="shared" si="0"/>
        <v>0</v>
      </c>
      <c r="P8" s="84">
        <f t="shared" si="12"/>
        <v>394464.49920000002</v>
      </c>
      <c r="Q8" s="84">
        <f t="shared" si="13"/>
        <v>394464.49919999996</v>
      </c>
      <c r="R8" s="84">
        <f t="shared" si="14"/>
        <v>1084777.3728</v>
      </c>
      <c r="S8" s="84">
        <f t="shared" si="15"/>
        <v>4432961.5520000001</v>
      </c>
      <c r="T8" s="93">
        <f t="shared" si="16"/>
        <v>0.46525</v>
      </c>
      <c r="V8" s="84">
        <f t="shared" si="17"/>
        <v>4432961.5520000001</v>
      </c>
      <c r="W8" s="93">
        <f t="shared" si="18"/>
        <v>0.46525</v>
      </c>
      <c r="Y8" s="84">
        <f t="shared" si="19"/>
        <v>1479241.872</v>
      </c>
      <c r="Z8" s="84">
        <f t="shared" ref="Z8:Z63" si="44">IF(B8&lt;= $C$2,Z7+Y8, 0)</f>
        <v>5433273.0720000006</v>
      </c>
      <c r="AA8" s="84">
        <f t="shared" si="20"/>
        <v>1873706.3711999999</v>
      </c>
      <c r="AB8" s="85">
        <f t="shared" si="35"/>
        <v>6.7000000000000004E-2</v>
      </c>
      <c r="AC8" s="84">
        <f t="shared" si="36"/>
        <v>18523281.578404944</v>
      </c>
      <c r="AD8" s="94">
        <f t="shared" ref="AD8:AD63" si="45">IF(B8&lt;= $C$2,(AD7+AA8)*$J$2 +AD7 + AA8, "")</f>
        <v>18620029.732220002</v>
      </c>
      <c r="AE8" s="94">
        <f t="shared" si="21"/>
        <v>13186756.660220001</v>
      </c>
      <c r="AF8" s="95">
        <f t="shared" si="22"/>
        <v>2.4270373466367898</v>
      </c>
      <c r="AG8" s="289">
        <f t="shared" si="37"/>
        <v>394464.49920000002</v>
      </c>
      <c r="AH8" s="84">
        <f t="shared" si="38"/>
        <v>1557492.22728</v>
      </c>
      <c r="AI8" s="289">
        <f t="shared" si="39"/>
        <v>394464.49920000002</v>
      </c>
      <c r="AJ8" s="84">
        <f t="shared" si="23"/>
        <v>1557492.22728</v>
      </c>
      <c r="AK8" s="84"/>
      <c r="AL8" s="84">
        <f t="shared" si="40"/>
        <v>0</v>
      </c>
      <c r="AM8" s="84">
        <f t="shared" si="1"/>
        <v>0</v>
      </c>
      <c r="AN8" t="str">
        <f t="shared" si="24"/>
        <v/>
      </c>
      <c r="AO8" t="str">
        <f t="shared" si="25"/>
        <v/>
      </c>
      <c r="AP8" s="289">
        <f t="shared" ref="AP8:AP63" si="46">IF(B8&gt; $C$2, $AR$2, 0)</f>
        <v>0</v>
      </c>
      <c r="AQ8" s="289">
        <f t="shared" si="41"/>
        <v>0</v>
      </c>
      <c r="AR8" s="289">
        <f t="shared" si="42"/>
        <v>0</v>
      </c>
      <c r="AS8" s="289">
        <f t="shared" si="26"/>
        <v>0</v>
      </c>
      <c r="AT8" s="289">
        <f t="shared" si="27"/>
        <v>0</v>
      </c>
      <c r="AU8" s="289">
        <f t="shared" si="2"/>
        <v>0</v>
      </c>
      <c r="AV8" s="289">
        <f t="shared" si="28"/>
        <v>0</v>
      </c>
      <c r="AW8" s="289">
        <f t="shared" si="43"/>
        <v>0</v>
      </c>
      <c r="AX8" s="289">
        <f t="shared" si="29"/>
        <v>0</v>
      </c>
      <c r="AY8" s="289">
        <f t="shared" si="3"/>
        <v>0</v>
      </c>
      <c r="BB8" s="84"/>
      <c r="BC8" s="84"/>
    </row>
    <row r="9" spans="1:55">
      <c r="A9" s="72">
        <f t="shared" si="30"/>
        <v>2024</v>
      </c>
      <c r="B9" s="72">
        <f t="shared" si="30"/>
        <v>46</v>
      </c>
      <c r="C9" s="91">
        <f t="shared" si="31"/>
        <v>10099815.68</v>
      </c>
      <c r="D9" s="91">
        <f t="shared" si="32"/>
        <v>290369.70079999999</v>
      </c>
      <c r="E9" s="91">
        <f t="shared" si="4"/>
        <v>3484436.4095999999</v>
      </c>
      <c r="F9" s="91">
        <f t="shared" si="5"/>
        <v>0</v>
      </c>
      <c r="G9" s="91">
        <f t="shared" si="6"/>
        <v>10099815.68</v>
      </c>
      <c r="H9" s="91">
        <f t="shared" si="7"/>
        <v>3130942.8607999999</v>
      </c>
      <c r="I9" s="91">
        <f t="shared" si="8"/>
        <v>3130942.8607999999</v>
      </c>
      <c r="J9" s="91">
        <f t="shared" si="9"/>
        <v>0</v>
      </c>
      <c r="K9" s="91">
        <f t="shared" si="10"/>
        <v>0</v>
      </c>
      <c r="L9" s="91">
        <f t="shared" si="33"/>
        <v>0</v>
      </c>
      <c r="M9" s="92">
        <f t="shared" si="11"/>
        <v>0</v>
      </c>
      <c r="N9" s="92">
        <f t="shared" si="34"/>
        <v>0</v>
      </c>
      <c r="O9" s="93">
        <f t="shared" si="0"/>
        <v>0</v>
      </c>
      <c r="P9" s="84">
        <f t="shared" si="12"/>
        <v>418132.369152</v>
      </c>
      <c r="Q9" s="84">
        <f t="shared" si="13"/>
        <v>418132.36915199994</v>
      </c>
      <c r="R9" s="84">
        <f t="shared" si="14"/>
        <v>1149864.015168</v>
      </c>
      <c r="S9" s="84">
        <f t="shared" si="15"/>
        <v>4698939.2451200001</v>
      </c>
      <c r="T9" s="93">
        <f t="shared" si="16"/>
        <v>0.46525</v>
      </c>
      <c r="V9" s="84">
        <f t="shared" si="17"/>
        <v>4698939.2451200001</v>
      </c>
      <c r="W9" s="93">
        <f t="shared" si="18"/>
        <v>0.46525</v>
      </c>
      <c r="Y9" s="84">
        <f t="shared" si="19"/>
        <v>1567996.38432</v>
      </c>
      <c r="Z9" s="84">
        <f t="shared" si="44"/>
        <v>7001269.4563200008</v>
      </c>
      <c r="AA9" s="84">
        <f t="shared" si="20"/>
        <v>1986128.7534719999</v>
      </c>
      <c r="AB9" s="85">
        <f t="shared" si="35"/>
        <v>6.6000000000000003E-2</v>
      </c>
      <c r="AC9" s="84">
        <f t="shared" si="36"/>
        <v>21863031.413780823</v>
      </c>
      <c r="AD9" s="94">
        <f t="shared" si="45"/>
        <v>22048589.579690441</v>
      </c>
      <c r="AE9" s="94">
        <f t="shared" si="21"/>
        <v>15047320.123370441</v>
      </c>
      <c r="AF9" s="95">
        <f t="shared" si="22"/>
        <v>2.1492273961527535</v>
      </c>
      <c r="AG9" s="289">
        <f t="shared" si="37"/>
        <v>418132.369152</v>
      </c>
      <c r="AH9" s="84">
        <f t="shared" si="38"/>
        <v>2034893.3343249601</v>
      </c>
      <c r="AI9" s="289">
        <f t="shared" si="39"/>
        <v>418132.369152</v>
      </c>
      <c r="AJ9" s="84">
        <f t="shared" si="23"/>
        <v>2034893.3343249601</v>
      </c>
      <c r="AK9" s="84"/>
      <c r="AL9" s="84">
        <f t="shared" si="40"/>
        <v>0</v>
      </c>
      <c r="AM9" s="84">
        <f t="shared" si="1"/>
        <v>0</v>
      </c>
      <c r="AN9" t="str">
        <f t="shared" si="24"/>
        <v/>
      </c>
      <c r="AO9" t="str">
        <f t="shared" si="25"/>
        <v/>
      </c>
      <c r="AP9" s="289">
        <f t="shared" si="46"/>
        <v>0</v>
      </c>
      <c r="AQ9" s="289">
        <f t="shared" si="41"/>
        <v>0</v>
      </c>
      <c r="AR9" s="289">
        <f t="shared" si="42"/>
        <v>0</v>
      </c>
      <c r="AS9" s="289">
        <f t="shared" si="26"/>
        <v>0</v>
      </c>
      <c r="AT9" s="289">
        <f t="shared" si="27"/>
        <v>0</v>
      </c>
      <c r="AU9" s="289">
        <f t="shared" si="2"/>
        <v>0</v>
      </c>
      <c r="AV9" s="289">
        <f t="shared" si="28"/>
        <v>0</v>
      </c>
      <c r="AW9" s="289">
        <f t="shared" si="43"/>
        <v>0</v>
      </c>
      <c r="AX9" s="289">
        <f t="shared" si="29"/>
        <v>0</v>
      </c>
      <c r="AY9" s="289">
        <f t="shared" si="3"/>
        <v>0</v>
      </c>
      <c r="BB9" s="84"/>
      <c r="BC9" s="84"/>
    </row>
    <row r="10" spans="1:55">
      <c r="A10" s="72">
        <f t="shared" si="30"/>
        <v>2025</v>
      </c>
      <c r="B10" s="72">
        <f t="shared" si="30"/>
        <v>47</v>
      </c>
      <c r="C10" s="91">
        <f t="shared" si="31"/>
        <v>10705804.6208</v>
      </c>
      <c r="D10" s="91">
        <f t="shared" si="32"/>
        <v>307791.88284799998</v>
      </c>
      <c r="E10" s="91">
        <f t="shared" si="4"/>
        <v>3693502.594176</v>
      </c>
      <c r="F10" s="91">
        <f t="shared" si="5"/>
        <v>0</v>
      </c>
      <c r="G10" s="91">
        <f t="shared" si="6"/>
        <v>10705804.6208</v>
      </c>
      <c r="H10" s="91">
        <f t="shared" si="7"/>
        <v>3318799.4324479997</v>
      </c>
      <c r="I10" s="91">
        <f t="shared" si="8"/>
        <v>3318799.4324479997</v>
      </c>
      <c r="J10" s="91">
        <f t="shared" si="9"/>
        <v>0</v>
      </c>
      <c r="K10" s="91">
        <f t="shared" si="10"/>
        <v>0</v>
      </c>
      <c r="L10" s="91">
        <f t="shared" si="33"/>
        <v>0</v>
      </c>
      <c r="M10" s="92">
        <f t="shared" si="11"/>
        <v>0</v>
      </c>
      <c r="N10" s="92">
        <f t="shared" si="34"/>
        <v>0</v>
      </c>
      <c r="O10" s="93">
        <f t="shared" si="0"/>
        <v>0</v>
      </c>
      <c r="P10" s="84">
        <f t="shared" si="12"/>
        <v>443220.31130111997</v>
      </c>
      <c r="Q10" s="84">
        <f t="shared" si="13"/>
        <v>443220.31130111997</v>
      </c>
      <c r="R10" s="84">
        <f t="shared" si="14"/>
        <v>1218855.8560780801</v>
      </c>
      <c r="S10" s="84">
        <f t="shared" si="15"/>
        <v>4980875.5998272002</v>
      </c>
      <c r="T10" s="93">
        <f t="shared" si="16"/>
        <v>0.46525000000000005</v>
      </c>
      <c r="V10" s="84">
        <f t="shared" si="17"/>
        <v>4980875.5998272002</v>
      </c>
      <c r="W10" s="93">
        <f t="shared" si="18"/>
        <v>0.46525000000000005</v>
      </c>
      <c r="Y10" s="84">
        <f t="shared" si="19"/>
        <v>1662076.1673792</v>
      </c>
      <c r="Z10" s="84">
        <f t="shared" si="44"/>
        <v>8663345.6236992013</v>
      </c>
      <c r="AA10" s="84">
        <f t="shared" si="20"/>
        <v>2105296.4786803201</v>
      </c>
      <c r="AB10" s="85">
        <f t="shared" si="35"/>
        <v>6.5000000000000002E-2</v>
      </c>
      <c r="AC10" s="84">
        <f t="shared" si="36"/>
        <v>25526269.205471117</v>
      </c>
      <c r="AD10" s="94">
        <f t="shared" si="45"/>
        <v>25844658.082456715</v>
      </c>
      <c r="AE10" s="94">
        <f t="shared" si="21"/>
        <v>17181312.458757512</v>
      </c>
      <c r="AF10" s="95">
        <f t="shared" si="22"/>
        <v>1.9832190939902945</v>
      </c>
      <c r="AG10" s="289">
        <f t="shared" si="37"/>
        <v>443220.31130111997</v>
      </c>
      <c r="AH10" s="84">
        <f t="shared" si="38"/>
        <v>2552457.0549948625</v>
      </c>
      <c r="AI10" s="289">
        <f t="shared" si="39"/>
        <v>443220.31130111997</v>
      </c>
      <c r="AJ10" s="84">
        <f t="shared" si="23"/>
        <v>2552457.0549948625</v>
      </c>
      <c r="AK10" s="84">
        <f>4000000+100000+1100000+2500000</f>
        <v>7700000</v>
      </c>
      <c r="AL10" s="84">
        <f t="shared" si="40"/>
        <v>7700000</v>
      </c>
      <c r="AM10" s="84">
        <f t="shared" si="1"/>
        <v>0</v>
      </c>
      <c r="AN10" t="str">
        <f t="shared" si="24"/>
        <v/>
      </c>
      <c r="AO10" t="str">
        <f t="shared" si="25"/>
        <v/>
      </c>
      <c r="AP10" s="289">
        <f t="shared" si="46"/>
        <v>0</v>
      </c>
      <c r="AQ10" s="289">
        <f t="shared" si="41"/>
        <v>0</v>
      </c>
      <c r="AR10" s="289">
        <f t="shared" si="42"/>
        <v>0</v>
      </c>
      <c r="AS10" s="289">
        <f t="shared" si="26"/>
        <v>0</v>
      </c>
      <c r="AT10" s="289">
        <f t="shared" si="27"/>
        <v>0</v>
      </c>
      <c r="AU10" s="289">
        <f t="shared" si="2"/>
        <v>0</v>
      </c>
      <c r="AV10" s="289">
        <f t="shared" si="28"/>
        <v>0</v>
      </c>
      <c r="AW10" s="289">
        <f t="shared" si="43"/>
        <v>0</v>
      </c>
      <c r="AX10" s="289">
        <f t="shared" si="29"/>
        <v>0</v>
      </c>
      <c r="AY10" s="289">
        <f t="shared" si="3"/>
        <v>0</v>
      </c>
      <c r="BB10" s="84">
        <v>5000000</v>
      </c>
      <c r="BC10" s="84"/>
    </row>
    <row r="11" spans="1:55">
      <c r="A11" s="72">
        <f t="shared" si="30"/>
        <v>2026</v>
      </c>
      <c r="B11" s="72">
        <f t="shared" si="30"/>
        <v>48</v>
      </c>
      <c r="C11" s="91">
        <f t="shared" si="31"/>
        <v>11348152.898048</v>
      </c>
      <c r="D11" s="91">
        <f t="shared" si="32"/>
        <v>326259.39581888</v>
      </c>
      <c r="E11" s="91">
        <f t="shared" si="4"/>
        <v>3915112.7498265598</v>
      </c>
      <c r="F11" s="91">
        <f t="shared" si="5"/>
        <v>0</v>
      </c>
      <c r="G11" s="91">
        <f t="shared" si="6"/>
        <v>11348152.898048</v>
      </c>
      <c r="H11" s="91">
        <f t="shared" si="7"/>
        <v>3517927.3983948799</v>
      </c>
      <c r="I11" s="91">
        <f t="shared" si="8"/>
        <v>3517927.3983948799</v>
      </c>
      <c r="J11" s="91">
        <f t="shared" si="9"/>
        <v>0</v>
      </c>
      <c r="K11" s="91">
        <f t="shared" si="10"/>
        <v>0</v>
      </c>
      <c r="L11" s="91">
        <f t="shared" si="33"/>
        <v>0</v>
      </c>
      <c r="M11" s="92">
        <f t="shared" si="11"/>
        <v>0</v>
      </c>
      <c r="N11" s="92">
        <f t="shared" si="34"/>
        <v>0</v>
      </c>
      <c r="O11" s="93">
        <f t="shared" si="0"/>
        <v>0</v>
      </c>
      <c r="P11" s="84">
        <f t="shared" si="12"/>
        <v>469813.52997918718</v>
      </c>
      <c r="Q11" s="84">
        <f t="shared" si="13"/>
        <v>469813.52997918718</v>
      </c>
      <c r="R11" s="84">
        <f t="shared" si="14"/>
        <v>1291987.2074427649</v>
      </c>
      <c r="S11" s="84">
        <f t="shared" si="15"/>
        <v>5279728.1358168321</v>
      </c>
      <c r="T11" s="93">
        <f t="shared" si="16"/>
        <v>0.46525</v>
      </c>
      <c r="V11" s="84">
        <f t="shared" si="17"/>
        <v>5279728.1358168321</v>
      </c>
      <c r="W11" s="93">
        <f t="shared" si="18"/>
        <v>0.46525</v>
      </c>
      <c r="Y11" s="84">
        <f t="shared" si="19"/>
        <v>1761800.7374219522</v>
      </c>
      <c r="Z11" s="84">
        <f t="shared" si="44"/>
        <v>10425146.361121153</v>
      </c>
      <c r="AA11" s="84">
        <f t="shared" si="20"/>
        <v>2231614.2674011393</v>
      </c>
      <c r="AB11" s="85">
        <f t="shared" si="35"/>
        <v>6.4000000000000001E-2</v>
      </c>
      <c r="AC11" s="84">
        <f t="shared" si="36"/>
        <v>29534388.015136082</v>
      </c>
      <c r="AD11" s="94">
        <f t="shared" si="45"/>
        <v>30041611.414347906</v>
      </c>
      <c r="AE11" s="94">
        <f t="shared" si="21"/>
        <v>19616465.053226754</v>
      </c>
      <c r="AF11" s="95">
        <f t="shared" si="22"/>
        <v>1.88164888757659</v>
      </c>
      <c r="AG11" s="289">
        <f t="shared" si="37"/>
        <v>469813.52997918724</v>
      </c>
      <c r="AH11" s="84">
        <f t="shared" si="38"/>
        <v>3112938.7025232711</v>
      </c>
      <c r="AI11" s="289">
        <f t="shared" si="39"/>
        <v>469813.52997918724</v>
      </c>
      <c r="AJ11" s="84">
        <f t="shared" si="23"/>
        <v>3112938.7025232711</v>
      </c>
      <c r="AK11" s="306">
        <f>1800000+125000</f>
        <v>1925000</v>
      </c>
      <c r="AL11" s="84">
        <f t="shared" si="40"/>
        <v>9625000</v>
      </c>
      <c r="AM11" s="84">
        <f t="shared" si="1"/>
        <v>0</v>
      </c>
      <c r="AN11" t="str">
        <f t="shared" si="24"/>
        <v/>
      </c>
      <c r="AO11" t="str">
        <f t="shared" si="25"/>
        <v/>
      </c>
      <c r="AP11" s="289">
        <f t="shared" si="46"/>
        <v>0</v>
      </c>
      <c r="AQ11" s="289">
        <f t="shared" si="41"/>
        <v>0</v>
      </c>
      <c r="AR11" s="289">
        <f t="shared" si="42"/>
        <v>0</v>
      </c>
      <c r="AS11" s="289">
        <f t="shared" si="26"/>
        <v>0</v>
      </c>
      <c r="AT11" s="289">
        <f t="shared" si="27"/>
        <v>0</v>
      </c>
      <c r="AU11" s="289">
        <f t="shared" si="2"/>
        <v>0</v>
      </c>
      <c r="AV11" s="289">
        <f t="shared" si="28"/>
        <v>0</v>
      </c>
      <c r="AW11" s="289">
        <f t="shared" si="43"/>
        <v>0</v>
      </c>
      <c r="AX11" s="289">
        <f t="shared" si="29"/>
        <v>0</v>
      </c>
      <c r="AY11" s="289">
        <f t="shared" si="3"/>
        <v>0</v>
      </c>
      <c r="BB11" s="306">
        <v>1800000</v>
      </c>
      <c r="BC11" s="306">
        <v>1800000</v>
      </c>
    </row>
    <row r="12" spans="1:55">
      <c r="A12" s="72">
        <f t="shared" si="30"/>
        <v>2027</v>
      </c>
      <c r="B12" s="72">
        <f t="shared" si="30"/>
        <v>49</v>
      </c>
      <c r="C12" s="91">
        <f t="shared" si="31"/>
        <v>12029042.07193088</v>
      </c>
      <c r="D12" s="91">
        <f t="shared" si="32"/>
        <v>345834.9595680128</v>
      </c>
      <c r="E12" s="91">
        <f t="shared" si="4"/>
        <v>4150019.5148161538</v>
      </c>
      <c r="F12" s="91">
        <f t="shared" si="5"/>
        <v>0</v>
      </c>
      <c r="G12" s="91">
        <f t="shared" si="6"/>
        <v>12029042.07193088</v>
      </c>
      <c r="H12" s="91">
        <f t="shared" si="7"/>
        <v>3729003.0422985726</v>
      </c>
      <c r="I12" s="91">
        <f t="shared" si="8"/>
        <v>3729003.0422985726</v>
      </c>
      <c r="J12" s="91">
        <f t="shared" si="9"/>
        <v>0</v>
      </c>
      <c r="K12" s="91">
        <f t="shared" si="10"/>
        <v>0</v>
      </c>
      <c r="L12" s="91">
        <f t="shared" si="33"/>
        <v>0</v>
      </c>
      <c r="M12" s="92">
        <f t="shared" si="11"/>
        <v>0</v>
      </c>
      <c r="N12" s="92">
        <f t="shared" si="34"/>
        <v>0</v>
      </c>
      <c r="O12" s="93">
        <f t="shared" si="0"/>
        <v>0</v>
      </c>
      <c r="P12" s="84">
        <f t="shared" si="12"/>
        <v>498002.34177793842</v>
      </c>
      <c r="Q12" s="84">
        <f t="shared" si="13"/>
        <v>498002.34177793842</v>
      </c>
      <c r="R12" s="84">
        <f t="shared" si="14"/>
        <v>1369506.4398893309</v>
      </c>
      <c r="S12" s="84">
        <f t="shared" si="15"/>
        <v>5596511.8239658419</v>
      </c>
      <c r="T12" s="93">
        <f t="shared" si="16"/>
        <v>0.46525</v>
      </c>
      <c r="V12" s="84">
        <f t="shared" si="17"/>
        <v>5596511.8239658419</v>
      </c>
      <c r="W12" s="93">
        <f t="shared" si="18"/>
        <v>0.46525</v>
      </c>
      <c r="Y12" s="84">
        <f t="shared" si="19"/>
        <v>1867508.7816672693</v>
      </c>
      <c r="Z12" s="84">
        <f t="shared" si="44"/>
        <v>12292655.142788423</v>
      </c>
      <c r="AA12" s="84">
        <f t="shared" si="20"/>
        <v>2365511.1234452077</v>
      </c>
      <c r="AB12" s="85">
        <f t="shared" si="35"/>
        <v>6.3E-2</v>
      </c>
      <c r="AC12" s="84">
        <f t="shared" si="36"/>
        <v>33909592.784311913</v>
      </c>
      <c r="AD12" s="94">
        <f t="shared" si="45"/>
        <v>34675621.115438633</v>
      </c>
      <c r="AE12" s="94">
        <f t="shared" si="21"/>
        <v>22382965.972650208</v>
      </c>
      <c r="AF12" s="95">
        <f t="shared" si="22"/>
        <v>1.8208406330979958</v>
      </c>
      <c r="AG12" s="289">
        <f t="shared" si="37"/>
        <v>498002.34177793842</v>
      </c>
      <c r="AH12" s="84">
        <f t="shared" si="38"/>
        <v>3719269.2756302459</v>
      </c>
      <c r="AI12" s="289">
        <f t="shared" si="39"/>
        <v>498002.34177793842</v>
      </c>
      <c r="AJ12" s="84">
        <f t="shared" si="23"/>
        <v>3719269.2756302459</v>
      </c>
      <c r="AK12" s="306">
        <f>5500000+100000+50000</f>
        <v>5650000</v>
      </c>
      <c r="AL12" s="84">
        <f t="shared" si="40"/>
        <v>15275000</v>
      </c>
      <c r="AM12" s="84">
        <f t="shared" si="1"/>
        <v>0</v>
      </c>
      <c r="AN12" t="str">
        <f t="shared" si="24"/>
        <v/>
      </c>
      <c r="AO12" t="str">
        <f t="shared" si="25"/>
        <v/>
      </c>
      <c r="AP12" s="289">
        <f t="shared" si="46"/>
        <v>0</v>
      </c>
      <c r="AQ12" s="289">
        <f t="shared" si="41"/>
        <v>0</v>
      </c>
      <c r="AR12" s="289">
        <f t="shared" si="42"/>
        <v>0</v>
      </c>
      <c r="AS12" s="289">
        <f t="shared" si="26"/>
        <v>0</v>
      </c>
      <c r="AT12" s="289">
        <f t="shared" si="27"/>
        <v>0</v>
      </c>
      <c r="AU12" s="289">
        <f t="shared" si="2"/>
        <v>0</v>
      </c>
      <c r="AV12" s="289">
        <f t="shared" si="28"/>
        <v>0</v>
      </c>
      <c r="AW12" s="289">
        <f t="shared" si="43"/>
        <v>0</v>
      </c>
      <c r="AX12" s="289">
        <f t="shared" si="29"/>
        <v>0</v>
      </c>
      <c r="AY12" s="289">
        <f t="shared" si="3"/>
        <v>0</v>
      </c>
      <c r="BB12">
        <v>5000000</v>
      </c>
      <c r="BC12" s="84"/>
    </row>
    <row r="13" spans="1:55">
      <c r="A13" s="72">
        <f t="shared" si="30"/>
        <v>2028</v>
      </c>
      <c r="B13" s="72">
        <f t="shared" si="30"/>
        <v>50</v>
      </c>
      <c r="C13" s="91">
        <f t="shared" si="31"/>
        <v>12750784.596246732</v>
      </c>
      <c r="D13" s="91">
        <f t="shared" si="32"/>
        <v>366585.05714209354</v>
      </c>
      <c r="E13" s="91">
        <f t="shared" si="4"/>
        <v>4399020.6857051225</v>
      </c>
      <c r="F13" s="91">
        <f t="shared" si="5"/>
        <v>0</v>
      </c>
      <c r="G13" s="91">
        <f t="shared" si="6"/>
        <v>12750784.596246732</v>
      </c>
      <c r="H13" s="91">
        <f t="shared" si="7"/>
        <v>3952743.2248364869</v>
      </c>
      <c r="I13" s="91">
        <f t="shared" si="8"/>
        <v>3952743.2248364869</v>
      </c>
      <c r="J13" s="91">
        <f t="shared" si="9"/>
        <v>0</v>
      </c>
      <c r="K13" s="91">
        <f t="shared" si="10"/>
        <v>0</v>
      </c>
      <c r="L13" s="91">
        <f t="shared" si="33"/>
        <v>0</v>
      </c>
      <c r="M13" s="92">
        <f t="shared" si="11"/>
        <v>0</v>
      </c>
      <c r="N13" s="92">
        <f t="shared" si="34"/>
        <v>0</v>
      </c>
      <c r="O13" s="93">
        <f t="shared" si="0"/>
        <v>0</v>
      </c>
      <c r="P13" s="84">
        <f t="shared" si="12"/>
        <v>527882.4822846147</v>
      </c>
      <c r="Q13" s="84">
        <f t="shared" si="13"/>
        <v>527882.48228461458</v>
      </c>
      <c r="R13" s="84">
        <f t="shared" si="14"/>
        <v>1451676.8262826905</v>
      </c>
      <c r="S13" s="84">
        <f t="shared" si="15"/>
        <v>5932302.5334037915</v>
      </c>
      <c r="T13" s="93">
        <f t="shared" si="16"/>
        <v>0.46524999999999994</v>
      </c>
      <c r="V13" s="84">
        <f t="shared" si="17"/>
        <v>5932302.5334037915</v>
      </c>
      <c r="W13" s="93">
        <f t="shared" si="18"/>
        <v>0.46524999999999994</v>
      </c>
      <c r="Y13" s="84">
        <f t="shared" si="19"/>
        <v>1979559.3085673051</v>
      </c>
      <c r="Z13" s="84">
        <f t="shared" si="44"/>
        <v>14272214.451355729</v>
      </c>
      <c r="AA13" s="84">
        <f t="shared" si="20"/>
        <v>2507441.7908519199</v>
      </c>
      <c r="AB13" s="85">
        <f t="shared" si="35"/>
        <v>6.2E-2</v>
      </c>
      <c r="AC13" s="84">
        <f t="shared" si="36"/>
        <v>38674890.718823992</v>
      </c>
      <c r="AD13" s="94">
        <f t="shared" si="45"/>
        <v>39785877.309730895</v>
      </c>
      <c r="AE13" s="94">
        <f t="shared" si="21"/>
        <v>25513662.858375166</v>
      </c>
      <c r="AF13" s="95">
        <f t="shared" si="22"/>
        <v>1.7876457045494858</v>
      </c>
      <c r="AG13" s="289">
        <f t="shared" si="37"/>
        <v>527882.4822846147</v>
      </c>
      <c r="AH13" s="84">
        <f t="shared" si="38"/>
        <v>4374566.3106523063</v>
      </c>
      <c r="AI13" s="289">
        <f t="shared" si="39"/>
        <v>527882.4822846147</v>
      </c>
      <c r="AJ13" s="84">
        <f t="shared" si="23"/>
        <v>4374566.3106523063</v>
      </c>
      <c r="AK13" s="306">
        <f>5100000+50000</f>
        <v>5150000</v>
      </c>
      <c r="AL13" s="84">
        <f t="shared" si="40"/>
        <v>20425000</v>
      </c>
      <c r="AM13" s="84">
        <f t="shared" si="1"/>
        <v>0</v>
      </c>
      <c r="AN13" t="str">
        <f t="shared" si="24"/>
        <v/>
      </c>
      <c r="AO13" t="str">
        <f t="shared" si="25"/>
        <v/>
      </c>
      <c r="AP13" s="289">
        <f t="shared" si="46"/>
        <v>0</v>
      </c>
      <c r="AQ13" s="289">
        <f t="shared" si="41"/>
        <v>0</v>
      </c>
      <c r="AR13" s="289">
        <f t="shared" si="42"/>
        <v>0</v>
      </c>
      <c r="AS13" s="289">
        <f>IF(LEN(AO13)&gt;=1, $AS$2-$AU$2-AW13, 0)</f>
        <v>0</v>
      </c>
      <c r="AT13" s="289">
        <f>IF(LEN(AO13)&gt;=1,AR13-$AU$2-AW13, 0)</f>
        <v>0</v>
      </c>
      <c r="AU13" s="289">
        <f t="shared" si="2"/>
        <v>0</v>
      </c>
      <c r="AV13" s="289">
        <f t="shared" si="28"/>
        <v>0</v>
      </c>
      <c r="AW13" s="289">
        <f>AW12+AV13</f>
        <v>0</v>
      </c>
      <c r="AX13" s="289">
        <f t="shared" si="29"/>
        <v>0</v>
      </c>
      <c r="AY13" s="289">
        <f t="shared" si="3"/>
        <v>0</v>
      </c>
      <c r="BB13">
        <v>5500000</v>
      </c>
      <c r="BC13" s="84"/>
    </row>
    <row r="14" spans="1:55">
      <c r="A14" s="72">
        <f t="shared" si="30"/>
        <v>2029</v>
      </c>
      <c r="B14" s="72">
        <f t="shared" si="30"/>
        <v>51</v>
      </c>
      <c r="C14" s="91">
        <f t="shared" si="31"/>
        <v>13515831.672021536</v>
      </c>
      <c r="D14" s="91">
        <f t="shared" si="32"/>
        <v>388580.16057061916</v>
      </c>
      <c r="E14" s="91">
        <f t="shared" si="4"/>
        <v>4662961.9268474299</v>
      </c>
      <c r="F14" s="91">
        <f t="shared" si="5"/>
        <v>0</v>
      </c>
      <c r="G14" s="91">
        <f t="shared" si="6"/>
        <v>13515831.672021536</v>
      </c>
      <c r="H14" s="91">
        <f t="shared" si="7"/>
        <v>4189907.8183266763</v>
      </c>
      <c r="I14" s="91">
        <f t="shared" si="8"/>
        <v>4189907.8183266763</v>
      </c>
      <c r="J14" s="91">
        <f t="shared" si="9"/>
        <v>0</v>
      </c>
      <c r="K14" s="91">
        <f t="shared" si="10"/>
        <v>0</v>
      </c>
      <c r="L14" s="91">
        <f t="shared" si="33"/>
        <v>0</v>
      </c>
      <c r="M14" s="92">
        <f t="shared" si="11"/>
        <v>0</v>
      </c>
      <c r="N14" s="92">
        <f t="shared" si="34"/>
        <v>0</v>
      </c>
      <c r="O14" s="93">
        <f t="shared" si="0"/>
        <v>0</v>
      </c>
      <c r="P14" s="84">
        <f t="shared" si="12"/>
        <v>559555.43122169154</v>
      </c>
      <c r="Q14" s="84">
        <f t="shared" si="13"/>
        <v>559555.43122169166</v>
      </c>
      <c r="R14" s="84">
        <f t="shared" si="14"/>
        <v>1538777.435859652</v>
      </c>
      <c r="S14" s="84">
        <f t="shared" si="15"/>
        <v>6288240.6854080204</v>
      </c>
      <c r="T14" s="93">
        <f t="shared" si="16"/>
        <v>0.46525000000000005</v>
      </c>
      <c r="V14" s="84">
        <f t="shared" si="17"/>
        <v>6288240.6854080204</v>
      </c>
      <c r="W14" s="93">
        <f t="shared" si="18"/>
        <v>0.46525000000000005</v>
      </c>
      <c r="Y14" s="84">
        <f t="shared" si="19"/>
        <v>2098332.8670813437</v>
      </c>
      <c r="Z14" s="84">
        <f t="shared" si="44"/>
        <v>16370547.318437073</v>
      </c>
      <c r="AA14" s="84">
        <f t="shared" si="20"/>
        <v>2657888.2983030351</v>
      </c>
      <c r="AB14" s="85">
        <f t="shared" si="35"/>
        <v>6.0999999999999999E-2</v>
      </c>
      <c r="AC14" s="84">
        <f t="shared" si="36"/>
        <v>43854078.537171781</v>
      </c>
      <c r="AD14" s="94">
        <f t="shared" si="45"/>
        <v>45414829.20059631</v>
      </c>
      <c r="AE14" s="94">
        <f t="shared" si="21"/>
        <v>29044281.882159237</v>
      </c>
      <c r="AF14" s="95">
        <f t="shared" si="22"/>
        <v>1.7741790373403441</v>
      </c>
      <c r="AG14" s="289">
        <f t="shared" si="37"/>
        <v>559555.43122169154</v>
      </c>
      <c r="AH14" s="84">
        <f t="shared" si="38"/>
        <v>5082145.3941302178</v>
      </c>
      <c r="AI14" s="289">
        <f t="shared" si="39"/>
        <v>559555.43122169154</v>
      </c>
      <c r="AJ14" s="84">
        <f t="shared" si="23"/>
        <v>5082145.3941302178</v>
      </c>
      <c r="AK14" s="10">
        <f>1400000+150000</f>
        <v>1550000</v>
      </c>
      <c r="AL14" s="84">
        <f t="shared" si="40"/>
        <v>21975000</v>
      </c>
      <c r="AM14" s="84">
        <f t="shared" si="1"/>
        <v>0</v>
      </c>
      <c r="AN14" t="str">
        <f t="shared" si="24"/>
        <v/>
      </c>
      <c r="AO14" t="str">
        <f t="shared" si="25"/>
        <v/>
      </c>
      <c r="AP14" s="289">
        <f t="shared" si="46"/>
        <v>0</v>
      </c>
      <c r="AQ14" s="289">
        <f t="shared" si="41"/>
        <v>0</v>
      </c>
      <c r="AR14" s="289">
        <f t="shared" si="42"/>
        <v>0</v>
      </c>
      <c r="AS14" s="289">
        <f t="shared" ref="AS14:AS63" si="47">IF(LEN(AO14)&gt;=1, $AS$2-$AU$2-AW14, 0)</f>
        <v>0</v>
      </c>
      <c r="AT14" s="289">
        <f t="shared" ref="AT14:AT63" si="48">IF(LEN(AO14)&gt;=1,AR14-$AU$2-AW14, 0)</f>
        <v>0</v>
      </c>
      <c r="AU14" s="289">
        <f t="shared" si="2"/>
        <v>0</v>
      </c>
      <c r="AV14" s="289">
        <f t="shared" si="28"/>
        <v>0</v>
      </c>
      <c r="AW14" s="289">
        <f>AW13+AV14</f>
        <v>0</v>
      </c>
      <c r="AX14" s="289">
        <f t="shared" si="29"/>
        <v>0</v>
      </c>
      <c r="AY14" s="289">
        <f t="shared" si="3"/>
        <v>0</v>
      </c>
      <c r="BB14" s="10">
        <f t="shared" ref="BB14:BB23" si="49">BC14*2</f>
        <v>1400000</v>
      </c>
      <c r="BC14" s="84">
        <v>700000</v>
      </c>
    </row>
    <row r="15" spans="1:55">
      <c r="A15" s="72">
        <f t="shared" si="30"/>
        <v>2030</v>
      </c>
      <c r="B15" s="72">
        <f t="shared" si="30"/>
        <v>52</v>
      </c>
      <c r="C15" s="91">
        <f t="shared" si="31"/>
        <v>14326781.572342828</v>
      </c>
      <c r="D15" s="91">
        <f t="shared" si="32"/>
        <v>411894.9702048563</v>
      </c>
      <c r="E15" s="91">
        <f t="shared" si="4"/>
        <v>4942739.6424582759</v>
      </c>
      <c r="F15" s="91">
        <f t="shared" si="5"/>
        <v>0</v>
      </c>
      <c r="G15" s="91">
        <f t="shared" si="6"/>
        <v>14326781.572342828</v>
      </c>
      <c r="H15" s="91">
        <f t="shared" si="7"/>
        <v>4441302.2874262771</v>
      </c>
      <c r="I15" s="91">
        <f t="shared" si="8"/>
        <v>4441302.2874262771</v>
      </c>
      <c r="J15" s="91">
        <f t="shared" si="9"/>
        <v>0</v>
      </c>
      <c r="K15" s="91">
        <f t="shared" si="10"/>
        <v>0</v>
      </c>
      <c r="L15" s="91">
        <f t="shared" si="33"/>
        <v>0</v>
      </c>
      <c r="M15" s="92">
        <f t="shared" si="11"/>
        <v>0</v>
      </c>
      <c r="N15" s="92">
        <f t="shared" si="34"/>
        <v>0</v>
      </c>
      <c r="O15" s="93">
        <f t="shared" si="0"/>
        <v>0</v>
      </c>
      <c r="P15" s="84">
        <f t="shared" si="12"/>
        <v>593128.75709499314</v>
      </c>
      <c r="Q15" s="84">
        <f t="shared" si="13"/>
        <v>593128.75709499302</v>
      </c>
      <c r="R15" s="84">
        <f t="shared" si="14"/>
        <v>1631104.0820112312</v>
      </c>
      <c r="S15" s="84">
        <f t="shared" si="15"/>
        <v>6665535.1265325015</v>
      </c>
      <c r="T15" s="93">
        <f t="shared" si="16"/>
        <v>0.46525000000000005</v>
      </c>
      <c r="V15" s="84">
        <f t="shared" si="17"/>
        <v>6665535.1265325015</v>
      </c>
      <c r="W15" s="93">
        <f t="shared" si="18"/>
        <v>0.46525000000000005</v>
      </c>
      <c r="Y15" s="84">
        <f t="shared" si="19"/>
        <v>2224232.8391062245</v>
      </c>
      <c r="Z15" s="84">
        <f t="shared" si="44"/>
        <v>18594780.157543298</v>
      </c>
      <c r="AA15" s="84">
        <f t="shared" si="20"/>
        <v>2817361.5962012173</v>
      </c>
      <c r="AB15" s="85">
        <f t="shared" si="35"/>
        <v>0.06</v>
      </c>
      <c r="AC15" s="84">
        <f t="shared" si="36"/>
        <v>49471726.541375376</v>
      </c>
      <c r="AD15" s="94">
        <f t="shared" si="45"/>
        <v>51608444.152573355</v>
      </c>
      <c r="AE15" s="94">
        <f t="shared" si="21"/>
        <v>33013663.995030057</v>
      </c>
      <c r="AF15" s="95">
        <f t="shared" si="22"/>
        <v>1.775426421572265</v>
      </c>
      <c r="AG15" s="289">
        <f t="shared" si="37"/>
        <v>593128.75709499302</v>
      </c>
      <c r="AH15" s="84">
        <f t="shared" si="38"/>
        <v>5845532.3757619672</v>
      </c>
      <c r="AI15" s="289">
        <f t="shared" si="39"/>
        <v>593128.75709499302</v>
      </c>
      <c r="AJ15" s="84">
        <f t="shared" si="23"/>
        <v>5845532.3757619672</v>
      </c>
      <c r="AK15" s="10">
        <f>1400000+50000</f>
        <v>1450000</v>
      </c>
      <c r="AL15" s="84">
        <f t="shared" si="40"/>
        <v>23425000</v>
      </c>
      <c r="AM15" s="84">
        <f t="shared" si="1"/>
        <v>0</v>
      </c>
      <c r="AN15" t="str">
        <f t="shared" si="24"/>
        <v/>
      </c>
      <c r="AO15" t="str">
        <f t="shared" si="25"/>
        <v/>
      </c>
      <c r="AP15" s="289">
        <f t="shared" si="46"/>
        <v>0</v>
      </c>
      <c r="AQ15" s="289">
        <f t="shared" si="41"/>
        <v>0</v>
      </c>
      <c r="AR15" s="289">
        <f t="shared" si="42"/>
        <v>0</v>
      </c>
      <c r="AS15" s="289">
        <f t="shared" si="47"/>
        <v>0</v>
      </c>
      <c r="AT15" s="289">
        <f t="shared" si="48"/>
        <v>0</v>
      </c>
      <c r="AU15" s="289">
        <f t="shared" si="2"/>
        <v>0</v>
      </c>
      <c r="AV15" s="289">
        <f t="shared" si="28"/>
        <v>0</v>
      </c>
      <c r="AW15" s="289">
        <f t="shared" si="43"/>
        <v>0</v>
      </c>
      <c r="AX15" s="289">
        <f t="shared" si="29"/>
        <v>0</v>
      </c>
      <c r="AY15" s="289">
        <f t="shared" si="3"/>
        <v>0</v>
      </c>
      <c r="BB15" s="10">
        <f t="shared" si="49"/>
        <v>1400000</v>
      </c>
      <c r="BC15" s="96">
        <v>700000</v>
      </c>
    </row>
    <row r="16" spans="1:55">
      <c r="A16" s="72">
        <f t="shared" si="30"/>
        <v>2031</v>
      </c>
      <c r="B16" s="72">
        <f t="shared" si="30"/>
        <v>53</v>
      </c>
      <c r="C16" s="91">
        <f t="shared" si="31"/>
        <v>15186388.466683397</v>
      </c>
      <c r="D16" s="91">
        <f t="shared" si="32"/>
        <v>436608.66841714771</v>
      </c>
      <c r="E16" s="91">
        <f t="shared" si="4"/>
        <v>5239304.0210057721</v>
      </c>
      <c r="F16" s="91">
        <f t="shared" si="5"/>
        <v>0</v>
      </c>
      <c r="G16" s="91">
        <f t="shared" si="6"/>
        <v>15186388.466683397</v>
      </c>
      <c r="H16" s="91">
        <f t="shared" si="7"/>
        <v>4707780.424671853</v>
      </c>
      <c r="I16" s="91">
        <f t="shared" si="8"/>
        <v>4707780.424671853</v>
      </c>
      <c r="J16" s="91">
        <f t="shared" si="9"/>
        <v>0</v>
      </c>
      <c r="K16" s="91">
        <f t="shared" si="10"/>
        <v>0</v>
      </c>
      <c r="L16" s="91">
        <f t="shared" si="33"/>
        <v>0</v>
      </c>
      <c r="M16" s="92">
        <f t="shared" si="11"/>
        <v>0</v>
      </c>
      <c r="N16" s="92">
        <f t="shared" si="34"/>
        <v>0</v>
      </c>
      <c r="O16" s="93">
        <f t="shared" si="0"/>
        <v>0</v>
      </c>
      <c r="P16" s="84">
        <f t="shared" si="12"/>
        <v>628716.48252069263</v>
      </c>
      <c r="Q16" s="84">
        <f t="shared" si="13"/>
        <v>628716.48252069275</v>
      </c>
      <c r="R16" s="84">
        <f t="shared" si="14"/>
        <v>1728970.3269319048</v>
      </c>
      <c r="S16" s="84">
        <f t="shared" si="15"/>
        <v>7065467.2341244509</v>
      </c>
      <c r="T16" s="93">
        <f t="shared" si="16"/>
        <v>0.46525000000000005</v>
      </c>
      <c r="V16" s="84">
        <f t="shared" si="17"/>
        <v>7065467.2341244509</v>
      </c>
      <c r="W16" s="93">
        <f t="shared" si="18"/>
        <v>0.46525000000000005</v>
      </c>
      <c r="Y16" s="84">
        <f t="shared" si="19"/>
        <v>2357686.8094525975</v>
      </c>
      <c r="Z16" s="84">
        <f t="shared" si="44"/>
        <v>20952466.966995895</v>
      </c>
      <c r="AA16" s="84">
        <f t="shared" si="20"/>
        <v>2986403.29197329</v>
      </c>
      <c r="AB16" s="85">
        <f t="shared" si="35"/>
        <v>5.8999999999999997E-2</v>
      </c>
      <c r="AC16" s="84">
        <f t="shared" si="36"/>
        <v>55553159.493516237</v>
      </c>
      <c r="AD16" s="94">
        <f t="shared" si="45"/>
        <v>58416486.765664913</v>
      </c>
      <c r="AE16" s="94">
        <f t="shared" si="21"/>
        <v>37464019.798669018</v>
      </c>
      <c r="AF16" s="95">
        <f t="shared" si="22"/>
        <v>1.7880481500188949</v>
      </c>
      <c r="AG16" s="289">
        <f t="shared" si="37"/>
        <v>628716.48252069263</v>
      </c>
      <c r="AH16" s="84">
        <f t="shared" si="38"/>
        <v>6668476.3240311397</v>
      </c>
      <c r="AI16" s="289">
        <f t="shared" si="39"/>
        <v>628716.48252069263</v>
      </c>
      <c r="AJ16" s="84">
        <f t="shared" si="23"/>
        <v>6668476.3240311397</v>
      </c>
      <c r="AK16" s="10">
        <f>1400000+150000+571000</f>
        <v>2121000</v>
      </c>
      <c r="AL16" s="84">
        <f t="shared" si="40"/>
        <v>25546000</v>
      </c>
      <c r="AM16" s="84">
        <f t="shared" si="1"/>
        <v>0</v>
      </c>
      <c r="AN16" t="str">
        <f t="shared" si="24"/>
        <v/>
      </c>
      <c r="AO16" t="str">
        <f t="shared" si="25"/>
        <v/>
      </c>
      <c r="AP16" s="289">
        <f t="shared" si="46"/>
        <v>0</v>
      </c>
      <c r="AQ16" s="289">
        <f t="shared" si="41"/>
        <v>0</v>
      </c>
      <c r="AR16" s="289">
        <f t="shared" si="42"/>
        <v>0</v>
      </c>
      <c r="AS16" s="289">
        <f t="shared" si="47"/>
        <v>0</v>
      </c>
      <c r="AT16" s="289">
        <f t="shared" si="48"/>
        <v>0</v>
      </c>
      <c r="AU16" s="289">
        <f t="shared" si="2"/>
        <v>0</v>
      </c>
      <c r="AV16" s="289">
        <f t="shared" si="28"/>
        <v>0</v>
      </c>
      <c r="AW16" s="289">
        <f t="shared" si="43"/>
        <v>0</v>
      </c>
      <c r="AX16" s="289">
        <f t="shared" si="29"/>
        <v>0</v>
      </c>
      <c r="AY16" s="289">
        <f t="shared" si="3"/>
        <v>0</v>
      </c>
      <c r="BB16" s="10">
        <f t="shared" si="49"/>
        <v>1400000</v>
      </c>
      <c r="BC16" s="96">
        <v>700000</v>
      </c>
    </row>
    <row r="17" spans="1:55">
      <c r="A17" s="72">
        <f t="shared" si="30"/>
        <v>2032</v>
      </c>
      <c r="B17" s="72">
        <f t="shared" si="30"/>
        <v>54</v>
      </c>
      <c r="C17" s="91">
        <f t="shared" si="31"/>
        <v>16097571.774684401</v>
      </c>
      <c r="D17" s="91">
        <f t="shared" si="32"/>
        <v>462805.18852217658</v>
      </c>
      <c r="E17" s="91">
        <f t="shared" si="4"/>
        <v>5553662.262266119</v>
      </c>
      <c r="F17" s="91">
        <f t="shared" si="5"/>
        <v>0</v>
      </c>
      <c r="G17" s="91">
        <f t="shared" si="6"/>
        <v>16097571.774684401</v>
      </c>
      <c r="H17" s="91">
        <f t="shared" si="7"/>
        <v>4990247.2501521641</v>
      </c>
      <c r="I17" s="91">
        <f t="shared" si="8"/>
        <v>4990247.2501521641</v>
      </c>
      <c r="J17" s="91">
        <f t="shared" si="9"/>
        <v>0</v>
      </c>
      <c r="K17" s="91">
        <f t="shared" si="10"/>
        <v>0</v>
      </c>
      <c r="L17" s="91">
        <f t="shared" si="33"/>
        <v>0</v>
      </c>
      <c r="M17" s="92">
        <f t="shared" si="11"/>
        <v>0</v>
      </c>
      <c r="N17" s="92">
        <f t="shared" si="34"/>
        <v>0</v>
      </c>
      <c r="O17" s="93">
        <f t="shared" si="0"/>
        <v>0</v>
      </c>
      <c r="P17" s="84">
        <f t="shared" si="12"/>
        <v>666439.47147193423</v>
      </c>
      <c r="Q17" s="84">
        <f t="shared" si="13"/>
        <v>666439.47147193435</v>
      </c>
      <c r="R17" s="84">
        <f t="shared" si="14"/>
        <v>1832708.5465478194</v>
      </c>
      <c r="S17" s="84">
        <f t="shared" si="15"/>
        <v>7489395.2681719176</v>
      </c>
      <c r="T17" s="93">
        <f t="shared" si="16"/>
        <v>0.46525</v>
      </c>
      <c r="V17" s="84">
        <f t="shared" si="17"/>
        <v>7489395.2681719176</v>
      </c>
      <c r="W17" s="93">
        <f t="shared" si="18"/>
        <v>0.46525</v>
      </c>
      <c r="Y17" s="84">
        <f t="shared" si="19"/>
        <v>2499148.0180197535</v>
      </c>
      <c r="Z17" s="84">
        <f t="shared" si="44"/>
        <v>23451614.985015649</v>
      </c>
      <c r="AA17" s="84">
        <f t="shared" si="20"/>
        <v>3165587.4894916881</v>
      </c>
      <c r="AB17" s="85">
        <f t="shared" si="35"/>
        <v>5.7999999999999996E-2</v>
      </c>
      <c r="AC17" s="84">
        <f t="shared" si="36"/>
        <v>62124434.30802238</v>
      </c>
      <c r="AD17" s="94">
        <f t="shared" si="45"/>
        <v>65892819.453017563</v>
      </c>
      <c r="AE17" s="94">
        <f t="shared" si="21"/>
        <v>42441204.468001917</v>
      </c>
      <c r="AF17" s="95">
        <f t="shared" si="22"/>
        <v>1.8097348304208312</v>
      </c>
      <c r="AG17" s="289">
        <f t="shared" si="37"/>
        <v>666439.47147193411</v>
      </c>
      <c r="AH17" s="84">
        <f t="shared" si="38"/>
        <v>7554963.2693681661</v>
      </c>
      <c r="AI17" s="289">
        <f t="shared" si="39"/>
        <v>666439.47147193411</v>
      </c>
      <c r="AJ17" s="84">
        <f t="shared" si="23"/>
        <v>7554963.2693681661</v>
      </c>
      <c r="AK17" s="10">
        <v>1400000</v>
      </c>
      <c r="AL17" s="84">
        <f t="shared" si="40"/>
        <v>26946000</v>
      </c>
      <c r="AM17" s="84">
        <f t="shared" si="1"/>
        <v>0</v>
      </c>
      <c r="AN17" t="str">
        <f t="shared" si="24"/>
        <v/>
      </c>
      <c r="AO17" t="str">
        <f t="shared" si="25"/>
        <v/>
      </c>
      <c r="AP17" s="289">
        <f t="shared" si="46"/>
        <v>0</v>
      </c>
      <c r="AQ17" s="289">
        <f t="shared" si="41"/>
        <v>0</v>
      </c>
      <c r="AR17" s="289">
        <f t="shared" si="42"/>
        <v>0</v>
      </c>
      <c r="AS17" s="289">
        <f t="shared" si="47"/>
        <v>0</v>
      </c>
      <c r="AT17" s="289">
        <f t="shared" si="48"/>
        <v>0</v>
      </c>
      <c r="AU17" s="289">
        <f t="shared" si="2"/>
        <v>0</v>
      </c>
      <c r="AV17" s="289">
        <f t="shared" si="28"/>
        <v>0</v>
      </c>
      <c r="AW17" s="289">
        <f t="shared" si="43"/>
        <v>0</v>
      </c>
      <c r="AX17" s="289">
        <f t="shared" si="29"/>
        <v>0</v>
      </c>
      <c r="AY17" s="289">
        <f t="shared" si="3"/>
        <v>0</v>
      </c>
      <c r="BB17" s="10">
        <f t="shared" si="49"/>
        <v>1400000</v>
      </c>
      <c r="BC17" s="96">
        <v>700000</v>
      </c>
    </row>
    <row r="18" spans="1:55">
      <c r="A18" s="72">
        <f t="shared" si="30"/>
        <v>2033</v>
      </c>
      <c r="B18" s="72">
        <f t="shared" si="30"/>
        <v>55</v>
      </c>
      <c r="C18" s="91">
        <f t="shared" si="31"/>
        <v>17063426.081165466</v>
      </c>
      <c r="D18" s="91">
        <f t="shared" si="32"/>
        <v>490573.49983350717</v>
      </c>
      <c r="E18" s="91">
        <f t="shared" si="4"/>
        <v>5886881.9980020858</v>
      </c>
      <c r="F18" s="91">
        <f t="shared" si="5"/>
        <v>0</v>
      </c>
      <c r="G18" s="91">
        <f t="shared" si="6"/>
        <v>17063426.081165466</v>
      </c>
      <c r="H18" s="91">
        <f t="shared" si="7"/>
        <v>5289662.0851612948</v>
      </c>
      <c r="I18" s="91">
        <f t="shared" si="8"/>
        <v>5289662.0851612948</v>
      </c>
      <c r="J18" s="91">
        <f t="shared" si="9"/>
        <v>0</v>
      </c>
      <c r="K18" s="91">
        <f t="shared" si="10"/>
        <v>0</v>
      </c>
      <c r="L18" s="91">
        <f t="shared" si="33"/>
        <v>0</v>
      </c>
      <c r="M18" s="92">
        <f t="shared" si="11"/>
        <v>0</v>
      </c>
      <c r="N18" s="92">
        <f t="shared" si="34"/>
        <v>0</v>
      </c>
      <c r="O18" s="93">
        <f t="shared" si="0"/>
        <v>0</v>
      </c>
      <c r="P18" s="84">
        <f t="shared" si="12"/>
        <v>706425.8397602503</v>
      </c>
      <c r="Q18" s="84">
        <f t="shared" si="13"/>
        <v>706425.8397602503</v>
      </c>
      <c r="R18" s="84">
        <f t="shared" si="14"/>
        <v>1942671.0593406884</v>
      </c>
      <c r="S18" s="84">
        <f t="shared" si="15"/>
        <v>7938758.9842622336</v>
      </c>
      <c r="T18" s="93">
        <f t="shared" si="16"/>
        <v>0.46525</v>
      </c>
      <c r="V18" s="84">
        <f t="shared" si="17"/>
        <v>7938758.9842622336</v>
      </c>
      <c r="W18" s="93">
        <f t="shared" si="18"/>
        <v>0.46525</v>
      </c>
      <c r="Y18" s="84">
        <f t="shared" si="19"/>
        <v>2649096.8991009388</v>
      </c>
      <c r="Z18" s="84">
        <f t="shared" si="44"/>
        <v>26100711.88411659</v>
      </c>
      <c r="AA18" s="84">
        <f t="shared" si="20"/>
        <v>3355522.7388611892</v>
      </c>
      <c r="AB18" s="85">
        <f t="shared" si="35"/>
        <v>5.6999999999999995E-2</v>
      </c>
      <c r="AC18" s="84">
        <f t="shared" si="36"/>
        <v>69212314.598555937</v>
      </c>
      <c r="AD18" s="94">
        <f t="shared" si="45"/>
        <v>74095726.145310268</v>
      </c>
      <c r="AE18" s="94">
        <f t="shared" si="21"/>
        <v>47995014.261193678</v>
      </c>
      <c r="AF18" s="95">
        <f t="shared" si="22"/>
        <v>1.8388392804872389</v>
      </c>
      <c r="AG18" s="289">
        <f t="shared" si="37"/>
        <v>706425.8397602503</v>
      </c>
      <c r="AH18" s="84">
        <f t="shared" si="38"/>
        <v>8509230.7824022695</v>
      </c>
      <c r="AI18" s="289">
        <f t="shared" si="39"/>
        <v>706425.8397602503</v>
      </c>
      <c r="AJ18" s="84">
        <f t="shared" si="23"/>
        <v>8509230.7824022695</v>
      </c>
      <c r="AK18" s="10">
        <f>1400000+1280000</f>
        <v>2680000</v>
      </c>
      <c r="AL18" s="84">
        <f t="shared" si="40"/>
        <v>29626000</v>
      </c>
      <c r="AM18" s="84">
        <f t="shared" si="1"/>
        <v>0</v>
      </c>
      <c r="AN18" t="str">
        <f t="shared" si="24"/>
        <v/>
      </c>
      <c r="AO18" t="str">
        <f t="shared" si="25"/>
        <v/>
      </c>
      <c r="AP18" s="289">
        <f t="shared" si="46"/>
        <v>0</v>
      </c>
      <c r="AQ18" s="289">
        <f t="shared" si="41"/>
        <v>0</v>
      </c>
      <c r="AR18" s="289">
        <f t="shared" si="42"/>
        <v>0</v>
      </c>
      <c r="AS18" s="289">
        <f t="shared" si="47"/>
        <v>0</v>
      </c>
      <c r="AT18" s="289">
        <f t="shared" si="48"/>
        <v>0</v>
      </c>
      <c r="AU18" s="289">
        <f t="shared" si="2"/>
        <v>0</v>
      </c>
      <c r="AV18" s="289">
        <f t="shared" si="28"/>
        <v>0</v>
      </c>
      <c r="AW18" s="289">
        <f t="shared" si="43"/>
        <v>0</v>
      </c>
      <c r="AX18" s="289">
        <f t="shared" si="29"/>
        <v>0</v>
      </c>
      <c r="AY18" s="289">
        <f t="shared" si="3"/>
        <v>0</v>
      </c>
      <c r="BB18" s="10">
        <f t="shared" si="49"/>
        <v>1400000</v>
      </c>
      <c r="BC18" s="96">
        <v>700000</v>
      </c>
    </row>
    <row r="19" spans="1:55">
      <c r="A19" s="72">
        <f t="shared" si="30"/>
        <v>2034</v>
      </c>
      <c r="B19" s="72">
        <f t="shared" si="30"/>
        <v>56</v>
      </c>
      <c r="C19" s="91">
        <f t="shared" si="31"/>
        <v>18087231.646035396</v>
      </c>
      <c r="D19" s="91">
        <f t="shared" si="32"/>
        <v>520007.90982351761</v>
      </c>
      <c r="E19" s="91">
        <f t="shared" si="4"/>
        <v>6240094.9178822115</v>
      </c>
      <c r="F19" s="91">
        <f t="shared" si="5"/>
        <v>0</v>
      </c>
      <c r="G19" s="91">
        <f t="shared" si="6"/>
        <v>18087231.646035396</v>
      </c>
      <c r="H19" s="91">
        <f t="shared" si="7"/>
        <v>5607041.8102709725</v>
      </c>
      <c r="I19" s="91">
        <f t="shared" si="8"/>
        <v>5607041.8102709725</v>
      </c>
      <c r="J19" s="91">
        <f t="shared" si="9"/>
        <v>0</v>
      </c>
      <c r="K19" s="91">
        <f t="shared" si="10"/>
        <v>0</v>
      </c>
      <c r="L19" s="91">
        <f t="shared" si="33"/>
        <v>0</v>
      </c>
      <c r="M19" s="92">
        <f t="shared" si="11"/>
        <v>0</v>
      </c>
      <c r="N19" s="92">
        <f t="shared" si="34"/>
        <v>0</v>
      </c>
      <c r="O19" s="93">
        <f t="shared" si="0"/>
        <v>0</v>
      </c>
      <c r="P19" s="84">
        <f t="shared" si="12"/>
        <v>748811.39014586539</v>
      </c>
      <c r="Q19" s="84">
        <f t="shared" si="13"/>
        <v>748811.39014586539</v>
      </c>
      <c r="R19" s="84">
        <f t="shared" si="14"/>
        <v>2059231.32290113</v>
      </c>
      <c r="S19" s="84">
        <f t="shared" si="15"/>
        <v>8415084.5233179685</v>
      </c>
      <c r="T19" s="93">
        <f t="shared" si="16"/>
        <v>0.46525000000000005</v>
      </c>
      <c r="V19" s="84">
        <f t="shared" si="17"/>
        <v>8415084.5233179685</v>
      </c>
      <c r="W19" s="93">
        <f t="shared" si="18"/>
        <v>0.46525000000000005</v>
      </c>
      <c r="Y19" s="84">
        <f t="shared" si="19"/>
        <v>2808042.7130469955</v>
      </c>
      <c r="Z19" s="84">
        <f t="shared" si="44"/>
        <v>28908754.597163584</v>
      </c>
      <c r="AA19" s="84">
        <f t="shared" si="20"/>
        <v>3556854.1031928607</v>
      </c>
      <c r="AB19" s="85">
        <f t="shared" si="35"/>
        <v>5.5999999999999994E-2</v>
      </c>
      <c r="AC19" s="84">
        <f t="shared" si="36"/>
        <v>76844242.149046734</v>
      </c>
      <c r="AD19" s="94">
        <f t="shared" si="45"/>
        <v>83088260.865898356</v>
      </c>
      <c r="AE19" s="94">
        <f t="shared" si="21"/>
        <v>54179506.268734768</v>
      </c>
      <c r="AF19" s="95">
        <f t="shared" si="22"/>
        <v>1.8741556675032502</v>
      </c>
      <c r="AG19" s="289">
        <f t="shared" si="37"/>
        <v>748811.39014586539</v>
      </c>
      <c r="AH19" s="84">
        <f t="shared" si="38"/>
        <v>9535783.4377245791</v>
      </c>
      <c r="AI19" s="289">
        <f t="shared" si="39"/>
        <v>748811.39014586539</v>
      </c>
      <c r="AJ19" s="84">
        <f t="shared" si="23"/>
        <v>9535783.4377245791</v>
      </c>
      <c r="AK19" s="10">
        <v>8400000</v>
      </c>
      <c r="AL19" s="84">
        <f t="shared" si="40"/>
        <v>38026000</v>
      </c>
      <c r="AM19" s="84">
        <f t="shared" si="1"/>
        <v>0</v>
      </c>
      <c r="AN19" t="str">
        <f t="shared" si="24"/>
        <v/>
      </c>
      <c r="AO19" t="str">
        <f t="shared" si="25"/>
        <v/>
      </c>
      <c r="AP19" s="289">
        <f t="shared" si="46"/>
        <v>0</v>
      </c>
      <c r="AQ19" s="289">
        <f t="shared" si="41"/>
        <v>0</v>
      </c>
      <c r="AR19" s="289">
        <f t="shared" si="42"/>
        <v>0</v>
      </c>
      <c r="AS19" s="289">
        <f t="shared" si="47"/>
        <v>0</v>
      </c>
      <c r="AT19" s="289">
        <f t="shared" si="48"/>
        <v>0</v>
      </c>
      <c r="AU19" s="289">
        <f t="shared" si="2"/>
        <v>0</v>
      </c>
      <c r="AV19" s="289">
        <f t="shared" si="28"/>
        <v>0</v>
      </c>
      <c r="AW19" s="289">
        <f t="shared" si="43"/>
        <v>0</v>
      </c>
      <c r="AX19" s="289">
        <f t="shared" si="29"/>
        <v>0</v>
      </c>
      <c r="AY19" s="289">
        <f>IF(LEN(AO19)&gt;=1,($AW$2 + $AZ$2 +$AC$2 + $AL$2 + AT19 + AM19 - AV19)*$AG$2 + $AW$2 + $AZ$2 + $AC$2 + $AL$2 + AT19 + AM19 - AV19, 0)</f>
        <v>0</v>
      </c>
      <c r="BB19" s="10">
        <f t="shared" si="49"/>
        <v>8400000</v>
      </c>
      <c r="BC19" s="96">
        <f>700000+3500000</f>
        <v>4200000</v>
      </c>
    </row>
    <row r="20" spans="1:55">
      <c r="A20" s="72">
        <f t="shared" si="30"/>
        <v>2035</v>
      </c>
      <c r="B20" s="72">
        <f t="shared" si="30"/>
        <v>57</v>
      </c>
      <c r="C20" s="91">
        <f t="shared" si="31"/>
        <v>19172465.544797517</v>
      </c>
      <c r="D20" s="91">
        <f t="shared" si="32"/>
        <v>551208.38441292872</v>
      </c>
      <c r="E20" s="91">
        <f t="shared" si="4"/>
        <v>6614500.6129551446</v>
      </c>
      <c r="F20" s="91">
        <f t="shared" si="5"/>
        <v>0</v>
      </c>
      <c r="G20" s="91">
        <f t="shared" si="6"/>
        <v>19172465.544797517</v>
      </c>
      <c r="H20" s="91">
        <f t="shared" si="7"/>
        <v>5943464.31888723</v>
      </c>
      <c r="I20" s="91">
        <f t="shared" si="8"/>
        <v>5943464.31888723</v>
      </c>
      <c r="J20" s="91">
        <f t="shared" si="9"/>
        <v>0</v>
      </c>
      <c r="K20" s="91">
        <f t="shared" si="10"/>
        <v>0</v>
      </c>
      <c r="L20" s="91">
        <f t="shared" si="33"/>
        <v>0</v>
      </c>
      <c r="M20" s="92">
        <f t="shared" si="11"/>
        <v>0</v>
      </c>
      <c r="N20" s="92">
        <f t="shared" si="34"/>
        <v>0</v>
      </c>
      <c r="O20" s="93">
        <f t="shared" si="0"/>
        <v>0</v>
      </c>
      <c r="P20" s="84">
        <f t="shared" si="12"/>
        <v>793740.07355461735</v>
      </c>
      <c r="Q20" s="84">
        <f t="shared" si="13"/>
        <v>793740.07355461735</v>
      </c>
      <c r="R20" s="84">
        <f t="shared" si="14"/>
        <v>2182785.202275198</v>
      </c>
      <c r="S20" s="84">
        <f t="shared" si="15"/>
        <v>8919989.5947170444</v>
      </c>
      <c r="T20" s="93">
        <f t="shared" si="16"/>
        <v>0.46525</v>
      </c>
      <c r="V20" s="84">
        <f t="shared" si="17"/>
        <v>8919989.5947170444</v>
      </c>
      <c r="W20" s="93">
        <f t="shared" si="18"/>
        <v>0.46525</v>
      </c>
      <c r="Y20" s="84">
        <f t="shared" si="19"/>
        <v>2976525.2758298153</v>
      </c>
      <c r="Z20" s="84">
        <f t="shared" si="44"/>
        <v>31885279.872993398</v>
      </c>
      <c r="AA20" s="84">
        <f t="shared" si="20"/>
        <v>3770265.3493844327</v>
      </c>
      <c r="AB20" s="85">
        <f t="shared" si="35"/>
        <v>5.4999999999999993E-2</v>
      </c>
      <c r="AC20" s="84">
        <f t="shared" si="36"/>
        <v>85048305.410844877</v>
      </c>
      <c r="AD20" s="94">
        <f t="shared" si="45"/>
        <v>92938623.050352573</v>
      </c>
      <c r="AE20" s="94">
        <f t="shared" si="21"/>
        <v>61053343.177359179</v>
      </c>
      <c r="AF20" s="95">
        <f t="shared" si="22"/>
        <v>1.9147814734745647</v>
      </c>
      <c r="AG20" s="289">
        <f t="shared" si="37"/>
        <v>793740.07355461724</v>
      </c>
      <c r="AH20" s="84">
        <f t="shared" si="38"/>
        <v>10639409.216617573</v>
      </c>
      <c r="AI20" s="289">
        <f t="shared" si="39"/>
        <v>793740.07355461724</v>
      </c>
      <c r="AJ20" s="84">
        <f t="shared" si="23"/>
        <v>10639409.216617573</v>
      </c>
      <c r="AK20" s="10">
        <f>1400000</f>
        <v>1400000</v>
      </c>
      <c r="AL20" s="84">
        <f t="shared" si="40"/>
        <v>39426000</v>
      </c>
      <c r="AM20" s="84">
        <f>IF(LEN(AO20)&gt;=1, AL20-$AL$2, 0)</f>
        <v>0</v>
      </c>
      <c r="AN20" t="str">
        <f t="shared" si="24"/>
        <v/>
      </c>
      <c r="AO20" t="str">
        <f t="shared" si="25"/>
        <v/>
      </c>
      <c r="AP20" s="289">
        <f t="shared" si="46"/>
        <v>0</v>
      </c>
      <c r="AQ20" s="289">
        <f t="shared" si="41"/>
        <v>0</v>
      </c>
      <c r="AR20" s="289">
        <f t="shared" si="42"/>
        <v>0</v>
      </c>
      <c r="AS20" s="289">
        <f t="shared" si="47"/>
        <v>0</v>
      </c>
      <c r="AT20" s="289">
        <f t="shared" si="48"/>
        <v>0</v>
      </c>
      <c r="AU20" s="289">
        <f t="shared" si="2"/>
        <v>0</v>
      </c>
      <c r="AV20" s="289">
        <f t="shared" si="28"/>
        <v>0</v>
      </c>
      <c r="AW20" s="289">
        <f t="shared" si="43"/>
        <v>0</v>
      </c>
      <c r="AX20" s="289">
        <f t="shared" si="29"/>
        <v>0</v>
      </c>
      <c r="AY20" s="289">
        <f>IF(LEN(AO20)&gt;=1,($AW$2 + $AZ$2 +$AC$2 + $AL$2 + AT20 + AM20 - AV20)*$AG$2 + $AW$2 + $AZ$2 + $AC$2 + $AL$2 + AT20 + AM20 - AV20, 0)</f>
        <v>0</v>
      </c>
      <c r="AZ20" s="84"/>
      <c r="BB20" s="10">
        <f t="shared" si="49"/>
        <v>1400000</v>
      </c>
      <c r="BC20" s="96">
        <v>700000</v>
      </c>
    </row>
    <row r="21" spans="1:55">
      <c r="A21" s="72">
        <f t="shared" si="30"/>
        <v>2036</v>
      </c>
      <c r="B21" s="72">
        <f t="shared" si="30"/>
        <v>58</v>
      </c>
      <c r="C21" s="91">
        <f t="shared" si="31"/>
        <v>0</v>
      </c>
      <c r="D21" s="91">
        <f t="shared" si="32"/>
        <v>0</v>
      </c>
      <c r="E21" s="91">
        <f t="shared" si="4"/>
        <v>0</v>
      </c>
      <c r="F21" s="91">
        <f t="shared" si="5"/>
        <v>0</v>
      </c>
      <c r="G21" s="91">
        <f t="shared" si="6"/>
        <v>0</v>
      </c>
      <c r="H21" s="91">
        <f t="shared" si="7"/>
        <v>0</v>
      </c>
      <c r="I21" s="91">
        <f t="shared" si="8"/>
        <v>0</v>
      </c>
      <c r="J21" s="91">
        <f t="shared" si="9"/>
        <v>0</v>
      </c>
      <c r="K21" s="91">
        <f t="shared" si="10"/>
        <v>0</v>
      </c>
      <c r="L21" s="91">
        <f t="shared" si="33"/>
        <v>0</v>
      </c>
      <c r="M21" s="92">
        <f t="shared" si="11"/>
        <v>0</v>
      </c>
      <c r="N21" s="92">
        <f t="shared" si="34"/>
        <v>0</v>
      </c>
      <c r="O21" s="93" t="str">
        <f t="shared" si="0"/>
        <v/>
      </c>
      <c r="P21" s="84">
        <f t="shared" si="12"/>
        <v>0</v>
      </c>
      <c r="Q21" s="84">
        <f t="shared" si="13"/>
        <v>0</v>
      </c>
      <c r="R21" s="84">
        <f t="shared" si="14"/>
        <v>0</v>
      </c>
      <c r="S21" s="84">
        <f t="shared" si="15"/>
        <v>0</v>
      </c>
      <c r="T21" s="93" t="str">
        <f t="shared" si="16"/>
        <v/>
      </c>
      <c r="V21" s="84">
        <f t="shared" si="17"/>
        <v>0</v>
      </c>
      <c r="W21" s="93" t="str">
        <f t="shared" si="18"/>
        <v/>
      </c>
      <c r="Y21" s="84">
        <f t="shared" si="19"/>
        <v>0</v>
      </c>
      <c r="Z21" s="84">
        <f t="shared" si="44"/>
        <v>0</v>
      </c>
      <c r="AA21" s="84">
        <f t="shared" si="20"/>
        <v>0</v>
      </c>
      <c r="AB21" s="85" t="str">
        <f t="shared" si="35"/>
        <v/>
      </c>
      <c r="AC21" s="84">
        <f t="shared" si="36"/>
        <v>0</v>
      </c>
      <c r="AD21" s="94" t="str">
        <f t="shared" si="45"/>
        <v/>
      </c>
      <c r="AE21" s="94" t="str">
        <f t="shared" si="21"/>
        <v/>
      </c>
      <c r="AF21" s="95" t="str">
        <f t="shared" si="22"/>
        <v/>
      </c>
      <c r="AG21" s="289">
        <f t="shared" si="37"/>
        <v>0</v>
      </c>
      <c r="AH21" s="84">
        <f t="shared" si="38"/>
        <v>0</v>
      </c>
      <c r="AI21" s="289">
        <f t="shared" si="39"/>
        <v>0</v>
      </c>
      <c r="AJ21" s="84">
        <f t="shared" si="23"/>
        <v>0</v>
      </c>
      <c r="AK21" s="10">
        <f>1400000</f>
        <v>1400000</v>
      </c>
      <c r="AL21" s="84">
        <f t="shared" si="40"/>
        <v>40826000</v>
      </c>
      <c r="AM21" s="84">
        <f>IF(LEN(AO21)&gt;=1, AL21-$AL$2, 0)</f>
        <v>1400000</v>
      </c>
      <c r="AN21">
        <f t="shared" si="24"/>
        <v>58</v>
      </c>
      <c r="AO21">
        <f t="shared" si="25"/>
        <v>1</v>
      </c>
      <c r="AP21" s="289">
        <f t="shared" si="46"/>
        <v>0</v>
      </c>
      <c r="AQ21" s="289">
        <f t="shared" si="41"/>
        <v>85048305.410844877</v>
      </c>
      <c r="AR21" s="289">
        <f t="shared" si="42"/>
        <v>92938623.050352573</v>
      </c>
      <c r="AS21" s="289">
        <f t="shared" si="47"/>
        <v>81448305.410844877</v>
      </c>
      <c r="AT21" s="289">
        <f t="shared" si="48"/>
        <v>89338623.050352573</v>
      </c>
      <c r="AU21" s="289">
        <f t="shared" si="2"/>
        <v>300000</v>
      </c>
      <c r="AV21" s="289">
        <f t="shared" si="28"/>
        <v>3600000</v>
      </c>
      <c r="AW21" s="289">
        <f t="shared" si="43"/>
        <v>3600000</v>
      </c>
      <c r="AX21" s="289">
        <f t="shared" si="29"/>
        <v>92584346.066286325</v>
      </c>
      <c r="AY21" s="289">
        <f t="shared" ref="AY21:AY63" si="50">IF(LEN(AO21)&gt;=1,($AW$2 + $AZ$2 +$AC$2 + $AL$2 + AT21 + AM21 - AV21)*$AG$2 + $AW$2 + $AZ$2 + $AC$2 + $AL$2 + AT21 + AM21 - AV21, 0)</f>
        <v>141320153.23497924</v>
      </c>
      <c r="AZ21" s="84"/>
      <c r="BB21" s="10">
        <f>1400000</f>
        <v>1400000</v>
      </c>
      <c r="BC21" s="96">
        <v>700000</v>
      </c>
    </row>
    <row r="22" spans="1:55">
      <c r="A22" s="72">
        <f t="shared" si="30"/>
        <v>2037</v>
      </c>
      <c r="B22" s="72">
        <f t="shared" si="30"/>
        <v>59</v>
      </c>
      <c r="C22" s="91">
        <f t="shared" si="31"/>
        <v>0</v>
      </c>
      <c r="D22" s="91">
        <f t="shared" si="32"/>
        <v>0</v>
      </c>
      <c r="E22" s="91">
        <f t="shared" si="4"/>
        <v>0</v>
      </c>
      <c r="F22" s="91">
        <f t="shared" si="5"/>
        <v>0</v>
      </c>
      <c r="G22" s="91">
        <f t="shared" si="6"/>
        <v>0</v>
      </c>
      <c r="H22" s="91">
        <f t="shared" si="7"/>
        <v>0</v>
      </c>
      <c r="I22" s="91">
        <f t="shared" si="8"/>
        <v>0</v>
      </c>
      <c r="J22" s="91">
        <f t="shared" si="9"/>
        <v>0</v>
      </c>
      <c r="K22" s="91">
        <f t="shared" si="10"/>
        <v>0</v>
      </c>
      <c r="L22" s="91">
        <f t="shared" si="33"/>
        <v>0</v>
      </c>
      <c r="M22" s="92">
        <f t="shared" si="11"/>
        <v>0</v>
      </c>
      <c r="N22" s="92">
        <f t="shared" si="34"/>
        <v>0</v>
      </c>
      <c r="O22" s="93" t="str">
        <f>IF(B22&lt;= $C$2,K22/C22, "")</f>
        <v/>
      </c>
      <c r="P22" s="84">
        <f t="shared" si="12"/>
        <v>0</v>
      </c>
      <c r="Q22" s="84">
        <f t="shared" si="13"/>
        <v>0</v>
      </c>
      <c r="R22" s="84">
        <f t="shared" si="14"/>
        <v>0</v>
      </c>
      <c r="S22" s="84">
        <f t="shared" si="15"/>
        <v>0</v>
      </c>
      <c r="T22" s="93" t="str">
        <f t="shared" si="16"/>
        <v/>
      </c>
      <c r="V22" s="84">
        <f t="shared" si="17"/>
        <v>0</v>
      </c>
      <c r="W22" s="93" t="str">
        <f t="shared" si="18"/>
        <v/>
      </c>
      <c r="Y22" s="84">
        <f t="shared" si="19"/>
        <v>0</v>
      </c>
      <c r="Z22" s="84">
        <f t="shared" si="44"/>
        <v>0</v>
      </c>
      <c r="AA22" s="84">
        <f t="shared" si="20"/>
        <v>0</v>
      </c>
      <c r="AB22" s="85" t="str">
        <f t="shared" si="35"/>
        <v/>
      </c>
      <c r="AC22" s="84">
        <f t="shared" si="36"/>
        <v>0</v>
      </c>
      <c r="AD22" s="94" t="str">
        <f t="shared" si="45"/>
        <v/>
      </c>
      <c r="AE22" s="94" t="str">
        <f t="shared" si="21"/>
        <v/>
      </c>
      <c r="AF22" s="95" t="str">
        <f t="shared" si="22"/>
        <v/>
      </c>
      <c r="AG22" s="289">
        <f t="shared" si="37"/>
        <v>0</v>
      </c>
      <c r="AH22" s="84">
        <f t="shared" si="38"/>
        <v>0</v>
      </c>
      <c r="AI22" s="289">
        <f t="shared" si="39"/>
        <v>0</v>
      </c>
      <c r="AJ22" s="84">
        <f t="shared" si="23"/>
        <v>0</v>
      </c>
      <c r="AK22" s="10">
        <v>1400000</v>
      </c>
      <c r="AL22" s="84">
        <f t="shared" si="40"/>
        <v>42226000</v>
      </c>
      <c r="AM22" s="84">
        <f>IF(LEN(AO22)&gt;=1, AL22-$AL$2, 0)</f>
        <v>2800000</v>
      </c>
      <c r="AN22">
        <f t="shared" si="24"/>
        <v>59</v>
      </c>
      <c r="AO22">
        <f t="shared" si="25"/>
        <v>2</v>
      </c>
      <c r="AP22" s="289">
        <f t="shared" si="46"/>
        <v>0</v>
      </c>
      <c r="AQ22" s="289">
        <f t="shared" si="41"/>
        <v>85048305.410844877</v>
      </c>
      <c r="AR22" s="289">
        <f t="shared" si="42"/>
        <v>92938623.050352573</v>
      </c>
      <c r="AS22" s="289">
        <f t="shared" si="47"/>
        <v>77812305.410844877</v>
      </c>
      <c r="AT22" s="289">
        <f t="shared" si="48"/>
        <v>85702623.050352573</v>
      </c>
      <c r="AU22" s="289">
        <f t="shared" si="2"/>
        <v>303000</v>
      </c>
      <c r="AV22" s="289">
        <f t="shared" si="28"/>
        <v>3636000</v>
      </c>
      <c r="AW22" s="289">
        <f t="shared" si="43"/>
        <v>7236000</v>
      </c>
      <c r="AX22" s="289">
        <f t="shared" si="29"/>
        <v>90244186.066286325</v>
      </c>
      <c r="AY22" s="289">
        <f t="shared" si="50"/>
        <v>138979993.23497924</v>
      </c>
      <c r="AZ22" s="84"/>
      <c r="BB22" s="10">
        <f t="shared" si="49"/>
        <v>1400000</v>
      </c>
      <c r="BC22" s="96">
        <v>700000</v>
      </c>
    </row>
    <row r="23" spans="1:55">
      <c r="A23" s="72">
        <f t="shared" ref="A23:B38" si="51">A22+1</f>
        <v>2038</v>
      </c>
      <c r="B23" s="72">
        <f t="shared" si="51"/>
        <v>60</v>
      </c>
      <c r="C23" s="91">
        <f t="shared" si="31"/>
        <v>0</v>
      </c>
      <c r="D23" s="91">
        <f t="shared" si="32"/>
        <v>0</v>
      </c>
      <c r="E23" s="91">
        <f t="shared" si="4"/>
        <v>0</v>
      </c>
      <c r="F23" s="91">
        <f t="shared" si="5"/>
        <v>0</v>
      </c>
      <c r="G23" s="91">
        <f t="shared" si="6"/>
        <v>0</v>
      </c>
      <c r="H23" s="91">
        <f t="shared" si="7"/>
        <v>0</v>
      </c>
      <c r="I23" s="91">
        <f t="shared" si="8"/>
        <v>0</v>
      </c>
      <c r="J23" s="91">
        <f t="shared" si="9"/>
        <v>0</v>
      </c>
      <c r="K23" s="91">
        <f t="shared" si="10"/>
        <v>0</v>
      </c>
      <c r="L23" s="91">
        <f t="shared" si="33"/>
        <v>0</v>
      </c>
      <c r="M23" s="92">
        <f t="shared" si="11"/>
        <v>0</v>
      </c>
      <c r="N23" s="92">
        <f t="shared" si="34"/>
        <v>0</v>
      </c>
      <c r="O23" s="93" t="str">
        <f t="shared" ref="O23:O63" si="52">IF(B23&lt;= $C$2,K23/C23, "")</f>
        <v/>
      </c>
      <c r="P23" s="84">
        <f t="shared" si="12"/>
        <v>0</v>
      </c>
      <c r="Q23" s="84">
        <f t="shared" si="13"/>
        <v>0</v>
      </c>
      <c r="R23" s="84">
        <f t="shared" si="14"/>
        <v>0</v>
      </c>
      <c r="S23" s="84">
        <f t="shared" si="15"/>
        <v>0</v>
      </c>
      <c r="T23" s="93" t="str">
        <f t="shared" si="16"/>
        <v/>
      </c>
      <c r="V23" s="84">
        <f t="shared" si="17"/>
        <v>0</v>
      </c>
      <c r="W23" s="93" t="str">
        <f t="shared" si="18"/>
        <v/>
      </c>
      <c r="Y23" s="84">
        <f t="shared" si="19"/>
        <v>0</v>
      </c>
      <c r="Z23" s="84">
        <f t="shared" si="44"/>
        <v>0</v>
      </c>
      <c r="AA23" s="84">
        <f t="shared" si="20"/>
        <v>0</v>
      </c>
      <c r="AB23" s="85" t="str">
        <f t="shared" si="35"/>
        <v/>
      </c>
      <c r="AC23" s="84">
        <f t="shared" si="36"/>
        <v>0</v>
      </c>
      <c r="AD23" s="94" t="str">
        <f t="shared" si="45"/>
        <v/>
      </c>
      <c r="AE23" s="94" t="str">
        <f t="shared" si="21"/>
        <v/>
      </c>
      <c r="AF23" s="95" t="str">
        <f t="shared" si="22"/>
        <v/>
      </c>
      <c r="AG23" s="289">
        <f t="shared" si="37"/>
        <v>0</v>
      </c>
      <c r="AH23" s="84">
        <f t="shared" si="38"/>
        <v>0</v>
      </c>
      <c r="AI23" s="289">
        <f t="shared" si="39"/>
        <v>0</v>
      </c>
      <c r="AJ23" s="84">
        <f t="shared" si="23"/>
        <v>0</v>
      </c>
      <c r="AK23" s="10">
        <v>1400000</v>
      </c>
      <c r="AL23" s="84">
        <f t="shared" si="40"/>
        <v>43626000</v>
      </c>
      <c r="AM23" s="84">
        <f t="shared" ref="AM23:AM63" si="53">IF(LEN(AO23)&gt;=1, AL23-$AL$2, 0)</f>
        <v>4200000</v>
      </c>
      <c r="AN23">
        <f t="shared" si="24"/>
        <v>60</v>
      </c>
      <c r="AO23">
        <f t="shared" si="25"/>
        <v>3</v>
      </c>
      <c r="AP23" s="289">
        <f t="shared" si="46"/>
        <v>0</v>
      </c>
      <c r="AQ23" s="289">
        <f t="shared" si="41"/>
        <v>85048305.410844877</v>
      </c>
      <c r="AR23" s="289">
        <f t="shared" si="42"/>
        <v>92938623.050352573</v>
      </c>
      <c r="AS23" s="289">
        <f t="shared" si="47"/>
        <v>74140305.410844877</v>
      </c>
      <c r="AT23" s="289">
        <f t="shared" si="48"/>
        <v>82030623.050352573</v>
      </c>
      <c r="AU23" s="289">
        <f t="shared" si="2"/>
        <v>306000</v>
      </c>
      <c r="AV23" s="289">
        <f t="shared" si="28"/>
        <v>3672000</v>
      </c>
      <c r="AW23" s="289">
        <f t="shared" si="43"/>
        <v>10908000</v>
      </c>
      <c r="AX23" s="289">
        <f t="shared" si="29"/>
        <v>87866946.066286325</v>
      </c>
      <c r="AY23" s="289">
        <f t="shared" si="50"/>
        <v>136602753.23497924</v>
      </c>
      <c r="AZ23" s="84"/>
      <c r="BB23" s="10">
        <f t="shared" si="49"/>
        <v>1400000</v>
      </c>
      <c r="BC23" s="96">
        <v>700000</v>
      </c>
    </row>
    <row r="24" spans="1:55">
      <c r="A24" s="72">
        <f t="shared" si="51"/>
        <v>2039</v>
      </c>
      <c r="B24" s="72">
        <f t="shared" si="51"/>
        <v>61</v>
      </c>
      <c r="C24" s="91">
        <f t="shared" si="31"/>
        <v>0</v>
      </c>
      <c r="D24" s="91">
        <f t="shared" si="32"/>
        <v>0</v>
      </c>
      <c r="E24" s="91">
        <f t="shared" si="4"/>
        <v>0</v>
      </c>
      <c r="F24" s="91">
        <f t="shared" si="5"/>
        <v>0</v>
      </c>
      <c r="G24" s="91">
        <f t="shared" si="6"/>
        <v>0</v>
      </c>
      <c r="H24" s="91">
        <f t="shared" si="7"/>
        <v>0</v>
      </c>
      <c r="I24" s="91">
        <f t="shared" si="8"/>
        <v>0</v>
      </c>
      <c r="J24" s="91">
        <f t="shared" si="9"/>
        <v>0</v>
      </c>
      <c r="K24" s="91">
        <f t="shared" si="10"/>
        <v>0</v>
      </c>
      <c r="L24" s="91">
        <f t="shared" si="33"/>
        <v>0</v>
      </c>
      <c r="M24" s="92">
        <f t="shared" si="11"/>
        <v>0</v>
      </c>
      <c r="N24" s="92">
        <f t="shared" si="34"/>
        <v>0</v>
      </c>
      <c r="O24" s="93" t="str">
        <f t="shared" si="52"/>
        <v/>
      </c>
      <c r="P24" s="84">
        <f t="shared" si="12"/>
        <v>0</v>
      </c>
      <c r="Q24" s="84">
        <f t="shared" si="13"/>
        <v>0</v>
      </c>
      <c r="R24" s="84">
        <f t="shared" si="14"/>
        <v>0</v>
      </c>
      <c r="S24" s="84">
        <f t="shared" si="15"/>
        <v>0</v>
      </c>
      <c r="T24" s="93" t="str">
        <f t="shared" si="16"/>
        <v/>
      </c>
      <c r="V24" s="84">
        <f t="shared" si="17"/>
        <v>0</v>
      </c>
      <c r="W24" s="93" t="str">
        <f t="shared" si="18"/>
        <v/>
      </c>
      <c r="Y24" s="84">
        <f t="shared" si="19"/>
        <v>0</v>
      </c>
      <c r="Z24" s="84">
        <f t="shared" si="44"/>
        <v>0</v>
      </c>
      <c r="AA24" s="84">
        <f t="shared" si="20"/>
        <v>0</v>
      </c>
      <c r="AB24" s="85" t="str">
        <f t="shared" si="35"/>
        <v/>
      </c>
      <c r="AC24" s="84">
        <f t="shared" si="36"/>
        <v>0</v>
      </c>
      <c r="AD24" s="94" t="str">
        <f t="shared" si="45"/>
        <v/>
      </c>
      <c r="AE24" s="94" t="str">
        <f t="shared" si="21"/>
        <v/>
      </c>
      <c r="AF24" s="95" t="str">
        <f t="shared" si="22"/>
        <v/>
      </c>
      <c r="AG24" s="289">
        <f t="shared" si="37"/>
        <v>0</v>
      </c>
      <c r="AH24" s="84">
        <f t="shared" si="38"/>
        <v>0</v>
      </c>
      <c r="AI24" s="289">
        <f t="shared" si="39"/>
        <v>0</v>
      </c>
      <c r="AJ24" s="84">
        <f t="shared" si="23"/>
        <v>0</v>
      </c>
      <c r="AK24" s="10">
        <v>4160000</v>
      </c>
      <c r="AL24" s="84">
        <f t="shared" si="40"/>
        <v>47786000</v>
      </c>
      <c r="AM24" s="84">
        <f t="shared" si="53"/>
        <v>8360000</v>
      </c>
      <c r="AN24">
        <f t="shared" si="24"/>
        <v>61</v>
      </c>
      <c r="AO24">
        <f t="shared" si="25"/>
        <v>4</v>
      </c>
      <c r="AP24" s="289">
        <f t="shared" si="46"/>
        <v>0</v>
      </c>
      <c r="AQ24" s="289">
        <f t="shared" si="41"/>
        <v>85048305.410844877</v>
      </c>
      <c r="AR24" s="289">
        <f t="shared" si="42"/>
        <v>92938623.050352573</v>
      </c>
      <c r="AS24" s="289">
        <f t="shared" si="47"/>
        <v>70432305.410844877</v>
      </c>
      <c r="AT24" s="289">
        <f t="shared" si="48"/>
        <v>78322623.050352573</v>
      </c>
      <c r="AU24" s="289">
        <f t="shared" si="2"/>
        <v>309000</v>
      </c>
      <c r="AV24" s="289">
        <f t="shared" si="28"/>
        <v>3708000</v>
      </c>
      <c r="AW24" s="289">
        <f t="shared" si="43"/>
        <v>14616000</v>
      </c>
      <c r="AX24" s="289">
        <f t="shared" si="29"/>
        <v>88295426.066286325</v>
      </c>
      <c r="AY24" s="289">
        <f t="shared" si="50"/>
        <v>137031233.23497924</v>
      </c>
      <c r="AZ24" s="84"/>
      <c r="BB24" s="10">
        <f>BC24*2-1000000</f>
        <v>4160000</v>
      </c>
      <c r="BC24" s="96">
        <f>700000+880000+1000000</f>
        <v>2580000</v>
      </c>
    </row>
    <row r="25" spans="1:55">
      <c r="A25" s="72">
        <f t="shared" si="51"/>
        <v>2040</v>
      </c>
      <c r="B25" s="72">
        <f t="shared" si="51"/>
        <v>62</v>
      </c>
      <c r="C25" s="91">
        <f t="shared" si="31"/>
        <v>0</v>
      </c>
      <c r="D25" s="91">
        <f t="shared" si="32"/>
        <v>0</v>
      </c>
      <c r="E25" s="91">
        <f t="shared" si="4"/>
        <v>0</v>
      </c>
      <c r="F25" s="91">
        <f t="shared" si="5"/>
        <v>0</v>
      </c>
      <c r="G25" s="91">
        <f t="shared" si="6"/>
        <v>0</v>
      </c>
      <c r="H25" s="91">
        <f t="shared" si="7"/>
        <v>0</v>
      </c>
      <c r="I25" s="91">
        <f t="shared" si="8"/>
        <v>0</v>
      </c>
      <c r="J25" s="91">
        <f t="shared" si="9"/>
        <v>0</v>
      </c>
      <c r="K25" s="91">
        <f t="shared" si="10"/>
        <v>0</v>
      </c>
      <c r="L25" s="91">
        <f t="shared" si="33"/>
        <v>0</v>
      </c>
      <c r="M25" s="92">
        <f t="shared" si="11"/>
        <v>0</v>
      </c>
      <c r="N25" s="92">
        <f t="shared" si="34"/>
        <v>0</v>
      </c>
      <c r="O25" s="93" t="str">
        <f t="shared" si="52"/>
        <v/>
      </c>
      <c r="P25" s="84">
        <f t="shared" si="12"/>
        <v>0</v>
      </c>
      <c r="Q25" s="84">
        <f t="shared" si="13"/>
        <v>0</v>
      </c>
      <c r="R25" s="84">
        <f t="shared" si="14"/>
        <v>0</v>
      </c>
      <c r="S25" s="84">
        <f t="shared" si="15"/>
        <v>0</v>
      </c>
      <c r="T25" s="93" t="str">
        <f t="shared" si="16"/>
        <v/>
      </c>
      <c r="V25" s="84">
        <f t="shared" si="17"/>
        <v>0</v>
      </c>
      <c r="W25" s="93" t="str">
        <f t="shared" si="18"/>
        <v/>
      </c>
      <c r="Y25" s="84">
        <f t="shared" si="19"/>
        <v>0</v>
      </c>
      <c r="Z25" s="84">
        <f t="shared" si="44"/>
        <v>0</v>
      </c>
      <c r="AA25" s="84">
        <f t="shared" si="20"/>
        <v>0</v>
      </c>
      <c r="AB25" s="85" t="str">
        <f t="shared" si="35"/>
        <v/>
      </c>
      <c r="AC25" s="84">
        <f t="shared" si="36"/>
        <v>0</v>
      </c>
      <c r="AD25" s="94" t="str">
        <f t="shared" si="45"/>
        <v/>
      </c>
      <c r="AE25" s="94" t="str">
        <f t="shared" si="21"/>
        <v/>
      </c>
      <c r="AF25" s="95" t="str">
        <f t="shared" si="22"/>
        <v/>
      </c>
      <c r="AG25" s="289">
        <f t="shared" si="37"/>
        <v>0</v>
      </c>
      <c r="AH25" s="84">
        <f t="shared" si="38"/>
        <v>0</v>
      </c>
      <c r="AI25" s="289">
        <f t="shared" si="39"/>
        <v>0</v>
      </c>
      <c r="AJ25" s="84">
        <f t="shared" si="23"/>
        <v>0</v>
      </c>
      <c r="AK25" s="10">
        <v>3160000</v>
      </c>
      <c r="AL25" s="84">
        <f t="shared" si="40"/>
        <v>50946000</v>
      </c>
      <c r="AM25" s="84">
        <f t="shared" si="53"/>
        <v>11520000</v>
      </c>
      <c r="AN25">
        <f t="shared" si="24"/>
        <v>62</v>
      </c>
      <c r="AO25">
        <f t="shared" si="25"/>
        <v>5</v>
      </c>
      <c r="AP25" s="289">
        <f t="shared" si="46"/>
        <v>0</v>
      </c>
      <c r="AQ25" s="289">
        <f t="shared" si="41"/>
        <v>85048305.410844877</v>
      </c>
      <c r="AR25" s="289">
        <f t="shared" si="42"/>
        <v>92938623.050352573</v>
      </c>
      <c r="AS25" s="289">
        <f t="shared" si="47"/>
        <v>66688305.410844877</v>
      </c>
      <c r="AT25" s="289">
        <f t="shared" si="48"/>
        <v>74578623.050352573</v>
      </c>
      <c r="AU25" s="289">
        <f t="shared" si="2"/>
        <v>312000</v>
      </c>
      <c r="AV25" s="289">
        <f t="shared" si="28"/>
        <v>3744000</v>
      </c>
      <c r="AW25" s="289">
        <f t="shared" si="43"/>
        <v>18360000</v>
      </c>
      <c r="AX25" s="289">
        <f t="shared" si="29"/>
        <v>87656826.066286325</v>
      </c>
      <c r="AY25" s="289">
        <f t="shared" si="50"/>
        <v>136392633.23497924</v>
      </c>
      <c r="AZ25" s="84"/>
      <c r="BB25" s="10">
        <f t="shared" ref="BB25:BB63" si="54">BC25*2</f>
        <v>3160000</v>
      </c>
      <c r="BC25" s="96">
        <f t="shared" ref="BC25:BC37" si="55">700000+880000</f>
        <v>1580000</v>
      </c>
    </row>
    <row r="26" spans="1:55">
      <c r="A26" s="72">
        <f t="shared" si="51"/>
        <v>2041</v>
      </c>
      <c r="B26" s="72">
        <f t="shared" si="51"/>
        <v>63</v>
      </c>
      <c r="C26" s="91">
        <f t="shared" si="31"/>
        <v>0</v>
      </c>
      <c r="D26" s="91">
        <f t="shared" si="32"/>
        <v>0</v>
      </c>
      <c r="E26" s="91">
        <f t="shared" si="4"/>
        <v>0</v>
      </c>
      <c r="F26" s="91">
        <f t="shared" si="5"/>
        <v>0</v>
      </c>
      <c r="G26" s="91">
        <f t="shared" si="6"/>
        <v>0</v>
      </c>
      <c r="H26" s="91">
        <f t="shared" si="7"/>
        <v>0</v>
      </c>
      <c r="I26" s="91">
        <f t="shared" si="8"/>
        <v>0</v>
      </c>
      <c r="J26" s="91">
        <f t="shared" si="9"/>
        <v>0</v>
      </c>
      <c r="K26" s="91">
        <f t="shared" si="10"/>
        <v>0</v>
      </c>
      <c r="L26" s="91">
        <f t="shared" si="33"/>
        <v>0</v>
      </c>
      <c r="M26" s="92">
        <f t="shared" si="11"/>
        <v>0</v>
      </c>
      <c r="N26" s="92">
        <f t="shared" si="34"/>
        <v>0</v>
      </c>
      <c r="O26" s="93" t="str">
        <f t="shared" si="52"/>
        <v/>
      </c>
      <c r="P26" s="84">
        <f t="shared" si="12"/>
        <v>0</v>
      </c>
      <c r="Q26" s="84">
        <f t="shared" si="13"/>
        <v>0</v>
      </c>
      <c r="R26" s="84">
        <f t="shared" si="14"/>
        <v>0</v>
      </c>
      <c r="S26" s="84">
        <f t="shared" si="15"/>
        <v>0</v>
      </c>
      <c r="T26" s="93" t="str">
        <f t="shared" si="16"/>
        <v/>
      </c>
      <c r="V26" s="84">
        <f t="shared" si="17"/>
        <v>0</v>
      </c>
      <c r="W26" s="93" t="str">
        <f t="shared" si="18"/>
        <v/>
      </c>
      <c r="Y26" s="84">
        <f t="shared" si="19"/>
        <v>0</v>
      </c>
      <c r="Z26" s="84">
        <f t="shared" si="44"/>
        <v>0</v>
      </c>
      <c r="AA26" s="84">
        <f t="shared" si="20"/>
        <v>0</v>
      </c>
      <c r="AB26" s="85" t="str">
        <f t="shared" si="35"/>
        <v/>
      </c>
      <c r="AC26" s="84">
        <f t="shared" si="36"/>
        <v>0</v>
      </c>
      <c r="AD26" s="94" t="str">
        <f t="shared" si="45"/>
        <v/>
      </c>
      <c r="AE26" s="94" t="str">
        <f t="shared" si="21"/>
        <v/>
      </c>
      <c r="AF26" s="95" t="str">
        <f t="shared" si="22"/>
        <v/>
      </c>
      <c r="AG26" s="289">
        <f t="shared" si="37"/>
        <v>0</v>
      </c>
      <c r="AH26" s="84">
        <f t="shared" si="38"/>
        <v>0</v>
      </c>
      <c r="AI26" s="289">
        <f t="shared" si="39"/>
        <v>0</v>
      </c>
      <c r="AJ26" s="84">
        <f t="shared" si="23"/>
        <v>0</v>
      </c>
      <c r="AK26" s="10">
        <v>3160000</v>
      </c>
      <c r="AL26" s="84">
        <f t="shared" si="40"/>
        <v>54106000</v>
      </c>
      <c r="AM26" s="84">
        <f t="shared" si="53"/>
        <v>14680000</v>
      </c>
      <c r="AN26">
        <f t="shared" si="24"/>
        <v>63</v>
      </c>
      <c r="AO26">
        <f t="shared" si="25"/>
        <v>6</v>
      </c>
      <c r="AP26" s="289">
        <f t="shared" si="46"/>
        <v>0</v>
      </c>
      <c r="AQ26" s="289">
        <f t="shared" si="41"/>
        <v>85048305.410844877</v>
      </c>
      <c r="AR26" s="289">
        <f t="shared" si="42"/>
        <v>92938623.050352573</v>
      </c>
      <c r="AS26" s="289">
        <f t="shared" si="47"/>
        <v>62908305.410844877</v>
      </c>
      <c r="AT26" s="289">
        <f t="shared" si="48"/>
        <v>70798623.050352573</v>
      </c>
      <c r="AU26" s="289">
        <f t="shared" si="2"/>
        <v>315000</v>
      </c>
      <c r="AV26" s="289">
        <f t="shared" si="28"/>
        <v>3780000</v>
      </c>
      <c r="AW26" s="289">
        <f t="shared" si="43"/>
        <v>22140000</v>
      </c>
      <c r="AX26" s="289">
        <f t="shared" si="29"/>
        <v>86981146.066286325</v>
      </c>
      <c r="AY26" s="289">
        <f t="shared" si="50"/>
        <v>135716953.23497924</v>
      </c>
      <c r="AZ26" s="84"/>
      <c r="BB26" s="10">
        <f t="shared" si="54"/>
        <v>3160000</v>
      </c>
      <c r="BC26" s="96">
        <f t="shared" si="55"/>
        <v>1580000</v>
      </c>
    </row>
    <row r="27" spans="1:55">
      <c r="A27" s="72">
        <f t="shared" si="51"/>
        <v>2042</v>
      </c>
      <c r="B27" s="72">
        <f t="shared" si="51"/>
        <v>64</v>
      </c>
      <c r="C27" s="91">
        <f t="shared" si="31"/>
        <v>0</v>
      </c>
      <c r="D27" s="91">
        <f t="shared" si="32"/>
        <v>0</v>
      </c>
      <c r="E27" s="91">
        <f t="shared" si="4"/>
        <v>0</v>
      </c>
      <c r="F27" s="91">
        <f t="shared" si="5"/>
        <v>0</v>
      </c>
      <c r="G27" s="91">
        <f t="shared" si="6"/>
        <v>0</v>
      </c>
      <c r="H27" s="91">
        <f t="shared" si="7"/>
        <v>0</v>
      </c>
      <c r="I27" s="91">
        <f t="shared" si="8"/>
        <v>0</v>
      </c>
      <c r="J27" s="91">
        <f t="shared" si="9"/>
        <v>0</v>
      </c>
      <c r="K27" s="91">
        <f t="shared" si="10"/>
        <v>0</v>
      </c>
      <c r="L27" s="91">
        <f t="shared" si="33"/>
        <v>0</v>
      </c>
      <c r="M27" s="92">
        <f t="shared" si="11"/>
        <v>0</v>
      </c>
      <c r="N27" s="92">
        <f t="shared" si="34"/>
        <v>0</v>
      </c>
      <c r="O27" s="93" t="str">
        <f t="shared" si="52"/>
        <v/>
      </c>
      <c r="P27" s="84">
        <f t="shared" si="12"/>
        <v>0</v>
      </c>
      <c r="Q27" s="84">
        <f t="shared" si="13"/>
        <v>0</v>
      </c>
      <c r="R27" s="84">
        <f t="shared" si="14"/>
        <v>0</v>
      </c>
      <c r="S27" s="84">
        <f t="shared" si="15"/>
        <v>0</v>
      </c>
      <c r="T27" s="93" t="str">
        <f t="shared" si="16"/>
        <v/>
      </c>
      <c r="V27" s="84">
        <f t="shared" si="17"/>
        <v>0</v>
      </c>
      <c r="W27" s="93" t="str">
        <f t="shared" si="18"/>
        <v/>
      </c>
      <c r="Y27" s="84">
        <f t="shared" si="19"/>
        <v>0</v>
      </c>
      <c r="Z27" s="84">
        <f t="shared" si="44"/>
        <v>0</v>
      </c>
      <c r="AA27" s="84">
        <f t="shared" si="20"/>
        <v>0</v>
      </c>
      <c r="AB27" s="85" t="str">
        <f t="shared" si="35"/>
        <v/>
      </c>
      <c r="AC27" s="84">
        <f t="shared" si="36"/>
        <v>0</v>
      </c>
      <c r="AD27" s="94" t="str">
        <f t="shared" si="45"/>
        <v/>
      </c>
      <c r="AE27" s="94" t="str">
        <f t="shared" si="21"/>
        <v/>
      </c>
      <c r="AF27" s="95" t="str">
        <f t="shared" si="22"/>
        <v/>
      </c>
      <c r="AG27" s="289">
        <f t="shared" si="37"/>
        <v>0</v>
      </c>
      <c r="AH27" s="84">
        <f t="shared" si="38"/>
        <v>0</v>
      </c>
      <c r="AI27" s="289">
        <f t="shared" si="39"/>
        <v>0</v>
      </c>
      <c r="AJ27" s="84">
        <f t="shared" si="23"/>
        <v>0</v>
      </c>
      <c r="AK27" s="10">
        <v>3160000</v>
      </c>
      <c r="AL27" s="84">
        <f t="shared" si="40"/>
        <v>57266000</v>
      </c>
      <c r="AM27" s="84">
        <f t="shared" si="53"/>
        <v>17840000</v>
      </c>
      <c r="AN27">
        <f t="shared" si="24"/>
        <v>64</v>
      </c>
      <c r="AO27">
        <f t="shared" si="25"/>
        <v>7</v>
      </c>
      <c r="AP27" s="289">
        <f t="shared" si="46"/>
        <v>0</v>
      </c>
      <c r="AQ27" s="289">
        <f t="shared" si="41"/>
        <v>85048305.410844877</v>
      </c>
      <c r="AR27" s="289">
        <f t="shared" si="42"/>
        <v>92938623.050352573</v>
      </c>
      <c r="AS27" s="289">
        <f t="shared" si="47"/>
        <v>59092305.410844877</v>
      </c>
      <c r="AT27" s="289">
        <f t="shared" si="48"/>
        <v>66982623.050352573</v>
      </c>
      <c r="AU27" s="289">
        <f t="shared" si="2"/>
        <v>318000</v>
      </c>
      <c r="AV27" s="289">
        <f t="shared" si="28"/>
        <v>3816000</v>
      </c>
      <c r="AW27" s="289">
        <f t="shared" si="43"/>
        <v>25956000</v>
      </c>
      <c r="AX27" s="289">
        <f t="shared" si="29"/>
        <v>86268386.066286325</v>
      </c>
      <c r="AY27" s="289">
        <f t="shared" si="50"/>
        <v>135004193.23497924</v>
      </c>
      <c r="AZ27" s="84"/>
      <c r="BB27" s="10">
        <f t="shared" si="54"/>
        <v>3160000</v>
      </c>
      <c r="BC27" s="96">
        <f t="shared" si="55"/>
        <v>1580000</v>
      </c>
    </row>
    <row r="28" spans="1:55">
      <c r="A28" s="72">
        <f t="shared" si="51"/>
        <v>2043</v>
      </c>
      <c r="B28" s="72">
        <f t="shared" si="51"/>
        <v>65</v>
      </c>
      <c r="C28" s="91">
        <f t="shared" si="31"/>
        <v>0</v>
      </c>
      <c r="D28" s="91">
        <f t="shared" si="32"/>
        <v>0</v>
      </c>
      <c r="E28" s="91">
        <f t="shared" si="4"/>
        <v>0</v>
      </c>
      <c r="F28" s="91">
        <f t="shared" si="5"/>
        <v>0</v>
      </c>
      <c r="G28" s="91">
        <f t="shared" si="6"/>
        <v>0</v>
      </c>
      <c r="H28" s="91">
        <f t="shared" si="7"/>
        <v>0</v>
      </c>
      <c r="I28" s="91">
        <f t="shared" si="8"/>
        <v>0</v>
      </c>
      <c r="J28" s="91">
        <f t="shared" si="9"/>
        <v>0</v>
      </c>
      <c r="K28" s="91">
        <f t="shared" si="10"/>
        <v>0</v>
      </c>
      <c r="L28" s="91">
        <f t="shared" si="33"/>
        <v>0</v>
      </c>
      <c r="M28" s="92">
        <f t="shared" si="11"/>
        <v>0</v>
      </c>
      <c r="N28" s="92">
        <f t="shared" si="34"/>
        <v>0</v>
      </c>
      <c r="O28" s="93" t="str">
        <f t="shared" si="52"/>
        <v/>
      </c>
      <c r="P28" s="84">
        <f t="shared" si="12"/>
        <v>0</v>
      </c>
      <c r="Q28" s="84">
        <f t="shared" si="13"/>
        <v>0</v>
      </c>
      <c r="R28" s="84">
        <f t="shared" si="14"/>
        <v>0</v>
      </c>
      <c r="S28" s="84">
        <f t="shared" si="15"/>
        <v>0</v>
      </c>
      <c r="T28" s="93" t="str">
        <f t="shared" si="16"/>
        <v/>
      </c>
      <c r="V28" s="84">
        <f t="shared" si="17"/>
        <v>0</v>
      </c>
      <c r="W28" s="93" t="str">
        <f t="shared" si="18"/>
        <v/>
      </c>
      <c r="Y28" s="84">
        <f t="shared" si="19"/>
        <v>0</v>
      </c>
      <c r="Z28" s="84">
        <f t="shared" si="44"/>
        <v>0</v>
      </c>
      <c r="AA28" s="84">
        <f t="shared" si="20"/>
        <v>0</v>
      </c>
      <c r="AB28" s="85" t="str">
        <f t="shared" si="35"/>
        <v/>
      </c>
      <c r="AC28" s="84">
        <f t="shared" si="36"/>
        <v>0</v>
      </c>
      <c r="AD28" s="94" t="str">
        <f t="shared" si="45"/>
        <v/>
      </c>
      <c r="AE28" s="94" t="str">
        <f t="shared" si="21"/>
        <v/>
      </c>
      <c r="AF28" s="95" t="str">
        <f t="shared" si="22"/>
        <v/>
      </c>
      <c r="AG28" s="289">
        <f t="shared" si="37"/>
        <v>0</v>
      </c>
      <c r="AH28" s="84">
        <f t="shared" si="38"/>
        <v>0</v>
      </c>
      <c r="AI28" s="289">
        <f t="shared" si="39"/>
        <v>0</v>
      </c>
      <c r="AJ28" s="84">
        <f t="shared" si="23"/>
        <v>0</v>
      </c>
      <c r="AK28" s="10">
        <v>6360000</v>
      </c>
      <c r="AL28" s="84">
        <f t="shared" si="40"/>
        <v>63626000</v>
      </c>
      <c r="AM28" s="84">
        <f t="shared" si="53"/>
        <v>24200000</v>
      </c>
      <c r="AN28">
        <f t="shared" si="24"/>
        <v>65</v>
      </c>
      <c r="AO28">
        <f t="shared" si="25"/>
        <v>8</v>
      </c>
      <c r="AP28" s="289">
        <f t="shared" si="46"/>
        <v>0</v>
      </c>
      <c r="AQ28" s="289">
        <f t="shared" si="41"/>
        <v>85048305.410844877</v>
      </c>
      <c r="AR28" s="289">
        <f t="shared" si="42"/>
        <v>92938623.050352573</v>
      </c>
      <c r="AS28" s="289">
        <f t="shared" si="47"/>
        <v>55240305.410844877</v>
      </c>
      <c r="AT28" s="289">
        <f t="shared" si="48"/>
        <v>63130623.050352573</v>
      </c>
      <c r="AU28" s="289">
        <f t="shared" si="2"/>
        <v>321000</v>
      </c>
      <c r="AV28" s="289">
        <f t="shared" si="28"/>
        <v>3852000</v>
      </c>
      <c r="AW28" s="289">
        <f t="shared" si="43"/>
        <v>29808000</v>
      </c>
      <c r="AX28" s="289">
        <f t="shared" si="29"/>
        <v>88814546.066286325</v>
      </c>
      <c r="AY28" s="289">
        <f t="shared" si="50"/>
        <v>137550353.23497924</v>
      </c>
      <c r="AZ28" s="84"/>
      <c r="BB28" s="10">
        <f t="shared" si="54"/>
        <v>6360000</v>
      </c>
      <c r="BC28" s="96">
        <f>700000+880000+1600000</f>
        <v>3180000</v>
      </c>
    </row>
    <row r="29" spans="1:55">
      <c r="A29" s="72">
        <f t="shared" si="51"/>
        <v>2044</v>
      </c>
      <c r="B29" s="72">
        <f t="shared" si="51"/>
        <v>66</v>
      </c>
      <c r="C29" s="91">
        <f t="shared" si="31"/>
        <v>0</v>
      </c>
      <c r="D29" s="91">
        <f t="shared" si="32"/>
        <v>0</v>
      </c>
      <c r="E29" s="91">
        <f t="shared" si="4"/>
        <v>0</v>
      </c>
      <c r="F29" s="91">
        <f t="shared" si="5"/>
        <v>0</v>
      </c>
      <c r="G29" s="91">
        <f t="shared" si="6"/>
        <v>0</v>
      </c>
      <c r="H29" s="91">
        <f t="shared" si="7"/>
        <v>0</v>
      </c>
      <c r="I29" s="91">
        <f t="shared" si="8"/>
        <v>0</v>
      </c>
      <c r="J29" s="91">
        <f t="shared" si="9"/>
        <v>0</v>
      </c>
      <c r="K29" s="91">
        <f t="shared" si="10"/>
        <v>0</v>
      </c>
      <c r="L29" s="91">
        <f t="shared" si="33"/>
        <v>0</v>
      </c>
      <c r="M29" s="92">
        <f t="shared" si="11"/>
        <v>0</v>
      </c>
      <c r="N29" s="92">
        <f t="shared" si="34"/>
        <v>0</v>
      </c>
      <c r="O29" s="93" t="str">
        <f t="shared" si="52"/>
        <v/>
      </c>
      <c r="P29" s="84">
        <f t="shared" si="12"/>
        <v>0</v>
      </c>
      <c r="Q29" s="84">
        <f t="shared" si="13"/>
        <v>0</v>
      </c>
      <c r="R29" s="84">
        <f t="shared" si="14"/>
        <v>0</v>
      </c>
      <c r="S29" s="84">
        <f t="shared" si="15"/>
        <v>0</v>
      </c>
      <c r="T29" s="93" t="str">
        <f t="shared" si="16"/>
        <v/>
      </c>
      <c r="V29" s="84">
        <f t="shared" si="17"/>
        <v>0</v>
      </c>
      <c r="W29" s="93" t="str">
        <f t="shared" si="18"/>
        <v/>
      </c>
      <c r="Y29" s="84">
        <f t="shared" si="19"/>
        <v>0</v>
      </c>
      <c r="Z29" s="84">
        <f t="shared" si="44"/>
        <v>0</v>
      </c>
      <c r="AA29" s="84">
        <f t="shared" si="20"/>
        <v>0</v>
      </c>
      <c r="AB29" s="85" t="str">
        <f t="shared" si="35"/>
        <v/>
      </c>
      <c r="AC29" s="84">
        <f t="shared" si="36"/>
        <v>0</v>
      </c>
      <c r="AD29" s="94" t="str">
        <f t="shared" si="45"/>
        <v/>
      </c>
      <c r="AE29" s="94" t="str">
        <f t="shared" si="21"/>
        <v/>
      </c>
      <c r="AF29" s="95" t="str">
        <f t="shared" si="22"/>
        <v/>
      </c>
      <c r="AG29" s="289">
        <f t="shared" si="37"/>
        <v>0</v>
      </c>
      <c r="AH29" s="84">
        <f t="shared" si="38"/>
        <v>0</v>
      </c>
      <c r="AI29" s="289">
        <f t="shared" si="39"/>
        <v>0</v>
      </c>
      <c r="AJ29" s="84">
        <f t="shared" si="23"/>
        <v>0</v>
      </c>
      <c r="AK29" s="10">
        <v>3160000</v>
      </c>
      <c r="AL29" s="84">
        <f t="shared" si="40"/>
        <v>66786000</v>
      </c>
      <c r="AM29" s="84">
        <f t="shared" si="53"/>
        <v>27360000</v>
      </c>
      <c r="AN29">
        <f t="shared" si="24"/>
        <v>66</v>
      </c>
      <c r="AO29">
        <f t="shared" si="25"/>
        <v>9</v>
      </c>
      <c r="AP29" s="289">
        <f t="shared" si="46"/>
        <v>0</v>
      </c>
      <c r="AQ29" s="289">
        <f t="shared" si="41"/>
        <v>85048305.410844877</v>
      </c>
      <c r="AR29" s="289">
        <f t="shared" si="42"/>
        <v>92938623.050352573</v>
      </c>
      <c r="AS29" s="289">
        <f t="shared" si="47"/>
        <v>51352305.410844877</v>
      </c>
      <c r="AT29" s="289">
        <f t="shared" si="48"/>
        <v>59242623.050352573</v>
      </c>
      <c r="AU29" s="289">
        <f t="shared" si="2"/>
        <v>324000</v>
      </c>
      <c r="AV29" s="289">
        <f t="shared" si="28"/>
        <v>3888000</v>
      </c>
      <c r="AW29" s="289">
        <f t="shared" si="43"/>
        <v>33696000</v>
      </c>
      <c r="AX29" s="289">
        <f t="shared" si="29"/>
        <v>88027626.066286325</v>
      </c>
      <c r="AY29" s="289">
        <f t="shared" si="50"/>
        <v>136763433.23497924</v>
      </c>
      <c r="BB29" s="10">
        <f t="shared" si="54"/>
        <v>3160000</v>
      </c>
      <c r="BC29" s="96">
        <f t="shared" si="55"/>
        <v>1580000</v>
      </c>
    </row>
    <row r="30" spans="1:55">
      <c r="A30" s="72">
        <f t="shared" si="51"/>
        <v>2045</v>
      </c>
      <c r="B30" s="72">
        <f t="shared" si="51"/>
        <v>67</v>
      </c>
      <c r="C30" s="91">
        <f t="shared" si="31"/>
        <v>0</v>
      </c>
      <c r="D30" s="91">
        <f t="shared" si="32"/>
        <v>0</v>
      </c>
      <c r="E30" s="91">
        <f t="shared" si="4"/>
        <v>0</v>
      </c>
      <c r="F30" s="91">
        <f t="shared" si="5"/>
        <v>0</v>
      </c>
      <c r="G30" s="91">
        <f t="shared" si="6"/>
        <v>0</v>
      </c>
      <c r="H30" s="91">
        <f t="shared" si="7"/>
        <v>0</v>
      </c>
      <c r="I30" s="91">
        <f t="shared" si="8"/>
        <v>0</v>
      </c>
      <c r="J30" s="91">
        <f t="shared" si="9"/>
        <v>0</v>
      </c>
      <c r="K30" s="91">
        <f t="shared" si="10"/>
        <v>0</v>
      </c>
      <c r="L30" s="91">
        <f t="shared" si="33"/>
        <v>0</v>
      </c>
      <c r="M30" s="92">
        <f t="shared" si="11"/>
        <v>0</v>
      </c>
      <c r="N30" s="92">
        <f t="shared" si="34"/>
        <v>0</v>
      </c>
      <c r="O30" s="93" t="str">
        <f t="shared" si="52"/>
        <v/>
      </c>
      <c r="P30" s="84">
        <f t="shared" si="12"/>
        <v>0</v>
      </c>
      <c r="Q30" s="84">
        <f t="shared" si="13"/>
        <v>0</v>
      </c>
      <c r="R30" s="84">
        <f t="shared" si="14"/>
        <v>0</v>
      </c>
      <c r="S30" s="84">
        <f t="shared" si="15"/>
        <v>0</v>
      </c>
      <c r="T30" s="93" t="str">
        <f t="shared" si="16"/>
        <v/>
      </c>
      <c r="V30" s="84">
        <f t="shared" si="17"/>
        <v>0</v>
      </c>
      <c r="W30" s="93" t="str">
        <f t="shared" si="18"/>
        <v/>
      </c>
      <c r="Y30" s="84">
        <f t="shared" si="19"/>
        <v>0</v>
      </c>
      <c r="Z30" s="84">
        <f t="shared" si="44"/>
        <v>0</v>
      </c>
      <c r="AA30" s="84">
        <f t="shared" si="20"/>
        <v>0</v>
      </c>
      <c r="AB30" s="85" t="str">
        <f t="shared" si="35"/>
        <v/>
      </c>
      <c r="AC30" s="84">
        <f t="shared" si="36"/>
        <v>0</v>
      </c>
      <c r="AD30" s="94" t="str">
        <f t="shared" si="45"/>
        <v/>
      </c>
      <c r="AE30" s="94" t="str">
        <f t="shared" si="21"/>
        <v/>
      </c>
      <c r="AF30" s="95" t="str">
        <f t="shared" si="22"/>
        <v/>
      </c>
      <c r="AG30" s="289">
        <f t="shared" si="37"/>
        <v>0</v>
      </c>
      <c r="AH30" s="84">
        <f t="shared" si="38"/>
        <v>0</v>
      </c>
      <c r="AI30" s="289">
        <f t="shared" si="39"/>
        <v>0</v>
      </c>
      <c r="AJ30" s="84">
        <f t="shared" si="23"/>
        <v>0</v>
      </c>
      <c r="AK30" s="10">
        <v>3160000</v>
      </c>
      <c r="AL30" s="84">
        <f t="shared" si="40"/>
        <v>69946000</v>
      </c>
      <c r="AM30" s="84">
        <f t="shared" si="53"/>
        <v>30520000</v>
      </c>
      <c r="AN30">
        <f t="shared" si="24"/>
        <v>67</v>
      </c>
      <c r="AO30">
        <f t="shared" si="25"/>
        <v>10</v>
      </c>
      <c r="AP30" s="289">
        <f t="shared" si="46"/>
        <v>0</v>
      </c>
      <c r="AQ30" s="289">
        <f t="shared" si="41"/>
        <v>85048305.410844877</v>
      </c>
      <c r="AR30" s="289">
        <f t="shared" si="42"/>
        <v>92938623.050352573</v>
      </c>
      <c r="AS30" s="289">
        <f t="shared" si="47"/>
        <v>47428305.410844877</v>
      </c>
      <c r="AT30" s="289">
        <f t="shared" si="48"/>
        <v>55318623.050352573</v>
      </c>
      <c r="AU30" s="289">
        <f t="shared" si="2"/>
        <v>327000</v>
      </c>
      <c r="AV30" s="289">
        <f t="shared" si="28"/>
        <v>3924000</v>
      </c>
      <c r="AW30" s="289">
        <f t="shared" si="43"/>
        <v>37620000</v>
      </c>
      <c r="AX30" s="289">
        <f t="shared" si="29"/>
        <v>87203626.066286325</v>
      </c>
      <c r="AY30" s="289">
        <f t="shared" si="50"/>
        <v>135939433.23497924</v>
      </c>
      <c r="BB30" s="10">
        <f t="shared" si="54"/>
        <v>3160000</v>
      </c>
      <c r="BC30" s="96">
        <f t="shared" si="55"/>
        <v>1580000</v>
      </c>
    </row>
    <row r="31" spans="1:55">
      <c r="A31" s="72">
        <f t="shared" si="51"/>
        <v>2046</v>
      </c>
      <c r="B31" s="72">
        <f t="shared" si="51"/>
        <v>68</v>
      </c>
      <c r="C31" s="91">
        <f t="shared" si="31"/>
        <v>0</v>
      </c>
      <c r="D31" s="91">
        <f t="shared" si="32"/>
        <v>0</v>
      </c>
      <c r="E31" s="91">
        <f t="shared" si="4"/>
        <v>0</v>
      </c>
      <c r="F31" s="91">
        <f t="shared" si="5"/>
        <v>0</v>
      </c>
      <c r="G31" s="91">
        <f t="shared" si="6"/>
        <v>0</v>
      </c>
      <c r="H31" s="91">
        <f t="shared" si="7"/>
        <v>0</v>
      </c>
      <c r="I31" s="91">
        <f t="shared" si="8"/>
        <v>0</v>
      </c>
      <c r="J31" s="91">
        <f t="shared" si="9"/>
        <v>0</v>
      </c>
      <c r="K31" s="91">
        <f t="shared" si="10"/>
        <v>0</v>
      </c>
      <c r="L31" s="91">
        <f t="shared" si="33"/>
        <v>0</v>
      </c>
      <c r="M31" s="92">
        <f t="shared" si="11"/>
        <v>0</v>
      </c>
      <c r="N31" s="92">
        <f t="shared" si="34"/>
        <v>0</v>
      </c>
      <c r="O31" s="93" t="str">
        <f t="shared" si="52"/>
        <v/>
      </c>
      <c r="P31" s="84">
        <f t="shared" si="12"/>
        <v>0</v>
      </c>
      <c r="Q31" s="84">
        <f t="shared" si="13"/>
        <v>0</v>
      </c>
      <c r="R31" s="84">
        <f t="shared" si="14"/>
        <v>0</v>
      </c>
      <c r="S31" s="84">
        <f t="shared" si="15"/>
        <v>0</v>
      </c>
      <c r="T31" s="93" t="str">
        <f t="shared" si="16"/>
        <v/>
      </c>
      <c r="V31" s="84">
        <f t="shared" si="17"/>
        <v>0</v>
      </c>
      <c r="W31" s="93" t="str">
        <f t="shared" si="18"/>
        <v/>
      </c>
      <c r="Y31" s="84">
        <f t="shared" si="19"/>
        <v>0</v>
      </c>
      <c r="Z31" s="84">
        <f t="shared" si="44"/>
        <v>0</v>
      </c>
      <c r="AA31" s="84">
        <f t="shared" si="20"/>
        <v>0</v>
      </c>
      <c r="AB31" s="85" t="str">
        <f t="shared" si="35"/>
        <v/>
      </c>
      <c r="AC31" s="84">
        <f t="shared" si="36"/>
        <v>0</v>
      </c>
      <c r="AD31" s="94" t="str">
        <f t="shared" si="45"/>
        <v/>
      </c>
      <c r="AE31" s="94" t="str">
        <f t="shared" si="21"/>
        <v/>
      </c>
      <c r="AF31" s="95" t="str">
        <f t="shared" si="22"/>
        <v/>
      </c>
      <c r="AG31" s="289">
        <f t="shared" si="37"/>
        <v>0</v>
      </c>
      <c r="AH31" s="84">
        <f t="shared" si="38"/>
        <v>0</v>
      </c>
      <c r="AI31" s="289">
        <f t="shared" si="39"/>
        <v>0</v>
      </c>
      <c r="AJ31" s="84">
        <f t="shared" si="23"/>
        <v>0</v>
      </c>
      <c r="AK31" s="10">
        <v>3160000</v>
      </c>
      <c r="AL31" s="84">
        <f t="shared" si="40"/>
        <v>73106000</v>
      </c>
      <c r="AM31" s="84">
        <f t="shared" si="53"/>
        <v>33680000</v>
      </c>
      <c r="AN31">
        <f t="shared" si="24"/>
        <v>68</v>
      </c>
      <c r="AO31">
        <f t="shared" si="25"/>
        <v>11</v>
      </c>
      <c r="AP31" s="289">
        <f t="shared" si="46"/>
        <v>0</v>
      </c>
      <c r="AQ31" s="289">
        <f t="shared" si="41"/>
        <v>85048305.410844877</v>
      </c>
      <c r="AR31" s="289">
        <f t="shared" si="42"/>
        <v>92938623.050352573</v>
      </c>
      <c r="AS31" s="289">
        <f t="shared" si="47"/>
        <v>43468305.410844877</v>
      </c>
      <c r="AT31" s="289">
        <f t="shared" si="48"/>
        <v>51358623.050352573</v>
      </c>
      <c r="AU31" s="289">
        <f t="shared" si="2"/>
        <v>330000</v>
      </c>
      <c r="AV31" s="289">
        <f t="shared" si="28"/>
        <v>3960000</v>
      </c>
      <c r="AW31" s="289">
        <f t="shared" si="43"/>
        <v>41580000</v>
      </c>
      <c r="AX31" s="289">
        <f t="shared" si="29"/>
        <v>86342546.066286325</v>
      </c>
      <c r="AY31" s="289">
        <f t="shared" si="50"/>
        <v>135078353.23497924</v>
      </c>
      <c r="BB31" s="10">
        <f t="shared" si="54"/>
        <v>3160000</v>
      </c>
      <c r="BC31" s="96">
        <f t="shared" si="55"/>
        <v>1580000</v>
      </c>
    </row>
    <row r="32" spans="1:55">
      <c r="A32" s="72">
        <f t="shared" si="51"/>
        <v>2047</v>
      </c>
      <c r="B32" s="72">
        <f t="shared" si="51"/>
        <v>69</v>
      </c>
      <c r="C32" s="91">
        <f t="shared" si="31"/>
        <v>0</v>
      </c>
      <c r="D32" s="91">
        <f t="shared" si="32"/>
        <v>0</v>
      </c>
      <c r="E32" s="91">
        <f t="shared" si="4"/>
        <v>0</v>
      </c>
      <c r="F32" s="91">
        <f t="shared" si="5"/>
        <v>0</v>
      </c>
      <c r="G32" s="91">
        <f t="shared" si="6"/>
        <v>0</v>
      </c>
      <c r="H32" s="91">
        <f t="shared" si="7"/>
        <v>0</v>
      </c>
      <c r="I32" s="91">
        <f t="shared" si="8"/>
        <v>0</v>
      </c>
      <c r="J32" s="91">
        <f t="shared" si="9"/>
        <v>0</v>
      </c>
      <c r="K32" s="91">
        <f t="shared" si="10"/>
        <v>0</v>
      </c>
      <c r="L32" s="91">
        <f t="shared" si="33"/>
        <v>0</v>
      </c>
      <c r="M32" s="92">
        <f t="shared" si="11"/>
        <v>0</v>
      </c>
      <c r="N32" s="92">
        <f t="shared" si="34"/>
        <v>0</v>
      </c>
      <c r="O32" s="93" t="str">
        <f t="shared" si="52"/>
        <v/>
      </c>
      <c r="P32" s="84">
        <f t="shared" si="12"/>
        <v>0</v>
      </c>
      <c r="Q32" s="84">
        <f t="shared" si="13"/>
        <v>0</v>
      </c>
      <c r="R32" s="84">
        <f t="shared" si="14"/>
        <v>0</v>
      </c>
      <c r="S32" s="84">
        <f t="shared" si="15"/>
        <v>0</v>
      </c>
      <c r="T32" s="93" t="str">
        <f t="shared" si="16"/>
        <v/>
      </c>
      <c r="V32" s="84">
        <f t="shared" si="17"/>
        <v>0</v>
      </c>
      <c r="W32" s="93" t="str">
        <f t="shared" si="18"/>
        <v/>
      </c>
      <c r="Y32" s="84">
        <f t="shared" si="19"/>
        <v>0</v>
      </c>
      <c r="Z32" s="84">
        <f t="shared" si="44"/>
        <v>0</v>
      </c>
      <c r="AA32" s="84">
        <f t="shared" si="20"/>
        <v>0</v>
      </c>
      <c r="AB32" s="85" t="str">
        <f t="shared" si="35"/>
        <v/>
      </c>
      <c r="AC32" s="84">
        <f t="shared" si="36"/>
        <v>0</v>
      </c>
      <c r="AD32" s="94" t="str">
        <f t="shared" si="45"/>
        <v/>
      </c>
      <c r="AE32" s="94" t="str">
        <f t="shared" si="21"/>
        <v/>
      </c>
      <c r="AF32" s="95" t="str">
        <f t="shared" si="22"/>
        <v/>
      </c>
      <c r="AG32" s="289">
        <f t="shared" si="37"/>
        <v>0</v>
      </c>
      <c r="AH32" s="84">
        <f t="shared" si="38"/>
        <v>0</v>
      </c>
      <c r="AI32" s="289">
        <f t="shared" si="39"/>
        <v>0</v>
      </c>
      <c r="AJ32" s="84">
        <f t="shared" si="23"/>
        <v>0</v>
      </c>
      <c r="AK32" s="10">
        <v>3160000</v>
      </c>
      <c r="AL32" s="84">
        <f t="shared" si="40"/>
        <v>76266000</v>
      </c>
      <c r="AM32" s="84">
        <f t="shared" si="53"/>
        <v>36840000</v>
      </c>
      <c r="AN32">
        <f t="shared" si="24"/>
        <v>69</v>
      </c>
      <c r="AO32">
        <f t="shared" si="25"/>
        <v>12</v>
      </c>
      <c r="AP32" s="289">
        <f t="shared" si="46"/>
        <v>0</v>
      </c>
      <c r="AQ32" s="289">
        <f t="shared" si="41"/>
        <v>85048305.410844877</v>
      </c>
      <c r="AR32" s="289">
        <f t="shared" si="42"/>
        <v>92938623.050352573</v>
      </c>
      <c r="AS32" s="289">
        <f t="shared" si="47"/>
        <v>39472305.410844877</v>
      </c>
      <c r="AT32" s="289">
        <f t="shared" si="48"/>
        <v>47362623.050352573</v>
      </c>
      <c r="AU32" s="289">
        <f t="shared" si="2"/>
        <v>333000</v>
      </c>
      <c r="AV32" s="289">
        <f t="shared" si="28"/>
        <v>3996000</v>
      </c>
      <c r="AW32" s="289">
        <f t="shared" si="43"/>
        <v>45576000</v>
      </c>
      <c r="AX32" s="289">
        <f t="shared" si="29"/>
        <v>85444386.066286325</v>
      </c>
      <c r="AY32" s="289">
        <f t="shared" si="50"/>
        <v>134180193.23497924</v>
      </c>
      <c r="BB32" s="10">
        <f t="shared" si="54"/>
        <v>3160000</v>
      </c>
      <c r="BC32" s="96">
        <f t="shared" si="55"/>
        <v>1580000</v>
      </c>
    </row>
    <row r="33" spans="1:55">
      <c r="A33" s="72">
        <f t="shared" si="51"/>
        <v>2048</v>
      </c>
      <c r="B33" s="72">
        <f t="shared" si="51"/>
        <v>70</v>
      </c>
      <c r="C33" s="91">
        <f t="shared" si="31"/>
        <v>0</v>
      </c>
      <c r="D33" s="91">
        <f t="shared" si="32"/>
        <v>0</v>
      </c>
      <c r="E33" s="91">
        <f t="shared" si="4"/>
        <v>0</v>
      </c>
      <c r="F33" s="91">
        <f t="shared" si="5"/>
        <v>0</v>
      </c>
      <c r="G33" s="91">
        <f t="shared" si="6"/>
        <v>0</v>
      </c>
      <c r="H33" s="91">
        <f t="shared" si="7"/>
        <v>0</v>
      </c>
      <c r="I33" s="91">
        <f t="shared" si="8"/>
        <v>0</v>
      </c>
      <c r="J33" s="91">
        <f t="shared" si="9"/>
        <v>0</v>
      </c>
      <c r="K33" s="91">
        <f t="shared" si="10"/>
        <v>0</v>
      </c>
      <c r="L33" s="91">
        <f t="shared" si="33"/>
        <v>0</v>
      </c>
      <c r="M33" s="92">
        <f t="shared" si="11"/>
        <v>0</v>
      </c>
      <c r="N33" s="92">
        <f t="shared" si="34"/>
        <v>0</v>
      </c>
      <c r="O33" s="93" t="str">
        <f t="shared" si="52"/>
        <v/>
      </c>
      <c r="P33" s="84">
        <f t="shared" si="12"/>
        <v>0</v>
      </c>
      <c r="Q33" s="84">
        <f t="shared" si="13"/>
        <v>0</v>
      </c>
      <c r="R33" s="84">
        <f t="shared" si="14"/>
        <v>0</v>
      </c>
      <c r="S33" s="84">
        <f t="shared" si="15"/>
        <v>0</v>
      </c>
      <c r="T33" s="93" t="str">
        <f t="shared" si="16"/>
        <v/>
      </c>
      <c r="V33" s="84">
        <f t="shared" si="17"/>
        <v>0</v>
      </c>
      <c r="W33" s="93" t="str">
        <f t="shared" si="18"/>
        <v/>
      </c>
      <c r="Y33" s="84">
        <f t="shared" si="19"/>
        <v>0</v>
      </c>
      <c r="Z33" s="84">
        <f t="shared" si="44"/>
        <v>0</v>
      </c>
      <c r="AA33" s="84">
        <f t="shared" si="20"/>
        <v>0</v>
      </c>
      <c r="AB33" s="85" t="str">
        <f t="shared" si="35"/>
        <v/>
      </c>
      <c r="AC33" s="84">
        <f t="shared" si="36"/>
        <v>0</v>
      </c>
      <c r="AD33" s="94" t="str">
        <f t="shared" si="45"/>
        <v/>
      </c>
      <c r="AE33" s="94" t="str">
        <f t="shared" si="21"/>
        <v/>
      </c>
      <c r="AF33" s="95" t="str">
        <f t="shared" si="22"/>
        <v/>
      </c>
      <c r="AG33" s="289">
        <f t="shared" si="37"/>
        <v>0</v>
      </c>
      <c r="AH33" s="84">
        <f t="shared" si="38"/>
        <v>0</v>
      </c>
      <c r="AI33" s="289">
        <f t="shared" si="39"/>
        <v>0</v>
      </c>
      <c r="AJ33" s="84">
        <f t="shared" si="23"/>
        <v>0</v>
      </c>
      <c r="AK33" s="10">
        <v>3160000</v>
      </c>
      <c r="AL33" s="84">
        <f t="shared" si="40"/>
        <v>79426000</v>
      </c>
      <c r="AM33" s="84">
        <f t="shared" si="53"/>
        <v>40000000</v>
      </c>
      <c r="AN33">
        <f t="shared" si="24"/>
        <v>70</v>
      </c>
      <c r="AO33">
        <f t="shared" si="25"/>
        <v>13</v>
      </c>
      <c r="AP33" s="289">
        <f t="shared" si="46"/>
        <v>0</v>
      </c>
      <c r="AQ33" s="289">
        <f t="shared" si="41"/>
        <v>85048305.410844877</v>
      </c>
      <c r="AR33" s="289">
        <f t="shared" si="42"/>
        <v>92938623.050352573</v>
      </c>
      <c r="AS33" s="289">
        <f t="shared" si="47"/>
        <v>35440305.410844877</v>
      </c>
      <c r="AT33" s="289">
        <f t="shared" si="48"/>
        <v>43330623.050352573</v>
      </c>
      <c r="AU33" s="289">
        <f t="shared" si="2"/>
        <v>336000</v>
      </c>
      <c r="AV33" s="289">
        <f t="shared" si="28"/>
        <v>4032000</v>
      </c>
      <c r="AW33" s="289">
        <f t="shared" si="43"/>
        <v>49608000</v>
      </c>
      <c r="AX33" s="289">
        <f t="shared" si="29"/>
        <v>84509146.066286325</v>
      </c>
      <c r="AY33" s="289">
        <f t="shared" si="50"/>
        <v>133244953.23497924</v>
      </c>
      <c r="BB33" s="10">
        <f t="shared" si="54"/>
        <v>3160000</v>
      </c>
      <c r="BC33" s="96">
        <f t="shared" si="55"/>
        <v>1580000</v>
      </c>
    </row>
    <row r="34" spans="1:55">
      <c r="A34" s="72">
        <f t="shared" si="51"/>
        <v>2049</v>
      </c>
      <c r="B34" s="72">
        <f t="shared" si="51"/>
        <v>71</v>
      </c>
      <c r="C34" s="91">
        <f t="shared" si="31"/>
        <v>0</v>
      </c>
      <c r="D34" s="91">
        <f t="shared" si="32"/>
        <v>0</v>
      </c>
      <c r="E34" s="91">
        <f t="shared" si="4"/>
        <v>0</v>
      </c>
      <c r="F34" s="91">
        <f t="shared" si="5"/>
        <v>0</v>
      </c>
      <c r="G34" s="91">
        <f t="shared" si="6"/>
        <v>0</v>
      </c>
      <c r="H34" s="91">
        <f t="shared" si="7"/>
        <v>0</v>
      </c>
      <c r="I34" s="91">
        <f t="shared" si="8"/>
        <v>0</v>
      </c>
      <c r="J34" s="91">
        <f t="shared" si="9"/>
        <v>0</v>
      </c>
      <c r="K34" s="91">
        <f t="shared" si="10"/>
        <v>0</v>
      </c>
      <c r="L34" s="91">
        <f t="shared" si="33"/>
        <v>0</v>
      </c>
      <c r="M34" s="92">
        <f t="shared" si="11"/>
        <v>0</v>
      </c>
      <c r="N34" s="92">
        <f t="shared" si="34"/>
        <v>0</v>
      </c>
      <c r="O34" s="93" t="str">
        <f t="shared" si="52"/>
        <v/>
      </c>
      <c r="P34" s="84">
        <f t="shared" si="12"/>
        <v>0</v>
      </c>
      <c r="Q34" s="84">
        <f t="shared" si="13"/>
        <v>0</v>
      </c>
      <c r="R34" s="84">
        <f t="shared" si="14"/>
        <v>0</v>
      </c>
      <c r="S34" s="84">
        <f t="shared" si="15"/>
        <v>0</v>
      </c>
      <c r="T34" s="93" t="str">
        <f t="shared" si="16"/>
        <v/>
      </c>
      <c r="V34" s="84">
        <f t="shared" si="17"/>
        <v>0</v>
      </c>
      <c r="W34" s="93" t="str">
        <f t="shared" si="18"/>
        <v/>
      </c>
      <c r="Y34" s="84">
        <f t="shared" si="19"/>
        <v>0</v>
      </c>
      <c r="Z34" s="84">
        <f t="shared" si="44"/>
        <v>0</v>
      </c>
      <c r="AA34" s="84">
        <f t="shared" si="20"/>
        <v>0</v>
      </c>
      <c r="AB34" s="85" t="str">
        <f t="shared" si="35"/>
        <v/>
      </c>
      <c r="AC34" s="84">
        <f t="shared" si="36"/>
        <v>0</v>
      </c>
      <c r="AD34" s="94" t="str">
        <f t="shared" si="45"/>
        <v/>
      </c>
      <c r="AE34" s="94" t="str">
        <f t="shared" si="21"/>
        <v/>
      </c>
      <c r="AF34" s="95" t="str">
        <f t="shared" si="22"/>
        <v/>
      </c>
      <c r="AG34" s="289">
        <f t="shared" si="37"/>
        <v>0</v>
      </c>
      <c r="AH34" s="84">
        <f t="shared" si="38"/>
        <v>0</v>
      </c>
      <c r="AI34" s="289">
        <f t="shared" si="39"/>
        <v>0</v>
      </c>
      <c r="AJ34" s="84">
        <f t="shared" si="23"/>
        <v>0</v>
      </c>
      <c r="AK34" s="10">
        <v>9560000</v>
      </c>
      <c r="AL34" s="84">
        <f t="shared" si="40"/>
        <v>88986000</v>
      </c>
      <c r="AM34" s="84">
        <f t="shared" si="53"/>
        <v>49560000</v>
      </c>
      <c r="AN34">
        <f t="shared" si="24"/>
        <v>71</v>
      </c>
      <c r="AO34">
        <f t="shared" si="25"/>
        <v>14</v>
      </c>
      <c r="AP34" s="289">
        <f t="shared" si="46"/>
        <v>0</v>
      </c>
      <c r="AQ34" s="289">
        <f t="shared" si="41"/>
        <v>85048305.410844877</v>
      </c>
      <c r="AR34" s="289">
        <f t="shared" si="42"/>
        <v>92938623.050352573</v>
      </c>
      <c r="AS34" s="289">
        <f t="shared" si="47"/>
        <v>31372305.410844877</v>
      </c>
      <c r="AT34" s="289">
        <f t="shared" si="48"/>
        <v>39262623.050352573</v>
      </c>
      <c r="AU34" s="289">
        <f t="shared" si="2"/>
        <v>339000</v>
      </c>
      <c r="AV34" s="289">
        <f t="shared" si="28"/>
        <v>4068000</v>
      </c>
      <c r="AW34" s="289">
        <f t="shared" si="43"/>
        <v>53676000</v>
      </c>
      <c r="AX34" s="289">
        <f t="shared" si="29"/>
        <v>90128826.066286325</v>
      </c>
      <c r="AY34" s="289">
        <f t="shared" si="50"/>
        <v>138864633.23497924</v>
      </c>
      <c r="AZ34" s="84"/>
      <c r="BA34" s="84"/>
      <c r="BB34" s="10">
        <f t="shared" si="54"/>
        <v>9560000</v>
      </c>
      <c r="BC34" s="96">
        <f>700000+880000+3200000</f>
        <v>4780000</v>
      </c>
    </row>
    <row r="35" spans="1:55">
      <c r="A35" s="72">
        <f t="shared" si="51"/>
        <v>2050</v>
      </c>
      <c r="B35" s="72">
        <f t="shared" si="51"/>
        <v>72</v>
      </c>
      <c r="C35" s="91">
        <f t="shared" si="31"/>
        <v>0</v>
      </c>
      <c r="D35" s="91">
        <f t="shared" si="32"/>
        <v>0</v>
      </c>
      <c r="E35" s="91">
        <f t="shared" si="4"/>
        <v>0</v>
      </c>
      <c r="F35" s="91">
        <f t="shared" si="5"/>
        <v>0</v>
      </c>
      <c r="G35" s="91">
        <f t="shared" si="6"/>
        <v>0</v>
      </c>
      <c r="H35" s="91">
        <f t="shared" si="7"/>
        <v>0</v>
      </c>
      <c r="I35" s="91">
        <f t="shared" si="8"/>
        <v>0</v>
      </c>
      <c r="J35" s="91">
        <f t="shared" si="9"/>
        <v>0</v>
      </c>
      <c r="K35" s="91">
        <f t="shared" si="10"/>
        <v>0</v>
      </c>
      <c r="L35" s="91">
        <f t="shared" si="33"/>
        <v>0</v>
      </c>
      <c r="M35" s="92">
        <f t="shared" si="11"/>
        <v>0</v>
      </c>
      <c r="N35" s="92">
        <f t="shared" si="34"/>
        <v>0</v>
      </c>
      <c r="O35" s="93" t="str">
        <f t="shared" si="52"/>
        <v/>
      </c>
      <c r="P35" s="84">
        <f t="shared" si="12"/>
        <v>0</v>
      </c>
      <c r="Q35" s="84">
        <f t="shared" si="13"/>
        <v>0</v>
      </c>
      <c r="R35" s="84">
        <f t="shared" si="14"/>
        <v>0</v>
      </c>
      <c r="S35" s="84">
        <f t="shared" si="15"/>
        <v>0</v>
      </c>
      <c r="T35" s="93" t="str">
        <f t="shared" si="16"/>
        <v/>
      </c>
      <c r="V35" s="84">
        <f t="shared" si="17"/>
        <v>0</v>
      </c>
      <c r="W35" s="93" t="str">
        <f t="shared" si="18"/>
        <v/>
      </c>
      <c r="Y35" s="84">
        <f t="shared" si="19"/>
        <v>0</v>
      </c>
      <c r="Z35" s="84">
        <f t="shared" si="44"/>
        <v>0</v>
      </c>
      <c r="AA35" s="84">
        <f t="shared" si="20"/>
        <v>0</v>
      </c>
      <c r="AB35" s="85" t="str">
        <f t="shared" si="35"/>
        <v/>
      </c>
      <c r="AC35" s="84">
        <f t="shared" si="36"/>
        <v>0</v>
      </c>
      <c r="AD35" s="94" t="str">
        <f t="shared" si="45"/>
        <v/>
      </c>
      <c r="AE35" s="94" t="str">
        <f t="shared" si="21"/>
        <v/>
      </c>
      <c r="AF35" s="95" t="str">
        <f t="shared" si="22"/>
        <v/>
      </c>
      <c r="AG35" s="289">
        <f t="shared" si="37"/>
        <v>0</v>
      </c>
      <c r="AH35" s="84">
        <f t="shared" si="38"/>
        <v>0</v>
      </c>
      <c r="AI35" s="289">
        <f t="shared" si="39"/>
        <v>0</v>
      </c>
      <c r="AJ35" s="84">
        <f t="shared" si="23"/>
        <v>0</v>
      </c>
      <c r="AK35" s="10">
        <v>3160000</v>
      </c>
      <c r="AL35" s="84">
        <f t="shared" si="40"/>
        <v>92146000</v>
      </c>
      <c r="AM35" s="84">
        <f t="shared" si="53"/>
        <v>52720000</v>
      </c>
      <c r="AN35">
        <f t="shared" si="24"/>
        <v>72</v>
      </c>
      <c r="AO35">
        <f t="shared" si="25"/>
        <v>15</v>
      </c>
      <c r="AP35" s="289">
        <f t="shared" si="46"/>
        <v>0</v>
      </c>
      <c r="AQ35" s="289">
        <f t="shared" si="41"/>
        <v>85048305.410844877</v>
      </c>
      <c r="AR35" s="289">
        <f t="shared" si="42"/>
        <v>92938623.050352573</v>
      </c>
      <c r="AS35" s="289">
        <f t="shared" si="47"/>
        <v>27268305.410844877</v>
      </c>
      <c r="AT35" s="289">
        <f t="shared" si="48"/>
        <v>35158623.050352573</v>
      </c>
      <c r="AU35" s="289">
        <f t="shared" si="2"/>
        <v>342000</v>
      </c>
      <c r="AV35" s="289">
        <f t="shared" si="28"/>
        <v>4104000</v>
      </c>
      <c r="AW35" s="289">
        <f t="shared" si="43"/>
        <v>57780000</v>
      </c>
      <c r="AX35" s="289">
        <f t="shared" si="29"/>
        <v>89119426.066286325</v>
      </c>
      <c r="AY35" s="289">
        <f t="shared" si="50"/>
        <v>137855233.23497924</v>
      </c>
      <c r="BB35" s="10">
        <f t="shared" si="54"/>
        <v>3160000</v>
      </c>
      <c r="BC35" s="96">
        <f t="shared" si="55"/>
        <v>1580000</v>
      </c>
    </row>
    <row r="36" spans="1:55">
      <c r="A36" s="72">
        <f t="shared" si="51"/>
        <v>2051</v>
      </c>
      <c r="B36" s="72">
        <f t="shared" si="51"/>
        <v>73</v>
      </c>
      <c r="C36" s="91">
        <f t="shared" si="31"/>
        <v>0</v>
      </c>
      <c r="D36" s="91">
        <f t="shared" si="32"/>
        <v>0</v>
      </c>
      <c r="E36" s="91">
        <f t="shared" si="4"/>
        <v>0</v>
      </c>
      <c r="F36" s="91">
        <f t="shared" si="5"/>
        <v>0</v>
      </c>
      <c r="G36" s="91">
        <f t="shared" si="6"/>
        <v>0</v>
      </c>
      <c r="H36" s="91">
        <f t="shared" si="7"/>
        <v>0</v>
      </c>
      <c r="I36" s="91">
        <f t="shared" si="8"/>
        <v>0</v>
      </c>
      <c r="J36" s="91">
        <f t="shared" si="9"/>
        <v>0</v>
      </c>
      <c r="K36" s="91">
        <f t="shared" si="10"/>
        <v>0</v>
      </c>
      <c r="L36" s="91">
        <f t="shared" si="33"/>
        <v>0</v>
      </c>
      <c r="M36" s="92">
        <f t="shared" si="11"/>
        <v>0</v>
      </c>
      <c r="N36" s="92">
        <f t="shared" si="34"/>
        <v>0</v>
      </c>
      <c r="O36" s="93" t="str">
        <f t="shared" si="52"/>
        <v/>
      </c>
      <c r="P36" s="84">
        <f t="shared" si="12"/>
        <v>0</v>
      </c>
      <c r="Q36" s="84">
        <f t="shared" si="13"/>
        <v>0</v>
      </c>
      <c r="R36" s="84">
        <f t="shared" si="14"/>
        <v>0</v>
      </c>
      <c r="S36" s="84">
        <f t="shared" si="15"/>
        <v>0</v>
      </c>
      <c r="T36" s="93" t="str">
        <f t="shared" si="16"/>
        <v/>
      </c>
      <c r="V36" s="84">
        <f t="shared" si="17"/>
        <v>0</v>
      </c>
      <c r="W36" s="93" t="str">
        <f t="shared" si="18"/>
        <v/>
      </c>
      <c r="Y36" s="84">
        <f t="shared" si="19"/>
        <v>0</v>
      </c>
      <c r="Z36" s="84">
        <f t="shared" si="44"/>
        <v>0</v>
      </c>
      <c r="AA36" s="84">
        <f t="shared" si="20"/>
        <v>0</v>
      </c>
      <c r="AB36" s="85" t="str">
        <f t="shared" si="35"/>
        <v/>
      </c>
      <c r="AC36" s="84">
        <f t="shared" si="36"/>
        <v>0</v>
      </c>
      <c r="AD36" s="94" t="str">
        <f t="shared" si="45"/>
        <v/>
      </c>
      <c r="AE36" s="94" t="str">
        <f t="shared" si="21"/>
        <v/>
      </c>
      <c r="AF36" s="95" t="str">
        <f t="shared" si="22"/>
        <v/>
      </c>
      <c r="AG36" s="289">
        <f t="shared" si="37"/>
        <v>0</v>
      </c>
      <c r="AH36" s="84">
        <f t="shared" si="38"/>
        <v>0</v>
      </c>
      <c r="AI36" s="289">
        <f t="shared" si="39"/>
        <v>0</v>
      </c>
      <c r="AJ36" s="84">
        <f t="shared" si="23"/>
        <v>0</v>
      </c>
      <c r="AK36" s="10">
        <v>3160000</v>
      </c>
      <c r="AL36" s="84">
        <f t="shared" si="40"/>
        <v>95306000</v>
      </c>
      <c r="AM36" s="84">
        <f t="shared" si="53"/>
        <v>55880000</v>
      </c>
      <c r="AN36">
        <f t="shared" si="24"/>
        <v>73</v>
      </c>
      <c r="AO36">
        <f t="shared" si="25"/>
        <v>16</v>
      </c>
      <c r="AP36" s="289">
        <f t="shared" si="46"/>
        <v>0</v>
      </c>
      <c r="AQ36" s="289">
        <f t="shared" si="41"/>
        <v>85048305.410844877</v>
      </c>
      <c r="AR36" s="289">
        <f t="shared" si="42"/>
        <v>92938623.050352573</v>
      </c>
      <c r="AS36" s="289">
        <f t="shared" si="47"/>
        <v>23128305.410844877</v>
      </c>
      <c r="AT36" s="289">
        <f t="shared" si="48"/>
        <v>31018623.050352573</v>
      </c>
      <c r="AU36" s="289">
        <f t="shared" si="2"/>
        <v>345000</v>
      </c>
      <c r="AV36" s="289">
        <f t="shared" si="28"/>
        <v>4140000</v>
      </c>
      <c r="AW36" s="289">
        <f t="shared" si="43"/>
        <v>61920000</v>
      </c>
      <c r="AX36" s="289">
        <f t="shared" si="29"/>
        <v>88072946.066286325</v>
      </c>
      <c r="AY36" s="289">
        <f t="shared" si="50"/>
        <v>136808753.23497924</v>
      </c>
      <c r="BB36" s="10">
        <f t="shared" si="54"/>
        <v>3160000</v>
      </c>
      <c r="BC36" s="96">
        <f t="shared" si="55"/>
        <v>1580000</v>
      </c>
    </row>
    <row r="37" spans="1:55">
      <c r="A37" s="72">
        <f t="shared" si="51"/>
        <v>2052</v>
      </c>
      <c r="B37" s="72">
        <f t="shared" si="51"/>
        <v>74</v>
      </c>
      <c r="C37" s="91">
        <f t="shared" si="31"/>
        <v>0</v>
      </c>
      <c r="D37" s="91">
        <f t="shared" si="32"/>
        <v>0</v>
      </c>
      <c r="E37" s="91">
        <f t="shared" si="4"/>
        <v>0</v>
      </c>
      <c r="F37" s="91">
        <f t="shared" si="5"/>
        <v>0</v>
      </c>
      <c r="G37" s="91">
        <f t="shared" si="6"/>
        <v>0</v>
      </c>
      <c r="H37" s="91">
        <f t="shared" si="7"/>
        <v>0</v>
      </c>
      <c r="I37" s="91">
        <f t="shared" si="8"/>
        <v>0</v>
      </c>
      <c r="J37" s="91">
        <f t="shared" si="9"/>
        <v>0</v>
      </c>
      <c r="K37" s="91">
        <f t="shared" si="10"/>
        <v>0</v>
      </c>
      <c r="L37" s="91">
        <f t="shared" si="33"/>
        <v>0</v>
      </c>
      <c r="M37" s="92">
        <f t="shared" si="11"/>
        <v>0</v>
      </c>
      <c r="N37" s="92">
        <f t="shared" si="34"/>
        <v>0</v>
      </c>
      <c r="O37" s="93" t="str">
        <f t="shared" si="52"/>
        <v/>
      </c>
      <c r="P37" s="84">
        <f t="shared" si="12"/>
        <v>0</v>
      </c>
      <c r="Q37" s="84">
        <f t="shared" si="13"/>
        <v>0</v>
      </c>
      <c r="R37" s="84">
        <f t="shared" si="14"/>
        <v>0</v>
      </c>
      <c r="S37" s="84">
        <f t="shared" si="15"/>
        <v>0</v>
      </c>
      <c r="T37" s="93" t="str">
        <f t="shared" si="16"/>
        <v/>
      </c>
      <c r="V37" s="84">
        <f t="shared" si="17"/>
        <v>0</v>
      </c>
      <c r="W37" s="93" t="str">
        <f t="shared" si="18"/>
        <v/>
      </c>
      <c r="Y37" s="84">
        <f t="shared" si="19"/>
        <v>0</v>
      </c>
      <c r="Z37" s="84">
        <f t="shared" si="44"/>
        <v>0</v>
      </c>
      <c r="AA37" s="84">
        <f t="shared" si="20"/>
        <v>0</v>
      </c>
      <c r="AB37" s="85" t="str">
        <f t="shared" si="35"/>
        <v/>
      </c>
      <c r="AC37" s="84">
        <f t="shared" si="36"/>
        <v>0</v>
      </c>
      <c r="AD37" s="94" t="str">
        <f t="shared" si="45"/>
        <v/>
      </c>
      <c r="AE37" s="94" t="str">
        <f t="shared" si="21"/>
        <v/>
      </c>
      <c r="AF37" s="95" t="str">
        <f t="shared" si="22"/>
        <v/>
      </c>
      <c r="AG37" s="289">
        <f t="shared" si="37"/>
        <v>0</v>
      </c>
      <c r="AH37" s="84">
        <f t="shared" si="38"/>
        <v>0</v>
      </c>
      <c r="AI37" s="289">
        <f t="shared" si="39"/>
        <v>0</v>
      </c>
      <c r="AJ37" s="84">
        <f t="shared" si="23"/>
        <v>0</v>
      </c>
      <c r="AK37" s="10">
        <v>3160000</v>
      </c>
      <c r="AL37" s="84">
        <f t="shared" si="40"/>
        <v>98466000</v>
      </c>
      <c r="AM37" s="84">
        <f t="shared" si="53"/>
        <v>59040000</v>
      </c>
      <c r="AN37">
        <f t="shared" si="24"/>
        <v>74</v>
      </c>
      <c r="AO37">
        <f t="shared" si="25"/>
        <v>17</v>
      </c>
      <c r="AP37" s="289">
        <f t="shared" si="46"/>
        <v>0</v>
      </c>
      <c r="AQ37" s="289">
        <f t="shared" si="41"/>
        <v>85048305.410844877</v>
      </c>
      <c r="AR37" s="289">
        <f t="shared" si="42"/>
        <v>92938623.050352573</v>
      </c>
      <c r="AS37" s="289">
        <f t="shared" si="47"/>
        <v>18952305.410844877</v>
      </c>
      <c r="AT37" s="289">
        <f t="shared" si="48"/>
        <v>26842623.050352573</v>
      </c>
      <c r="AU37" s="289">
        <f t="shared" si="2"/>
        <v>348000</v>
      </c>
      <c r="AV37" s="289">
        <f t="shared" si="28"/>
        <v>4176000</v>
      </c>
      <c r="AW37" s="289">
        <f t="shared" si="43"/>
        <v>66096000</v>
      </c>
      <c r="AX37" s="289">
        <f t="shared" si="29"/>
        <v>86989386.066286325</v>
      </c>
      <c r="AY37" s="289">
        <f t="shared" si="50"/>
        <v>135725193.23497924</v>
      </c>
      <c r="BB37" s="10">
        <f t="shared" si="54"/>
        <v>3160000</v>
      </c>
      <c r="BC37" s="96">
        <f t="shared" si="55"/>
        <v>1580000</v>
      </c>
    </row>
    <row r="38" spans="1:55">
      <c r="A38" s="72">
        <f t="shared" si="51"/>
        <v>2053</v>
      </c>
      <c r="B38" s="72">
        <f t="shared" si="51"/>
        <v>75</v>
      </c>
      <c r="C38" s="91">
        <f t="shared" si="31"/>
        <v>0</v>
      </c>
      <c r="D38" s="91">
        <f t="shared" si="32"/>
        <v>0</v>
      </c>
      <c r="E38" s="91">
        <f t="shared" si="4"/>
        <v>0</v>
      </c>
      <c r="F38" s="91">
        <f t="shared" si="5"/>
        <v>0</v>
      </c>
      <c r="G38" s="91">
        <f t="shared" si="6"/>
        <v>0</v>
      </c>
      <c r="H38" s="91">
        <f t="shared" si="7"/>
        <v>0</v>
      </c>
      <c r="I38" s="91">
        <f t="shared" si="8"/>
        <v>0</v>
      </c>
      <c r="J38" s="91">
        <f t="shared" si="9"/>
        <v>0</v>
      </c>
      <c r="K38" s="91">
        <f t="shared" si="10"/>
        <v>0</v>
      </c>
      <c r="L38" s="91">
        <f t="shared" si="33"/>
        <v>0</v>
      </c>
      <c r="M38" s="92">
        <f t="shared" si="11"/>
        <v>0</v>
      </c>
      <c r="N38" s="92">
        <f t="shared" si="34"/>
        <v>0</v>
      </c>
      <c r="O38" s="93" t="str">
        <f t="shared" si="52"/>
        <v/>
      </c>
      <c r="P38" s="84">
        <f t="shared" si="12"/>
        <v>0</v>
      </c>
      <c r="Q38" s="84">
        <f t="shared" si="13"/>
        <v>0</v>
      </c>
      <c r="R38" s="84">
        <f t="shared" si="14"/>
        <v>0</v>
      </c>
      <c r="S38" s="84">
        <f t="shared" si="15"/>
        <v>0</v>
      </c>
      <c r="T38" s="93" t="str">
        <f t="shared" si="16"/>
        <v/>
      </c>
      <c r="V38" s="84">
        <f t="shared" si="17"/>
        <v>0</v>
      </c>
      <c r="W38" s="93" t="str">
        <f t="shared" si="18"/>
        <v/>
      </c>
      <c r="Y38" s="84">
        <f t="shared" si="19"/>
        <v>0</v>
      </c>
      <c r="Z38" s="84">
        <f t="shared" si="44"/>
        <v>0</v>
      </c>
      <c r="AA38" s="84">
        <f t="shared" si="20"/>
        <v>0</v>
      </c>
      <c r="AB38" s="85" t="str">
        <f t="shared" si="35"/>
        <v/>
      </c>
      <c r="AC38" s="84">
        <f t="shared" si="36"/>
        <v>0</v>
      </c>
      <c r="AD38" s="94" t="str">
        <f t="shared" si="45"/>
        <v/>
      </c>
      <c r="AE38" s="94" t="str">
        <f t="shared" si="21"/>
        <v/>
      </c>
      <c r="AF38" s="95" t="str">
        <f t="shared" si="22"/>
        <v/>
      </c>
      <c r="AG38" s="289">
        <f t="shared" si="37"/>
        <v>0</v>
      </c>
      <c r="AH38" s="84">
        <f t="shared" si="38"/>
        <v>0</v>
      </c>
      <c r="AI38" s="289">
        <f t="shared" si="39"/>
        <v>0</v>
      </c>
      <c r="AJ38" s="84">
        <f t="shared" si="23"/>
        <v>0</v>
      </c>
      <c r="AK38" s="10">
        <v>12560000</v>
      </c>
      <c r="AL38" s="84">
        <f t="shared" si="40"/>
        <v>111026000</v>
      </c>
      <c r="AM38" s="84">
        <f t="shared" si="53"/>
        <v>71600000</v>
      </c>
      <c r="AN38">
        <f t="shared" si="24"/>
        <v>75</v>
      </c>
      <c r="AO38">
        <f t="shared" si="25"/>
        <v>18</v>
      </c>
      <c r="AP38" s="289">
        <f t="shared" si="46"/>
        <v>0</v>
      </c>
      <c r="AQ38" s="289">
        <f t="shared" si="41"/>
        <v>85048305.410844877</v>
      </c>
      <c r="AR38" s="289">
        <f t="shared" si="42"/>
        <v>92938623.050352573</v>
      </c>
      <c r="AS38" s="289">
        <f t="shared" si="47"/>
        <v>14740305.410844877</v>
      </c>
      <c r="AT38" s="289">
        <f t="shared" si="48"/>
        <v>22630623.050352573</v>
      </c>
      <c r="AU38" s="289">
        <f t="shared" si="2"/>
        <v>351000</v>
      </c>
      <c r="AV38" s="289">
        <f t="shared" si="28"/>
        <v>4212000</v>
      </c>
      <c r="AW38" s="289">
        <f t="shared" si="43"/>
        <v>70308000</v>
      </c>
      <c r="AX38" s="289">
        <f t="shared" si="29"/>
        <v>95550746.066286325</v>
      </c>
      <c r="AY38" s="289">
        <f t="shared" si="50"/>
        <v>144286553.23497924</v>
      </c>
      <c r="AZ38" s="84"/>
      <c r="BB38" s="10">
        <f t="shared" si="54"/>
        <v>12560000</v>
      </c>
      <c r="BC38" s="96">
        <f>700000+880000+4700000</f>
        <v>6280000</v>
      </c>
    </row>
    <row r="39" spans="1:55">
      <c r="A39" s="72">
        <f t="shared" ref="A39:B54" si="56">A38+1</f>
        <v>2054</v>
      </c>
      <c r="B39" s="72">
        <f t="shared" si="56"/>
        <v>76</v>
      </c>
      <c r="C39" s="91">
        <f t="shared" si="31"/>
        <v>0</v>
      </c>
      <c r="D39" s="91">
        <f t="shared" si="32"/>
        <v>0</v>
      </c>
      <c r="E39" s="91">
        <f t="shared" si="4"/>
        <v>0</v>
      </c>
      <c r="F39" s="91">
        <f t="shared" si="5"/>
        <v>0</v>
      </c>
      <c r="G39" s="91">
        <f t="shared" si="6"/>
        <v>0</v>
      </c>
      <c r="H39" s="91">
        <f t="shared" si="7"/>
        <v>0</v>
      </c>
      <c r="I39" s="91">
        <f t="shared" si="8"/>
        <v>0</v>
      </c>
      <c r="J39" s="91">
        <f t="shared" si="9"/>
        <v>0</v>
      </c>
      <c r="K39" s="91">
        <f t="shared" si="10"/>
        <v>0</v>
      </c>
      <c r="L39" s="91">
        <f t="shared" si="33"/>
        <v>0</v>
      </c>
      <c r="M39" s="92">
        <f t="shared" si="11"/>
        <v>0</v>
      </c>
      <c r="N39" s="92">
        <f t="shared" si="34"/>
        <v>0</v>
      </c>
      <c r="O39" s="93" t="str">
        <f t="shared" si="52"/>
        <v/>
      </c>
      <c r="P39" s="84">
        <f t="shared" si="12"/>
        <v>0</v>
      </c>
      <c r="Q39" s="84">
        <f t="shared" si="13"/>
        <v>0</v>
      </c>
      <c r="R39" s="84">
        <f t="shared" si="14"/>
        <v>0</v>
      </c>
      <c r="S39" s="84">
        <f t="shared" si="15"/>
        <v>0</v>
      </c>
      <c r="T39" s="93" t="str">
        <f t="shared" si="16"/>
        <v/>
      </c>
      <c r="V39" s="84">
        <f t="shared" si="17"/>
        <v>0</v>
      </c>
      <c r="W39" s="93" t="str">
        <f t="shared" si="18"/>
        <v/>
      </c>
      <c r="Y39" s="84">
        <f t="shared" si="19"/>
        <v>0</v>
      </c>
      <c r="Z39" s="84">
        <f t="shared" si="44"/>
        <v>0</v>
      </c>
      <c r="AA39" s="84">
        <f t="shared" si="20"/>
        <v>0</v>
      </c>
      <c r="AB39" s="85" t="str">
        <f t="shared" si="35"/>
        <v/>
      </c>
      <c r="AC39" s="84">
        <f t="shared" si="36"/>
        <v>0</v>
      </c>
      <c r="AD39" s="94" t="str">
        <f t="shared" si="45"/>
        <v/>
      </c>
      <c r="AE39" s="94" t="str">
        <f t="shared" si="21"/>
        <v/>
      </c>
      <c r="AF39" s="95" t="str">
        <f t="shared" si="22"/>
        <v/>
      </c>
      <c r="AG39" s="289">
        <f t="shared" si="37"/>
        <v>0</v>
      </c>
      <c r="AH39" s="84">
        <f t="shared" si="38"/>
        <v>0</v>
      </c>
      <c r="AI39" s="289">
        <f t="shared" si="39"/>
        <v>0</v>
      </c>
      <c r="AJ39" s="84">
        <f t="shared" si="23"/>
        <v>0</v>
      </c>
      <c r="AK39" s="10">
        <v>1760000</v>
      </c>
      <c r="AL39" s="84">
        <f t="shared" si="40"/>
        <v>112786000</v>
      </c>
      <c r="AM39" s="84">
        <f t="shared" si="53"/>
        <v>73360000</v>
      </c>
      <c r="AN39">
        <f t="shared" si="24"/>
        <v>76</v>
      </c>
      <c r="AO39">
        <f t="shared" si="25"/>
        <v>19</v>
      </c>
      <c r="AP39" s="289">
        <f t="shared" si="46"/>
        <v>0</v>
      </c>
      <c r="AQ39" s="289">
        <f t="shared" si="41"/>
        <v>85048305.410844877</v>
      </c>
      <c r="AR39" s="289">
        <f t="shared" si="42"/>
        <v>92938623.050352573</v>
      </c>
      <c r="AS39" s="289">
        <f t="shared" si="47"/>
        <v>10492305.410844877</v>
      </c>
      <c r="AT39" s="289">
        <f t="shared" si="48"/>
        <v>18382623.050352573</v>
      </c>
      <c r="AU39" s="289">
        <f t="shared" si="2"/>
        <v>354000</v>
      </c>
      <c r="AV39" s="289">
        <f t="shared" si="28"/>
        <v>4248000</v>
      </c>
      <c r="AW39" s="289">
        <f t="shared" si="43"/>
        <v>74556000</v>
      </c>
      <c r="AX39" s="289">
        <f t="shared" si="29"/>
        <v>92951026.066286325</v>
      </c>
      <c r="AY39" s="289">
        <f t="shared" si="50"/>
        <v>141686833.23497924</v>
      </c>
      <c r="BB39" s="10">
        <f t="shared" si="54"/>
        <v>1760000</v>
      </c>
      <c r="BC39" s="84">
        <v>880000</v>
      </c>
    </row>
    <row r="40" spans="1:55">
      <c r="A40" s="72">
        <f t="shared" si="56"/>
        <v>2055</v>
      </c>
      <c r="B40" s="72">
        <f t="shared" si="56"/>
        <v>77</v>
      </c>
      <c r="C40" s="91">
        <f t="shared" si="31"/>
        <v>0</v>
      </c>
      <c r="D40" s="91">
        <f t="shared" si="32"/>
        <v>0</v>
      </c>
      <c r="E40" s="91">
        <f t="shared" si="4"/>
        <v>0</v>
      </c>
      <c r="F40" s="91">
        <f t="shared" si="5"/>
        <v>0</v>
      </c>
      <c r="G40" s="91">
        <f t="shared" si="6"/>
        <v>0</v>
      </c>
      <c r="H40" s="91">
        <f t="shared" si="7"/>
        <v>0</v>
      </c>
      <c r="I40" s="91">
        <f t="shared" si="8"/>
        <v>0</v>
      </c>
      <c r="J40" s="91">
        <f t="shared" si="9"/>
        <v>0</v>
      </c>
      <c r="K40" s="91">
        <f t="shared" si="10"/>
        <v>0</v>
      </c>
      <c r="L40" s="91">
        <f t="shared" si="33"/>
        <v>0</v>
      </c>
      <c r="M40" s="92">
        <f t="shared" si="11"/>
        <v>0</v>
      </c>
      <c r="N40" s="92">
        <f t="shared" si="34"/>
        <v>0</v>
      </c>
      <c r="O40" s="93" t="str">
        <f t="shared" si="52"/>
        <v/>
      </c>
      <c r="P40" s="84">
        <f t="shared" si="12"/>
        <v>0</v>
      </c>
      <c r="Q40" s="84">
        <f t="shared" si="13"/>
        <v>0</v>
      </c>
      <c r="R40" s="84">
        <f t="shared" si="14"/>
        <v>0</v>
      </c>
      <c r="S40" s="84">
        <f t="shared" si="15"/>
        <v>0</v>
      </c>
      <c r="T40" s="93" t="str">
        <f t="shared" si="16"/>
        <v/>
      </c>
      <c r="V40" s="84">
        <f t="shared" si="17"/>
        <v>0</v>
      </c>
      <c r="W40" s="93" t="str">
        <f t="shared" si="18"/>
        <v/>
      </c>
      <c r="Y40" s="84">
        <f t="shared" si="19"/>
        <v>0</v>
      </c>
      <c r="Z40" s="84">
        <f t="shared" si="44"/>
        <v>0</v>
      </c>
      <c r="AA40" s="84">
        <f t="shared" si="20"/>
        <v>0</v>
      </c>
      <c r="AB40" s="85" t="str">
        <f t="shared" si="35"/>
        <v/>
      </c>
      <c r="AC40" s="84">
        <f t="shared" si="36"/>
        <v>0</v>
      </c>
      <c r="AD40" s="94" t="str">
        <f t="shared" si="45"/>
        <v/>
      </c>
      <c r="AE40" s="94" t="str">
        <f t="shared" si="21"/>
        <v/>
      </c>
      <c r="AF40" s="95" t="str">
        <f t="shared" si="22"/>
        <v/>
      </c>
      <c r="AG40" s="289">
        <f t="shared" si="37"/>
        <v>0</v>
      </c>
      <c r="AH40" s="84">
        <f t="shared" si="38"/>
        <v>0</v>
      </c>
      <c r="AI40" s="289">
        <f t="shared" si="39"/>
        <v>0</v>
      </c>
      <c r="AJ40" s="84">
        <f t="shared" si="23"/>
        <v>0</v>
      </c>
      <c r="AK40" s="10">
        <v>1760000</v>
      </c>
      <c r="AL40" s="84">
        <f t="shared" si="40"/>
        <v>114546000</v>
      </c>
      <c r="AM40" s="84">
        <f t="shared" si="53"/>
        <v>75120000</v>
      </c>
      <c r="AN40">
        <f t="shared" si="24"/>
        <v>77</v>
      </c>
      <c r="AO40">
        <f t="shared" si="25"/>
        <v>20</v>
      </c>
      <c r="AP40" s="289">
        <f t="shared" si="46"/>
        <v>0</v>
      </c>
      <c r="AQ40" s="289">
        <f t="shared" si="41"/>
        <v>85048305.410844877</v>
      </c>
      <c r="AR40" s="289">
        <f t="shared" si="42"/>
        <v>92938623.050352573</v>
      </c>
      <c r="AS40" s="289">
        <f t="shared" si="47"/>
        <v>6208305.4108448774</v>
      </c>
      <c r="AT40" s="289">
        <f t="shared" si="48"/>
        <v>14098623.050352573</v>
      </c>
      <c r="AU40" s="289">
        <f t="shared" si="2"/>
        <v>357000</v>
      </c>
      <c r="AV40" s="289">
        <f t="shared" si="28"/>
        <v>4284000</v>
      </c>
      <c r="AW40" s="289">
        <f t="shared" si="43"/>
        <v>78840000</v>
      </c>
      <c r="AX40" s="289">
        <f t="shared" si="29"/>
        <v>90314226.066286325</v>
      </c>
      <c r="AY40" s="289">
        <f t="shared" si="50"/>
        <v>139050033.23497924</v>
      </c>
      <c r="BB40" s="10">
        <f t="shared" si="54"/>
        <v>1760000</v>
      </c>
      <c r="BC40" s="84">
        <v>880000</v>
      </c>
    </row>
    <row r="41" spans="1:55">
      <c r="A41" s="72">
        <f t="shared" si="56"/>
        <v>2056</v>
      </c>
      <c r="B41" s="72">
        <f t="shared" si="56"/>
        <v>78</v>
      </c>
      <c r="C41" s="91">
        <f t="shared" si="31"/>
        <v>0</v>
      </c>
      <c r="D41" s="91">
        <f t="shared" si="32"/>
        <v>0</v>
      </c>
      <c r="E41" s="91">
        <f t="shared" si="4"/>
        <v>0</v>
      </c>
      <c r="F41" s="91">
        <f t="shared" si="5"/>
        <v>0</v>
      </c>
      <c r="G41" s="91">
        <f t="shared" si="6"/>
        <v>0</v>
      </c>
      <c r="H41" s="91">
        <f t="shared" si="7"/>
        <v>0</v>
      </c>
      <c r="I41" s="91">
        <f t="shared" si="8"/>
        <v>0</v>
      </c>
      <c r="J41" s="91">
        <f t="shared" si="9"/>
        <v>0</v>
      </c>
      <c r="K41" s="91">
        <f t="shared" si="10"/>
        <v>0</v>
      </c>
      <c r="L41" s="91">
        <f t="shared" si="33"/>
        <v>0</v>
      </c>
      <c r="M41" s="92">
        <f t="shared" si="11"/>
        <v>0</v>
      </c>
      <c r="N41" s="92">
        <f t="shared" si="34"/>
        <v>0</v>
      </c>
      <c r="O41" s="93" t="str">
        <f t="shared" si="52"/>
        <v/>
      </c>
      <c r="P41" s="84">
        <f t="shared" si="12"/>
        <v>0</v>
      </c>
      <c r="Q41" s="84">
        <f t="shared" si="13"/>
        <v>0</v>
      </c>
      <c r="R41" s="84">
        <f t="shared" si="14"/>
        <v>0</v>
      </c>
      <c r="S41" s="84">
        <f t="shared" si="15"/>
        <v>0</v>
      </c>
      <c r="T41" s="93" t="str">
        <f t="shared" si="16"/>
        <v/>
      </c>
      <c r="V41" s="84">
        <f t="shared" si="17"/>
        <v>0</v>
      </c>
      <c r="W41" s="93" t="str">
        <f t="shared" si="18"/>
        <v/>
      </c>
      <c r="Y41" s="84">
        <f t="shared" si="19"/>
        <v>0</v>
      </c>
      <c r="Z41" s="84">
        <f t="shared" si="44"/>
        <v>0</v>
      </c>
      <c r="AA41" s="84">
        <f t="shared" si="20"/>
        <v>0</v>
      </c>
      <c r="AB41" s="85" t="str">
        <f t="shared" si="35"/>
        <v/>
      </c>
      <c r="AC41" s="84">
        <f t="shared" si="36"/>
        <v>0</v>
      </c>
      <c r="AD41" s="94" t="str">
        <f t="shared" si="45"/>
        <v/>
      </c>
      <c r="AE41" s="94" t="str">
        <f t="shared" si="21"/>
        <v/>
      </c>
      <c r="AF41" s="95" t="str">
        <f t="shared" si="22"/>
        <v/>
      </c>
      <c r="AG41" s="289">
        <f t="shared" si="37"/>
        <v>0</v>
      </c>
      <c r="AH41" s="84">
        <f t="shared" si="38"/>
        <v>0</v>
      </c>
      <c r="AI41" s="289">
        <f t="shared" si="39"/>
        <v>0</v>
      </c>
      <c r="AJ41" s="84">
        <f t="shared" si="23"/>
        <v>0</v>
      </c>
      <c r="AK41" s="10">
        <f>1760000+4900000</f>
        <v>6660000</v>
      </c>
      <c r="AL41" s="84">
        <f t="shared" si="40"/>
        <v>121206000</v>
      </c>
      <c r="AM41" s="84">
        <f t="shared" si="53"/>
        <v>81780000</v>
      </c>
      <c r="AN41">
        <f t="shared" si="24"/>
        <v>78</v>
      </c>
      <c r="AO41">
        <f t="shared" si="25"/>
        <v>21</v>
      </c>
      <c r="AP41" s="289">
        <f t="shared" si="46"/>
        <v>0</v>
      </c>
      <c r="AQ41" s="289">
        <f t="shared" si="41"/>
        <v>85048305.410844877</v>
      </c>
      <c r="AR41" s="289">
        <f t="shared" si="42"/>
        <v>92938623.050352573</v>
      </c>
      <c r="AS41" s="289">
        <f t="shared" si="47"/>
        <v>1888305.4108448774</v>
      </c>
      <c r="AT41" s="289">
        <f t="shared" si="48"/>
        <v>9778623.0503525734</v>
      </c>
      <c r="AU41" s="289">
        <f t="shared" si="2"/>
        <v>360000</v>
      </c>
      <c r="AV41" s="289">
        <f t="shared" si="28"/>
        <v>4320000</v>
      </c>
      <c r="AW41" s="289">
        <f t="shared" si="43"/>
        <v>83160000</v>
      </c>
      <c r="AX41" s="289">
        <f t="shared" si="29"/>
        <v>92687346.066286325</v>
      </c>
      <c r="AY41" s="289">
        <f t="shared" si="50"/>
        <v>141423153.23497924</v>
      </c>
      <c r="BB41" s="10">
        <f>1760000+4900000</f>
        <v>6660000</v>
      </c>
      <c r="BC41" s="84">
        <v>880000</v>
      </c>
    </row>
    <row r="42" spans="1:55">
      <c r="A42" s="72">
        <f t="shared" si="56"/>
        <v>2057</v>
      </c>
      <c r="B42" s="72">
        <f t="shared" si="56"/>
        <v>79</v>
      </c>
      <c r="C42" s="91">
        <f t="shared" si="31"/>
        <v>0</v>
      </c>
      <c r="D42" s="91">
        <f t="shared" si="32"/>
        <v>0</v>
      </c>
      <c r="E42" s="91">
        <f t="shared" si="4"/>
        <v>0</v>
      </c>
      <c r="F42" s="91">
        <f t="shared" si="5"/>
        <v>0</v>
      </c>
      <c r="G42" s="91">
        <f t="shared" si="6"/>
        <v>0</v>
      </c>
      <c r="H42" s="91">
        <f t="shared" si="7"/>
        <v>0</v>
      </c>
      <c r="I42" s="91">
        <f t="shared" si="8"/>
        <v>0</v>
      </c>
      <c r="J42" s="91">
        <f t="shared" si="9"/>
        <v>0</v>
      </c>
      <c r="K42" s="91">
        <f t="shared" si="10"/>
        <v>0</v>
      </c>
      <c r="L42" s="91">
        <f t="shared" si="33"/>
        <v>0</v>
      </c>
      <c r="M42" s="92">
        <f t="shared" si="11"/>
        <v>0</v>
      </c>
      <c r="N42" s="92">
        <f t="shared" si="34"/>
        <v>0</v>
      </c>
      <c r="O42" s="93" t="str">
        <f t="shared" si="52"/>
        <v/>
      </c>
      <c r="P42" s="84">
        <f t="shared" si="12"/>
        <v>0</v>
      </c>
      <c r="Q42" s="84">
        <f t="shared" si="13"/>
        <v>0</v>
      </c>
      <c r="R42" s="84">
        <f t="shared" si="14"/>
        <v>0</v>
      </c>
      <c r="S42" s="84">
        <f t="shared" si="15"/>
        <v>0</v>
      </c>
      <c r="T42" s="93" t="str">
        <f t="shared" si="16"/>
        <v/>
      </c>
      <c r="V42" s="84">
        <f t="shared" si="17"/>
        <v>0</v>
      </c>
      <c r="W42" s="93" t="str">
        <f t="shared" si="18"/>
        <v/>
      </c>
      <c r="Y42" s="84">
        <f t="shared" si="19"/>
        <v>0</v>
      </c>
      <c r="Z42" s="84">
        <f t="shared" si="44"/>
        <v>0</v>
      </c>
      <c r="AA42" s="84">
        <f t="shared" si="20"/>
        <v>0</v>
      </c>
      <c r="AB42" s="85" t="str">
        <f t="shared" si="35"/>
        <v/>
      </c>
      <c r="AC42" s="84">
        <f t="shared" si="36"/>
        <v>0</v>
      </c>
      <c r="AD42" s="94" t="str">
        <f t="shared" si="45"/>
        <v/>
      </c>
      <c r="AE42" s="94" t="str">
        <f t="shared" si="21"/>
        <v/>
      </c>
      <c r="AF42" s="95" t="str">
        <f t="shared" si="22"/>
        <v/>
      </c>
      <c r="AG42" s="289">
        <f t="shared" si="37"/>
        <v>0</v>
      </c>
      <c r="AH42" s="84">
        <f t="shared" si="38"/>
        <v>0</v>
      </c>
      <c r="AI42" s="289">
        <f t="shared" si="39"/>
        <v>0</v>
      </c>
      <c r="AJ42" s="84">
        <f t="shared" si="23"/>
        <v>0</v>
      </c>
      <c r="AK42" s="10">
        <v>1760000</v>
      </c>
      <c r="AL42" s="84">
        <f t="shared" si="40"/>
        <v>122966000</v>
      </c>
      <c r="AM42" s="84">
        <f t="shared" si="53"/>
        <v>83540000</v>
      </c>
      <c r="AN42">
        <f t="shared" si="24"/>
        <v>79</v>
      </c>
      <c r="AO42">
        <f t="shared" si="25"/>
        <v>22</v>
      </c>
      <c r="AP42" s="289">
        <f t="shared" si="46"/>
        <v>0</v>
      </c>
      <c r="AQ42" s="289">
        <f t="shared" si="41"/>
        <v>85048305.410844877</v>
      </c>
      <c r="AR42" s="289">
        <f t="shared" si="42"/>
        <v>92938623.050352573</v>
      </c>
      <c r="AS42" s="289">
        <f t="shared" si="47"/>
        <v>-2467694.5891551226</v>
      </c>
      <c r="AT42" s="289">
        <f t="shared" si="48"/>
        <v>5422623.0503525734</v>
      </c>
      <c r="AU42" s="289">
        <f t="shared" si="2"/>
        <v>363000</v>
      </c>
      <c r="AV42" s="289">
        <f t="shared" si="28"/>
        <v>4356000</v>
      </c>
      <c r="AW42" s="289">
        <f t="shared" si="43"/>
        <v>87516000</v>
      </c>
      <c r="AX42" s="289">
        <f t="shared" si="29"/>
        <v>89976386.066286325</v>
      </c>
      <c r="AY42" s="289">
        <f t="shared" si="50"/>
        <v>138712193.23497924</v>
      </c>
      <c r="BB42" s="10">
        <f t="shared" si="54"/>
        <v>1760000</v>
      </c>
      <c r="BC42" s="84">
        <v>880000</v>
      </c>
    </row>
    <row r="43" spans="1:55">
      <c r="A43" s="72">
        <f t="shared" si="56"/>
        <v>2058</v>
      </c>
      <c r="B43" s="72">
        <f t="shared" si="56"/>
        <v>80</v>
      </c>
      <c r="C43" s="91">
        <f t="shared" si="31"/>
        <v>0</v>
      </c>
      <c r="D43" s="91">
        <f t="shared" si="32"/>
        <v>0</v>
      </c>
      <c r="E43" s="91">
        <f t="shared" si="4"/>
        <v>0</v>
      </c>
      <c r="F43" s="91">
        <f t="shared" si="5"/>
        <v>0</v>
      </c>
      <c r="G43" s="91">
        <f t="shared" si="6"/>
        <v>0</v>
      </c>
      <c r="H43" s="91">
        <f t="shared" si="7"/>
        <v>0</v>
      </c>
      <c r="I43" s="91">
        <f t="shared" si="8"/>
        <v>0</v>
      </c>
      <c r="J43" s="91">
        <f t="shared" si="9"/>
        <v>0</v>
      </c>
      <c r="K43" s="91">
        <f t="shared" si="10"/>
        <v>0</v>
      </c>
      <c r="L43" s="91">
        <f t="shared" si="33"/>
        <v>0</v>
      </c>
      <c r="M43" s="92">
        <f t="shared" si="11"/>
        <v>0</v>
      </c>
      <c r="N43" s="92">
        <f t="shared" si="34"/>
        <v>0</v>
      </c>
      <c r="O43" s="93" t="str">
        <f t="shared" si="52"/>
        <v/>
      </c>
      <c r="P43" s="84">
        <f t="shared" si="12"/>
        <v>0</v>
      </c>
      <c r="Q43" s="84">
        <f t="shared" si="13"/>
        <v>0</v>
      </c>
      <c r="R43" s="84">
        <f t="shared" si="14"/>
        <v>0</v>
      </c>
      <c r="S43" s="84">
        <f t="shared" si="15"/>
        <v>0</v>
      </c>
      <c r="T43" s="93" t="str">
        <f t="shared" si="16"/>
        <v/>
      </c>
      <c r="V43" s="84">
        <f t="shared" si="17"/>
        <v>0</v>
      </c>
      <c r="W43" s="93" t="str">
        <f t="shared" si="18"/>
        <v/>
      </c>
      <c r="Y43" s="84">
        <f t="shared" si="19"/>
        <v>0</v>
      </c>
      <c r="Z43" s="84">
        <f t="shared" si="44"/>
        <v>0</v>
      </c>
      <c r="AA43" s="84">
        <f t="shared" si="20"/>
        <v>0</v>
      </c>
      <c r="AB43" s="85" t="str">
        <f t="shared" si="35"/>
        <v/>
      </c>
      <c r="AC43" s="84">
        <f t="shared" si="36"/>
        <v>0</v>
      </c>
      <c r="AD43" s="94" t="str">
        <f t="shared" si="45"/>
        <v/>
      </c>
      <c r="AE43" s="94" t="str">
        <f t="shared" si="21"/>
        <v/>
      </c>
      <c r="AF43" s="95" t="str">
        <f t="shared" si="22"/>
        <v/>
      </c>
      <c r="AG43" s="289">
        <f t="shared" si="37"/>
        <v>0</v>
      </c>
      <c r="AH43" s="84">
        <f t="shared" si="38"/>
        <v>0</v>
      </c>
      <c r="AI43" s="289">
        <f t="shared" si="39"/>
        <v>0</v>
      </c>
      <c r="AJ43" s="84">
        <f t="shared" si="23"/>
        <v>0</v>
      </c>
      <c r="AK43" s="10">
        <v>1760000</v>
      </c>
      <c r="AL43" s="84">
        <f t="shared" si="40"/>
        <v>124726000</v>
      </c>
      <c r="AM43" s="84">
        <f t="shared" si="53"/>
        <v>85300000</v>
      </c>
      <c r="AN43">
        <f t="shared" si="24"/>
        <v>80</v>
      </c>
      <c r="AO43">
        <f t="shared" si="25"/>
        <v>23</v>
      </c>
      <c r="AP43" s="289">
        <f t="shared" si="46"/>
        <v>0</v>
      </c>
      <c r="AQ43" s="289">
        <f t="shared" si="41"/>
        <v>85048305.410844877</v>
      </c>
      <c r="AR43" s="289">
        <f t="shared" si="42"/>
        <v>92938623.050352573</v>
      </c>
      <c r="AS43" s="289">
        <f t="shared" si="47"/>
        <v>-6859694.5891551226</v>
      </c>
      <c r="AT43" s="289">
        <f t="shared" si="48"/>
        <v>1030623.0503525734</v>
      </c>
      <c r="AU43" s="289">
        <f t="shared" si="2"/>
        <v>366000</v>
      </c>
      <c r="AV43" s="289">
        <f t="shared" si="28"/>
        <v>4392000</v>
      </c>
      <c r="AW43" s="289">
        <f t="shared" si="43"/>
        <v>91908000</v>
      </c>
      <c r="AX43" s="289">
        <f t="shared" si="29"/>
        <v>87228346.066286325</v>
      </c>
      <c r="AY43" s="289">
        <f t="shared" si="50"/>
        <v>135964153.23497924</v>
      </c>
      <c r="BB43" s="10">
        <f t="shared" si="54"/>
        <v>1760000</v>
      </c>
      <c r="BC43" s="84">
        <v>880000</v>
      </c>
    </row>
    <row r="44" spans="1:55">
      <c r="A44" s="72">
        <f t="shared" si="56"/>
        <v>2059</v>
      </c>
      <c r="B44" s="72">
        <f t="shared" si="56"/>
        <v>81</v>
      </c>
      <c r="C44" s="91">
        <f t="shared" si="31"/>
        <v>0</v>
      </c>
      <c r="D44" s="91">
        <f t="shared" si="32"/>
        <v>0</v>
      </c>
      <c r="E44" s="91">
        <f t="shared" si="4"/>
        <v>0</v>
      </c>
      <c r="F44" s="91">
        <f t="shared" si="5"/>
        <v>0</v>
      </c>
      <c r="G44" s="91">
        <f t="shared" si="6"/>
        <v>0</v>
      </c>
      <c r="H44" s="91">
        <f t="shared" si="7"/>
        <v>0</v>
      </c>
      <c r="I44" s="91">
        <f t="shared" si="8"/>
        <v>0</v>
      </c>
      <c r="J44" s="91">
        <f t="shared" si="9"/>
        <v>0</v>
      </c>
      <c r="K44" s="91">
        <f t="shared" si="10"/>
        <v>0</v>
      </c>
      <c r="L44" s="91">
        <f t="shared" si="33"/>
        <v>0</v>
      </c>
      <c r="M44" s="92">
        <f t="shared" si="11"/>
        <v>0</v>
      </c>
      <c r="N44" s="92">
        <f t="shared" si="34"/>
        <v>0</v>
      </c>
      <c r="O44" s="93" t="str">
        <f t="shared" si="52"/>
        <v/>
      </c>
      <c r="P44" s="84">
        <f t="shared" si="12"/>
        <v>0</v>
      </c>
      <c r="Q44" s="84">
        <f t="shared" si="13"/>
        <v>0</v>
      </c>
      <c r="R44" s="84">
        <f t="shared" si="14"/>
        <v>0</v>
      </c>
      <c r="S44" s="84">
        <f t="shared" si="15"/>
        <v>0</v>
      </c>
      <c r="T44" s="93" t="str">
        <f t="shared" si="16"/>
        <v/>
      </c>
      <c r="V44" s="84">
        <f t="shared" si="17"/>
        <v>0</v>
      </c>
      <c r="W44" s="93" t="str">
        <f t="shared" si="18"/>
        <v/>
      </c>
      <c r="Y44" s="84">
        <f t="shared" si="19"/>
        <v>0</v>
      </c>
      <c r="Z44" s="84">
        <f t="shared" si="44"/>
        <v>0</v>
      </c>
      <c r="AA44" s="84">
        <f t="shared" si="20"/>
        <v>0</v>
      </c>
      <c r="AB44" s="85" t="str">
        <f t="shared" si="35"/>
        <v/>
      </c>
      <c r="AC44" s="84">
        <f t="shared" si="36"/>
        <v>0</v>
      </c>
      <c r="AD44" s="94" t="str">
        <f t="shared" si="45"/>
        <v/>
      </c>
      <c r="AE44" s="94" t="str">
        <f t="shared" si="21"/>
        <v/>
      </c>
      <c r="AF44" s="95" t="str">
        <f t="shared" si="22"/>
        <v/>
      </c>
      <c r="AG44" s="289">
        <f t="shared" si="37"/>
        <v>0</v>
      </c>
      <c r="AH44" s="84">
        <f t="shared" si="38"/>
        <v>0</v>
      </c>
      <c r="AI44" s="289">
        <f t="shared" si="39"/>
        <v>0</v>
      </c>
      <c r="AJ44" s="84">
        <f t="shared" si="23"/>
        <v>0</v>
      </c>
      <c r="AK44" s="10">
        <v>1760000</v>
      </c>
      <c r="AL44" s="84">
        <f t="shared" si="40"/>
        <v>126486000</v>
      </c>
      <c r="AM44" s="84">
        <f t="shared" si="53"/>
        <v>87060000</v>
      </c>
      <c r="AN44">
        <f t="shared" si="24"/>
        <v>81</v>
      </c>
      <c r="AO44">
        <f t="shared" si="25"/>
        <v>24</v>
      </c>
      <c r="AP44" s="289">
        <f t="shared" si="46"/>
        <v>0</v>
      </c>
      <c r="AQ44" s="289">
        <f t="shared" si="41"/>
        <v>85048305.410844877</v>
      </c>
      <c r="AR44" s="289">
        <f t="shared" si="42"/>
        <v>92938623.050352573</v>
      </c>
      <c r="AS44" s="289">
        <f t="shared" si="47"/>
        <v>-11287694.589155123</v>
      </c>
      <c r="AT44" s="289">
        <f t="shared" si="48"/>
        <v>-3397376.9496474266</v>
      </c>
      <c r="AU44" s="289">
        <f t="shared" si="2"/>
        <v>369000</v>
      </c>
      <c r="AV44" s="289">
        <f t="shared" si="28"/>
        <v>4428000</v>
      </c>
      <c r="AW44" s="289">
        <f t="shared" si="43"/>
        <v>96336000</v>
      </c>
      <c r="AX44" s="289">
        <f t="shared" si="29"/>
        <v>84443226.066286325</v>
      </c>
      <c r="AY44" s="289">
        <f t="shared" si="50"/>
        <v>133179033.23497924</v>
      </c>
      <c r="BB44" s="10">
        <f t="shared" si="54"/>
        <v>1760000</v>
      </c>
      <c r="BC44" s="84">
        <v>880000</v>
      </c>
    </row>
    <row r="45" spans="1:55">
      <c r="A45" s="72">
        <f t="shared" si="56"/>
        <v>2060</v>
      </c>
      <c r="B45" s="72">
        <f t="shared" si="56"/>
        <v>82</v>
      </c>
      <c r="C45" s="91">
        <f t="shared" si="31"/>
        <v>0</v>
      </c>
      <c r="D45" s="91">
        <f t="shared" si="32"/>
        <v>0</v>
      </c>
      <c r="E45" s="91">
        <f t="shared" si="4"/>
        <v>0</v>
      </c>
      <c r="F45" s="91">
        <f t="shared" si="5"/>
        <v>0</v>
      </c>
      <c r="G45" s="91">
        <f t="shared" si="6"/>
        <v>0</v>
      </c>
      <c r="H45" s="91">
        <f t="shared" si="7"/>
        <v>0</v>
      </c>
      <c r="I45" s="91">
        <f t="shared" si="8"/>
        <v>0</v>
      </c>
      <c r="J45" s="91">
        <f t="shared" si="9"/>
        <v>0</v>
      </c>
      <c r="K45" s="91">
        <f t="shared" si="10"/>
        <v>0</v>
      </c>
      <c r="L45" s="91">
        <f t="shared" si="33"/>
        <v>0</v>
      </c>
      <c r="M45" s="92">
        <f t="shared" si="11"/>
        <v>0</v>
      </c>
      <c r="N45" s="92">
        <f t="shared" si="34"/>
        <v>0</v>
      </c>
      <c r="O45" s="93" t="str">
        <f t="shared" si="52"/>
        <v/>
      </c>
      <c r="P45" s="84">
        <f t="shared" si="12"/>
        <v>0</v>
      </c>
      <c r="Q45" s="84">
        <f t="shared" si="13"/>
        <v>0</v>
      </c>
      <c r="R45" s="84">
        <f t="shared" si="14"/>
        <v>0</v>
      </c>
      <c r="S45" s="84">
        <f t="shared" si="15"/>
        <v>0</v>
      </c>
      <c r="T45" s="93" t="str">
        <f t="shared" si="16"/>
        <v/>
      </c>
      <c r="V45" s="84">
        <f t="shared" si="17"/>
        <v>0</v>
      </c>
      <c r="W45" s="93" t="str">
        <f t="shared" si="18"/>
        <v/>
      </c>
      <c r="Y45" s="84">
        <f t="shared" si="19"/>
        <v>0</v>
      </c>
      <c r="Z45" s="84">
        <f t="shared" si="44"/>
        <v>0</v>
      </c>
      <c r="AA45" s="84">
        <f t="shared" si="20"/>
        <v>0</v>
      </c>
      <c r="AB45" s="85" t="str">
        <f t="shared" si="35"/>
        <v/>
      </c>
      <c r="AC45" s="84">
        <f t="shared" si="36"/>
        <v>0</v>
      </c>
      <c r="AD45" s="94" t="str">
        <f t="shared" si="45"/>
        <v/>
      </c>
      <c r="AE45" s="94" t="str">
        <f t="shared" si="21"/>
        <v/>
      </c>
      <c r="AF45" s="95" t="str">
        <f t="shared" si="22"/>
        <v/>
      </c>
      <c r="AG45" s="289">
        <f t="shared" si="37"/>
        <v>0</v>
      </c>
      <c r="AH45" s="84">
        <f t="shared" si="38"/>
        <v>0</v>
      </c>
      <c r="AI45" s="289">
        <f t="shared" si="39"/>
        <v>0</v>
      </c>
      <c r="AJ45" s="84">
        <f t="shared" si="23"/>
        <v>0</v>
      </c>
      <c r="AK45" s="10">
        <v>1760000</v>
      </c>
      <c r="AL45" s="84">
        <f t="shared" si="40"/>
        <v>128246000</v>
      </c>
      <c r="AM45" s="84">
        <f t="shared" si="53"/>
        <v>88820000</v>
      </c>
      <c r="AN45">
        <f t="shared" si="24"/>
        <v>82</v>
      </c>
      <c r="AO45">
        <f t="shared" si="25"/>
        <v>25</v>
      </c>
      <c r="AP45" s="289">
        <f t="shared" si="46"/>
        <v>0</v>
      </c>
      <c r="AQ45" s="289">
        <f t="shared" si="41"/>
        <v>85048305.410844877</v>
      </c>
      <c r="AR45" s="289">
        <f t="shared" si="42"/>
        <v>92938623.050352573</v>
      </c>
      <c r="AS45" s="289">
        <f t="shared" si="47"/>
        <v>-15751694.589155123</v>
      </c>
      <c r="AT45" s="289">
        <f t="shared" si="48"/>
        <v>-7861376.9496474266</v>
      </c>
      <c r="AU45" s="289">
        <f t="shared" si="2"/>
        <v>372000</v>
      </c>
      <c r="AV45" s="289">
        <f t="shared" si="28"/>
        <v>4464000</v>
      </c>
      <c r="AW45" s="289">
        <f t="shared" si="43"/>
        <v>100800000</v>
      </c>
      <c r="AX45" s="289">
        <f t="shared" si="29"/>
        <v>81621026.066286325</v>
      </c>
      <c r="AY45" s="289">
        <f t="shared" si="50"/>
        <v>130356833.23497924</v>
      </c>
      <c r="BB45" s="10">
        <f t="shared" si="54"/>
        <v>1760000</v>
      </c>
      <c r="BC45" s="84">
        <v>880000</v>
      </c>
    </row>
    <row r="46" spans="1:55">
      <c r="A46" s="72">
        <f t="shared" si="56"/>
        <v>2061</v>
      </c>
      <c r="B46" s="72">
        <f t="shared" si="56"/>
        <v>83</v>
      </c>
      <c r="C46" s="91">
        <f t="shared" si="31"/>
        <v>0</v>
      </c>
      <c r="D46" s="91">
        <f t="shared" si="32"/>
        <v>0</v>
      </c>
      <c r="E46" s="91">
        <f t="shared" si="4"/>
        <v>0</v>
      </c>
      <c r="F46" s="91">
        <f t="shared" si="5"/>
        <v>0</v>
      </c>
      <c r="G46" s="91">
        <f t="shared" si="6"/>
        <v>0</v>
      </c>
      <c r="H46" s="91">
        <f t="shared" si="7"/>
        <v>0</v>
      </c>
      <c r="I46" s="91">
        <f t="shared" si="8"/>
        <v>0</v>
      </c>
      <c r="J46" s="91">
        <f t="shared" si="9"/>
        <v>0</v>
      </c>
      <c r="K46" s="91">
        <f t="shared" si="10"/>
        <v>0</v>
      </c>
      <c r="L46" s="91">
        <f t="shared" si="33"/>
        <v>0</v>
      </c>
      <c r="M46" s="92">
        <f t="shared" si="11"/>
        <v>0</v>
      </c>
      <c r="N46" s="92">
        <f t="shared" si="34"/>
        <v>0</v>
      </c>
      <c r="O46" s="93" t="str">
        <f t="shared" si="52"/>
        <v/>
      </c>
      <c r="P46" s="84">
        <f t="shared" si="12"/>
        <v>0</v>
      </c>
      <c r="Q46" s="84">
        <f t="shared" si="13"/>
        <v>0</v>
      </c>
      <c r="R46" s="84">
        <f t="shared" si="14"/>
        <v>0</v>
      </c>
      <c r="S46" s="84">
        <f t="shared" si="15"/>
        <v>0</v>
      </c>
      <c r="T46" s="93" t="str">
        <f t="shared" si="16"/>
        <v/>
      </c>
      <c r="V46" s="84">
        <f t="shared" si="17"/>
        <v>0</v>
      </c>
      <c r="W46" s="93" t="str">
        <f t="shared" si="18"/>
        <v/>
      </c>
      <c r="Y46" s="84">
        <f t="shared" si="19"/>
        <v>0</v>
      </c>
      <c r="Z46" s="84">
        <f t="shared" si="44"/>
        <v>0</v>
      </c>
      <c r="AA46" s="84">
        <f t="shared" si="20"/>
        <v>0</v>
      </c>
      <c r="AB46" s="85" t="str">
        <f t="shared" si="35"/>
        <v/>
      </c>
      <c r="AC46" s="84">
        <f t="shared" si="36"/>
        <v>0</v>
      </c>
      <c r="AD46" s="94" t="str">
        <f t="shared" si="45"/>
        <v/>
      </c>
      <c r="AE46" s="94" t="str">
        <f t="shared" si="21"/>
        <v/>
      </c>
      <c r="AF46" s="95" t="str">
        <f t="shared" si="22"/>
        <v/>
      </c>
      <c r="AG46" s="289">
        <f t="shared" si="37"/>
        <v>0</v>
      </c>
      <c r="AH46" s="84">
        <f t="shared" si="38"/>
        <v>0</v>
      </c>
      <c r="AI46" s="289">
        <f t="shared" si="39"/>
        <v>0</v>
      </c>
      <c r="AJ46" s="84">
        <f t="shared" si="23"/>
        <v>0</v>
      </c>
      <c r="AK46" s="10">
        <v>1760000</v>
      </c>
      <c r="AL46" s="84">
        <f t="shared" si="40"/>
        <v>130006000</v>
      </c>
      <c r="AM46" s="84">
        <f t="shared" si="53"/>
        <v>90580000</v>
      </c>
      <c r="AN46">
        <f t="shared" si="24"/>
        <v>83</v>
      </c>
      <c r="AO46">
        <f t="shared" si="25"/>
        <v>26</v>
      </c>
      <c r="AP46" s="289">
        <f t="shared" si="46"/>
        <v>0</v>
      </c>
      <c r="AQ46" s="289">
        <f t="shared" si="41"/>
        <v>85048305.410844877</v>
      </c>
      <c r="AR46" s="289">
        <f t="shared" si="42"/>
        <v>92938623.050352573</v>
      </c>
      <c r="AS46" s="289">
        <f t="shared" si="47"/>
        <v>-20251694.589155123</v>
      </c>
      <c r="AT46" s="289">
        <f t="shared" si="48"/>
        <v>-12361376.949647427</v>
      </c>
      <c r="AU46" s="289">
        <f t="shared" si="2"/>
        <v>375000</v>
      </c>
      <c r="AV46" s="289">
        <f t="shared" si="28"/>
        <v>4500000</v>
      </c>
      <c r="AW46" s="289">
        <f t="shared" si="43"/>
        <v>105300000</v>
      </c>
      <c r="AX46" s="289">
        <f t="shared" si="29"/>
        <v>78761746.066286325</v>
      </c>
      <c r="AY46" s="289">
        <f t="shared" si="50"/>
        <v>127497553.23497924</v>
      </c>
      <c r="BB46" s="10">
        <f t="shared" si="54"/>
        <v>1760000</v>
      </c>
      <c r="BC46" s="84">
        <v>880000</v>
      </c>
    </row>
    <row r="47" spans="1:55">
      <c r="A47" s="72">
        <f t="shared" si="56"/>
        <v>2062</v>
      </c>
      <c r="B47" s="72">
        <f t="shared" si="56"/>
        <v>84</v>
      </c>
      <c r="C47" s="91">
        <f t="shared" si="31"/>
        <v>0</v>
      </c>
      <c r="D47" s="91">
        <f t="shared" si="32"/>
        <v>0</v>
      </c>
      <c r="E47" s="91">
        <f t="shared" si="4"/>
        <v>0</v>
      </c>
      <c r="F47" s="91">
        <f t="shared" si="5"/>
        <v>0</v>
      </c>
      <c r="G47" s="91">
        <f t="shared" si="6"/>
        <v>0</v>
      </c>
      <c r="H47" s="91">
        <f t="shared" si="7"/>
        <v>0</v>
      </c>
      <c r="I47" s="91">
        <f t="shared" si="8"/>
        <v>0</v>
      </c>
      <c r="J47" s="91">
        <f t="shared" si="9"/>
        <v>0</v>
      </c>
      <c r="K47" s="91">
        <f t="shared" si="10"/>
        <v>0</v>
      </c>
      <c r="L47" s="91">
        <f t="shared" si="33"/>
        <v>0</v>
      </c>
      <c r="M47" s="92">
        <f t="shared" si="11"/>
        <v>0</v>
      </c>
      <c r="N47" s="92">
        <f t="shared" si="34"/>
        <v>0</v>
      </c>
      <c r="O47" s="93" t="str">
        <f t="shared" si="52"/>
        <v/>
      </c>
      <c r="P47" s="84">
        <f t="shared" si="12"/>
        <v>0</v>
      </c>
      <c r="Q47" s="84">
        <f t="shared" si="13"/>
        <v>0</v>
      </c>
      <c r="R47" s="84">
        <f t="shared" si="14"/>
        <v>0</v>
      </c>
      <c r="S47" s="84">
        <f t="shared" si="15"/>
        <v>0</v>
      </c>
      <c r="T47" s="93" t="str">
        <f t="shared" si="16"/>
        <v/>
      </c>
      <c r="V47" s="84">
        <f t="shared" si="17"/>
        <v>0</v>
      </c>
      <c r="W47" s="93" t="str">
        <f t="shared" si="18"/>
        <v/>
      </c>
      <c r="Y47" s="84">
        <f t="shared" si="19"/>
        <v>0</v>
      </c>
      <c r="Z47" s="84">
        <f t="shared" si="44"/>
        <v>0</v>
      </c>
      <c r="AA47" s="84">
        <f t="shared" si="20"/>
        <v>0</v>
      </c>
      <c r="AB47" s="85" t="str">
        <f t="shared" si="35"/>
        <v/>
      </c>
      <c r="AC47" s="84">
        <f t="shared" si="36"/>
        <v>0</v>
      </c>
      <c r="AD47" s="94" t="str">
        <f t="shared" si="45"/>
        <v/>
      </c>
      <c r="AE47" s="94" t="str">
        <f t="shared" si="21"/>
        <v/>
      </c>
      <c r="AF47" s="95" t="str">
        <f t="shared" si="22"/>
        <v/>
      </c>
      <c r="AG47" s="289">
        <f t="shared" si="37"/>
        <v>0</v>
      </c>
      <c r="AH47" s="84">
        <f t="shared" si="38"/>
        <v>0</v>
      </c>
      <c r="AI47" s="289">
        <f t="shared" si="39"/>
        <v>0</v>
      </c>
      <c r="AJ47" s="84">
        <f t="shared" si="23"/>
        <v>0</v>
      </c>
      <c r="AK47" s="10">
        <v>1760000</v>
      </c>
      <c r="AL47" s="84">
        <f t="shared" si="40"/>
        <v>131766000</v>
      </c>
      <c r="AM47" s="84">
        <f t="shared" si="53"/>
        <v>92340000</v>
      </c>
      <c r="AN47">
        <f t="shared" si="24"/>
        <v>84</v>
      </c>
      <c r="AO47">
        <f t="shared" si="25"/>
        <v>27</v>
      </c>
      <c r="AP47" s="289">
        <f t="shared" si="46"/>
        <v>0</v>
      </c>
      <c r="AQ47" s="289">
        <f t="shared" si="41"/>
        <v>85048305.410844877</v>
      </c>
      <c r="AR47" s="289">
        <f t="shared" si="42"/>
        <v>92938623.050352573</v>
      </c>
      <c r="AS47" s="289">
        <f t="shared" si="47"/>
        <v>-24787694.589155123</v>
      </c>
      <c r="AT47" s="289">
        <f t="shared" si="48"/>
        <v>-16897376.949647427</v>
      </c>
      <c r="AU47" s="289">
        <f t="shared" si="2"/>
        <v>378000</v>
      </c>
      <c r="AV47" s="289">
        <f t="shared" si="28"/>
        <v>4536000</v>
      </c>
      <c r="AW47" s="289">
        <f t="shared" si="43"/>
        <v>109836000</v>
      </c>
      <c r="AX47" s="289">
        <f t="shared" si="29"/>
        <v>75865386.066286325</v>
      </c>
      <c r="AY47" s="289">
        <f t="shared" si="50"/>
        <v>124601193.23497924</v>
      </c>
      <c r="BB47" s="10">
        <f t="shared" si="54"/>
        <v>1760000</v>
      </c>
      <c r="BC47" s="84">
        <v>880000</v>
      </c>
    </row>
    <row r="48" spans="1:55">
      <c r="A48" s="72">
        <f t="shared" si="56"/>
        <v>2063</v>
      </c>
      <c r="B48" s="72">
        <f t="shared" si="56"/>
        <v>85</v>
      </c>
      <c r="C48" s="91">
        <f t="shared" si="31"/>
        <v>0</v>
      </c>
      <c r="D48" s="91">
        <f t="shared" si="32"/>
        <v>0</v>
      </c>
      <c r="E48" s="91">
        <f t="shared" si="4"/>
        <v>0</v>
      </c>
      <c r="F48" s="91">
        <f t="shared" si="5"/>
        <v>0</v>
      </c>
      <c r="G48" s="91">
        <f t="shared" si="6"/>
        <v>0</v>
      </c>
      <c r="H48" s="91">
        <f t="shared" si="7"/>
        <v>0</v>
      </c>
      <c r="I48" s="91">
        <f t="shared" si="8"/>
        <v>0</v>
      </c>
      <c r="J48" s="91">
        <f t="shared" si="9"/>
        <v>0</v>
      </c>
      <c r="K48" s="91">
        <f t="shared" si="10"/>
        <v>0</v>
      </c>
      <c r="L48" s="91">
        <f t="shared" si="33"/>
        <v>0</v>
      </c>
      <c r="M48" s="92">
        <f t="shared" si="11"/>
        <v>0</v>
      </c>
      <c r="N48" s="92">
        <f t="shared" si="34"/>
        <v>0</v>
      </c>
      <c r="O48" s="93" t="str">
        <f t="shared" si="52"/>
        <v/>
      </c>
      <c r="P48" s="84">
        <f t="shared" si="12"/>
        <v>0</v>
      </c>
      <c r="Q48" s="84">
        <f t="shared" si="13"/>
        <v>0</v>
      </c>
      <c r="R48" s="84">
        <f t="shared" si="14"/>
        <v>0</v>
      </c>
      <c r="S48" s="84">
        <f t="shared" si="15"/>
        <v>0</v>
      </c>
      <c r="T48" s="93" t="str">
        <f t="shared" si="16"/>
        <v/>
      </c>
      <c r="V48" s="84">
        <f t="shared" si="17"/>
        <v>0</v>
      </c>
      <c r="W48" s="93" t="str">
        <f t="shared" si="18"/>
        <v/>
      </c>
      <c r="Y48" s="84">
        <f t="shared" si="19"/>
        <v>0</v>
      </c>
      <c r="Z48" s="84">
        <f t="shared" si="44"/>
        <v>0</v>
      </c>
      <c r="AA48" s="84">
        <f t="shared" si="20"/>
        <v>0</v>
      </c>
      <c r="AB48" s="85" t="str">
        <f t="shared" si="35"/>
        <v/>
      </c>
      <c r="AC48" s="84">
        <f t="shared" si="36"/>
        <v>0</v>
      </c>
      <c r="AD48" s="94" t="str">
        <f t="shared" si="45"/>
        <v/>
      </c>
      <c r="AE48" s="94" t="str">
        <f t="shared" si="21"/>
        <v/>
      </c>
      <c r="AF48" s="95" t="str">
        <f t="shared" si="22"/>
        <v/>
      </c>
      <c r="AG48" s="289">
        <f t="shared" si="37"/>
        <v>0</v>
      </c>
      <c r="AH48" s="84">
        <f t="shared" si="38"/>
        <v>0</v>
      </c>
      <c r="AI48" s="289">
        <f t="shared" si="39"/>
        <v>0</v>
      </c>
      <c r="AJ48" s="84">
        <f t="shared" si="23"/>
        <v>0</v>
      </c>
      <c r="AK48" s="10">
        <v>1760000</v>
      </c>
      <c r="AL48" s="84">
        <f t="shared" si="40"/>
        <v>133526000</v>
      </c>
      <c r="AM48" s="84">
        <f t="shared" si="53"/>
        <v>94100000</v>
      </c>
      <c r="AN48">
        <f t="shared" si="24"/>
        <v>85</v>
      </c>
      <c r="AO48">
        <f t="shared" si="25"/>
        <v>28</v>
      </c>
      <c r="AP48" s="289">
        <f t="shared" si="46"/>
        <v>0</v>
      </c>
      <c r="AQ48" s="289">
        <f t="shared" si="41"/>
        <v>85048305.410844877</v>
      </c>
      <c r="AR48" s="289">
        <f t="shared" si="42"/>
        <v>92938623.050352573</v>
      </c>
      <c r="AS48" s="289">
        <f t="shared" si="47"/>
        <v>-29359694.589155123</v>
      </c>
      <c r="AT48" s="289">
        <f t="shared" si="48"/>
        <v>-21469376.949647427</v>
      </c>
      <c r="AU48" s="289">
        <f t="shared" si="2"/>
        <v>381000</v>
      </c>
      <c r="AV48" s="289">
        <f t="shared" si="28"/>
        <v>4572000</v>
      </c>
      <c r="AW48" s="289">
        <f t="shared" si="43"/>
        <v>114408000</v>
      </c>
      <c r="AX48" s="289">
        <f t="shared" si="29"/>
        <v>72931946.066286325</v>
      </c>
      <c r="AY48" s="289">
        <f t="shared" si="50"/>
        <v>121667753.23497924</v>
      </c>
      <c r="BB48" s="10">
        <f t="shared" si="54"/>
        <v>1760000</v>
      </c>
      <c r="BC48" s="84">
        <v>880000</v>
      </c>
    </row>
    <row r="49" spans="1:55">
      <c r="A49" s="72">
        <f t="shared" si="56"/>
        <v>2064</v>
      </c>
      <c r="B49" s="72">
        <f t="shared" si="56"/>
        <v>86</v>
      </c>
      <c r="C49" s="91">
        <f t="shared" si="31"/>
        <v>0</v>
      </c>
      <c r="D49" s="91">
        <f t="shared" si="32"/>
        <v>0</v>
      </c>
      <c r="E49" s="91">
        <f t="shared" si="4"/>
        <v>0</v>
      </c>
      <c r="F49" s="91">
        <f t="shared" si="5"/>
        <v>0</v>
      </c>
      <c r="G49" s="91">
        <f t="shared" si="6"/>
        <v>0</v>
      </c>
      <c r="H49" s="91">
        <f t="shared" si="7"/>
        <v>0</v>
      </c>
      <c r="I49" s="91">
        <f t="shared" si="8"/>
        <v>0</v>
      </c>
      <c r="J49" s="91">
        <f t="shared" si="9"/>
        <v>0</v>
      </c>
      <c r="K49" s="91">
        <f t="shared" si="10"/>
        <v>0</v>
      </c>
      <c r="L49" s="91">
        <f t="shared" si="33"/>
        <v>0</v>
      </c>
      <c r="M49" s="92">
        <f t="shared" si="11"/>
        <v>0</v>
      </c>
      <c r="N49" s="92">
        <f t="shared" si="34"/>
        <v>0</v>
      </c>
      <c r="O49" s="93" t="str">
        <f t="shared" si="52"/>
        <v/>
      </c>
      <c r="P49" s="84">
        <f t="shared" si="12"/>
        <v>0</v>
      </c>
      <c r="Q49" s="84">
        <f t="shared" si="13"/>
        <v>0</v>
      </c>
      <c r="R49" s="84">
        <f t="shared" si="14"/>
        <v>0</v>
      </c>
      <c r="S49" s="84">
        <f t="shared" si="15"/>
        <v>0</v>
      </c>
      <c r="T49" s="93" t="str">
        <f t="shared" si="16"/>
        <v/>
      </c>
      <c r="V49" s="84">
        <f t="shared" si="17"/>
        <v>0</v>
      </c>
      <c r="W49" s="93" t="str">
        <f t="shared" si="18"/>
        <v/>
      </c>
      <c r="Y49" s="84">
        <f t="shared" si="19"/>
        <v>0</v>
      </c>
      <c r="Z49" s="84">
        <f t="shared" si="44"/>
        <v>0</v>
      </c>
      <c r="AA49" s="84">
        <f t="shared" si="20"/>
        <v>0</v>
      </c>
      <c r="AB49" s="85" t="str">
        <f t="shared" si="35"/>
        <v/>
      </c>
      <c r="AC49" s="84">
        <f t="shared" si="36"/>
        <v>0</v>
      </c>
      <c r="AD49" s="94" t="str">
        <f t="shared" si="45"/>
        <v/>
      </c>
      <c r="AE49" s="94" t="str">
        <f t="shared" si="21"/>
        <v/>
      </c>
      <c r="AF49" s="95" t="str">
        <f t="shared" si="22"/>
        <v/>
      </c>
      <c r="AG49" s="289">
        <f t="shared" si="37"/>
        <v>0</v>
      </c>
      <c r="AH49" s="84">
        <f t="shared" si="38"/>
        <v>0</v>
      </c>
      <c r="AI49" s="289">
        <f t="shared" si="39"/>
        <v>0</v>
      </c>
      <c r="AJ49" s="84">
        <f t="shared" si="23"/>
        <v>0</v>
      </c>
      <c r="AK49" s="10">
        <v>1760000</v>
      </c>
      <c r="AL49" s="84">
        <f t="shared" si="40"/>
        <v>135286000</v>
      </c>
      <c r="AM49" s="84">
        <f t="shared" si="53"/>
        <v>95860000</v>
      </c>
      <c r="AN49">
        <f t="shared" si="24"/>
        <v>86</v>
      </c>
      <c r="AO49">
        <f t="shared" si="25"/>
        <v>29</v>
      </c>
      <c r="AP49" s="289">
        <f t="shared" si="46"/>
        <v>0</v>
      </c>
      <c r="AQ49" s="289">
        <f t="shared" si="41"/>
        <v>85048305.410844877</v>
      </c>
      <c r="AR49" s="289">
        <f t="shared" si="42"/>
        <v>92938623.050352573</v>
      </c>
      <c r="AS49" s="289">
        <f t="shared" si="47"/>
        <v>-33967694.589155123</v>
      </c>
      <c r="AT49" s="289">
        <f t="shared" si="48"/>
        <v>-26077376.949647427</v>
      </c>
      <c r="AU49" s="289">
        <f t="shared" si="2"/>
        <v>384000</v>
      </c>
      <c r="AV49" s="289">
        <f t="shared" si="28"/>
        <v>4608000</v>
      </c>
      <c r="AW49" s="289">
        <f t="shared" si="43"/>
        <v>119016000</v>
      </c>
      <c r="AX49" s="289">
        <f t="shared" si="29"/>
        <v>69961426.066286325</v>
      </c>
      <c r="AY49" s="289">
        <f t="shared" si="50"/>
        <v>118697233.23497924</v>
      </c>
      <c r="BB49" s="10">
        <f t="shared" si="54"/>
        <v>1760000</v>
      </c>
      <c r="BC49" s="84">
        <v>880000</v>
      </c>
    </row>
    <row r="50" spans="1:55">
      <c r="A50" s="72">
        <f t="shared" si="56"/>
        <v>2065</v>
      </c>
      <c r="B50" s="72">
        <f t="shared" si="56"/>
        <v>87</v>
      </c>
      <c r="C50" s="91">
        <f t="shared" si="31"/>
        <v>0</v>
      </c>
      <c r="D50" s="91">
        <f t="shared" si="32"/>
        <v>0</v>
      </c>
      <c r="E50" s="91">
        <f t="shared" si="4"/>
        <v>0</v>
      </c>
      <c r="F50" s="91">
        <f t="shared" si="5"/>
        <v>0</v>
      </c>
      <c r="G50" s="91">
        <f t="shared" si="6"/>
        <v>0</v>
      </c>
      <c r="H50" s="91">
        <f t="shared" si="7"/>
        <v>0</v>
      </c>
      <c r="I50" s="91">
        <f t="shared" si="8"/>
        <v>0</v>
      </c>
      <c r="J50" s="91">
        <f t="shared" si="9"/>
        <v>0</v>
      </c>
      <c r="K50" s="91">
        <f t="shared" si="10"/>
        <v>0</v>
      </c>
      <c r="L50" s="91">
        <f t="shared" si="33"/>
        <v>0</v>
      </c>
      <c r="M50" s="92">
        <f t="shared" si="11"/>
        <v>0</v>
      </c>
      <c r="N50" s="92">
        <f t="shared" si="34"/>
        <v>0</v>
      </c>
      <c r="O50" s="93" t="str">
        <f t="shared" si="52"/>
        <v/>
      </c>
      <c r="P50" s="84">
        <f t="shared" si="12"/>
        <v>0</v>
      </c>
      <c r="Q50" s="84">
        <f t="shared" si="13"/>
        <v>0</v>
      </c>
      <c r="R50" s="84">
        <f t="shared" si="14"/>
        <v>0</v>
      </c>
      <c r="S50" s="84">
        <f t="shared" si="15"/>
        <v>0</v>
      </c>
      <c r="T50" s="93" t="str">
        <f t="shared" si="16"/>
        <v/>
      </c>
      <c r="V50" s="84">
        <f t="shared" si="17"/>
        <v>0</v>
      </c>
      <c r="W50" s="93" t="str">
        <f t="shared" si="18"/>
        <v/>
      </c>
      <c r="Y50" s="84">
        <f t="shared" si="19"/>
        <v>0</v>
      </c>
      <c r="Z50" s="84">
        <f t="shared" si="44"/>
        <v>0</v>
      </c>
      <c r="AA50" s="84">
        <f t="shared" si="20"/>
        <v>0</v>
      </c>
      <c r="AB50" s="85" t="str">
        <f t="shared" si="35"/>
        <v/>
      </c>
      <c r="AC50" s="84">
        <f t="shared" si="36"/>
        <v>0</v>
      </c>
      <c r="AD50" s="94" t="str">
        <f t="shared" si="45"/>
        <v/>
      </c>
      <c r="AE50" s="94" t="str">
        <f t="shared" si="21"/>
        <v/>
      </c>
      <c r="AF50" s="95" t="str">
        <f t="shared" si="22"/>
        <v/>
      </c>
      <c r="AG50" s="289">
        <f t="shared" si="37"/>
        <v>0</v>
      </c>
      <c r="AH50" s="84">
        <f t="shared" si="38"/>
        <v>0</v>
      </c>
      <c r="AI50" s="289">
        <f t="shared" si="39"/>
        <v>0</v>
      </c>
      <c r="AJ50" s="84">
        <f t="shared" si="23"/>
        <v>0</v>
      </c>
      <c r="AK50" s="10">
        <v>1760000</v>
      </c>
      <c r="AL50" s="84">
        <f t="shared" si="40"/>
        <v>137046000</v>
      </c>
      <c r="AM50" s="84">
        <f t="shared" si="53"/>
        <v>97620000</v>
      </c>
      <c r="AN50">
        <f t="shared" si="24"/>
        <v>87</v>
      </c>
      <c r="AO50">
        <f t="shared" si="25"/>
        <v>30</v>
      </c>
      <c r="AP50" s="289">
        <f t="shared" si="46"/>
        <v>0</v>
      </c>
      <c r="AQ50" s="289">
        <f t="shared" si="41"/>
        <v>85048305.410844877</v>
      </c>
      <c r="AR50" s="289">
        <f t="shared" si="42"/>
        <v>92938623.050352573</v>
      </c>
      <c r="AS50" s="289">
        <f t="shared" si="47"/>
        <v>-38611694.589155123</v>
      </c>
      <c r="AT50" s="289">
        <f t="shared" si="48"/>
        <v>-30721376.949647427</v>
      </c>
      <c r="AU50" s="289">
        <f t="shared" si="2"/>
        <v>387000</v>
      </c>
      <c r="AV50" s="289">
        <f t="shared" si="28"/>
        <v>4644000</v>
      </c>
      <c r="AW50" s="289">
        <f t="shared" si="43"/>
        <v>123660000</v>
      </c>
      <c r="AX50" s="289">
        <f t="shared" si="29"/>
        <v>66953826.066286325</v>
      </c>
      <c r="AY50" s="289">
        <f t="shared" si="50"/>
        <v>115689633.23497924</v>
      </c>
      <c r="BB50" s="10">
        <f t="shared" si="54"/>
        <v>1760000</v>
      </c>
      <c r="BC50" s="84">
        <v>880000</v>
      </c>
    </row>
    <row r="51" spans="1:55">
      <c r="A51" s="72">
        <f t="shared" si="56"/>
        <v>2066</v>
      </c>
      <c r="B51" s="72">
        <f t="shared" si="56"/>
        <v>88</v>
      </c>
      <c r="C51" s="91">
        <f t="shared" si="31"/>
        <v>0</v>
      </c>
      <c r="D51" s="91">
        <f t="shared" si="32"/>
        <v>0</v>
      </c>
      <c r="E51" s="91">
        <f t="shared" si="4"/>
        <v>0</v>
      </c>
      <c r="F51" s="91">
        <f t="shared" si="5"/>
        <v>0</v>
      </c>
      <c r="G51" s="91">
        <f t="shared" si="6"/>
        <v>0</v>
      </c>
      <c r="H51" s="91">
        <f t="shared" si="7"/>
        <v>0</v>
      </c>
      <c r="I51" s="91">
        <f t="shared" si="8"/>
        <v>0</v>
      </c>
      <c r="J51" s="91">
        <f t="shared" si="9"/>
        <v>0</v>
      </c>
      <c r="K51" s="91">
        <f t="shared" si="10"/>
        <v>0</v>
      </c>
      <c r="L51" s="91">
        <f t="shared" si="33"/>
        <v>0</v>
      </c>
      <c r="M51" s="92">
        <f t="shared" si="11"/>
        <v>0</v>
      </c>
      <c r="N51" s="92">
        <f t="shared" si="34"/>
        <v>0</v>
      </c>
      <c r="O51" s="93" t="str">
        <f t="shared" si="52"/>
        <v/>
      </c>
      <c r="P51" s="84">
        <f t="shared" si="12"/>
        <v>0</v>
      </c>
      <c r="Q51" s="84">
        <f t="shared" si="13"/>
        <v>0</v>
      </c>
      <c r="R51" s="84">
        <f t="shared" si="14"/>
        <v>0</v>
      </c>
      <c r="S51" s="84">
        <f t="shared" si="15"/>
        <v>0</v>
      </c>
      <c r="T51" s="93" t="str">
        <f t="shared" si="16"/>
        <v/>
      </c>
      <c r="V51" s="84">
        <f t="shared" si="17"/>
        <v>0</v>
      </c>
      <c r="W51" s="93" t="str">
        <f t="shared" si="18"/>
        <v/>
      </c>
      <c r="Y51" s="84">
        <f t="shared" si="19"/>
        <v>0</v>
      </c>
      <c r="Z51" s="84">
        <f t="shared" si="44"/>
        <v>0</v>
      </c>
      <c r="AA51" s="84">
        <f t="shared" si="20"/>
        <v>0</v>
      </c>
      <c r="AB51" s="85" t="str">
        <f t="shared" si="35"/>
        <v/>
      </c>
      <c r="AC51" s="84">
        <f t="shared" si="36"/>
        <v>0</v>
      </c>
      <c r="AD51" s="94" t="str">
        <f t="shared" si="45"/>
        <v/>
      </c>
      <c r="AE51" s="94" t="str">
        <f t="shared" si="21"/>
        <v/>
      </c>
      <c r="AF51" s="95" t="str">
        <f t="shared" si="22"/>
        <v/>
      </c>
      <c r="AG51" s="289">
        <f t="shared" si="37"/>
        <v>0</v>
      </c>
      <c r="AH51" s="84">
        <f t="shared" si="38"/>
        <v>0</v>
      </c>
      <c r="AI51" s="289">
        <f t="shared" si="39"/>
        <v>0</v>
      </c>
      <c r="AJ51" s="84">
        <f t="shared" si="23"/>
        <v>0</v>
      </c>
      <c r="AK51" s="10">
        <v>1760000</v>
      </c>
      <c r="AL51" s="84">
        <f t="shared" si="40"/>
        <v>138806000</v>
      </c>
      <c r="AM51" s="84">
        <f t="shared" si="53"/>
        <v>99380000</v>
      </c>
      <c r="AN51">
        <f t="shared" si="24"/>
        <v>88</v>
      </c>
      <c r="AO51">
        <f t="shared" si="25"/>
        <v>31</v>
      </c>
      <c r="AP51" s="289">
        <f t="shared" si="46"/>
        <v>0</v>
      </c>
      <c r="AQ51" s="289">
        <f t="shared" si="41"/>
        <v>85048305.410844877</v>
      </c>
      <c r="AR51" s="289">
        <f t="shared" si="42"/>
        <v>92938623.050352573</v>
      </c>
      <c r="AS51" s="289">
        <f t="shared" si="47"/>
        <v>-43291694.589155123</v>
      </c>
      <c r="AT51" s="289">
        <f t="shared" si="48"/>
        <v>-35401376.949647427</v>
      </c>
      <c r="AU51" s="289">
        <f t="shared" si="2"/>
        <v>390000</v>
      </c>
      <c r="AV51" s="289">
        <f t="shared" si="28"/>
        <v>4680000</v>
      </c>
      <c r="AW51" s="289">
        <f t="shared" si="43"/>
        <v>128340000</v>
      </c>
      <c r="AX51" s="289">
        <f t="shared" si="29"/>
        <v>63909146.066286325</v>
      </c>
      <c r="AY51" s="289">
        <f t="shared" si="50"/>
        <v>112644953.23497924</v>
      </c>
      <c r="BB51" s="10">
        <f t="shared" si="54"/>
        <v>1760000</v>
      </c>
      <c r="BC51" s="84">
        <v>880000</v>
      </c>
    </row>
    <row r="52" spans="1:55">
      <c r="A52" s="72">
        <f t="shared" si="56"/>
        <v>2067</v>
      </c>
      <c r="B52" s="72">
        <f t="shared" si="56"/>
        <v>89</v>
      </c>
      <c r="C52" s="91">
        <f t="shared" si="31"/>
        <v>0</v>
      </c>
      <c r="D52" s="91">
        <f t="shared" si="32"/>
        <v>0</v>
      </c>
      <c r="E52" s="91">
        <f t="shared" si="4"/>
        <v>0</v>
      </c>
      <c r="F52" s="91">
        <f t="shared" si="5"/>
        <v>0</v>
      </c>
      <c r="G52" s="91">
        <f t="shared" si="6"/>
        <v>0</v>
      </c>
      <c r="H52" s="91">
        <f t="shared" si="7"/>
        <v>0</v>
      </c>
      <c r="I52" s="91">
        <f t="shared" si="8"/>
        <v>0</v>
      </c>
      <c r="J52" s="91">
        <f t="shared" si="9"/>
        <v>0</v>
      </c>
      <c r="K52" s="91">
        <f t="shared" si="10"/>
        <v>0</v>
      </c>
      <c r="L52" s="91">
        <f t="shared" si="33"/>
        <v>0</v>
      </c>
      <c r="M52" s="92">
        <f t="shared" si="11"/>
        <v>0</v>
      </c>
      <c r="N52" s="92">
        <f t="shared" si="34"/>
        <v>0</v>
      </c>
      <c r="O52" s="93" t="str">
        <f t="shared" si="52"/>
        <v/>
      </c>
      <c r="P52" s="84">
        <f t="shared" si="12"/>
        <v>0</v>
      </c>
      <c r="Q52" s="84">
        <f t="shared" si="13"/>
        <v>0</v>
      </c>
      <c r="R52" s="84">
        <f t="shared" si="14"/>
        <v>0</v>
      </c>
      <c r="S52" s="84">
        <f t="shared" si="15"/>
        <v>0</v>
      </c>
      <c r="T52" s="93" t="str">
        <f t="shared" si="16"/>
        <v/>
      </c>
      <c r="V52" s="84">
        <f t="shared" si="17"/>
        <v>0</v>
      </c>
      <c r="W52" s="93" t="str">
        <f t="shared" si="18"/>
        <v/>
      </c>
      <c r="Y52" s="84">
        <f t="shared" si="19"/>
        <v>0</v>
      </c>
      <c r="Z52" s="84">
        <f t="shared" si="44"/>
        <v>0</v>
      </c>
      <c r="AA52" s="84">
        <f t="shared" si="20"/>
        <v>0</v>
      </c>
      <c r="AB52" s="85" t="str">
        <f t="shared" si="35"/>
        <v/>
      </c>
      <c r="AC52" s="84">
        <f t="shared" si="36"/>
        <v>0</v>
      </c>
      <c r="AD52" s="94" t="str">
        <f t="shared" si="45"/>
        <v/>
      </c>
      <c r="AE52" s="94" t="str">
        <f t="shared" si="21"/>
        <v/>
      </c>
      <c r="AF52" s="95" t="str">
        <f t="shared" si="22"/>
        <v/>
      </c>
      <c r="AG52" s="289">
        <f t="shared" si="37"/>
        <v>0</v>
      </c>
      <c r="AH52" s="84">
        <f t="shared" si="38"/>
        <v>0</v>
      </c>
      <c r="AI52" s="289">
        <f t="shared" si="39"/>
        <v>0</v>
      </c>
      <c r="AJ52" s="84">
        <f t="shared" si="23"/>
        <v>0</v>
      </c>
      <c r="AK52" s="10">
        <v>1760000</v>
      </c>
      <c r="AL52" s="84">
        <f t="shared" si="40"/>
        <v>140566000</v>
      </c>
      <c r="AM52" s="84">
        <f t="shared" si="53"/>
        <v>101140000</v>
      </c>
      <c r="AN52">
        <f t="shared" si="24"/>
        <v>89</v>
      </c>
      <c r="AO52">
        <f t="shared" si="25"/>
        <v>32</v>
      </c>
      <c r="AP52" s="289">
        <f t="shared" si="46"/>
        <v>0</v>
      </c>
      <c r="AQ52" s="289">
        <f t="shared" si="41"/>
        <v>85048305.410844877</v>
      </c>
      <c r="AR52" s="289">
        <f t="shared" si="42"/>
        <v>92938623.050352573</v>
      </c>
      <c r="AS52" s="289">
        <f t="shared" si="47"/>
        <v>-48007694.589155123</v>
      </c>
      <c r="AT52" s="289">
        <f t="shared" si="48"/>
        <v>-40117376.949647427</v>
      </c>
      <c r="AU52" s="289">
        <f t="shared" si="2"/>
        <v>393000</v>
      </c>
      <c r="AV52" s="289">
        <f t="shared" si="28"/>
        <v>4716000</v>
      </c>
      <c r="AW52" s="289">
        <f t="shared" si="43"/>
        <v>133056000</v>
      </c>
      <c r="AX52" s="289">
        <f t="shared" si="29"/>
        <v>60827386.066286325</v>
      </c>
      <c r="AY52" s="289">
        <f t="shared" si="50"/>
        <v>109563193.23497924</v>
      </c>
      <c r="BB52" s="10">
        <f t="shared" si="54"/>
        <v>1760000</v>
      </c>
      <c r="BC52" s="84">
        <v>880000</v>
      </c>
    </row>
    <row r="53" spans="1:55">
      <c r="A53" s="72">
        <f t="shared" si="56"/>
        <v>2068</v>
      </c>
      <c r="B53" s="72">
        <f t="shared" si="56"/>
        <v>90</v>
      </c>
      <c r="C53" s="91">
        <f t="shared" si="31"/>
        <v>0</v>
      </c>
      <c r="D53" s="91">
        <f t="shared" si="32"/>
        <v>0</v>
      </c>
      <c r="E53" s="91">
        <f t="shared" si="4"/>
        <v>0</v>
      </c>
      <c r="F53" s="91">
        <f t="shared" si="5"/>
        <v>0</v>
      </c>
      <c r="G53" s="91">
        <f t="shared" si="6"/>
        <v>0</v>
      </c>
      <c r="H53" s="91">
        <f t="shared" si="7"/>
        <v>0</v>
      </c>
      <c r="I53" s="91">
        <f t="shared" si="8"/>
        <v>0</v>
      </c>
      <c r="J53" s="91">
        <f t="shared" si="9"/>
        <v>0</v>
      </c>
      <c r="K53" s="91">
        <f t="shared" si="10"/>
        <v>0</v>
      </c>
      <c r="L53" s="91">
        <f t="shared" si="33"/>
        <v>0</v>
      </c>
      <c r="M53" s="92">
        <f t="shared" si="11"/>
        <v>0</v>
      </c>
      <c r="N53" s="92">
        <f t="shared" si="34"/>
        <v>0</v>
      </c>
      <c r="O53" s="93" t="str">
        <f t="shared" si="52"/>
        <v/>
      </c>
      <c r="P53" s="84">
        <f t="shared" si="12"/>
        <v>0</v>
      </c>
      <c r="Q53" s="84">
        <f t="shared" si="13"/>
        <v>0</v>
      </c>
      <c r="R53" s="84">
        <f t="shared" si="14"/>
        <v>0</v>
      </c>
      <c r="S53" s="84">
        <f t="shared" si="15"/>
        <v>0</v>
      </c>
      <c r="T53" s="93" t="str">
        <f t="shared" si="16"/>
        <v/>
      </c>
      <c r="V53" s="84">
        <f t="shared" si="17"/>
        <v>0</v>
      </c>
      <c r="W53" s="93" t="str">
        <f t="shared" si="18"/>
        <v/>
      </c>
      <c r="Y53" s="84">
        <f t="shared" si="19"/>
        <v>0</v>
      </c>
      <c r="Z53" s="84">
        <f t="shared" si="44"/>
        <v>0</v>
      </c>
      <c r="AA53" s="84">
        <f t="shared" si="20"/>
        <v>0</v>
      </c>
      <c r="AB53" s="85" t="str">
        <f t="shared" si="35"/>
        <v/>
      </c>
      <c r="AC53" s="84">
        <f t="shared" si="36"/>
        <v>0</v>
      </c>
      <c r="AD53" s="94" t="str">
        <f t="shared" si="45"/>
        <v/>
      </c>
      <c r="AE53" s="94" t="str">
        <f t="shared" si="21"/>
        <v/>
      </c>
      <c r="AF53" s="95" t="str">
        <f t="shared" si="22"/>
        <v/>
      </c>
      <c r="AG53" s="289">
        <f t="shared" si="37"/>
        <v>0</v>
      </c>
      <c r="AH53" s="84">
        <f t="shared" si="38"/>
        <v>0</v>
      </c>
      <c r="AI53" s="289">
        <f t="shared" si="39"/>
        <v>0</v>
      </c>
      <c r="AJ53" s="84">
        <f t="shared" si="23"/>
        <v>0</v>
      </c>
      <c r="AK53" s="10">
        <v>1760000</v>
      </c>
      <c r="AL53" s="84">
        <f t="shared" si="40"/>
        <v>142326000</v>
      </c>
      <c r="AM53" s="84">
        <f t="shared" si="53"/>
        <v>102900000</v>
      </c>
      <c r="AN53">
        <f t="shared" si="24"/>
        <v>90</v>
      </c>
      <c r="AO53">
        <f t="shared" si="25"/>
        <v>33</v>
      </c>
      <c r="AP53" s="289">
        <f t="shared" si="46"/>
        <v>0</v>
      </c>
      <c r="AQ53" s="289">
        <f t="shared" si="41"/>
        <v>85048305.410844877</v>
      </c>
      <c r="AR53" s="289">
        <f t="shared" si="42"/>
        <v>92938623.050352573</v>
      </c>
      <c r="AS53" s="289">
        <f t="shared" si="47"/>
        <v>-52759694.589155123</v>
      </c>
      <c r="AT53" s="289">
        <f t="shared" si="48"/>
        <v>-44869376.949647427</v>
      </c>
      <c r="AU53" s="289">
        <f t="shared" si="2"/>
        <v>396000</v>
      </c>
      <c r="AV53" s="289">
        <f t="shared" si="28"/>
        <v>4752000</v>
      </c>
      <c r="AW53" s="289">
        <f t="shared" si="43"/>
        <v>137808000</v>
      </c>
      <c r="AX53" s="289">
        <f t="shared" si="29"/>
        <v>57708546.066286325</v>
      </c>
      <c r="AY53" s="289">
        <f t="shared" si="50"/>
        <v>106444353.23497924</v>
      </c>
      <c r="BB53" s="10">
        <f t="shared" si="54"/>
        <v>1760000</v>
      </c>
      <c r="BC53" s="84">
        <v>880000</v>
      </c>
    </row>
    <row r="54" spans="1:55">
      <c r="A54" s="72">
        <f t="shared" si="56"/>
        <v>2069</v>
      </c>
      <c r="B54" s="72">
        <f t="shared" si="56"/>
        <v>91</v>
      </c>
      <c r="C54" s="91">
        <f t="shared" si="31"/>
        <v>0</v>
      </c>
      <c r="D54" s="91">
        <f t="shared" si="32"/>
        <v>0</v>
      </c>
      <c r="E54" s="91">
        <f t="shared" si="4"/>
        <v>0</v>
      </c>
      <c r="F54" s="91">
        <f t="shared" si="5"/>
        <v>0</v>
      </c>
      <c r="G54" s="91">
        <f t="shared" si="6"/>
        <v>0</v>
      </c>
      <c r="H54" s="91">
        <f t="shared" si="7"/>
        <v>0</v>
      </c>
      <c r="I54" s="91">
        <f t="shared" si="8"/>
        <v>0</v>
      </c>
      <c r="J54" s="91">
        <f t="shared" si="9"/>
        <v>0</v>
      </c>
      <c r="K54" s="91">
        <f t="shared" si="10"/>
        <v>0</v>
      </c>
      <c r="L54" s="91">
        <f t="shared" si="33"/>
        <v>0</v>
      </c>
      <c r="M54" s="92">
        <f t="shared" si="11"/>
        <v>0</v>
      </c>
      <c r="N54" s="92">
        <f t="shared" si="34"/>
        <v>0</v>
      </c>
      <c r="O54" s="93" t="str">
        <f t="shared" si="52"/>
        <v/>
      </c>
      <c r="P54" s="84">
        <f t="shared" si="12"/>
        <v>0</v>
      </c>
      <c r="Q54" s="84">
        <f t="shared" si="13"/>
        <v>0</v>
      </c>
      <c r="R54" s="84">
        <f t="shared" si="14"/>
        <v>0</v>
      </c>
      <c r="S54" s="84">
        <f t="shared" si="15"/>
        <v>0</v>
      </c>
      <c r="T54" s="93" t="str">
        <f t="shared" si="16"/>
        <v/>
      </c>
      <c r="V54" s="84">
        <f t="shared" si="17"/>
        <v>0</v>
      </c>
      <c r="W54" s="93" t="str">
        <f t="shared" si="18"/>
        <v/>
      </c>
      <c r="Y54" s="84">
        <f t="shared" si="19"/>
        <v>0</v>
      </c>
      <c r="Z54" s="84">
        <f t="shared" si="44"/>
        <v>0</v>
      </c>
      <c r="AA54" s="84">
        <f t="shared" si="20"/>
        <v>0</v>
      </c>
      <c r="AB54" s="85" t="str">
        <f t="shared" si="35"/>
        <v/>
      </c>
      <c r="AC54" s="84">
        <f t="shared" si="36"/>
        <v>0</v>
      </c>
      <c r="AD54" s="94" t="str">
        <f t="shared" si="45"/>
        <v/>
      </c>
      <c r="AE54" s="94" t="str">
        <f t="shared" si="21"/>
        <v/>
      </c>
      <c r="AF54" s="95" t="str">
        <f t="shared" si="22"/>
        <v/>
      </c>
      <c r="AG54" s="289">
        <f t="shared" si="37"/>
        <v>0</v>
      </c>
      <c r="AH54" s="84">
        <f t="shared" si="38"/>
        <v>0</v>
      </c>
      <c r="AI54" s="289">
        <f t="shared" si="39"/>
        <v>0</v>
      </c>
      <c r="AJ54" s="84">
        <f t="shared" si="23"/>
        <v>0</v>
      </c>
      <c r="AK54" s="10">
        <v>1760000</v>
      </c>
      <c r="AL54" s="84">
        <f t="shared" si="40"/>
        <v>144086000</v>
      </c>
      <c r="AM54" s="84">
        <f t="shared" si="53"/>
        <v>104660000</v>
      </c>
      <c r="AN54">
        <f t="shared" si="24"/>
        <v>91</v>
      </c>
      <c r="AO54">
        <f t="shared" si="25"/>
        <v>34</v>
      </c>
      <c r="AP54" s="289">
        <f t="shared" si="46"/>
        <v>0</v>
      </c>
      <c r="AQ54" s="289">
        <f t="shared" si="41"/>
        <v>85048305.410844877</v>
      </c>
      <c r="AR54" s="289">
        <f t="shared" si="42"/>
        <v>92938623.050352573</v>
      </c>
      <c r="AS54" s="289">
        <f t="shared" si="47"/>
        <v>-57547694.589155123</v>
      </c>
      <c r="AT54" s="289">
        <f t="shared" si="48"/>
        <v>-49657376.949647427</v>
      </c>
      <c r="AU54" s="289">
        <f t="shared" si="2"/>
        <v>399000</v>
      </c>
      <c r="AV54" s="289">
        <f t="shared" si="28"/>
        <v>4788000</v>
      </c>
      <c r="AW54" s="289">
        <f t="shared" si="43"/>
        <v>142596000</v>
      </c>
      <c r="AX54" s="289">
        <f t="shared" si="29"/>
        <v>54552626.066286325</v>
      </c>
      <c r="AY54" s="289">
        <f t="shared" si="50"/>
        <v>103288433.23497924</v>
      </c>
      <c r="BB54" s="10">
        <f t="shared" si="54"/>
        <v>1760000</v>
      </c>
      <c r="BC54" s="84">
        <v>880000</v>
      </c>
    </row>
    <row r="55" spans="1:55">
      <c r="A55" s="72">
        <f t="shared" ref="A55:B63" si="57">A54+1</f>
        <v>2070</v>
      </c>
      <c r="B55" s="72">
        <f t="shared" si="57"/>
        <v>92</v>
      </c>
      <c r="C55" s="91">
        <f t="shared" si="31"/>
        <v>0</v>
      </c>
      <c r="D55" s="91">
        <f t="shared" si="32"/>
        <v>0</v>
      </c>
      <c r="E55" s="91">
        <f t="shared" si="4"/>
        <v>0</v>
      </c>
      <c r="F55" s="91">
        <f t="shared" si="5"/>
        <v>0</v>
      </c>
      <c r="G55" s="91">
        <f t="shared" si="6"/>
        <v>0</v>
      </c>
      <c r="H55" s="91">
        <f t="shared" si="7"/>
        <v>0</v>
      </c>
      <c r="I55" s="91">
        <f t="shared" si="8"/>
        <v>0</v>
      </c>
      <c r="J55" s="91">
        <f t="shared" si="9"/>
        <v>0</v>
      </c>
      <c r="K55" s="91">
        <f t="shared" si="10"/>
        <v>0</v>
      </c>
      <c r="L55" s="91">
        <f t="shared" si="33"/>
        <v>0</v>
      </c>
      <c r="M55" s="92">
        <f t="shared" si="11"/>
        <v>0</v>
      </c>
      <c r="N55" s="92">
        <f t="shared" si="34"/>
        <v>0</v>
      </c>
      <c r="O55" s="93" t="str">
        <f t="shared" si="52"/>
        <v/>
      </c>
      <c r="P55" s="84">
        <f t="shared" si="12"/>
        <v>0</v>
      </c>
      <c r="Q55" s="84">
        <f t="shared" si="13"/>
        <v>0</v>
      </c>
      <c r="R55" s="84">
        <f t="shared" si="14"/>
        <v>0</v>
      </c>
      <c r="S55" s="84">
        <f t="shared" si="15"/>
        <v>0</v>
      </c>
      <c r="T55" s="93" t="str">
        <f t="shared" si="16"/>
        <v/>
      </c>
      <c r="V55" s="84">
        <f t="shared" si="17"/>
        <v>0</v>
      </c>
      <c r="W55" s="93" t="str">
        <f t="shared" si="18"/>
        <v/>
      </c>
      <c r="Y55" s="84">
        <f t="shared" si="19"/>
        <v>0</v>
      </c>
      <c r="Z55" s="84">
        <f t="shared" si="44"/>
        <v>0</v>
      </c>
      <c r="AA55" s="84">
        <f t="shared" si="20"/>
        <v>0</v>
      </c>
      <c r="AB55" s="85" t="str">
        <f t="shared" si="35"/>
        <v/>
      </c>
      <c r="AC55" s="84">
        <f t="shared" si="36"/>
        <v>0</v>
      </c>
      <c r="AD55" s="94" t="str">
        <f t="shared" si="45"/>
        <v/>
      </c>
      <c r="AE55" s="94" t="str">
        <f t="shared" si="21"/>
        <v/>
      </c>
      <c r="AF55" s="95" t="str">
        <f t="shared" si="22"/>
        <v/>
      </c>
      <c r="AG55" s="289">
        <f t="shared" si="37"/>
        <v>0</v>
      </c>
      <c r="AH55" s="84">
        <f t="shared" si="38"/>
        <v>0</v>
      </c>
      <c r="AI55" s="289">
        <f t="shared" si="39"/>
        <v>0</v>
      </c>
      <c r="AJ55" s="84">
        <f t="shared" si="23"/>
        <v>0</v>
      </c>
      <c r="AK55" s="10">
        <v>1760000</v>
      </c>
      <c r="AL55" s="84">
        <f t="shared" si="40"/>
        <v>145846000</v>
      </c>
      <c r="AM55" s="84">
        <f t="shared" si="53"/>
        <v>106420000</v>
      </c>
      <c r="AN55">
        <f t="shared" si="24"/>
        <v>92</v>
      </c>
      <c r="AO55">
        <f t="shared" si="25"/>
        <v>35</v>
      </c>
      <c r="AP55" s="289">
        <f t="shared" si="46"/>
        <v>0</v>
      </c>
      <c r="AQ55" s="289">
        <f t="shared" si="41"/>
        <v>85048305.410844877</v>
      </c>
      <c r="AR55" s="289">
        <f t="shared" si="42"/>
        <v>92938623.050352573</v>
      </c>
      <c r="AS55" s="289">
        <f t="shared" si="47"/>
        <v>-62371694.589155123</v>
      </c>
      <c r="AT55" s="289">
        <f t="shared" si="48"/>
        <v>-54481376.949647427</v>
      </c>
      <c r="AU55" s="289">
        <f t="shared" si="2"/>
        <v>402000</v>
      </c>
      <c r="AV55" s="289">
        <f t="shared" si="28"/>
        <v>4824000</v>
      </c>
      <c r="AW55" s="289">
        <f t="shared" si="43"/>
        <v>147420000</v>
      </c>
      <c r="AX55" s="289">
        <f t="shared" si="29"/>
        <v>51359626.066286325</v>
      </c>
      <c r="AY55" s="289">
        <f t="shared" si="50"/>
        <v>100095433.23497924</v>
      </c>
      <c r="BB55" s="10">
        <f t="shared" si="54"/>
        <v>1760000</v>
      </c>
      <c r="BC55" s="84">
        <v>880000</v>
      </c>
    </row>
    <row r="56" spans="1:55">
      <c r="A56" s="72">
        <f t="shared" si="57"/>
        <v>2071</v>
      </c>
      <c r="B56" s="72">
        <f t="shared" si="57"/>
        <v>93</v>
      </c>
      <c r="C56" s="91">
        <f t="shared" si="31"/>
        <v>0</v>
      </c>
      <c r="D56" s="91">
        <f t="shared" si="32"/>
        <v>0</v>
      </c>
      <c r="E56" s="91">
        <f t="shared" si="4"/>
        <v>0</v>
      </c>
      <c r="F56" s="91">
        <f t="shared" si="5"/>
        <v>0</v>
      </c>
      <c r="G56" s="91">
        <f t="shared" si="6"/>
        <v>0</v>
      </c>
      <c r="H56" s="91">
        <f t="shared" si="7"/>
        <v>0</v>
      </c>
      <c r="I56" s="91">
        <f t="shared" si="8"/>
        <v>0</v>
      </c>
      <c r="J56" s="91">
        <f t="shared" si="9"/>
        <v>0</v>
      </c>
      <c r="K56" s="91">
        <f t="shared" si="10"/>
        <v>0</v>
      </c>
      <c r="L56" s="91">
        <f t="shared" si="33"/>
        <v>0</v>
      </c>
      <c r="M56" s="92">
        <f t="shared" si="11"/>
        <v>0</v>
      </c>
      <c r="N56" s="92">
        <f t="shared" si="34"/>
        <v>0</v>
      </c>
      <c r="O56" s="93" t="str">
        <f t="shared" si="52"/>
        <v/>
      </c>
      <c r="P56" s="84">
        <f t="shared" si="12"/>
        <v>0</v>
      </c>
      <c r="Q56" s="84">
        <f t="shared" si="13"/>
        <v>0</v>
      </c>
      <c r="R56" s="84">
        <f t="shared" si="14"/>
        <v>0</v>
      </c>
      <c r="S56" s="84">
        <f t="shared" si="15"/>
        <v>0</v>
      </c>
      <c r="T56" s="93" t="str">
        <f t="shared" si="16"/>
        <v/>
      </c>
      <c r="V56" s="84">
        <f t="shared" si="17"/>
        <v>0</v>
      </c>
      <c r="W56" s="93" t="str">
        <f t="shared" si="18"/>
        <v/>
      </c>
      <c r="Y56" s="84">
        <f t="shared" si="19"/>
        <v>0</v>
      </c>
      <c r="Z56" s="84">
        <f t="shared" si="44"/>
        <v>0</v>
      </c>
      <c r="AA56" s="84">
        <f t="shared" si="20"/>
        <v>0</v>
      </c>
      <c r="AB56" s="85" t="str">
        <f t="shared" si="35"/>
        <v/>
      </c>
      <c r="AC56" s="84">
        <f t="shared" si="36"/>
        <v>0</v>
      </c>
      <c r="AD56" s="94" t="str">
        <f t="shared" si="45"/>
        <v/>
      </c>
      <c r="AE56" s="94" t="str">
        <f t="shared" si="21"/>
        <v/>
      </c>
      <c r="AF56" s="95" t="str">
        <f t="shared" si="22"/>
        <v/>
      </c>
      <c r="AG56" s="289">
        <f t="shared" si="37"/>
        <v>0</v>
      </c>
      <c r="AH56" s="84">
        <f t="shared" si="38"/>
        <v>0</v>
      </c>
      <c r="AI56" s="289">
        <f t="shared" si="39"/>
        <v>0</v>
      </c>
      <c r="AJ56" s="84">
        <f t="shared" si="23"/>
        <v>0</v>
      </c>
      <c r="AK56" s="10">
        <v>1760000</v>
      </c>
      <c r="AL56" s="84">
        <f t="shared" si="40"/>
        <v>147606000</v>
      </c>
      <c r="AM56" s="84">
        <f t="shared" si="53"/>
        <v>108180000</v>
      </c>
      <c r="AN56">
        <f t="shared" si="24"/>
        <v>93</v>
      </c>
      <c r="AO56">
        <f t="shared" si="25"/>
        <v>36</v>
      </c>
      <c r="AP56" s="289">
        <f t="shared" si="46"/>
        <v>0</v>
      </c>
      <c r="AQ56" s="289">
        <f t="shared" si="41"/>
        <v>85048305.410844877</v>
      </c>
      <c r="AR56" s="289">
        <f t="shared" si="42"/>
        <v>92938623.050352573</v>
      </c>
      <c r="AS56" s="289">
        <f t="shared" si="47"/>
        <v>-67231694.589155123</v>
      </c>
      <c r="AT56" s="289">
        <f t="shared" si="48"/>
        <v>-59341376.949647427</v>
      </c>
      <c r="AU56" s="289">
        <f t="shared" si="2"/>
        <v>405000</v>
      </c>
      <c r="AV56" s="289">
        <f t="shared" si="28"/>
        <v>4860000</v>
      </c>
      <c r="AW56" s="289">
        <f t="shared" si="43"/>
        <v>152280000</v>
      </c>
      <c r="AX56" s="289">
        <f t="shared" si="29"/>
        <v>48129546.066286325</v>
      </c>
      <c r="AY56" s="289">
        <f t="shared" si="50"/>
        <v>96865353.234979242</v>
      </c>
      <c r="BB56" s="10">
        <f t="shared" si="54"/>
        <v>1760000</v>
      </c>
      <c r="BC56" s="84">
        <v>880000</v>
      </c>
    </row>
    <row r="57" spans="1:55">
      <c r="A57" s="72">
        <f t="shared" si="57"/>
        <v>2072</v>
      </c>
      <c r="B57" s="72">
        <f t="shared" si="57"/>
        <v>94</v>
      </c>
      <c r="C57" s="91">
        <f t="shared" si="31"/>
        <v>0</v>
      </c>
      <c r="D57" s="91">
        <f t="shared" si="32"/>
        <v>0</v>
      </c>
      <c r="E57" s="91">
        <f t="shared" si="4"/>
        <v>0</v>
      </c>
      <c r="F57" s="91">
        <f t="shared" si="5"/>
        <v>0</v>
      </c>
      <c r="G57" s="91">
        <f t="shared" si="6"/>
        <v>0</v>
      </c>
      <c r="H57" s="91">
        <f t="shared" si="7"/>
        <v>0</v>
      </c>
      <c r="I57" s="91">
        <f t="shared" si="8"/>
        <v>0</v>
      </c>
      <c r="J57" s="91">
        <f t="shared" si="9"/>
        <v>0</v>
      </c>
      <c r="K57" s="91">
        <f t="shared" si="10"/>
        <v>0</v>
      </c>
      <c r="L57" s="91">
        <f t="shared" si="33"/>
        <v>0</v>
      </c>
      <c r="M57" s="92">
        <f t="shared" si="11"/>
        <v>0</v>
      </c>
      <c r="N57" s="92">
        <f t="shared" si="34"/>
        <v>0</v>
      </c>
      <c r="O57" s="93" t="str">
        <f t="shared" si="52"/>
        <v/>
      </c>
      <c r="P57" s="84">
        <f t="shared" si="12"/>
        <v>0</v>
      </c>
      <c r="Q57" s="84">
        <f t="shared" si="13"/>
        <v>0</v>
      </c>
      <c r="R57" s="84">
        <f t="shared" si="14"/>
        <v>0</v>
      </c>
      <c r="S57" s="84">
        <f t="shared" si="15"/>
        <v>0</v>
      </c>
      <c r="T57" s="93" t="str">
        <f t="shared" si="16"/>
        <v/>
      </c>
      <c r="V57" s="84">
        <f t="shared" si="17"/>
        <v>0</v>
      </c>
      <c r="W57" s="93" t="str">
        <f t="shared" si="18"/>
        <v/>
      </c>
      <c r="Y57" s="84">
        <f t="shared" si="19"/>
        <v>0</v>
      </c>
      <c r="Z57" s="84">
        <f t="shared" si="44"/>
        <v>0</v>
      </c>
      <c r="AA57" s="84">
        <f t="shared" si="20"/>
        <v>0</v>
      </c>
      <c r="AB57" s="85" t="str">
        <f t="shared" si="35"/>
        <v/>
      </c>
      <c r="AC57" s="84">
        <f t="shared" si="36"/>
        <v>0</v>
      </c>
      <c r="AD57" s="94" t="str">
        <f t="shared" si="45"/>
        <v/>
      </c>
      <c r="AE57" s="94" t="str">
        <f t="shared" si="21"/>
        <v/>
      </c>
      <c r="AF57" s="95" t="str">
        <f t="shared" si="22"/>
        <v/>
      </c>
      <c r="AG57" s="289">
        <f t="shared" si="37"/>
        <v>0</v>
      </c>
      <c r="AH57" s="84">
        <f t="shared" si="38"/>
        <v>0</v>
      </c>
      <c r="AI57" s="289">
        <f t="shared" si="39"/>
        <v>0</v>
      </c>
      <c r="AJ57" s="84">
        <f t="shared" si="23"/>
        <v>0</v>
      </c>
      <c r="AK57" s="10">
        <v>1760000</v>
      </c>
      <c r="AL57" s="84">
        <f t="shared" si="40"/>
        <v>149366000</v>
      </c>
      <c r="AM57" s="84">
        <f t="shared" si="53"/>
        <v>109940000</v>
      </c>
      <c r="AN57">
        <f t="shared" si="24"/>
        <v>94</v>
      </c>
      <c r="AO57">
        <f t="shared" si="25"/>
        <v>37</v>
      </c>
      <c r="AP57" s="289">
        <f t="shared" si="46"/>
        <v>0</v>
      </c>
      <c r="AQ57" s="289">
        <f t="shared" si="41"/>
        <v>85048305.410844877</v>
      </c>
      <c r="AR57" s="289">
        <f t="shared" si="42"/>
        <v>92938623.050352573</v>
      </c>
      <c r="AS57" s="289">
        <f t="shared" si="47"/>
        <v>-72127694.589155123</v>
      </c>
      <c r="AT57" s="289">
        <f t="shared" si="48"/>
        <v>-64237376.949647427</v>
      </c>
      <c r="AU57" s="289">
        <f t="shared" si="2"/>
        <v>408000</v>
      </c>
      <c r="AV57" s="289">
        <f t="shared" si="28"/>
        <v>4896000</v>
      </c>
      <c r="AW57" s="289">
        <f t="shared" si="43"/>
        <v>157176000</v>
      </c>
      <c r="AX57" s="289">
        <f t="shared" si="29"/>
        <v>44862386.066286325</v>
      </c>
      <c r="AY57" s="289">
        <f t="shared" si="50"/>
        <v>93598193.234979242</v>
      </c>
      <c r="BB57" s="10">
        <f t="shared" si="54"/>
        <v>1760000</v>
      </c>
      <c r="BC57" s="84">
        <v>880000</v>
      </c>
    </row>
    <row r="58" spans="1:55">
      <c r="A58" s="72">
        <f t="shared" si="57"/>
        <v>2073</v>
      </c>
      <c r="B58" s="72">
        <f t="shared" si="57"/>
        <v>95</v>
      </c>
      <c r="C58" s="91">
        <f t="shared" si="31"/>
        <v>0</v>
      </c>
      <c r="D58" s="91">
        <f t="shared" si="32"/>
        <v>0</v>
      </c>
      <c r="E58" s="91">
        <f t="shared" si="4"/>
        <v>0</v>
      </c>
      <c r="F58" s="91">
        <f t="shared" si="5"/>
        <v>0</v>
      </c>
      <c r="G58" s="91">
        <f t="shared" si="6"/>
        <v>0</v>
      </c>
      <c r="H58" s="91">
        <f t="shared" si="7"/>
        <v>0</v>
      </c>
      <c r="I58" s="91">
        <f t="shared" si="8"/>
        <v>0</v>
      </c>
      <c r="J58" s="91">
        <f t="shared" si="9"/>
        <v>0</v>
      </c>
      <c r="K58" s="91">
        <f t="shared" si="10"/>
        <v>0</v>
      </c>
      <c r="L58" s="91">
        <f t="shared" si="33"/>
        <v>0</v>
      </c>
      <c r="M58" s="92">
        <f t="shared" si="11"/>
        <v>0</v>
      </c>
      <c r="N58" s="92">
        <f t="shared" si="34"/>
        <v>0</v>
      </c>
      <c r="O58" s="93" t="str">
        <f t="shared" si="52"/>
        <v/>
      </c>
      <c r="P58" s="84">
        <f t="shared" si="12"/>
        <v>0</v>
      </c>
      <c r="Q58" s="84">
        <f t="shared" si="13"/>
        <v>0</v>
      </c>
      <c r="R58" s="84">
        <f t="shared" si="14"/>
        <v>0</v>
      </c>
      <c r="S58" s="84">
        <f t="shared" si="15"/>
        <v>0</v>
      </c>
      <c r="T58" s="93" t="str">
        <f t="shared" si="16"/>
        <v/>
      </c>
      <c r="V58" s="84">
        <f t="shared" si="17"/>
        <v>0</v>
      </c>
      <c r="W58" s="93" t="str">
        <f t="shared" si="18"/>
        <v/>
      </c>
      <c r="Y58" s="84">
        <f t="shared" si="19"/>
        <v>0</v>
      </c>
      <c r="Z58" s="84">
        <f t="shared" si="44"/>
        <v>0</v>
      </c>
      <c r="AA58" s="84">
        <f t="shared" si="20"/>
        <v>0</v>
      </c>
      <c r="AB58" s="85" t="str">
        <f t="shared" si="35"/>
        <v/>
      </c>
      <c r="AC58" s="84">
        <f t="shared" si="36"/>
        <v>0</v>
      </c>
      <c r="AD58" s="94" t="str">
        <f t="shared" si="45"/>
        <v/>
      </c>
      <c r="AE58" s="94" t="str">
        <f t="shared" si="21"/>
        <v/>
      </c>
      <c r="AF58" s="95" t="str">
        <f t="shared" si="22"/>
        <v/>
      </c>
      <c r="AG58" s="289">
        <f t="shared" si="37"/>
        <v>0</v>
      </c>
      <c r="AH58" s="84">
        <f t="shared" si="38"/>
        <v>0</v>
      </c>
      <c r="AI58" s="289">
        <f t="shared" si="39"/>
        <v>0</v>
      </c>
      <c r="AJ58" s="84">
        <f t="shared" si="23"/>
        <v>0</v>
      </c>
      <c r="AK58" s="10">
        <v>1760000</v>
      </c>
      <c r="AL58" s="84">
        <f t="shared" si="40"/>
        <v>151126000</v>
      </c>
      <c r="AM58" s="84">
        <f t="shared" si="53"/>
        <v>111700000</v>
      </c>
      <c r="AN58">
        <f t="shared" si="24"/>
        <v>95</v>
      </c>
      <c r="AO58">
        <f t="shared" si="25"/>
        <v>38</v>
      </c>
      <c r="AP58" s="289">
        <f t="shared" si="46"/>
        <v>0</v>
      </c>
      <c r="AQ58" s="289">
        <f t="shared" si="41"/>
        <v>85048305.410844877</v>
      </c>
      <c r="AR58" s="289">
        <f t="shared" si="42"/>
        <v>92938623.050352573</v>
      </c>
      <c r="AS58" s="289">
        <f t="shared" si="47"/>
        <v>-77059694.589155123</v>
      </c>
      <c r="AT58" s="289">
        <f t="shared" si="48"/>
        <v>-69169376.949647427</v>
      </c>
      <c r="AU58" s="289">
        <f t="shared" si="2"/>
        <v>411000</v>
      </c>
      <c r="AV58" s="289">
        <f t="shared" si="28"/>
        <v>4932000</v>
      </c>
      <c r="AW58" s="289">
        <f t="shared" si="43"/>
        <v>162108000</v>
      </c>
      <c r="AX58" s="289">
        <f t="shared" si="29"/>
        <v>41558146.066286325</v>
      </c>
      <c r="AY58" s="289">
        <f t="shared" si="50"/>
        <v>90293953.234979242</v>
      </c>
      <c r="BB58" s="10">
        <f t="shared" si="54"/>
        <v>1760000</v>
      </c>
      <c r="BC58" s="84">
        <v>880000</v>
      </c>
    </row>
    <row r="59" spans="1:55">
      <c r="A59" s="72">
        <f t="shared" si="57"/>
        <v>2074</v>
      </c>
      <c r="B59" s="72">
        <f t="shared" si="57"/>
        <v>96</v>
      </c>
      <c r="C59" s="91">
        <f t="shared" si="31"/>
        <v>0</v>
      </c>
      <c r="D59" s="91">
        <f t="shared" si="32"/>
        <v>0</v>
      </c>
      <c r="E59" s="91">
        <f t="shared" si="4"/>
        <v>0</v>
      </c>
      <c r="F59" s="91">
        <f t="shared" si="5"/>
        <v>0</v>
      </c>
      <c r="G59" s="91">
        <f t="shared" si="6"/>
        <v>0</v>
      </c>
      <c r="H59" s="91">
        <f t="shared" si="7"/>
        <v>0</v>
      </c>
      <c r="I59" s="91">
        <f t="shared" si="8"/>
        <v>0</v>
      </c>
      <c r="J59" s="91">
        <f t="shared" si="9"/>
        <v>0</v>
      </c>
      <c r="K59" s="91">
        <f t="shared" si="10"/>
        <v>0</v>
      </c>
      <c r="L59" s="91">
        <f t="shared" si="33"/>
        <v>0</v>
      </c>
      <c r="M59" s="92">
        <f t="shared" si="11"/>
        <v>0</v>
      </c>
      <c r="N59" s="92">
        <f t="shared" si="34"/>
        <v>0</v>
      </c>
      <c r="O59" s="93" t="str">
        <f t="shared" si="52"/>
        <v/>
      </c>
      <c r="P59" s="84">
        <f t="shared" si="12"/>
        <v>0</v>
      </c>
      <c r="Q59" s="84">
        <f t="shared" si="13"/>
        <v>0</v>
      </c>
      <c r="R59" s="84">
        <f t="shared" si="14"/>
        <v>0</v>
      </c>
      <c r="S59" s="84">
        <f t="shared" si="15"/>
        <v>0</v>
      </c>
      <c r="T59" s="93" t="str">
        <f t="shared" si="16"/>
        <v/>
      </c>
      <c r="V59" s="84">
        <f t="shared" si="17"/>
        <v>0</v>
      </c>
      <c r="W59" s="93" t="str">
        <f t="shared" si="18"/>
        <v/>
      </c>
      <c r="Y59" s="84">
        <f t="shared" si="19"/>
        <v>0</v>
      </c>
      <c r="Z59" s="84">
        <f t="shared" si="44"/>
        <v>0</v>
      </c>
      <c r="AA59" s="84">
        <f t="shared" si="20"/>
        <v>0</v>
      </c>
      <c r="AB59" s="85" t="str">
        <f t="shared" si="35"/>
        <v/>
      </c>
      <c r="AC59" s="84">
        <f t="shared" si="36"/>
        <v>0</v>
      </c>
      <c r="AD59" s="94" t="str">
        <f t="shared" si="45"/>
        <v/>
      </c>
      <c r="AE59" s="94" t="str">
        <f t="shared" si="21"/>
        <v/>
      </c>
      <c r="AF59" s="95" t="str">
        <f t="shared" si="22"/>
        <v/>
      </c>
      <c r="AG59" s="289">
        <f t="shared" si="37"/>
        <v>0</v>
      </c>
      <c r="AH59" s="84">
        <f t="shared" si="38"/>
        <v>0</v>
      </c>
      <c r="AI59" s="289">
        <f t="shared" si="39"/>
        <v>0</v>
      </c>
      <c r="AJ59" s="84">
        <f t="shared" si="23"/>
        <v>0</v>
      </c>
      <c r="AK59" s="10">
        <v>1760000</v>
      </c>
      <c r="AL59" s="84">
        <f t="shared" si="40"/>
        <v>152886000</v>
      </c>
      <c r="AM59" s="84">
        <f t="shared" si="53"/>
        <v>113460000</v>
      </c>
      <c r="AN59">
        <f t="shared" si="24"/>
        <v>96</v>
      </c>
      <c r="AO59">
        <f t="shared" si="25"/>
        <v>39</v>
      </c>
      <c r="AP59" s="289">
        <f t="shared" si="46"/>
        <v>0</v>
      </c>
      <c r="AQ59" s="289">
        <f t="shared" si="41"/>
        <v>85048305.410844877</v>
      </c>
      <c r="AR59" s="289">
        <f t="shared" si="42"/>
        <v>92938623.050352573</v>
      </c>
      <c r="AS59" s="289">
        <f t="shared" si="47"/>
        <v>-82027694.589155123</v>
      </c>
      <c r="AT59" s="289">
        <f t="shared" si="48"/>
        <v>-74137376.949647427</v>
      </c>
      <c r="AU59" s="289">
        <f t="shared" si="2"/>
        <v>414000</v>
      </c>
      <c r="AV59" s="289">
        <f t="shared" si="28"/>
        <v>4968000</v>
      </c>
      <c r="AW59" s="289">
        <f t="shared" si="43"/>
        <v>167076000</v>
      </c>
      <c r="AX59" s="289">
        <f t="shared" si="29"/>
        <v>38216826.066286325</v>
      </c>
      <c r="AY59" s="289">
        <f t="shared" si="50"/>
        <v>86952633.234979242</v>
      </c>
      <c r="BB59" s="10">
        <f t="shared" si="54"/>
        <v>1760000</v>
      </c>
      <c r="BC59" s="84">
        <v>880000</v>
      </c>
    </row>
    <row r="60" spans="1:55">
      <c r="A60" s="72">
        <f t="shared" si="57"/>
        <v>2075</v>
      </c>
      <c r="B60" s="72">
        <f t="shared" si="57"/>
        <v>97</v>
      </c>
      <c r="C60" s="91">
        <f t="shared" si="31"/>
        <v>0</v>
      </c>
      <c r="D60" s="91">
        <f t="shared" si="32"/>
        <v>0</v>
      </c>
      <c r="E60" s="91">
        <f t="shared" si="4"/>
        <v>0</v>
      </c>
      <c r="F60" s="91">
        <f t="shared" si="5"/>
        <v>0</v>
      </c>
      <c r="G60" s="91">
        <f t="shared" si="6"/>
        <v>0</v>
      </c>
      <c r="H60" s="91">
        <f t="shared" si="7"/>
        <v>0</v>
      </c>
      <c r="I60" s="91">
        <f t="shared" si="8"/>
        <v>0</v>
      </c>
      <c r="J60" s="91">
        <f t="shared" si="9"/>
        <v>0</v>
      </c>
      <c r="K60" s="91">
        <f t="shared" si="10"/>
        <v>0</v>
      </c>
      <c r="L60" s="91">
        <f t="shared" si="33"/>
        <v>0</v>
      </c>
      <c r="M60" s="92">
        <f t="shared" si="11"/>
        <v>0</v>
      </c>
      <c r="N60" s="92">
        <f t="shared" si="34"/>
        <v>0</v>
      </c>
      <c r="O60" s="93" t="str">
        <f t="shared" si="52"/>
        <v/>
      </c>
      <c r="P60" s="84">
        <f t="shared" si="12"/>
        <v>0</v>
      </c>
      <c r="Q60" s="84">
        <f t="shared" si="13"/>
        <v>0</v>
      </c>
      <c r="R60" s="84">
        <f t="shared" si="14"/>
        <v>0</v>
      </c>
      <c r="S60" s="84">
        <f t="shared" si="15"/>
        <v>0</v>
      </c>
      <c r="T60" s="93" t="str">
        <f t="shared" si="16"/>
        <v/>
      </c>
      <c r="V60" s="84">
        <f t="shared" si="17"/>
        <v>0</v>
      </c>
      <c r="W60" s="93" t="str">
        <f t="shared" si="18"/>
        <v/>
      </c>
      <c r="Y60" s="84">
        <f t="shared" si="19"/>
        <v>0</v>
      </c>
      <c r="Z60" s="84">
        <f t="shared" si="44"/>
        <v>0</v>
      </c>
      <c r="AA60" s="84">
        <f t="shared" si="20"/>
        <v>0</v>
      </c>
      <c r="AB60" s="85" t="str">
        <f t="shared" si="35"/>
        <v/>
      </c>
      <c r="AC60" s="84">
        <f t="shared" si="36"/>
        <v>0</v>
      </c>
      <c r="AD60" s="94" t="str">
        <f t="shared" si="45"/>
        <v/>
      </c>
      <c r="AE60" s="94" t="str">
        <f t="shared" si="21"/>
        <v/>
      </c>
      <c r="AF60" s="95" t="str">
        <f t="shared" si="22"/>
        <v/>
      </c>
      <c r="AG60" s="289">
        <f t="shared" si="37"/>
        <v>0</v>
      </c>
      <c r="AH60" s="84">
        <f t="shared" si="38"/>
        <v>0</v>
      </c>
      <c r="AI60" s="289">
        <f t="shared" si="39"/>
        <v>0</v>
      </c>
      <c r="AJ60" s="84">
        <f t="shared" si="23"/>
        <v>0</v>
      </c>
      <c r="AK60" s="10">
        <v>1760000</v>
      </c>
      <c r="AL60" s="84">
        <f t="shared" si="40"/>
        <v>154646000</v>
      </c>
      <c r="AM60" s="84">
        <f t="shared" si="53"/>
        <v>115220000</v>
      </c>
      <c r="AN60">
        <f t="shared" si="24"/>
        <v>97</v>
      </c>
      <c r="AO60">
        <f t="shared" si="25"/>
        <v>40</v>
      </c>
      <c r="AP60" s="289">
        <f t="shared" si="46"/>
        <v>0</v>
      </c>
      <c r="AQ60" s="289">
        <f t="shared" si="41"/>
        <v>85048305.410844877</v>
      </c>
      <c r="AR60" s="289">
        <f t="shared" si="42"/>
        <v>92938623.050352573</v>
      </c>
      <c r="AS60" s="289">
        <f t="shared" si="47"/>
        <v>-87031694.589155123</v>
      </c>
      <c r="AT60" s="289">
        <f t="shared" si="48"/>
        <v>-79141376.949647427</v>
      </c>
      <c r="AU60" s="289">
        <f t="shared" si="2"/>
        <v>417000</v>
      </c>
      <c r="AV60" s="289">
        <f t="shared" si="28"/>
        <v>5004000</v>
      </c>
      <c r="AW60" s="289">
        <f t="shared" si="43"/>
        <v>172080000</v>
      </c>
      <c r="AX60" s="289">
        <f t="shared" si="29"/>
        <v>34838426.066286325</v>
      </c>
      <c r="AY60" s="289">
        <f t="shared" si="50"/>
        <v>83574233.234979242</v>
      </c>
      <c r="BB60" s="10">
        <f t="shared" si="54"/>
        <v>1760000</v>
      </c>
      <c r="BC60" s="84">
        <v>880000</v>
      </c>
    </row>
    <row r="61" spans="1:55">
      <c r="A61" s="72">
        <f t="shared" si="57"/>
        <v>2076</v>
      </c>
      <c r="B61" s="72">
        <f t="shared" si="57"/>
        <v>98</v>
      </c>
      <c r="C61" s="91">
        <f t="shared" si="31"/>
        <v>0</v>
      </c>
      <c r="D61" s="91">
        <f t="shared" si="32"/>
        <v>0</v>
      </c>
      <c r="E61" s="91">
        <f t="shared" si="4"/>
        <v>0</v>
      </c>
      <c r="F61" s="91">
        <f t="shared" si="5"/>
        <v>0</v>
      </c>
      <c r="G61" s="91">
        <f t="shared" si="6"/>
        <v>0</v>
      </c>
      <c r="H61" s="91">
        <f t="shared" si="7"/>
        <v>0</v>
      </c>
      <c r="I61" s="91">
        <f t="shared" si="8"/>
        <v>0</v>
      </c>
      <c r="J61" s="91">
        <f t="shared" si="9"/>
        <v>0</v>
      </c>
      <c r="K61" s="91">
        <f t="shared" si="10"/>
        <v>0</v>
      </c>
      <c r="L61" s="91">
        <f t="shared" si="33"/>
        <v>0</v>
      </c>
      <c r="M61" s="92">
        <f t="shared" si="11"/>
        <v>0</v>
      </c>
      <c r="N61" s="92">
        <f t="shared" si="34"/>
        <v>0</v>
      </c>
      <c r="O61" s="93" t="str">
        <f t="shared" si="52"/>
        <v/>
      </c>
      <c r="P61" s="84">
        <f t="shared" si="12"/>
        <v>0</v>
      </c>
      <c r="Q61" s="84">
        <f t="shared" si="13"/>
        <v>0</v>
      </c>
      <c r="R61" s="84">
        <f t="shared" si="14"/>
        <v>0</v>
      </c>
      <c r="S61" s="84">
        <f t="shared" si="15"/>
        <v>0</v>
      </c>
      <c r="T61" s="93" t="str">
        <f t="shared" si="16"/>
        <v/>
      </c>
      <c r="V61" s="84">
        <f t="shared" si="17"/>
        <v>0</v>
      </c>
      <c r="W61" s="93" t="str">
        <f t="shared" si="18"/>
        <v/>
      </c>
      <c r="Y61" s="84">
        <f t="shared" si="19"/>
        <v>0</v>
      </c>
      <c r="Z61" s="84">
        <f t="shared" si="44"/>
        <v>0</v>
      </c>
      <c r="AA61" s="84">
        <f t="shared" si="20"/>
        <v>0</v>
      </c>
      <c r="AB61" s="85" t="str">
        <f t="shared" si="35"/>
        <v/>
      </c>
      <c r="AC61" s="84">
        <f t="shared" si="36"/>
        <v>0</v>
      </c>
      <c r="AD61" s="94" t="str">
        <f t="shared" si="45"/>
        <v/>
      </c>
      <c r="AE61" s="94" t="str">
        <f t="shared" si="21"/>
        <v/>
      </c>
      <c r="AF61" s="95" t="str">
        <f t="shared" si="22"/>
        <v/>
      </c>
      <c r="AG61" s="289">
        <f t="shared" si="37"/>
        <v>0</v>
      </c>
      <c r="AH61" s="84">
        <f t="shared" si="38"/>
        <v>0</v>
      </c>
      <c r="AI61" s="289">
        <f t="shared" si="39"/>
        <v>0</v>
      </c>
      <c r="AJ61" s="84">
        <f t="shared" si="23"/>
        <v>0</v>
      </c>
      <c r="AK61" s="10">
        <v>1760000</v>
      </c>
      <c r="AL61" s="84">
        <f t="shared" si="40"/>
        <v>156406000</v>
      </c>
      <c r="AM61" s="84">
        <f t="shared" si="53"/>
        <v>116980000</v>
      </c>
      <c r="AN61">
        <f t="shared" si="24"/>
        <v>98</v>
      </c>
      <c r="AO61">
        <f t="shared" si="25"/>
        <v>41</v>
      </c>
      <c r="AP61" s="289">
        <f t="shared" si="46"/>
        <v>0</v>
      </c>
      <c r="AQ61" s="289">
        <f t="shared" si="41"/>
        <v>85048305.410844877</v>
      </c>
      <c r="AR61" s="289">
        <f t="shared" si="42"/>
        <v>92938623.050352573</v>
      </c>
      <c r="AS61" s="289">
        <f t="shared" si="47"/>
        <v>-92071694.589155123</v>
      </c>
      <c r="AT61" s="289">
        <f t="shared" si="48"/>
        <v>-84181376.949647427</v>
      </c>
      <c r="AU61" s="289">
        <f t="shared" si="2"/>
        <v>420000</v>
      </c>
      <c r="AV61" s="289">
        <f t="shared" si="28"/>
        <v>5040000</v>
      </c>
      <c r="AW61" s="289">
        <f t="shared" si="43"/>
        <v>177120000</v>
      </c>
      <c r="AX61" s="289">
        <f t="shared" si="29"/>
        <v>31422946.066286325</v>
      </c>
      <c r="AY61" s="289">
        <f t="shared" si="50"/>
        <v>80158753.234979242</v>
      </c>
      <c r="BB61" s="10">
        <f t="shared" si="54"/>
        <v>1760000</v>
      </c>
      <c r="BC61" s="84">
        <v>880000</v>
      </c>
    </row>
    <row r="62" spans="1:55">
      <c r="A62" s="72">
        <f t="shared" si="57"/>
        <v>2077</v>
      </c>
      <c r="B62" s="72">
        <f t="shared" si="57"/>
        <v>99</v>
      </c>
      <c r="C62" s="91">
        <f t="shared" si="31"/>
        <v>0</v>
      </c>
      <c r="D62" s="91">
        <f t="shared" si="32"/>
        <v>0</v>
      </c>
      <c r="E62" s="91">
        <f t="shared" si="4"/>
        <v>0</v>
      </c>
      <c r="F62" s="91">
        <f t="shared" si="5"/>
        <v>0</v>
      </c>
      <c r="G62" s="91">
        <f t="shared" si="6"/>
        <v>0</v>
      </c>
      <c r="H62" s="91">
        <f t="shared" si="7"/>
        <v>0</v>
      </c>
      <c r="I62" s="91">
        <f t="shared" si="8"/>
        <v>0</v>
      </c>
      <c r="J62" s="91">
        <f t="shared" si="9"/>
        <v>0</v>
      </c>
      <c r="K62" s="91">
        <f t="shared" si="10"/>
        <v>0</v>
      </c>
      <c r="L62" s="91">
        <f t="shared" si="33"/>
        <v>0</v>
      </c>
      <c r="M62" s="92">
        <f t="shared" si="11"/>
        <v>0</v>
      </c>
      <c r="N62" s="92">
        <f t="shared" si="34"/>
        <v>0</v>
      </c>
      <c r="O62" s="93" t="str">
        <f t="shared" si="52"/>
        <v/>
      </c>
      <c r="P62" s="84">
        <f t="shared" si="12"/>
        <v>0</v>
      </c>
      <c r="Q62" s="84">
        <f t="shared" si="13"/>
        <v>0</v>
      </c>
      <c r="R62" s="84">
        <f t="shared" si="14"/>
        <v>0</v>
      </c>
      <c r="S62" s="84">
        <f t="shared" si="15"/>
        <v>0</v>
      </c>
      <c r="T62" s="93" t="str">
        <f t="shared" si="16"/>
        <v/>
      </c>
      <c r="V62" s="84">
        <f t="shared" si="17"/>
        <v>0</v>
      </c>
      <c r="W62" s="93" t="str">
        <f t="shared" si="18"/>
        <v/>
      </c>
      <c r="Y62" s="84">
        <f t="shared" si="19"/>
        <v>0</v>
      </c>
      <c r="Z62" s="84">
        <f t="shared" si="44"/>
        <v>0</v>
      </c>
      <c r="AA62" s="84">
        <f t="shared" si="20"/>
        <v>0</v>
      </c>
      <c r="AB62" s="85" t="str">
        <f t="shared" si="35"/>
        <v/>
      </c>
      <c r="AC62" s="84">
        <f t="shared" si="36"/>
        <v>0</v>
      </c>
      <c r="AD62" s="94" t="str">
        <f t="shared" si="45"/>
        <v/>
      </c>
      <c r="AE62" s="94" t="str">
        <f t="shared" si="21"/>
        <v/>
      </c>
      <c r="AF62" s="95" t="str">
        <f t="shared" si="22"/>
        <v/>
      </c>
      <c r="AG62" s="289">
        <f t="shared" si="37"/>
        <v>0</v>
      </c>
      <c r="AH62" s="84">
        <f t="shared" si="38"/>
        <v>0</v>
      </c>
      <c r="AI62" s="289">
        <f t="shared" si="39"/>
        <v>0</v>
      </c>
      <c r="AJ62" s="84">
        <f t="shared" si="23"/>
        <v>0</v>
      </c>
      <c r="AK62" s="10">
        <v>1760000</v>
      </c>
      <c r="AL62" s="84">
        <f t="shared" si="40"/>
        <v>158166000</v>
      </c>
      <c r="AM62" s="84">
        <f t="shared" si="53"/>
        <v>118740000</v>
      </c>
      <c r="AN62">
        <f t="shared" si="24"/>
        <v>99</v>
      </c>
      <c r="AO62">
        <f t="shared" si="25"/>
        <v>42</v>
      </c>
      <c r="AP62" s="289">
        <f t="shared" si="46"/>
        <v>0</v>
      </c>
      <c r="AQ62" s="289">
        <f t="shared" si="41"/>
        <v>85048305.410844877</v>
      </c>
      <c r="AR62" s="289">
        <f t="shared" si="42"/>
        <v>92938623.050352573</v>
      </c>
      <c r="AS62" s="289">
        <f t="shared" si="47"/>
        <v>-97147694.589155123</v>
      </c>
      <c r="AT62" s="289">
        <f t="shared" si="48"/>
        <v>-89257376.949647427</v>
      </c>
      <c r="AU62" s="289">
        <f t="shared" si="2"/>
        <v>423000</v>
      </c>
      <c r="AV62" s="289">
        <f t="shared" si="28"/>
        <v>5076000</v>
      </c>
      <c r="AW62" s="289">
        <f t="shared" si="43"/>
        <v>182196000</v>
      </c>
      <c r="AX62" s="289">
        <f t="shared" si="29"/>
        <v>27970386.066286325</v>
      </c>
      <c r="AY62" s="289">
        <f t="shared" si="50"/>
        <v>76706193.234979242</v>
      </c>
      <c r="BB62" s="10">
        <f t="shared" si="54"/>
        <v>1760000</v>
      </c>
      <c r="BC62" s="84">
        <v>880000</v>
      </c>
    </row>
    <row r="63" spans="1:55">
      <c r="A63" s="72">
        <f t="shared" si="57"/>
        <v>2078</v>
      </c>
      <c r="B63" s="72">
        <f t="shared" si="57"/>
        <v>100</v>
      </c>
      <c r="C63" s="91">
        <f t="shared" si="31"/>
        <v>0</v>
      </c>
      <c r="D63" s="91">
        <f t="shared" si="32"/>
        <v>0</v>
      </c>
      <c r="E63" s="91">
        <f t="shared" si="4"/>
        <v>0</v>
      </c>
      <c r="F63" s="91">
        <f t="shared" si="5"/>
        <v>0</v>
      </c>
      <c r="G63" s="91">
        <f t="shared" si="6"/>
        <v>0</v>
      </c>
      <c r="H63" s="91">
        <f t="shared" si="7"/>
        <v>0</v>
      </c>
      <c r="I63" s="91">
        <f t="shared" si="8"/>
        <v>0</v>
      </c>
      <c r="J63" s="91">
        <f t="shared" si="9"/>
        <v>0</v>
      </c>
      <c r="K63" s="91">
        <f t="shared" si="10"/>
        <v>0</v>
      </c>
      <c r="L63" s="91">
        <f t="shared" si="33"/>
        <v>0</v>
      </c>
      <c r="M63" s="92">
        <f t="shared" si="11"/>
        <v>0</v>
      </c>
      <c r="N63" s="92">
        <f t="shared" si="34"/>
        <v>0</v>
      </c>
      <c r="O63" s="93" t="str">
        <f t="shared" si="52"/>
        <v/>
      </c>
      <c r="P63" s="84">
        <f t="shared" si="12"/>
        <v>0</v>
      </c>
      <c r="Q63" s="84">
        <f t="shared" si="13"/>
        <v>0</v>
      </c>
      <c r="R63" s="84">
        <f t="shared" si="14"/>
        <v>0</v>
      </c>
      <c r="S63" s="84">
        <f t="shared" si="15"/>
        <v>0</v>
      </c>
      <c r="T63" s="93" t="str">
        <f t="shared" si="16"/>
        <v/>
      </c>
      <c r="V63" s="84">
        <f t="shared" si="17"/>
        <v>0</v>
      </c>
      <c r="W63" s="93" t="str">
        <f t="shared" si="18"/>
        <v/>
      </c>
      <c r="Y63" s="84">
        <f t="shared" si="19"/>
        <v>0</v>
      </c>
      <c r="Z63" s="84">
        <f t="shared" si="44"/>
        <v>0</v>
      </c>
      <c r="AA63" s="84">
        <f t="shared" si="20"/>
        <v>0</v>
      </c>
      <c r="AB63" s="85" t="str">
        <f t="shared" si="35"/>
        <v/>
      </c>
      <c r="AC63" s="84">
        <f t="shared" si="36"/>
        <v>0</v>
      </c>
      <c r="AD63" s="94" t="str">
        <f t="shared" si="45"/>
        <v/>
      </c>
      <c r="AE63" s="94" t="str">
        <f t="shared" si="21"/>
        <v/>
      </c>
      <c r="AF63" s="95" t="str">
        <f t="shared" si="22"/>
        <v/>
      </c>
      <c r="AG63" s="289">
        <f t="shared" si="37"/>
        <v>0</v>
      </c>
      <c r="AH63" s="84">
        <f t="shared" si="38"/>
        <v>0</v>
      </c>
      <c r="AI63" s="289">
        <f t="shared" si="39"/>
        <v>0</v>
      </c>
      <c r="AJ63" s="84">
        <f t="shared" si="23"/>
        <v>0</v>
      </c>
      <c r="AK63" s="10">
        <v>1760000</v>
      </c>
      <c r="AL63" s="84">
        <f t="shared" si="40"/>
        <v>159926000</v>
      </c>
      <c r="AM63" s="84">
        <f t="shared" si="53"/>
        <v>120500000</v>
      </c>
      <c r="AN63">
        <f t="shared" si="24"/>
        <v>100</v>
      </c>
      <c r="AO63">
        <f t="shared" si="25"/>
        <v>43</v>
      </c>
      <c r="AP63" s="289">
        <f t="shared" si="46"/>
        <v>0</v>
      </c>
      <c r="AQ63" s="289">
        <f t="shared" si="41"/>
        <v>85048305.410844877</v>
      </c>
      <c r="AR63" s="289">
        <f t="shared" si="42"/>
        <v>92938623.050352573</v>
      </c>
      <c r="AS63" s="289">
        <f t="shared" si="47"/>
        <v>-102259694.58915512</v>
      </c>
      <c r="AT63" s="289">
        <f t="shared" si="48"/>
        <v>-94369376.949647427</v>
      </c>
      <c r="AU63" s="289">
        <f t="shared" si="2"/>
        <v>426000</v>
      </c>
      <c r="AV63" s="289">
        <f t="shared" si="28"/>
        <v>5112000</v>
      </c>
      <c r="AW63" s="289">
        <f t="shared" si="43"/>
        <v>187308000</v>
      </c>
      <c r="AX63" s="289">
        <f t="shared" si="29"/>
        <v>24480746.066286325</v>
      </c>
      <c r="AY63" s="289">
        <f t="shared" si="50"/>
        <v>73216553.234979242</v>
      </c>
      <c r="BB63" s="10">
        <f t="shared" si="54"/>
        <v>1760000</v>
      </c>
      <c r="BC63" s="84">
        <v>880000</v>
      </c>
    </row>
  </sheetData>
  <hyperlinks>
    <hyperlink ref="R1" r:id="rId1" xr:uid="{00000000-0004-0000-0900-000000000000}"/>
  </hyperlinks>
  <pageMargins left="0.7" right="0.7" top="0.75" bottom="0.75" header="0.3" footer="0.3"/>
  <pageSetup paperSize="9" orientation="portrait" r:id="rId2"/>
  <drawing r:id="rId3"/>
  <legacyDrawing r:id="rId4"/>
</worksheet>
</file>

<file path=xl/worksheets/sheet1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51D8D7C-23BA-4CAF-9FAE-E1CD7BFAA6DC}">
  <sheetPr>
    <tabColor rgb="FFFFFF00"/>
  </sheetPr>
  <dimension ref="A1:Y88"/>
  <sheetViews>
    <sheetView workbookViewId="0">
      <pane ySplit="1" topLeftCell="A2" activePane="bottomLeft" state="frozen"/>
      <selection pane="bottomLeft" activeCell="N18" sqref="N18"/>
    </sheetView>
  </sheetViews>
  <sheetFormatPr defaultRowHeight="12.75"/>
  <cols>
    <col min="1" max="1" width="4.5703125" style="254" bestFit="1" customWidth="1"/>
    <col min="2" max="2" width="5.28515625" style="254" bestFit="1" customWidth="1"/>
    <col min="3" max="3" width="4.42578125" style="254" bestFit="1" customWidth="1"/>
    <col min="4" max="4" width="12.7109375" style="254" bestFit="1" customWidth="1"/>
    <col min="5" max="5" width="20.5703125" style="254" bestFit="1" customWidth="1"/>
    <col min="6" max="6" width="12.85546875" style="254" bestFit="1" customWidth="1"/>
    <col min="7" max="7" width="24" style="254" bestFit="1" customWidth="1"/>
    <col min="8" max="8" width="14.7109375" style="254" bestFit="1" customWidth="1"/>
    <col min="9" max="9" width="10.7109375" style="254" bestFit="1" customWidth="1"/>
    <col min="10" max="10" width="10.5703125" style="254" bestFit="1" customWidth="1"/>
    <col min="11" max="11" width="11.7109375" style="254" bestFit="1" customWidth="1"/>
    <col min="12" max="12" width="3" style="254" bestFit="1" customWidth="1"/>
    <col min="13" max="13" width="10.85546875" style="254" bestFit="1" customWidth="1"/>
    <col min="14" max="14" width="15" style="254" bestFit="1" customWidth="1"/>
    <col min="15" max="17" width="13.28515625" style="254" bestFit="1" customWidth="1"/>
    <col min="18" max="18" width="16.5703125" style="254" bestFit="1" customWidth="1"/>
    <col min="19" max="19" width="16.28515625" style="254" bestFit="1" customWidth="1"/>
    <col min="20" max="20" width="16.28515625" style="254" customWidth="1"/>
    <col min="21" max="21" width="19" style="254" bestFit="1" customWidth="1"/>
    <col min="22" max="22" width="12.85546875" style="254" bestFit="1" customWidth="1"/>
    <col min="23" max="16384" width="9.140625" style="254"/>
  </cols>
  <sheetData>
    <row r="1" spans="1:25" ht="30">
      <c r="A1" s="254" t="s">
        <v>10575</v>
      </c>
      <c r="B1" s="254" t="s">
        <v>1022</v>
      </c>
      <c r="C1" s="254" t="s">
        <v>1020</v>
      </c>
      <c r="D1" s="254" t="s">
        <v>10576</v>
      </c>
      <c r="E1" s="254" t="s">
        <v>10577</v>
      </c>
      <c r="F1" s="254" t="s">
        <v>10578</v>
      </c>
      <c r="G1" s="254" t="s">
        <v>10579</v>
      </c>
      <c r="H1" s="254" t="s">
        <v>10580</v>
      </c>
      <c r="I1" s="254" t="s">
        <v>10581</v>
      </c>
      <c r="J1" s="254" t="s">
        <v>10582</v>
      </c>
      <c r="K1" s="254" t="s">
        <v>10583</v>
      </c>
      <c r="M1" s="255" t="s">
        <v>10584</v>
      </c>
      <c r="N1" s="256" t="s">
        <v>10585</v>
      </c>
      <c r="O1" s="256" t="s">
        <v>10586</v>
      </c>
      <c r="P1" s="256" t="s">
        <v>10587</v>
      </c>
      <c r="Q1" s="256" t="s">
        <v>10588</v>
      </c>
      <c r="T1" s="254" t="s">
        <v>10589</v>
      </c>
      <c r="U1" s="50" t="s">
        <v>10590</v>
      </c>
    </row>
    <row r="2" spans="1:25" ht="15">
      <c r="M2" s="255"/>
      <c r="N2" s="257">
        <f>SUM(N3:N88)</f>
        <v>145196000</v>
      </c>
      <c r="O2" s="255">
        <f>(N2*100)/70</f>
        <v>207422857.14285713</v>
      </c>
      <c r="P2" s="255">
        <f>(N2*100)/80</f>
        <v>181495000</v>
      </c>
      <c r="Q2" s="255">
        <f>(N2*100)/90</f>
        <v>161328888.8888889</v>
      </c>
      <c r="R2" s="254" t="s">
        <v>952</v>
      </c>
    </row>
    <row r="3" spans="1:25" ht="15">
      <c r="A3" s="254">
        <v>1</v>
      </c>
      <c r="B3" s="254">
        <v>2023</v>
      </c>
      <c r="C3" s="254">
        <v>15</v>
      </c>
      <c r="D3" s="255">
        <v>103086</v>
      </c>
      <c r="E3" s="255">
        <v>80000</v>
      </c>
      <c r="F3" s="255">
        <v>0</v>
      </c>
      <c r="G3" s="255">
        <v>1330000</v>
      </c>
      <c r="H3" s="255">
        <v>0</v>
      </c>
      <c r="I3" s="254">
        <f t="shared" ref="I3:I66" si="0">B3-2007</f>
        <v>16</v>
      </c>
      <c r="J3" s="254">
        <f t="shared" ref="J3:J66" si="1">B3-1978</f>
        <v>45</v>
      </c>
      <c r="K3" s="254">
        <f t="shared" ref="K3:K66" si="2">B3-1979</f>
        <v>44</v>
      </c>
      <c r="M3" s="255"/>
      <c r="N3" s="255"/>
      <c r="O3" s="255"/>
      <c r="P3" s="255"/>
      <c r="Q3" s="255"/>
      <c r="U3" s="254" t="s">
        <v>10591</v>
      </c>
      <c r="V3" s="254">
        <v>15</v>
      </c>
    </row>
    <row r="4" spans="1:25" ht="15">
      <c r="A4" s="254">
        <v>2</v>
      </c>
      <c r="B4" s="254">
        <v>2024</v>
      </c>
      <c r="C4" s="254">
        <v>16</v>
      </c>
      <c r="D4" s="255">
        <v>206172</v>
      </c>
      <c r="E4" s="255">
        <v>80000</v>
      </c>
      <c r="F4" s="255">
        <v>0</v>
      </c>
      <c r="G4" s="255">
        <v>1410000</v>
      </c>
      <c r="H4" s="255">
        <v>0</v>
      </c>
      <c r="I4" s="254">
        <f t="shared" si="0"/>
        <v>17</v>
      </c>
      <c r="J4" s="254">
        <f t="shared" si="1"/>
        <v>46</v>
      </c>
      <c r="K4" s="254">
        <f t="shared" si="2"/>
        <v>45</v>
      </c>
      <c r="M4" s="255"/>
      <c r="N4" s="255"/>
      <c r="O4" s="255"/>
      <c r="P4" s="255"/>
      <c r="Q4" s="255"/>
      <c r="U4" s="254" t="s">
        <v>10592</v>
      </c>
      <c r="V4" s="254">
        <v>15</v>
      </c>
    </row>
    <row r="5" spans="1:25" ht="15">
      <c r="A5" s="254">
        <v>3</v>
      </c>
      <c r="B5" s="254">
        <v>2025</v>
      </c>
      <c r="C5" s="254">
        <v>17</v>
      </c>
      <c r="D5" s="255">
        <v>309258</v>
      </c>
      <c r="E5" s="255">
        <v>80000</v>
      </c>
      <c r="F5" s="255">
        <v>0</v>
      </c>
      <c r="G5" s="255">
        <v>1490000</v>
      </c>
      <c r="H5" s="255">
        <v>0</v>
      </c>
      <c r="I5" s="254">
        <f t="shared" si="0"/>
        <v>18</v>
      </c>
      <c r="J5" s="254">
        <f t="shared" si="1"/>
        <v>47</v>
      </c>
      <c r="K5" s="254">
        <f t="shared" si="2"/>
        <v>46</v>
      </c>
      <c r="M5" s="255"/>
      <c r="N5" s="255"/>
      <c r="O5" s="255"/>
      <c r="P5" s="255"/>
      <c r="Q5" s="255"/>
      <c r="U5" s="254" t="s">
        <v>10450</v>
      </c>
      <c r="V5" s="255">
        <v>1250000</v>
      </c>
      <c r="W5" s="254" t="s">
        <v>10593</v>
      </c>
    </row>
    <row r="6" spans="1:25" ht="15">
      <c r="A6" s="254">
        <v>4</v>
      </c>
      <c r="B6" s="254">
        <v>2026</v>
      </c>
      <c r="C6" s="254">
        <v>18</v>
      </c>
      <c r="D6" s="255">
        <v>412344</v>
      </c>
      <c r="E6" s="255">
        <v>80000</v>
      </c>
      <c r="F6" s="255">
        <v>0</v>
      </c>
      <c r="G6" s="255">
        <v>1570000</v>
      </c>
      <c r="H6" s="255">
        <v>0</v>
      </c>
      <c r="I6" s="254">
        <f t="shared" si="0"/>
        <v>19</v>
      </c>
      <c r="J6" s="254">
        <f t="shared" si="1"/>
        <v>48</v>
      </c>
      <c r="K6" s="254">
        <f t="shared" si="2"/>
        <v>47</v>
      </c>
      <c r="M6" s="255"/>
      <c r="N6" s="255">
        <v>100000</v>
      </c>
      <c r="O6" s="255"/>
      <c r="P6" s="255"/>
      <c r="Q6" s="255"/>
      <c r="T6" s="258">
        <f>N6</f>
        <v>100000</v>
      </c>
      <c r="U6" s="254" t="s">
        <v>10594</v>
      </c>
      <c r="V6" s="255">
        <v>100000</v>
      </c>
      <c r="W6" s="254" t="s">
        <v>10593</v>
      </c>
    </row>
    <row r="7" spans="1:25" ht="15">
      <c r="A7" s="254">
        <v>5</v>
      </c>
      <c r="B7" s="254">
        <v>2027</v>
      </c>
      <c r="C7" s="254">
        <v>19</v>
      </c>
      <c r="D7" s="255">
        <v>515430</v>
      </c>
      <c r="E7" s="255">
        <v>80000</v>
      </c>
      <c r="F7" s="255">
        <v>0</v>
      </c>
      <c r="G7" s="255">
        <v>1650000</v>
      </c>
      <c r="H7" s="255">
        <v>0</v>
      </c>
      <c r="I7" s="254">
        <f t="shared" si="0"/>
        <v>20</v>
      </c>
      <c r="J7" s="254">
        <f t="shared" si="1"/>
        <v>49</v>
      </c>
      <c r="K7" s="254">
        <f t="shared" si="2"/>
        <v>48</v>
      </c>
      <c r="M7" s="255"/>
      <c r="N7" s="255">
        <v>125000</v>
      </c>
      <c r="O7" s="255"/>
      <c r="P7" s="255"/>
      <c r="Q7" s="255"/>
      <c r="T7" s="258">
        <f>T6+N7</f>
        <v>225000</v>
      </c>
      <c r="U7" s="254" t="s">
        <v>10595</v>
      </c>
      <c r="V7" s="258">
        <f>V6*12*15</f>
        <v>18000000</v>
      </c>
    </row>
    <row r="8" spans="1:25" ht="15">
      <c r="A8" s="254">
        <v>6</v>
      </c>
      <c r="B8" s="254">
        <v>2028</v>
      </c>
      <c r="C8" s="254">
        <v>20</v>
      </c>
      <c r="D8" s="255">
        <v>618516</v>
      </c>
      <c r="E8" s="255">
        <v>80000</v>
      </c>
      <c r="F8" s="255">
        <v>0</v>
      </c>
      <c r="G8" s="255">
        <v>1730000</v>
      </c>
      <c r="H8" s="255">
        <v>0</v>
      </c>
      <c r="I8" s="254">
        <f t="shared" si="0"/>
        <v>21</v>
      </c>
      <c r="J8" s="254">
        <f t="shared" si="1"/>
        <v>50</v>
      </c>
      <c r="K8" s="254">
        <f t="shared" si="2"/>
        <v>49</v>
      </c>
      <c r="M8" s="255"/>
      <c r="N8" s="255">
        <f>100000+50000</f>
        <v>150000</v>
      </c>
      <c r="O8" s="255"/>
      <c r="P8" s="255"/>
      <c r="Q8" s="255"/>
      <c r="T8" s="258">
        <f t="shared" ref="T8:T18" si="3">T7+N8</f>
        <v>375000</v>
      </c>
      <c r="U8" s="254" t="s">
        <v>10596</v>
      </c>
      <c r="V8" s="259">
        <f>N2/V7</f>
        <v>8.0664444444444445</v>
      </c>
      <c r="W8" s="259">
        <f>O2/V7</f>
        <v>11.523492063492062</v>
      </c>
      <c r="X8" s="259">
        <f>P2/V7</f>
        <v>10.083055555555555</v>
      </c>
      <c r="Y8" s="259">
        <f>Q2/V7</f>
        <v>8.9627160493827169</v>
      </c>
    </row>
    <row r="9" spans="1:25" ht="15">
      <c r="A9" s="254">
        <v>7</v>
      </c>
      <c r="B9" s="254">
        <v>2029</v>
      </c>
      <c r="C9" s="254">
        <v>21</v>
      </c>
      <c r="D9" s="255">
        <v>721602</v>
      </c>
      <c r="E9" s="255">
        <v>80000</v>
      </c>
      <c r="F9" s="255">
        <v>0</v>
      </c>
      <c r="G9" s="255">
        <v>1810000</v>
      </c>
      <c r="H9" s="255">
        <v>0</v>
      </c>
      <c r="I9" s="254">
        <f t="shared" si="0"/>
        <v>22</v>
      </c>
      <c r="J9" s="254">
        <f t="shared" si="1"/>
        <v>51</v>
      </c>
      <c r="K9" s="254">
        <f t="shared" si="2"/>
        <v>50</v>
      </c>
      <c r="M9" s="255"/>
      <c r="N9" s="255">
        <v>50000</v>
      </c>
      <c r="O9" s="255"/>
      <c r="P9" s="255"/>
      <c r="Q9" s="255"/>
      <c r="T9" s="258">
        <f t="shared" si="3"/>
        <v>425000</v>
      </c>
      <c r="U9" s="254" t="s">
        <v>10597</v>
      </c>
      <c r="V9" s="307">
        <f>(N2-V7)/V7</f>
        <v>7.0664444444444445</v>
      </c>
      <c r="W9" s="307">
        <f>(O2-W7)/V7</f>
        <v>11.523492063492062</v>
      </c>
      <c r="X9" s="307">
        <f>(P2-X7)/V7</f>
        <v>10.083055555555555</v>
      </c>
      <c r="Y9" s="307">
        <f>(Q2-Y7)/V7</f>
        <v>8.9627160493827169</v>
      </c>
    </row>
    <row r="10" spans="1:25" ht="15">
      <c r="A10" s="254">
        <v>8</v>
      </c>
      <c r="B10" s="254">
        <v>2030</v>
      </c>
      <c r="C10" s="254">
        <v>22</v>
      </c>
      <c r="D10" s="255">
        <v>824688</v>
      </c>
      <c r="E10" s="255">
        <v>80000</v>
      </c>
      <c r="F10" s="255">
        <v>0</v>
      </c>
      <c r="G10" s="255">
        <v>1890000</v>
      </c>
      <c r="H10" s="255">
        <v>0</v>
      </c>
      <c r="I10" s="254">
        <f t="shared" si="0"/>
        <v>23</v>
      </c>
      <c r="J10" s="254">
        <f t="shared" si="1"/>
        <v>52</v>
      </c>
      <c r="K10" s="254">
        <f t="shared" si="2"/>
        <v>51</v>
      </c>
      <c r="M10" s="255"/>
      <c r="N10" s="255">
        <f>150000+50000</f>
        <v>200000</v>
      </c>
      <c r="O10" s="255"/>
      <c r="P10" s="255"/>
      <c r="Q10" s="255"/>
      <c r="T10" s="258">
        <f t="shared" si="3"/>
        <v>625000</v>
      </c>
      <c r="U10" s="254" t="s">
        <v>10598</v>
      </c>
      <c r="V10" s="308">
        <f>V9/70</f>
        <v>0.10094920634920634</v>
      </c>
      <c r="W10" s="308">
        <f>W9/70</f>
        <v>0.16462131519274376</v>
      </c>
      <c r="X10" s="308">
        <f>X9/70</f>
        <v>0.14404365079365078</v>
      </c>
      <c r="Y10" s="308">
        <f>Y9/70</f>
        <v>0.12803880070546739</v>
      </c>
    </row>
    <row r="11" spans="1:25" ht="15">
      <c r="A11" s="254">
        <v>9</v>
      </c>
      <c r="B11" s="254">
        <v>2031</v>
      </c>
      <c r="C11" s="254">
        <v>23</v>
      </c>
      <c r="D11" s="255">
        <v>927774</v>
      </c>
      <c r="E11" s="255">
        <v>80000</v>
      </c>
      <c r="F11" s="255">
        <v>0</v>
      </c>
      <c r="G11" s="255">
        <v>1970000</v>
      </c>
      <c r="H11" s="255">
        <v>0</v>
      </c>
      <c r="I11" s="254">
        <f t="shared" si="0"/>
        <v>24</v>
      </c>
      <c r="J11" s="254">
        <f t="shared" si="1"/>
        <v>53</v>
      </c>
      <c r="K11" s="254">
        <f t="shared" si="2"/>
        <v>52</v>
      </c>
      <c r="M11" s="255"/>
      <c r="N11" s="255">
        <v>50000</v>
      </c>
      <c r="O11" s="255"/>
      <c r="P11" s="255"/>
      <c r="Q11" s="255"/>
      <c r="T11" s="258">
        <f t="shared" si="3"/>
        <v>675000</v>
      </c>
      <c r="V11" s="254" t="s">
        <v>10599</v>
      </c>
      <c r="W11" s="254" t="s">
        <v>10600</v>
      </c>
      <c r="X11" s="254" t="s">
        <v>10601</v>
      </c>
      <c r="Y11" s="254" t="s">
        <v>10602</v>
      </c>
    </row>
    <row r="12" spans="1:25" ht="15">
      <c r="A12" s="254">
        <v>10</v>
      </c>
      <c r="B12" s="254">
        <v>2032</v>
      </c>
      <c r="C12" s="254">
        <v>24</v>
      </c>
      <c r="D12" s="255">
        <v>1030860</v>
      </c>
      <c r="E12" s="255">
        <v>80000</v>
      </c>
      <c r="F12" s="255">
        <v>0</v>
      </c>
      <c r="G12" s="255">
        <v>2050000</v>
      </c>
      <c r="H12" s="255">
        <v>0</v>
      </c>
      <c r="I12" s="254">
        <f t="shared" si="0"/>
        <v>25</v>
      </c>
      <c r="J12" s="254">
        <f t="shared" si="1"/>
        <v>54</v>
      </c>
      <c r="K12" s="254">
        <f t="shared" si="2"/>
        <v>53</v>
      </c>
      <c r="M12" s="255"/>
      <c r="N12" s="255">
        <f>S12</f>
        <v>1081000</v>
      </c>
      <c r="O12" s="255"/>
      <c r="P12" s="255"/>
      <c r="Q12" s="255"/>
      <c r="R12" s="254" t="s">
        <v>10603</v>
      </c>
      <c r="S12" s="260">
        <f>150000+931000</f>
        <v>1081000</v>
      </c>
      <c r="T12" s="258">
        <f t="shared" si="3"/>
        <v>1756000</v>
      </c>
    </row>
    <row r="13" spans="1:25" ht="15">
      <c r="A13" s="254">
        <v>11</v>
      </c>
      <c r="B13" s="254">
        <v>2033</v>
      </c>
      <c r="C13" s="254">
        <v>25</v>
      </c>
      <c r="D13" s="255">
        <v>1057980</v>
      </c>
      <c r="E13" s="255">
        <v>80000</v>
      </c>
      <c r="F13" s="255">
        <v>0</v>
      </c>
      <c r="G13" s="255">
        <v>2130000</v>
      </c>
      <c r="H13" s="255">
        <v>0</v>
      </c>
      <c r="I13" s="254">
        <f t="shared" si="0"/>
        <v>26</v>
      </c>
      <c r="J13" s="254">
        <f t="shared" si="1"/>
        <v>55</v>
      </c>
      <c r="K13" s="254">
        <f t="shared" si="2"/>
        <v>54</v>
      </c>
      <c r="M13" s="255"/>
      <c r="N13" s="263">
        <v>1200000</v>
      </c>
      <c r="O13" s="255"/>
      <c r="P13" s="255"/>
      <c r="Q13" s="255"/>
      <c r="S13" s="264" t="s">
        <v>10604</v>
      </c>
      <c r="T13" s="258">
        <f t="shared" si="3"/>
        <v>2956000</v>
      </c>
    </row>
    <row r="14" spans="1:25" ht="15">
      <c r="A14" s="254">
        <v>12</v>
      </c>
      <c r="B14" s="254">
        <v>2034</v>
      </c>
      <c r="C14" s="254">
        <v>26</v>
      </c>
      <c r="D14" s="255">
        <v>1154160</v>
      </c>
      <c r="E14" s="255">
        <v>80000</v>
      </c>
      <c r="F14" s="255">
        <v>0</v>
      </c>
      <c r="G14" s="255">
        <v>2210000</v>
      </c>
      <c r="H14" s="255">
        <v>0</v>
      </c>
      <c r="I14" s="254">
        <f t="shared" si="0"/>
        <v>27</v>
      </c>
      <c r="J14" s="254">
        <f t="shared" si="1"/>
        <v>56</v>
      </c>
      <c r="K14" s="254">
        <f t="shared" si="2"/>
        <v>55</v>
      </c>
      <c r="M14" s="255"/>
      <c r="N14" s="255">
        <f>S14</f>
        <v>1067500</v>
      </c>
      <c r="O14" s="255"/>
      <c r="P14" s="255"/>
      <c r="Q14" s="255"/>
      <c r="R14" s="254" t="s">
        <v>10605</v>
      </c>
      <c r="S14" s="260">
        <v>1067500</v>
      </c>
      <c r="T14" s="258">
        <f t="shared" si="3"/>
        <v>4023500</v>
      </c>
    </row>
    <row r="15" spans="1:25" ht="15">
      <c r="A15" s="254">
        <v>13</v>
      </c>
      <c r="B15" s="254">
        <v>2035</v>
      </c>
      <c r="C15" s="254">
        <v>27</v>
      </c>
      <c r="D15" s="255">
        <v>1250340</v>
      </c>
      <c r="E15" s="255">
        <v>80000</v>
      </c>
      <c r="F15" s="255">
        <v>0</v>
      </c>
      <c r="G15" s="255">
        <v>2290000</v>
      </c>
      <c r="H15" s="255">
        <v>0</v>
      </c>
      <c r="I15" s="254">
        <f t="shared" si="0"/>
        <v>28</v>
      </c>
      <c r="J15" s="254">
        <f t="shared" si="1"/>
        <v>57</v>
      </c>
      <c r="K15" s="254">
        <f t="shared" si="2"/>
        <v>56</v>
      </c>
      <c r="M15" s="255"/>
      <c r="N15" s="263">
        <v>1200000</v>
      </c>
      <c r="O15" s="255"/>
      <c r="P15" s="255"/>
      <c r="Q15" s="255"/>
      <c r="S15" s="264" t="s">
        <v>10604</v>
      </c>
      <c r="T15" s="258">
        <f t="shared" si="3"/>
        <v>5223500</v>
      </c>
    </row>
    <row r="16" spans="1:25" ht="15">
      <c r="A16" s="254">
        <v>14</v>
      </c>
      <c r="B16" s="254">
        <v>2036</v>
      </c>
      <c r="C16" s="254">
        <v>28</v>
      </c>
      <c r="D16" s="255">
        <v>1346520</v>
      </c>
      <c r="E16" s="255">
        <v>80000</v>
      </c>
      <c r="F16" s="255">
        <v>0</v>
      </c>
      <c r="G16" s="255">
        <v>2370000</v>
      </c>
      <c r="H16" s="255">
        <v>0</v>
      </c>
      <c r="I16" s="254">
        <f t="shared" si="0"/>
        <v>29</v>
      </c>
      <c r="J16" s="254">
        <f t="shared" si="1"/>
        <v>58</v>
      </c>
      <c r="K16" s="254">
        <f t="shared" si="2"/>
        <v>57</v>
      </c>
      <c r="M16" s="255"/>
      <c r="N16" s="263">
        <v>1200000</v>
      </c>
      <c r="O16" s="255"/>
      <c r="P16" s="255"/>
      <c r="Q16" s="255"/>
      <c r="S16" s="264" t="s">
        <v>10604</v>
      </c>
      <c r="T16" s="258">
        <f t="shared" si="3"/>
        <v>6423500</v>
      </c>
    </row>
    <row r="17" spans="1:22" ht="15">
      <c r="A17" s="254">
        <v>15</v>
      </c>
      <c r="B17" s="254">
        <v>2037</v>
      </c>
      <c r="C17" s="254">
        <v>29</v>
      </c>
      <c r="D17" s="255">
        <v>1442700</v>
      </c>
      <c r="E17" s="255">
        <v>80000</v>
      </c>
      <c r="F17" s="255">
        <v>25000</v>
      </c>
      <c r="G17" s="255">
        <v>2475000</v>
      </c>
      <c r="H17" s="255">
        <v>0</v>
      </c>
      <c r="I17" s="254">
        <f t="shared" si="0"/>
        <v>30</v>
      </c>
      <c r="J17" s="254">
        <f t="shared" si="1"/>
        <v>59</v>
      </c>
      <c r="K17" s="254">
        <f t="shared" si="2"/>
        <v>58</v>
      </c>
      <c r="M17" s="255"/>
      <c r="N17" s="263">
        <v>1200000</v>
      </c>
      <c r="O17" s="255"/>
      <c r="P17" s="255"/>
      <c r="Q17" s="255"/>
      <c r="R17" s="255">
        <f t="shared" ref="R17" si="4">G17*12</f>
        <v>29700000</v>
      </c>
      <c r="S17" s="264" t="s">
        <v>10604</v>
      </c>
      <c r="T17" s="258">
        <f t="shared" si="3"/>
        <v>7623500</v>
      </c>
    </row>
    <row r="18" spans="1:22" ht="15">
      <c r="A18" s="254">
        <v>16</v>
      </c>
      <c r="B18" s="254">
        <v>2038</v>
      </c>
      <c r="C18" s="254">
        <v>30</v>
      </c>
      <c r="D18" s="255" t="s">
        <v>4124</v>
      </c>
      <c r="E18" s="255">
        <v>40000</v>
      </c>
      <c r="F18" s="255">
        <v>31250</v>
      </c>
      <c r="G18" s="255">
        <v>2521250</v>
      </c>
      <c r="H18" s="255">
        <v>100000</v>
      </c>
      <c r="I18" s="254">
        <f t="shared" si="0"/>
        <v>31</v>
      </c>
      <c r="J18" s="254">
        <f t="shared" si="1"/>
        <v>60</v>
      </c>
      <c r="K18" s="254">
        <f t="shared" si="2"/>
        <v>59</v>
      </c>
      <c r="M18" s="255"/>
      <c r="N18" s="255">
        <f t="shared" ref="N18:N26" si="5">H18*12</f>
        <v>1200000</v>
      </c>
      <c r="O18" s="255">
        <f t="shared" ref="O18:O71" si="6">(N18*100)/70</f>
        <v>1714285.7142857143</v>
      </c>
      <c r="P18" s="255">
        <f t="shared" ref="P18:P27" si="7">(N18*100)/80</f>
        <v>1500000</v>
      </c>
      <c r="Q18" s="255">
        <f t="shared" ref="Q18:Q27" si="8">(N18*100)/90</f>
        <v>1333333.3333333333</v>
      </c>
      <c r="R18" s="255">
        <f t="shared" ref="R18:R71" si="9">G18*12</f>
        <v>30255000</v>
      </c>
      <c r="T18" s="258">
        <f t="shared" si="3"/>
        <v>8823500</v>
      </c>
    </row>
    <row r="19" spans="1:22" ht="15">
      <c r="A19" s="254">
        <v>17</v>
      </c>
      <c r="B19" s="254">
        <v>2039</v>
      </c>
      <c r="C19" s="254">
        <v>31</v>
      </c>
      <c r="D19" s="255" t="s">
        <v>4124</v>
      </c>
      <c r="E19" s="255">
        <v>40000</v>
      </c>
      <c r="F19" s="255">
        <v>37500</v>
      </c>
      <c r="G19" s="255">
        <v>2567500</v>
      </c>
      <c r="H19" s="255">
        <v>100000</v>
      </c>
      <c r="I19" s="254">
        <f t="shared" si="0"/>
        <v>32</v>
      </c>
      <c r="J19" s="254">
        <f t="shared" si="1"/>
        <v>61</v>
      </c>
      <c r="K19" s="254">
        <f t="shared" si="2"/>
        <v>60</v>
      </c>
      <c r="M19" s="255"/>
      <c r="N19" s="255">
        <f t="shared" si="5"/>
        <v>1200000</v>
      </c>
      <c r="O19" s="255">
        <f t="shared" si="6"/>
        <v>1714285.7142857143</v>
      </c>
      <c r="P19" s="255">
        <f t="shared" si="7"/>
        <v>1500000</v>
      </c>
      <c r="Q19" s="255">
        <f t="shared" si="8"/>
        <v>1333333.3333333333</v>
      </c>
      <c r="R19" s="255">
        <f t="shared" si="9"/>
        <v>30810000</v>
      </c>
      <c r="T19" s="255">
        <f t="shared" ref="T19:T71" si="10">T18+N19</f>
        <v>10023500</v>
      </c>
    </row>
    <row r="20" spans="1:22" ht="15">
      <c r="A20" s="254">
        <v>18</v>
      </c>
      <c r="B20" s="254">
        <v>2040</v>
      </c>
      <c r="C20" s="254">
        <v>32</v>
      </c>
      <c r="D20" s="255" t="s">
        <v>4124</v>
      </c>
      <c r="E20" s="255">
        <v>40000</v>
      </c>
      <c r="F20" s="255">
        <v>43750</v>
      </c>
      <c r="G20" s="255">
        <v>2613750</v>
      </c>
      <c r="H20" s="255">
        <v>100000</v>
      </c>
      <c r="I20" s="254">
        <f t="shared" si="0"/>
        <v>33</v>
      </c>
      <c r="J20" s="254">
        <f t="shared" si="1"/>
        <v>62</v>
      </c>
      <c r="K20" s="254">
        <f t="shared" si="2"/>
        <v>61</v>
      </c>
      <c r="M20" s="255"/>
      <c r="N20" s="255">
        <f t="shared" si="5"/>
        <v>1200000</v>
      </c>
      <c r="O20" s="255">
        <f t="shared" si="6"/>
        <v>1714285.7142857143</v>
      </c>
      <c r="P20" s="255">
        <f t="shared" si="7"/>
        <v>1500000</v>
      </c>
      <c r="Q20" s="255">
        <f t="shared" si="8"/>
        <v>1333333.3333333333</v>
      </c>
      <c r="R20" s="255">
        <f t="shared" si="9"/>
        <v>31365000</v>
      </c>
      <c r="T20" s="255">
        <f t="shared" si="10"/>
        <v>11223500</v>
      </c>
    </row>
    <row r="21" spans="1:22" ht="15">
      <c r="A21" s="254">
        <v>19</v>
      </c>
      <c r="B21" s="254">
        <v>2041</v>
      </c>
      <c r="C21" s="254">
        <v>33</v>
      </c>
      <c r="D21" s="255" t="s">
        <v>4124</v>
      </c>
      <c r="E21" s="255">
        <v>40000</v>
      </c>
      <c r="F21" s="255">
        <v>62500</v>
      </c>
      <c r="G21" s="255">
        <v>2672500</v>
      </c>
      <c r="H21" s="255">
        <v>100000</v>
      </c>
      <c r="I21" s="254">
        <f t="shared" si="0"/>
        <v>34</v>
      </c>
      <c r="J21" s="254">
        <f t="shared" si="1"/>
        <v>63</v>
      </c>
      <c r="K21" s="254">
        <f t="shared" si="2"/>
        <v>62</v>
      </c>
      <c r="M21" s="255"/>
      <c r="N21" s="255">
        <f t="shared" si="5"/>
        <v>1200000</v>
      </c>
      <c r="O21" s="255">
        <f t="shared" si="6"/>
        <v>1714285.7142857143</v>
      </c>
      <c r="P21" s="255">
        <f t="shared" si="7"/>
        <v>1500000</v>
      </c>
      <c r="Q21" s="255">
        <f t="shared" si="8"/>
        <v>1333333.3333333333</v>
      </c>
      <c r="R21" s="255">
        <f t="shared" si="9"/>
        <v>32070000</v>
      </c>
      <c r="T21" s="255">
        <f t="shared" si="10"/>
        <v>12423500</v>
      </c>
    </row>
    <row r="22" spans="1:22" ht="15">
      <c r="A22" s="254">
        <v>20</v>
      </c>
      <c r="B22" s="254">
        <v>2042</v>
      </c>
      <c r="C22" s="254">
        <v>34</v>
      </c>
      <c r="D22" s="255" t="s">
        <v>4124</v>
      </c>
      <c r="E22" s="255">
        <v>40000</v>
      </c>
      <c r="F22" s="255">
        <v>87500</v>
      </c>
      <c r="G22" s="255">
        <v>2737500</v>
      </c>
      <c r="H22" s="255">
        <v>100000</v>
      </c>
      <c r="I22" s="254">
        <f t="shared" si="0"/>
        <v>35</v>
      </c>
      <c r="J22" s="254">
        <f t="shared" si="1"/>
        <v>64</v>
      </c>
      <c r="K22" s="254">
        <f t="shared" si="2"/>
        <v>63</v>
      </c>
      <c r="M22" s="255"/>
      <c r="N22" s="255">
        <f t="shared" si="5"/>
        <v>1200000</v>
      </c>
      <c r="O22" s="255">
        <f t="shared" si="6"/>
        <v>1714285.7142857143</v>
      </c>
      <c r="P22" s="255">
        <f t="shared" si="7"/>
        <v>1500000</v>
      </c>
      <c r="Q22" s="255">
        <f t="shared" si="8"/>
        <v>1333333.3333333333</v>
      </c>
      <c r="R22" s="255">
        <f t="shared" si="9"/>
        <v>32850000</v>
      </c>
      <c r="T22" s="255">
        <f t="shared" si="10"/>
        <v>13623500</v>
      </c>
    </row>
    <row r="23" spans="1:22" ht="15">
      <c r="A23" s="254">
        <v>21</v>
      </c>
      <c r="B23" s="254">
        <v>2043</v>
      </c>
      <c r="C23" s="254">
        <v>35</v>
      </c>
      <c r="D23" s="255" t="s">
        <v>4124</v>
      </c>
      <c r="E23" s="255">
        <v>40000</v>
      </c>
      <c r="F23" s="255">
        <v>125000</v>
      </c>
      <c r="G23" s="255">
        <v>2815000</v>
      </c>
      <c r="H23" s="255">
        <v>100000</v>
      </c>
      <c r="I23" s="254">
        <f t="shared" si="0"/>
        <v>36</v>
      </c>
      <c r="J23" s="254">
        <f t="shared" si="1"/>
        <v>65</v>
      </c>
      <c r="K23" s="254">
        <f t="shared" si="2"/>
        <v>64</v>
      </c>
      <c r="M23" s="255"/>
      <c r="N23" s="255">
        <f t="shared" si="5"/>
        <v>1200000</v>
      </c>
      <c r="O23" s="255">
        <f t="shared" si="6"/>
        <v>1714285.7142857143</v>
      </c>
      <c r="P23" s="255">
        <f t="shared" si="7"/>
        <v>1500000</v>
      </c>
      <c r="Q23" s="255">
        <f t="shared" si="8"/>
        <v>1333333.3333333333</v>
      </c>
      <c r="R23" s="255">
        <f t="shared" si="9"/>
        <v>33780000</v>
      </c>
      <c r="T23" s="255">
        <f t="shared" si="10"/>
        <v>14823500</v>
      </c>
    </row>
    <row r="24" spans="1:22" ht="15">
      <c r="A24" s="254">
        <v>22</v>
      </c>
      <c r="B24" s="254">
        <v>2044</v>
      </c>
      <c r="C24" s="254">
        <v>36</v>
      </c>
      <c r="D24" s="255" t="s">
        <v>4124</v>
      </c>
      <c r="E24" s="255">
        <v>40000</v>
      </c>
      <c r="F24" s="255">
        <v>187500</v>
      </c>
      <c r="G24" s="255">
        <v>2917500</v>
      </c>
      <c r="H24" s="255">
        <v>100000</v>
      </c>
      <c r="I24" s="254">
        <f t="shared" si="0"/>
        <v>37</v>
      </c>
      <c r="J24" s="254">
        <f t="shared" si="1"/>
        <v>66</v>
      </c>
      <c r="K24" s="254">
        <f t="shared" si="2"/>
        <v>65</v>
      </c>
      <c r="M24" s="255"/>
      <c r="N24" s="255">
        <f t="shared" si="5"/>
        <v>1200000</v>
      </c>
      <c r="O24" s="255">
        <f t="shared" si="6"/>
        <v>1714285.7142857143</v>
      </c>
      <c r="P24" s="255">
        <f t="shared" si="7"/>
        <v>1500000</v>
      </c>
      <c r="Q24" s="255">
        <f t="shared" si="8"/>
        <v>1333333.3333333333</v>
      </c>
      <c r="R24" s="255">
        <f t="shared" si="9"/>
        <v>35010000</v>
      </c>
      <c r="T24" s="255">
        <f t="shared" si="10"/>
        <v>16023500</v>
      </c>
    </row>
    <row r="25" spans="1:22" ht="15">
      <c r="A25" s="254">
        <v>23</v>
      </c>
      <c r="B25" s="254">
        <v>2045</v>
      </c>
      <c r="C25" s="254">
        <v>37</v>
      </c>
      <c r="D25" s="255" t="s">
        <v>4124</v>
      </c>
      <c r="E25" s="255">
        <v>40000</v>
      </c>
      <c r="F25" s="255">
        <v>312500</v>
      </c>
      <c r="G25" s="255">
        <v>3082500</v>
      </c>
      <c r="H25" s="255">
        <v>100000</v>
      </c>
      <c r="I25" s="254">
        <f t="shared" si="0"/>
        <v>38</v>
      </c>
      <c r="J25" s="254">
        <f t="shared" si="1"/>
        <v>67</v>
      </c>
      <c r="K25" s="254">
        <f t="shared" si="2"/>
        <v>66</v>
      </c>
      <c r="M25" s="255"/>
      <c r="N25" s="255">
        <f t="shared" si="5"/>
        <v>1200000</v>
      </c>
      <c r="O25" s="255">
        <f t="shared" si="6"/>
        <v>1714285.7142857143</v>
      </c>
      <c r="P25" s="255">
        <f t="shared" si="7"/>
        <v>1500000</v>
      </c>
      <c r="Q25" s="255">
        <f t="shared" si="8"/>
        <v>1333333.3333333333</v>
      </c>
      <c r="R25" s="255">
        <f t="shared" si="9"/>
        <v>36990000</v>
      </c>
      <c r="T25" s="255">
        <f t="shared" si="10"/>
        <v>17223500</v>
      </c>
    </row>
    <row r="26" spans="1:22" ht="15">
      <c r="A26" s="254">
        <v>24</v>
      </c>
      <c r="B26" s="254">
        <v>2046</v>
      </c>
      <c r="C26" s="254">
        <v>38</v>
      </c>
      <c r="D26" s="255" t="s">
        <v>4124</v>
      </c>
      <c r="E26" s="255">
        <v>40000</v>
      </c>
      <c r="F26" s="255">
        <v>437500</v>
      </c>
      <c r="G26" s="255">
        <v>3247500</v>
      </c>
      <c r="H26" s="255">
        <v>100000</v>
      </c>
      <c r="I26" s="254">
        <f t="shared" si="0"/>
        <v>39</v>
      </c>
      <c r="J26" s="254">
        <f t="shared" si="1"/>
        <v>68</v>
      </c>
      <c r="K26" s="254">
        <f t="shared" si="2"/>
        <v>67</v>
      </c>
      <c r="M26" s="255"/>
      <c r="N26" s="255">
        <f t="shared" si="5"/>
        <v>1200000</v>
      </c>
      <c r="O26" s="255">
        <f t="shared" si="6"/>
        <v>1714285.7142857143</v>
      </c>
      <c r="P26" s="255">
        <f t="shared" si="7"/>
        <v>1500000</v>
      </c>
      <c r="Q26" s="255">
        <f t="shared" si="8"/>
        <v>1333333.3333333333</v>
      </c>
      <c r="R26" s="255">
        <f t="shared" si="9"/>
        <v>38970000</v>
      </c>
      <c r="T26" s="255">
        <f t="shared" si="10"/>
        <v>18423500</v>
      </c>
      <c r="U26" s="254" t="s">
        <v>10606</v>
      </c>
    </row>
    <row r="27" spans="1:22" ht="15">
      <c r="A27" s="254">
        <v>25</v>
      </c>
      <c r="B27" s="254">
        <v>2047</v>
      </c>
      <c r="C27" s="254">
        <v>39</v>
      </c>
      <c r="D27" s="255" t="s">
        <v>4124</v>
      </c>
      <c r="E27" s="255">
        <v>40000</v>
      </c>
      <c r="F27" s="255">
        <v>562500</v>
      </c>
      <c r="G27" s="255">
        <v>3412500</v>
      </c>
      <c r="H27" s="255">
        <v>100000</v>
      </c>
      <c r="I27" s="254">
        <f t="shared" si="0"/>
        <v>40</v>
      </c>
      <c r="J27" s="254">
        <f t="shared" si="1"/>
        <v>69</v>
      </c>
      <c r="K27" s="254">
        <f t="shared" si="2"/>
        <v>68</v>
      </c>
      <c r="L27" s="261">
        <v>1</v>
      </c>
      <c r="M27" s="260">
        <f>G27</f>
        <v>3412500</v>
      </c>
      <c r="N27" s="260">
        <f t="shared" ref="N27:N42" si="11">H27*(12-L27)+M27</f>
        <v>4512500</v>
      </c>
      <c r="O27" s="260">
        <f t="shared" si="6"/>
        <v>6446428.5714285718</v>
      </c>
      <c r="P27" s="260">
        <f t="shared" si="7"/>
        <v>5640625</v>
      </c>
      <c r="Q27" s="260">
        <f t="shared" si="8"/>
        <v>5013888.888888889</v>
      </c>
      <c r="R27" s="260">
        <f t="shared" si="9"/>
        <v>40950000</v>
      </c>
      <c r="S27" s="261"/>
      <c r="T27" s="260">
        <f t="shared" si="10"/>
        <v>22936000</v>
      </c>
      <c r="U27" s="258">
        <f>SUM(N27:N30)/4</f>
        <v>1953125</v>
      </c>
      <c r="V27" s="258">
        <f>N27-U27</f>
        <v>2559375</v>
      </c>
    </row>
    <row r="28" spans="1:22" ht="15">
      <c r="A28" s="254">
        <v>26</v>
      </c>
      <c r="B28" s="254">
        <v>2048</v>
      </c>
      <c r="C28" s="254">
        <v>40</v>
      </c>
      <c r="D28" s="255" t="s">
        <v>4124</v>
      </c>
      <c r="E28" s="255">
        <v>40000</v>
      </c>
      <c r="F28" s="255">
        <v>687500</v>
      </c>
      <c r="G28" s="255">
        <v>3577500</v>
      </c>
      <c r="H28" s="255">
        <v>100000</v>
      </c>
      <c r="I28" s="254">
        <f t="shared" si="0"/>
        <v>41</v>
      </c>
      <c r="J28" s="254">
        <f t="shared" si="1"/>
        <v>70</v>
      </c>
      <c r="K28" s="254">
        <f t="shared" si="2"/>
        <v>69</v>
      </c>
      <c r="L28" s="254">
        <v>1</v>
      </c>
      <c r="M28" s="255"/>
      <c r="N28" s="255">
        <f t="shared" si="11"/>
        <v>1100000</v>
      </c>
      <c r="O28" s="255">
        <f t="shared" si="6"/>
        <v>1571428.5714285714</v>
      </c>
      <c r="P28" s="255">
        <f>(O28*100)/80</f>
        <v>1964285.7142857141</v>
      </c>
      <c r="Q28" s="255">
        <f>(P28*100)/90</f>
        <v>2182539.6825396824</v>
      </c>
      <c r="R28" s="255">
        <f t="shared" si="9"/>
        <v>42930000</v>
      </c>
      <c r="T28" s="255">
        <f>T27+N28</f>
        <v>24036000</v>
      </c>
      <c r="U28" s="258">
        <f>U27</f>
        <v>1953125</v>
      </c>
      <c r="V28" s="258">
        <f>V27+N28-U28</f>
        <v>1706250</v>
      </c>
    </row>
    <row r="29" spans="1:22" ht="15">
      <c r="A29" s="254">
        <v>27</v>
      </c>
      <c r="B29" s="254">
        <v>2049</v>
      </c>
      <c r="C29" s="254">
        <v>41</v>
      </c>
      <c r="D29" s="255" t="s">
        <v>4124</v>
      </c>
      <c r="E29" s="255">
        <v>40000</v>
      </c>
      <c r="F29" s="255">
        <v>837500</v>
      </c>
      <c r="G29" s="255">
        <v>3767500</v>
      </c>
      <c r="H29" s="255">
        <v>100000</v>
      </c>
      <c r="I29" s="254">
        <f t="shared" si="0"/>
        <v>42</v>
      </c>
      <c r="J29" s="254">
        <f t="shared" si="1"/>
        <v>71</v>
      </c>
      <c r="K29" s="254">
        <f t="shared" si="2"/>
        <v>70</v>
      </c>
      <c r="L29" s="254">
        <v>1</v>
      </c>
      <c r="M29" s="255"/>
      <c r="N29" s="255">
        <f t="shared" si="11"/>
        <v>1100000</v>
      </c>
      <c r="O29" s="255">
        <f t="shared" si="6"/>
        <v>1571428.5714285714</v>
      </c>
      <c r="P29" s="255">
        <f>(N29*100)/80</f>
        <v>1375000</v>
      </c>
      <c r="Q29" s="255">
        <f>(N29*100)/90</f>
        <v>1222222.2222222222</v>
      </c>
      <c r="R29" s="255">
        <f t="shared" si="9"/>
        <v>45210000</v>
      </c>
      <c r="T29" s="255">
        <f t="shared" si="10"/>
        <v>25136000</v>
      </c>
      <c r="U29" s="258">
        <f>U28</f>
        <v>1953125</v>
      </c>
      <c r="V29" s="258">
        <f>V28+N29-U29</f>
        <v>853125</v>
      </c>
    </row>
    <row r="30" spans="1:22" ht="15">
      <c r="A30" s="254">
        <v>28</v>
      </c>
      <c r="B30" s="254">
        <v>2050</v>
      </c>
      <c r="C30" s="254">
        <v>42</v>
      </c>
      <c r="D30" s="255" t="s">
        <v>4124</v>
      </c>
      <c r="E30" s="255">
        <v>40000</v>
      </c>
      <c r="F30" s="255">
        <v>987500</v>
      </c>
      <c r="G30" s="255">
        <v>3957500</v>
      </c>
      <c r="H30" s="255">
        <v>100000</v>
      </c>
      <c r="I30" s="254">
        <f t="shared" si="0"/>
        <v>43</v>
      </c>
      <c r="J30" s="254">
        <f t="shared" si="1"/>
        <v>72</v>
      </c>
      <c r="K30" s="254">
        <f t="shared" si="2"/>
        <v>71</v>
      </c>
      <c r="L30" s="254">
        <v>1</v>
      </c>
      <c r="M30" s="255"/>
      <c r="N30" s="255">
        <f t="shared" si="11"/>
        <v>1100000</v>
      </c>
      <c r="O30" s="255">
        <f t="shared" si="6"/>
        <v>1571428.5714285714</v>
      </c>
      <c r="P30" s="255">
        <f>(N30*100)/80</f>
        <v>1375000</v>
      </c>
      <c r="Q30" s="255">
        <f>(N30*100)/90</f>
        <v>1222222.2222222222</v>
      </c>
      <c r="R30" s="255">
        <f t="shared" si="9"/>
        <v>47490000</v>
      </c>
      <c r="T30" s="255">
        <f t="shared" si="10"/>
        <v>26236000</v>
      </c>
      <c r="U30" s="258">
        <f>U29</f>
        <v>1953125</v>
      </c>
      <c r="V30" s="258">
        <f>V29+N30-U30</f>
        <v>0</v>
      </c>
    </row>
    <row r="31" spans="1:22" ht="15">
      <c r="A31" s="254">
        <v>29</v>
      </c>
      <c r="B31" s="254">
        <v>2051</v>
      </c>
      <c r="C31" s="254">
        <v>43</v>
      </c>
      <c r="D31" s="255" t="s">
        <v>4124</v>
      </c>
      <c r="E31" s="255">
        <v>40000</v>
      </c>
      <c r="F31" s="255">
        <v>1137500</v>
      </c>
      <c r="G31" s="255">
        <v>4147500</v>
      </c>
      <c r="H31" s="255">
        <v>100000</v>
      </c>
      <c r="I31" s="254">
        <f t="shared" si="0"/>
        <v>44</v>
      </c>
      <c r="J31" s="254">
        <f t="shared" si="1"/>
        <v>73</v>
      </c>
      <c r="K31" s="254">
        <f t="shared" si="2"/>
        <v>72</v>
      </c>
      <c r="L31" s="261">
        <v>2</v>
      </c>
      <c r="M31" s="260">
        <f>G31</f>
        <v>4147500</v>
      </c>
      <c r="N31" s="260">
        <f t="shared" si="11"/>
        <v>5147500</v>
      </c>
      <c r="O31" s="260">
        <f t="shared" si="6"/>
        <v>7353571.4285714282</v>
      </c>
      <c r="P31" s="260">
        <f>(N31*100)/80</f>
        <v>6434375</v>
      </c>
      <c r="Q31" s="260">
        <f>(N31*100)/90</f>
        <v>5719444.444444444</v>
      </c>
      <c r="R31" s="260">
        <f t="shared" si="9"/>
        <v>49770000</v>
      </c>
      <c r="S31" s="261"/>
      <c r="T31" s="260">
        <f t="shared" si="10"/>
        <v>31383500</v>
      </c>
      <c r="U31" s="258">
        <f>SUM(N31:N34)/4</f>
        <v>2036875</v>
      </c>
      <c r="V31" s="258">
        <f>N31-U31</f>
        <v>3110625</v>
      </c>
    </row>
    <row r="32" spans="1:22" ht="15">
      <c r="A32" s="254">
        <v>30</v>
      </c>
      <c r="B32" s="254">
        <v>2052</v>
      </c>
      <c r="C32" s="254">
        <v>44</v>
      </c>
      <c r="D32" s="255" t="s">
        <v>4124</v>
      </c>
      <c r="E32" s="255">
        <v>40000</v>
      </c>
      <c r="F32" s="255">
        <v>1375000</v>
      </c>
      <c r="G32" s="255">
        <v>4425000</v>
      </c>
      <c r="H32" s="255">
        <v>100000</v>
      </c>
      <c r="I32" s="254">
        <f t="shared" si="0"/>
        <v>45</v>
      </c>
      <c r="J32" s="254">
        <f t="shared" si="1"/>
        <v>74</v>
      </c>
      <c r="K32" s="254">
        <f t="shared" si="2"/>
        <v>73</v>
      </c>
      <c r="L32" s="254">
        <v>2</v>
      </c>
      <c r="M32" s="255"/>
      <c r="N32" s="255">
        <f t="shared" si="11"/>
        <v>1000000</v>
      </c>
      <c r="O32" s="255">
        <f t="shared" si="6"/>
        <v>1428571.4285714286</v>
      </c>
      <c r="P32" s="255">
        <f>(O32*100)/80</f>
        <v>1785714.2857142859</v>
      </c>
      <c r="Q32" s="255">
        <f>(P32*100)/90</f>
        <v>1984126.9841269844</v>
      </c>
      <c r="R32" s="255">
        <f t="shared" si="9"/>
        <v>53100000</v>
      </c>
      <c r="T32" s="255">
        <f t="shared" si="10"/>
        <v>32383500</v>
      </c>
      <c r="U32" s="258">
        <f>U31</f>
        <v>2036875</v>
      </c>
      <c r="V32" s="258">
        <f>V31+N32-U32</f>
        <v>2073750</v>
      </c>
    </row>
    <row r="33" spans="1:22" ht="15">
      <c r="A33" s="254">
        <v>31</v>
      </c>
      <c r="B33" s="254">
        <v>2053</v>
      </c>
      <c r="C33" s="254">
        <v>45</v>
      </c>
      <c r="D33" s="255" t="s">
        <v>4124</v>
      </c>
      <c r="E33" s="255">
        <v>40000</v>
      </c>
      <c r="F33" s="255">
        <v>1625000</v>
      </c>
      <c r="G33" s="255">
        <v>4715000</v>
      </c>
      <c r="H33" s="255">
        <v>100000</v>
      </c>
      <c r="I33" s="254">
        <f t="shared" si="0"/>
        <v>46</v>
      </c>
      <c r="J33" s="254">
        <f t="shared" si="1"/>
        <v>75</v>
      </c>
      <c r="K33" s="254">
        <f t="shared" si="2"/>
        <v>74</v>
      </c>
      <c r="L33" s="254">
        <v>2</v>
      </c>
      <c r="M33" s="255"/>
      <c r="N33" s="255">
        <f t="shared" si="11"/>
        <v>1000000</v>
      </c>
      <c r="O33" s="255">
        <f t="shared" si="6"/>
        <v>1428571.4285714286</v>
      </c>
      <c r="P33" s="255">
        <f>(N33*100)/80</f>
        <v>1250000</v>
      </c>
      <c r="Q33" s="255">
        <f>(N33*100)/90</f>
        <v>1111111.111111111</v>
      </c>
      <c r="R33" s="255">
        <f t="shared" si="9"/>
        <v>56580000</v>
      </c>
      <c r="T33" s="255">
        <f t="shared" si="10"/>
        <v>33383500</v>
      </c>
      <c r="U33" s="258">
        <f>U32</f>
        <v>2036875</v>
      </c>
      <c r="V33" s="258">
        <f>V32+N33-U33</f>
        <v>1036875</v>
      </c>
    </row>
    <row r="34" spans="1:22" ht="15">
      <c r="A34" s="254">
        <v>32</v>
      </c>
      <c r="B34" s="254">
        <v>2054</v>
      </c>
      <c r="C34" s="254">
        <v>46</v>
      </c>
      <c r="D34" s="255" t="s">
        <v>4124</v>
      </c>
      <c r="E34" s="255">
        <v>40000</v>
      </c>
      <c r="F34" s="255">
        <v>1937500</v>
      </c>
      <c r="G34" s="255">
        <v>5067500</v>
      </c>
      <c r="H34" s="255">
        <v>100000</v>
      </c>
      <c r="I34" s="254">
        <f t="shared" si="0"/>
        <v>47</v>
      </c>
      <c r="J34" s="254">
        <f t="shared" si="1"/>
        <v>76</v>
      </c>
      <c r="K34" s="254">
        <f t="shared" si="2"/>
        <v>75</v>
      </c>
      <c r="L34" s="254">
        <v>2</v>
      </c>
      <c r="M34" s="255"/>
      <c r="N34" s="255">
        <f t="shared" si="11"/>
        <v>1000000</v>
      </c>
      <c r="O34" s="255">
        <f t="shared" si="6"/>
        <v>1428571.4285714286</v>
      </c>
      <c r="P34" s="255">
        <f>(N34*100)/80</f>
        <v>1250000</v>
      </c>
      <c r="Q34" s="255">
        <f>(N34*100)/90</f>
        <v>1111111.111111111</v>
      </c>
      <c r="R34" s="255">
        <f t="shared" si="9"/>
        <v>60810000</v>
      </c>
      <c r="S34" s="254" t="s">
        <v>10607</v>
      </c>
      <c r="T34" s="255">
        <f t="shared" si="10"/>
        <v>34383500</v>
      </c>
      <c r="U34" s="258">
        <f>U33</f>
        <v>2036875</v>
      </c>
      <c r="V34" s="258">
        <f>V33+N34-U34</f>
        <v>0</v>
      </c>
    </row>
    <row r="35" spans="1:22" ht="15">
      <c r="A35" s="254">
        <v>33</v>
      </c>
      <c r="B35" s="254">
        <v>2055</v>
      </c>
      <c r="C35" s="254">
        <v>47</v>
      </c>
      <c r="D35" s="255" t="s">
        <v>4124</v>
      </c>
      <c r="E35" s="255">
        <v>40000</v>
      </c>
      <c r="F35" s="255">
        <v>2250000</v>
      </c>
      <c r="G35" s="255">
        <v>5420000</v>
      </c>
      <c r="H35" s="255">
        <v>100000</v>
      </c>
      <c r="I35" s="254">
        <f t="shared" si="0"/>
        <v>48</v>
      </c>
      <c r="J35" s="254">
        <f t="shared" si="1"/>
        <v>77</v>
      </c>
      <c r="K35" s="254">
        <f t="shared" si="2"/>
        <v>76</v>
      </c>
      <c r="L35" s="261">
        <v>2</v>
      </c>
      <c r="M35" s="260">
        <f>S35</f>
        <v>4875000</v>
      </c>
      <c r="N35" s="260">
        <f t="shared" si="11"/>
        <v>5875000</v>
      </c>
      <c r="O35" s="260">
        <f t="shared" si="6"/>
        <v>8392857.1428571437</v>
      </c>
      <c r="P35" s="260">
        <f>(N35*100)/80</f>
        <v>7343750</v>
      </c>
      <c r="Q35" s="260">
        <f>(N35*100)/90</f>
        <v>6527777.777777778</v>
      </c>
      <c r="R35" s="260">
        <f t="shared" si="9"/>
        <v>65040000</v>
      </c>
      <c r="S35" s="260">
        <v>4875000</v>
      </c>
      <c r="T35" s="262">
        <f t="shared" si="10"/>
        <v>40258500</v>
      </c>
      <c r="U35" s="258">
        <f>SUM(N35:N38)/4</f>
        <v>2218750</v>
      </c>
      <c r="V35" s="258">
        <f>N35-U35</f>
        <v>3656250</v>
      </c>
    </row>
    <row r="36" spans="1:22" ht="15">
      <c r="A36" s="254">
        <v>34</v>
      </c>
      <c r="B36" s="254">
        <v>2056</v>
      </c>
      <c r="C36" s="254">
        <v>48</v>
      </c>
      <c r="D36" s="255" t="s">
        <v>4124</v>
      </c>
      <c r="E36" s="255">
        <v>40000</v>
      </c>
      <c r="F36" s="255">
        <v>2562500</v>
      </c>
      <c r="G36" s="255">
        <v>5772500</v>
      </c>
      <c r="H36" s="255">
        <v>100000</v>
      </c>
      <c r="I36" s="254">
        <f t="shared" si="0"/>
        <v>49</v>
      </c>
      <c r="J36" s="254">
        <f t="shared" si="1"/>
        <v>78</v>
      </c>
      <c r="K36" s="254">
        <f t="shared" si="2"/>
        <v>77</v>
      </c>
      <c r="L36" s="254">
        <v>2</v>
      </c>
      <c r="M36" s="255"/>
      <c r="N36" s="255">
        <f t="shared" si="11"/>
        <v>1000000</v>
      </c>
      <c r="O36" s="255">
        <f t="shared" si="6"/>
        <v>1428571.4285714286</v>
      </c>
      <c r="P36" s="255">
        <f>(O36*100)/80</f>
        <v>1785714.2857142859</v>
      </c>
      <c r="Q36" s="255">
        <f>(P36*100)/90</f>
        <v>1984126.9841269844</v>
      </c>
      <c r="R36" s="255">
        <f t="shared" si="9"/>
        <v>69270000</v>
      </c>
      <c r="S36" s="317" t="s">
        <v>12509</v>
      </c>
      <c r="T36" s="255">
        <f t="shared" si="10"/>
        <v>41258500</v>
      </c>
      <c r="U36" s="258">
        <f>U35</f>
        <v>2218750</v>
      </c>
      <c r="V36" s="258">
        <f>V35+N36-U36</f>
        <v>2437500</v>
      </c>
    </row>
    <row r="37" spans="1:22" ht="15">
      <c r="A37" s="254">
        <v>35</v>
      </c>
      <c r="B37" s="254">
        <v>2057</v>
      </c>
      <c r="C37" s="254">
        <v>49</v>
      </c>
      <c r="D37" s="255" t="s">
        <v>4124</v>
      </c>
      <c r="E37" s="255">
        <v>40000</v>
      </c>
      <c r="F37" s="255">
        <v>2875000</v>
      </c>
      <c r="G37" s="255">
        <v>6125000</v>
      </c>
      <c r="H37" s="255">
        <v>100000</v>
      </c>
      <c r="I37" s="254">
        <f t="shared" si="0"/>
        <v>50</v>
      </c>
      <c r="J37" s="254">
        <f t="shared" si="1"/>
        <v>79</v>
      </c>
      <c r="K37" s="254">
        <f t="shared" si="2"/>
        <v>78</v>
      </c>
      <c r="L37" s="254">
        <v>2</v>
      </c>
      <c r="M37" s="255"/>
      <c r="N37" s="255">
        <f t="shared" si="11"/>
        <v>1000000</v>
      </c>
      <c r="O37" s="255">
        <f t="shared" si="6"/>
        <v>1428571.4285714286</v>
      </c>
      <c r="P37" s="255">
        <f>(N37*100)/80</f>
        <v>1250000</v>
      </c>
      <c r="Q37" s="255">
        <f>(N37*100)/90</f>
        <v>1111111.111111111</v>
      </c>
      <c r="R37" s="255">
        <f t="shared" si="9"/>
        <v>73500000</v>
      </c>
      <c r="S37" s="255"/>
      <c r="T37" s="255">
        <f t="shared" si="10"/>
        <v>42258500</v>
      </c>
      <c r="U37" s="258">
        <f>U36</f>
        <v>2218750</v>
      </c>
      <c r="V37" s="258">
        <f>V36+N37-U37</f>
        <v>1218750</v>
      </c>
    </row>
    <row r="38" spans="1:22" ht="15">
      <c r="A38" s="254">
        <v>36</v>
      </c>
      <c r="B38" s="254">
        <v>2058</v>
      </c>
      <c r="C38" s="254">
        <v>50</v>
      </c>
      <c r="D38" s="255" t="s">
        <v>4124</v>
      </c>
      <c r="E38" s="255">
        <v>40000</v>
      </c>
      <c r="F38" s="255">
        <v>3187500</v>
      </c>
      <c r="G38" s="255">
        <v>6477500</v>
      </c>
      <c r="H38" s="255">
        <v>100000</v>
      </c>
      <c r="I38" s="254">
        <f t="shared" si="0"/>
        <v>51</v>
      </c>
      <c r="J38" s="254">
        <f t="shared" si="1"/>
        <v>80</v>
      </c>
      <c r="K38" s="254">
        <f t="shared" si="2"/>
        <v>79</v>
      </c>
      <c r="L38" s="254">
        <v>2</v>
      </c>
      <c r="M38" s="255"/>
      <c r="N38" s="255">
        <f t="shared" si="11"/>
        <v>1000000</v>
      </c>
      <c r="O38" s="255">
        <f t="shared" si="6"/>
        <v>1428571.4285714286</v>
      </c>
      <c r="P38" s="255">
        <f>(N38*100)/80</f>
        <v>1250000</v>
      </c>
      <c r="Q38" s="255">
        <f>(N38*100)/90</f>
        <v>1111111.111111111</v>
      </c>
      <c r="R38" s="255">
        <f t="shared" si="9"/>
        <v>77730000</v>
      </c>
      <c r="S38" s="255"/>
      <c r="T38" s="255">
        <f t="shared" si="10"/>
        <v>43258500</v>
      </c>
      <c r="U38" s="258">
        <f>U37</f>
        <v>2218750</v>
      </c>
      <c r="V38" s="258">
        <f>V37+N38-U38</f>
        <v>0</v>
      </c>
    </row>
    <row r="39" spans="1:22" ht="15">
      <c r="A39" s="254">
        <v>37</v>
      </c>
      <c r="B39" s="254">
        <v>2059</v>
      </c>
      <c r="C39" s="254">
        <v>51</v>
      </c>
      <c r="D39" s="255" t="s">
        <v>4124</v>
      </c>
      <c r="E39" s="255">
        <v>40000</v>
      </c>
      <c r="F39" s="255">
        <v>3500000</v>
      </c>
      <c r="G39" s="255">
        <v>6830000</v>
      </c>
      <c r="H39" s="255">
        <v>100000</v>
      </c>
      <c r="I39" s="254">
        <f t="shared" si="0"/>
        <v>52</v>
      </c>
      <c r="J39" s="254">
        <f t="shared" si="1"/>
        <v>81</v>
      </c>
      <c r="K39" s="254">
        <f t="shared" si="2"/>
        <v>80</v>
      </c>
      <c r="L39" s="261">
        <v>3</v>
      </c>
      <c r="M39" s="260">
        <f>G39</f>
        <v>6830000</v>
      </c>
      <c r="N39" s="260">
        <f t="shared" si="11"/>
        <v>7730000</v>
      </c>
      <c r="O39" s="260">
        <f t="shared" si="6"/>
        <v>11042857.142857144</v>
      </c>
      <c r="P39" s="260">
        <f>(N39*100)/80</f>
        <v>9662500</v>
      </c>
      <c r="Q39" s="260">
        <f>(N39*100)/90</f>
        <v>8588888.8888888881</v>
      </c>
      <c r="R39" s="260">
        <f t="shared" si="9"/>
        <v>81960000</v>
      </c>
      <c r="S39" s="260"/>
      <c r="T39" s="260">
        <f t="shared" si="10"/>
        <v>50988500</v>
      </c>
      <c r="U39" s="258">
        <f>SUM(N39:N42)/4</f>
        <v>2607500</v>
      </c>
      <c r="V39" s="258">
        <f>N39-U39</f>
        <v>5122500</v>
      </c>
    </row>
    <row r="40" spans="1:22" ht="15">
      <c r="A40" s="254">
        <v>38</v>
      </c>
      <c r="B40" s="254">
        <v>2060</v>
      </c>
      <c r="C40" s="254">
        <v>52</v>
      </c>
      <c r="D40" s="255" t="s">
        <v>4124</v>
      </c>
      <c r="E40" s="255">
        <v>40000</v>
      </c>
      <c r="F40" s="255">
        <v>3812500</v>
      </c>
      <c r="G40" s="255">
        <v>7182500</v>
      </c>
      <c r="H40" s="255">
        <v>100000</v>
      </c>
      <c r="I40" s="254">
        <f t="shared" si="0"/>
        <v>53</v>
      </c>
      <c r="J40" s="254">
        <f t="shared" si="1"/>
        <v>82</v>
      </c>
      <c r="K40" s="254">
        <f t="shared" si="2"/>
        <v>81</v>
      </c>
      <c r="L40" s="254">
        <v>3</v>
      </c>
      <c r="M40" s="255"/>
      <c r="N40" s="255">
        <f t="shared" si="11"/>
        <v>900000</v>
      </c>
      <c r="O40" s="255">
        <f t="shared" si="6"/>
        <v>1285714.2857142857</v>
      </c>
      <c r="P40" s="255">
        <f>(O40*100)/80</f>
        <v>1607142.857142857</v>
      </c>
      <c r="Q40" s="255">
        <f>(P40*100)/90</f>
        <v>1785714.2857142857</v>
      </c>
      <c r="R40" s="255">
        <f t="shared" si="9"/>
        <v>86190000</v>
      </c>
      <c r="S40" s="255"/>
      <c r="T40" s="255">
        <f t="shared" si="10"/>
        <v>51888500</v>
      </c>
      <c r="U40" s="258">
        <f>U39</f>
        <v>2607500</v>
      </c>
      <c r="V40" s="258">
        <f>V39+N40-U40</f>
        <v>3415000</v>
      </c>
    </row>
    <row r="41" spans="1:22" ht="15">
      <c r="A41" s="254">
        <v>39</v>
      </c>
      <c r="B41" s="254">
        <v>2061</v>
      </c>
      <c r="C41" s="254">
        <v>53</v>
      </c>
      <c r="D41" s="255" t="s">
        <v>4124</v>
      </c>
      <c r="E41" s="255">
        <v>40000</v>
      </c>
      <c r="F41" s="255">
        <v>4125000</v>
      </c>
      <c r="G41" s="255">
        <v>7535000</v>
      </c>
      <c r="H41" s="255">
        <v>100000</v>
      </c>
      <c r="I41" s="254">
        <f t="shared" si="0"/>
        <v>54</v>
      </c>
      <c r="J41" s="254">
        <f t="shared" si="1"/>
        <v>83</v>
      </c>
      <c r="K41" s="254">
        <f t="shared" si="2"/>
        <v>82</v>
      </c>
      <c r="L41" s="254">
        <v>3</v>
      </c>
      <c r="M41" s="255"/>
      <c r="N41" s="255">
        <f t="shared" si="11"/>
        <v>900000</v>
      </c>
      <c r="O41" s="255">
        <f t="shared" si="6"/>
        <v>1285714.2857142857</v>
      </c>
      <c r="P41" s="255">
        <f>(N41*100)/80</f>
        <v>1125000</v>
      </c>
      <c r="Q41" s="255">
        <f>(N41*100)/90</f>
        <v>1000000</v>
      </c>
      <c r="R41" s="255">
        <f t="shared" si="9"/>
        <v>90420000</v>
      </c>
      <c r="S41" s="255"/>
      <c r="T41" s="255">
        <f t="shared" si="10"/>
        <v>52788500</v>
      </c>
      <c r="U41" s="258">
        <f>U40</f>
        <v>2607500</v>
      </c>
      <c r="V41" s="258">
        <f>V40+N41-U41</f>
        <v>1707500</v>
      </c>
    </row>
    <row r="42" spans="1:22" ht="15">
      <c r="A42" s="254">
        <v>40</v>
      </c>
      <c r="B42" s="254">
        <v>2062</v>
      </c>
      <c r="C42" s="254">
        <v>54</v>
      </c>
      <c r="D42" s="255" t="s">
        <v>4124</v>
      </c>
      <c r="E42" s="255">
        <v>40000</v>
      </c>
      <c r="F42" s="255">
        <v>4437500</v>
      </c>
      <c r="G42" s="255">
        <v>7887500</v>
      </c>
      <c r="H42" s="255">
        <v>100000</v>
      </c>
      <c r="I42" s="254">
        <f t="shared" si="0"/>
        <v>55</v>
      </c>
      <c r="J42" s="254">
        <f t="shared" si="1"/>
        <v>84</v>
      </c>
      <c r="K42" s="254">
        <f t="shared" si="2"/>
        <v>83</v>
      </c>
      <c r="L42" s="254">
        <v>3</v>
      </c>
      <c r="M42" s="255"/>
      <c r="N42" s="255">
        <f t="shared" si="11"/>
        <v>900000</v>
      </c>
      <c r="O42" s="255">
        <f t="shared" si="6"/>
        <v>1285714.2857142857</v>
      </c>
      <c r="P42" s="255">
        <f>(N42*100)/80</f>
        <v>1125000</v>
      </c>
      <c r="Q42" s="255">
        <f>(N42*100)/90</f>
        <v>1000000</v>
      </c>
      <c r="R42" s="255">
        <f t="shared" si="9"/>
        <v>94650000</v>
      </c>
      <c r="S42" s="255"/>
      <c r="T42" s="255">
        <f t="shared" si="10"/>
        <v>53688500</v>
      </c>
      <c r="U42" s="258">
        <f>U41</f>
        <v>2607500</v>
      </c>
      <c r="V42" s="258">
        <f>V41+N42-U42</f>
        <v>0</v>
      </c>
    </row>
    <row r="43" spans="1:22" ht="15">
      <c r="A43" s="254">
        <v>41</v>
      </c>
      <c r="B43" s="254">
        <v>2063</v>
      </c>
      <c r="C43" s="254">
        <v>55</v>
      </c>
      <c r="D43" s="255" t="s">
        <v>4124</v>
      </c>
      <c r="E43" s="255">
        <v>40000</v>
      </c>
      <c r="F43" s="255">
        <v>4437500</v>
      </c>
      <c r="G43" s="255">
        <v>7927500</v>
      </c>
      <c r="H43" s="255">
        <v>100000</v>
      </c>
      <c r="I43" s="254">
        <f t="shared" si="0"/>
        <v>56</v>
      </c>
      <c r="J43" s="254">
        <f t="shared" si="1"/>
        <v>85</v>
      </c>
      <c r="K43" s="254">
        <f t="shared" si="2"/>
        <v>84</v>
      </c>
      <c r="L43" s="261">
        <v>4</v>
      </c>
      <c r="M43" s="260">
        <f>G43</f>
        <v>7927500</v>
      </c>
      <c r="N43" s="260">
        <f t="shared" ref="N43:N75" si="12">H43*(12-L43)+M43</f>
        <v>8727500</v>
      </c>
      <c r="O43" s="260">
        <f t="shared" si="6"/>
        <v>12467857.142857144</v>
      </c>
      <c r="P43" s="260">
        <f>(N43*100)/80</f>
        <v>10909375</v>
      </c>
      <c r="Q43" s="260">
        <f>(N43*100)/90</f>
        <v>9697222.222222222</v>
      </c>
      <c r="R43" s="260">
        <f t="shared" si="9"/>
        <v>95130000</v>
      </c>
      <c r="S43" s="260"/>
      <c r="T43" s="260">
        <f t="shared" si="10"/>
        <v>62416000</v>
      </c>
      <c r="U43" s="258">
        <f>SUM(N43:N46)/4</f>
        <v>2781875</v>
      </c>
      <c r="V43" s="258">
        <f>N43-U43</f>
        <v>5945625</v>
      </c>
    </row>
    <row r="44" spans="1:22" ht="15">
      <c r="A44" s="254">
        <v>42</v>
      </c>
      <c r="B44" s="254">
        <v>2064</v>
      </c>
      <c r="C44" s="254">
        <v>56</v>
      </c>
      <c r="D44" s="255" t="s">
        <v>4124</v>
      </c>
      <c r="E44" s="255">
        <v>40000</v>
      </c>
      <c r="F44" s="255">
        <v>4437500</v>
      </c>
      <c r="G44" s="255">
        <v>7967500</v>
      </c>
      <c r="H44" s="255">
        <v>100000</v>
      </c>
      <c r="I44" s="254">
        <f t="shared" si="0"/>
        <v>57</v>
      </c>
      <c r="J44" s="254">
        <f t="shared" si="1"/>
        <v>86</v>
      </c>
      <c r="K44" s="254">
        <f t="shared" si="2"/>
        <v>85</v>
      </c>
      <c r="L44" s="254">
        <v>4</v>
      </c>
      <c r="M44" s="255"/>
      <c r="N44" s="255">
        <f t="shared" si="12"/>
        <v>800000</v>
      </c>
      <c r="O44" s="255">
        <f t="shared" si="6"/>
        <v>1142857.142857143</v>
      </c>
      <c r="P44" s="255">
        <f>(O44*100)/80</f>
        <v>1428571.4285714286</v>
      </c>
      <c r="Q44" s="255">
        <f>(P44*100)/90</f>
        <v>1587301.5873015875</v>
      </c>
      <c r="R44" s="255">
        <f t="shared" si="9"/>
        <v>95610000</v>
      </c>
      <c r="S44" s="255"/>
      <c r="T44" s="255">
        <f t="shared" si="10"/>
        <v>63216000</v>
      </c>
      <c r="U44" s="258">
        <f>U43</f>
        <v>2781875</v>
      </c>
      <c r="V44" s="258">
        <f>V43+N44-U44</f>
        <v>3963750</v>
      </c>
    </row>
    <row r="45" spans="1:22" ht="15">
      <c r="A45" s="254">
        <v>43</v>
      </c>
      <c r="B45" s="254">
        <v>2065</v>
      </c>
      <c r="C45" s="254">
        <v>57</v>
      </c>
      <c r="D45" s="255" t="s">
        <v>4124</v>
      </c>
      <c r="E45" s="255">
        <v>40000</v>
      </c>
      <c r="F45" s="255">
        <v>4437500</v>
      </c>
      <c r="G45" s="255">
        <v>8007500</v>
      </c>
      <c r="H45" s="255">
        <v>100000</v>
      </c>
      <c r="I45" s="254">
        <f t="shared" si="0"/>
        <v>58</v>
      </c>
      <c r="J45" s="254">
        <f t="shared" si="1"/>
        <v>87</v>
      </c>
      <c r="K45" s="254">
        <f t="shared" si="2"/>
        <v>86</v>
      </c>
      <c r="L45" s="254">
        <v>4</v>
      </c>
      <c r="M45" s="255"/>
      <c r="N45" s="255">
        <f t="shared" si="12"/>
        <v>800000</v>
      </c>
      <c r="O45" s="255">
        <f t="shared" si="6"/>
        <v>1142857.142857143</v>
      </c>
      <c r="P45" s="255">
        <f>(N45*100)/80</f>
        <v>1000000</v>
      </c>
      <c r="Q45" s="255">
        <f>(N45*100)/90</f>
        <v>888888.88888888888</v>
      </c>
      <c r="R45" s="255">
        <f t="shared" si="9"/>
        <v>96090000</v>
      </c>
      <c r="S45" s="255"/>
      <c r="T45" s="255">
        <f t="shared" si="10"/>
        <v>64016000</v>
      </c>
      <c r="U45" s="258">
        <f>U44</f>
        <v>2781875</v>
      </c>
      <c r="V45" s="258">
        <f>V44+N45-U45</f>
        <v>1981875</v>
      </c>
    </row>
    <row r="46" spans="1:22" ht="15">
      <c r="A46" s="254">
        <v>44</v>
      </c>
      <c r="B46" s="254">
        <v>2066</v>
      </c>
      <c r="C46" s="254">
        <v>58</v>
      </c>
      <c r="D46" s="255" t="s">
        <v>4124</v>
      </c>
      <c r="E46" s="255">
        <v>40000</v>
      </c>
      <c r="F46" s="255">
        <v>4437500</v>
      </c>
      <c r="G46" s="255">
        <v>8047500</v>
      </c>
      <c r="H46" s="255">
        <v>100000</v>
      </c>
      <c r="I46" s="254">
        <f t="shared" si="0"/>
        <v>59</v>
      </c>
      <c r="J46" s="254">
        <f t="shared" si="1"/>
        <v>88</v>
      </c>
      <c r="K46" s="254">
        <f t="shared" si="2"/>
        <v>87</v>
      </c>
      <c r="L46" s="254">
        <v>4</v>
      </c>
      <c r="M46" s="255"/>
      <c r="N46" s="255">
        <f t="shared" si="12"/>
        <v>800000</v>
      </c>
      <c r="O46" s="255">
        <f t="shared" si="6"/>
        <v>1142857.142857143</v>
      </c>
      <c r="P46" s="255">
        <f>(N46*100)/80</f>
        <v>1000000</v>
      </c>
      <c r="Q46" s="255">
        <f>(N46*100)/90</f>
        <v>888888.88888888888</v>
      </c>
      <c r="R46" s="255">
        <f t="shared" si="9"/>
        <v>96570000</v>
      </c>
      <c r="S46" s="255"/>
      <c r="T46" s="255">
        <f t="shared" si="10"/>
        <v>64816000</v>
      </c>
      <c r="U46" s="258">
        <f>U45</f>
        <v>2781875</v>
      </c>
      <c r="V46" s="258">
        <f>V45+N46-U46</f>
        <v>0</v>
      </c>
    </row>
    <row r="47" spans="1:22" ht="15">
      <c r="A47" s="254">
        <v>45</v>
      </c>
      <c r="B47" s="254">
        <v>2067</v>
      </c>
      <c r="C47" s="254">
        <v>59</v>
      </c>
      <c r="D47" s="255" t="s">
        <v>4124</v>
      </c>
      <c r="E47" s="255">
        <v>40000</v>
      </c>
      <c r="F47" s="255">
        <v>4437500</v>
      </c>
      <c r="G47" s="255">
        <v>8087500</v>
      </c>
      <c r="H47" s="255">
        <v>100000</v>
      </c>
      <c r="I47" s="254">
        <f t="shared" si="0"/>
        <v>60</v>
      </c>
      <c r="J47" s="254">
        <f t="shared" si="1"/>
        <v>89</v>
      </c>
      <c r="K47" s="254">
        <f t="shared" si="2"/>
        <v>88</v>
      </c>
      <c r="L47" s="261">
        <v>5</v>
      </c>
      <c r="M47" s="260">
        <f>G47</f>
        <v>8087500</v>
      </c>
      <c r="N47" s="260">
        <f t="shared" si="12"/>
        <v>8787500</v>
      </c>
      <c r="O47" s="260">
        <f t="shared" si="6"/>
        <v>12553571.428571429</v>
      </c>
      <c r="P47" s="260">
        <f>(N47*100)/80</f>
        <v>10984375</v>
      </c>
      <c r="Q47" s="260">
        <f>(N47*100)/90</f>
        <v>9763888.8888888881</v>
      </c>
      <c r="R47" s="260">
        <f t="shared" si="9"/>
        <v>97050000</v>
      </c>
      <c r="S47" s="260"/>
      <c r="T47" s="260">
        <f t="shared" si="10"/>
        <v>73603500</v>
      </c>
      <c r="U47" s="258">
        <f>SUM(N47:N50)/4</f>
        <v>2721875</v>
      </c>
      <c r="V47" s="258">
        <f>N47-U47</f>
        <v>6065625</v>
      </c>
    </row>
    <row r="48" spans="1:22" ht="15">
      <c r="A48" s="254">
        <v>46</v>
      </c>
      <c r="B48" s="254">
        <v>2068</v>
      </c>
      <c r="C48" s="254">
        <v>60</v>
      </c>
      <c r="D48" s="255" t="s">
        <v>4124</v>
      </c>
      <c r="E48" s="255">
        <v>40000</v>
      </c>
      <c r="F48" s="255">
        <v>4437500</v>
      </c>
      <c r="G48" s="255">
        <v>8127500</v>
      </c>
      <c r="H48" s="255">
        <v>100000</v>
      </c>
      <c r="I48" s="254">
        <f t="shared" si="0"/>
        <v>61</v>
      </c>
      <c r="J48" s="254">
        <f t="shared" si="1"/>
        <v>90</v>
      </c>
      <c r="K48" s="254">
        <f t="shared" si="2"/>
        <v>89</v>
      </c>
      <c r="L48" s="254">
        <v>5</v>
      </c>
      <c r="M48" s="255"/>
      <c r="N48" s="255">
        <f t="shared" si="12"/>
        <v>700000</v>
      </c>
      <c r="O48" s="255">
        <f t="shared" si="6"/>
        <v>1000000</v>
      </c>
      <c r="P48" s="255">
        <f>(O48*100)/80</f>
        <v>1250000</v>
      </c>
      <c r="Q48" s="255">
        <f>(P48*100)/90</f>
        <v>1388888.888888889</v>
      </c>
      <c r="R48" s="255">
        <f t="shared" si="9"/>
        <v>97530000</v>
      </c>
      <c r="S48" s="255"/>
      <c r="T48" s="255">
        <f t="shared" si="10"/>
        <v>74303500</v>
      </c>
      <c r="U48" s="258">
        <f>U47</f>
        <v>2721875</v>
      </c>
      <c r="V48" s="258">
        <f>V47+N48-U48</f>
        <v>4043750</v>
      </c>
    </row>
    <row r="49" spans="1:22" ht="15">
      <c r="A49" s="254">
        <v>47</v>
      </c>
      <c r="B49" s="254">
        <v>2069</v>
      </c>
      <c r="C49" s="254">
        <v>61</v>
      </c>
      <c r="D49" s="255" t="s">
        <v>4124</v>
      </c>
      <c r="E49" s="255">
        <v>40000</v>
      </c>
      <c r="F49" s="255">
        <v>4437500</v>
      </c>
      <c r="G49" s="255">
        <v>8167500</v>
      </c>
      <c r="H49" s="255">
        <v>100000</v>
      </c>
      <c r="I49" s="254">
        <f t="shared" si="0"/>
        <v>62</v>
      </c>
      <c r="J49" s="254">
        <f t="shared" si="1"/>
        <v>91</v>
      </c>
      <c r="K49" s="254">
        <f t="shared" si="2"/>
        <v>90</v>
      </c>
      <c r="L49" s="254">
        <v>5</v>
      </c>
      <c r="M49" s="255"/>
      <c r="N49" s="255">
        <f t="shared" si="12"/>
        <v>700000</v>
      </c>
      <c r="O49" s="255">
        <f t="shared" si="6"/>
        <v>1000000</v>
      </c>
      <c r="P49" s="255">
        <f>(N49*100)/80</f>
        <v>875000</v>
      </c>
      <c r="Q49" s="255">
        <f>(N49*100)/90</f>
        <v>777777.77777777775</v>
      </c>
      <c r="R49" s="255">
        <f t="shared" si="9"/>
        <v>98010000</v>
      </c>
      <c r="S49" s="255"/>
      <c r="T49" s="255">
        <f t="shared" si="10"/>
        <v>75003500</v>
      </c>
      <c r="U49" s="258">
        <f>U48</f>
        <v>2721875</v>
      </c>
      <c r="V49" s="258">
        <f>V48+N49-U49</f>
        <v>2021875</v>
      </c>
    </row>
    <row r="50" spans="1:22" ht="15">
      <c r="A50" s="254">
        <v>48</v>
      </c>
      <c r="B50" s="254">
        <v>2070</v>
      </c>
      <c r="C50" s="254">
        <v>62</v>
      </c>
      <c r="D50" s="255" t="s">
        <v>4124</v>
      </c>
      <c r="E50" s="255">
        <v>40000</v>
      </c>
      <c r="F50" s="255">
        <v>4437500</v>
      </c>
      <c r="G50" s="255">
        <v>8207500</v>
      </c>
      <c r="H50" s="255">
        <v>100000</v>
      </c>
      <c r="I50" s="254">
        <f t="shared" si="0"/>
        <v>63</v>
      </c>
      <c r="J50" s="254">
        <f t="shared" si="1"/>
        <v>92</v>
      </c>
      <c r="K50" s="254">
        <f t="shared" si="2"/>
        <v>91</v>
      </c>
      <c r="L50" s="254">
        <v>5</v>
      </c>
      <c r="M50" s="255"/>
      <c r="N50" s="255">
        <f t="shared" si="12"/>
        <v>700000</v>
      </c>
      <c r="O50" s="255">
        <f t="shared" si="6"/>
        <v>1000000</v>
      </c>
      <c r="P50" s="255">
        <f>(N50*100)/80</f>
        <v>875000</v>
      </c>
      <c r="Q50" s="255">
        <f>(N50*100)/90</f>
        <v>777777.77777777775</v>
      </c>
      <c r="R50" s="255">
        <f t="shared" si="9"/>
        <v>98490000</v>
      </c>
      <c r="S50" s="255"/>
      <c r="T50" s="255">
        <f t="shared" si="10"/>
        <v>75703500</v>
      </c>
      <c r="U50" s="258">
        <f>U49</f>
        <v>2721875</v>
      </c>
      <c r="V50" s="258">
        <f>V49+N50-U50</f>
        <v>0</v>
      </c>
    </row>
    <row r="51" spans="1:22" ht="15">
      <c r="A51" s="254">
        <v>49</v>
      </c>
      <c r="B51" s="254">
        <v>2071</v>
      </c>
      <c r="C51" s="254">
        <v>63</v>
      </c>
      <c r="D51" s="255" t="s">
        <v>4124</v>
      </c>
      <c r="E51" s="255">
        <v>40000</v>
      </c>
      <c r="F51" s="255">
        <v>4437500</v>
      </c>
      <c r="G51" s="255">
        <v>8247500</v>
      </c>
      <c r="H51" s="255">
        <v>100000</v>
      </c>
      <c r="I51" s="254">
        <f t="shared" si="0"/>
        <v>64</v>
      </c>
      <c r="J51" s="254">
        <f t="shared" si="1"/>
        <v>93</v>
      </c>
      <c r="K51" s="254">
        <f t="shared" si="2"/>
        <v>92</v>
      </c>
      <c r="L51" s="261">
        <v>6</v>
      </c>
      <c r="M51" s="260">
        <f>G51</f>
        <v>8247500</v>
      </c>
      <c r="N51" s="260">
        <f t="shared" si="12"/>
        <v>8847500</v>
      </c>
      <c r="O51" s="260">
        <f t="shared" si="6"/>
        <v>12639285.714285715</v>
      </c>
      <c r="P51" s="260">
        <f>(N51*100)/80</f>
        <v>11059375</v>
      </c>
      <c r="Q51" s="260">
        <f>(N51*100)/90</f>
        <v>9830555.555555556</v>
      </c>
      <c r="R51" s="260">
        <f t="shared" si="9"/>
        <v>98970000</v>
      </c>
      <c r="S51" s="260"/>
      <c r="T51" s="260">
        <f t="shared" si="10"/>
        <v>84551000</v>
      </c>
      <c r="U51" s="258">
        <f>SUM(N51:N54)/4</f>
        <v>2661875</v>
      </c>
      <c r="V51" s="258">
        <f>N51-U51</f>
        <v>6185625</v>
      </c>
    </row>
    <row r="52" spans="1:22" ht="15">
      <c r="A52" s="254">
        <v>50</v>
      </c>
      <c r="B52" s="254">
        <v>2072</v>
      </c>
      <c r="C52" s="254">
        <v>64</v>
      </c>
      <c r="D52" s="255" t="s">
        <v>4124</v>
      </c>
      <c r="E52" s="255">
        <v>40000</v>
      </c>
      <c r="F52" s="255">
        <v>4437500</v>
      </c>
      <c r="G52" s="255">
        <v>8287500</v>
      </c>
      <c r="H52" s="255">
        <v>100000</v>
      </c>
      <c r="I52" s="254">
        <f t="shared" si="0"/>
        <v>65</v>
      </c>
      <c r="J52" s="254">
        <f t="shared" si="1"/>
        <v>94</v>
      </c>
      <c r="K52" s="254">
        <f t="shared" si="2"/>
        <v>93</v>
      </c>
      <c r="L52" s="254">
        <v>6</v>
      </c>
      <c r="M52" s="255"/>
      <c r="N52" s="255">
        <f t="shared" si="12"/>
        <v>600000</v>
      </c>
      <c r="O52" s="255">
        <f t="shared" si="6"/>
        <v>857142.85714285716</v>
      </c>
      <c r="P52" s="255">
        <f>(O52*100)/80</f>
        <v>1071428.5714285714</v>
      </c>
      <c r="Q52" s="255">
        <f>(P52*100)/90</f>
        <v>1190476.1904761903</v>
      </c>
      <c r="R52" s="255">
        <f t="shared" si="9"/>
        <v>99450000</v>
      </c>
      <c r="S52" s="255"/>
      <c r="T52" s="255">
        <f t="shared" si="10"/>
        <v>85151000</v>
      </c>
      <c r="U52" s="258">
        <f>U51</f>
        <v>2661875</v>
      </c>
      <c r="V52" s="258">
        <f>V51+N52-U52</f>
        <v>4123750</v>
      </c>
    </row>
    <row r="53" spans="1:22" ht="15">
      <c r="A53" s="254">
        <v>51</v>
      </c>
      <c r="B53" s="254">
        <v>2073</v>
      </c>
      <c r="C53" s="254">
        <v>65</v>
      </c>
      <c r="D53" s="255" t="s">
        <v>4124</v>
      </c>
      <c r="E53" s="255">
        <v>40000</v>
      </c>
      <c r="F53" s="255">
        <v>4437500</v>
      </c>
      <c r="G53" s="255">
        <v>8327500</v>
      </c>
      <c r="H53" s="255">
        <v>100000</v>
      </c>
      <c r="I53" s="254">
        <f t="shared" si="0"/>
        <v>66</v>
      </c>
      <c r="J53" s="254">
        <f t="shared" si="1"/>
        <v>95</v>
      </c>
      <c r="K53" s="254">
        <f t="shared" si="2"/>
        <v>94</v>
      </c>
      <c r="L53" s="254">
        <v>6</v>
      </c>
      <c r="M53" s="255"/>
      <c r="N53" s="255">
        <f t="shared" si="12"/>
        <v>600000</v>
      </c>
      <c r="O53" s="255">
        <f t="shared" si="6"/>
        <v>857142.85714285716</v>
      </c>
      <c r="P53" s="255">
        <f>(N53*100)/80</f>
        <v>750000</v>
      </c>
      <c r="Q53" s="255">
        <f>(N53*100)/90</f>
        <v>666666.66666666663</v>
      </c>
      <c r="R53" s="255">
        <f t="shared" si="9"/>
        <v>99930000</v>
      </c>
      <c r="S53" s="255"/>
      <c r="T53" s="255">
        <f t="shared" si="10"/>
        <v>85751000</v>
      </c>
      <c r="U53" s="258">
        <f>U52</f>
        <v>2661875</v>
      </c>
      <c r="V53" s="258">
        <f>V52+N53-U53</f>
        <v>2061875</v>
      </c>
    </row>
    <row r="54" spans="1:22" ht="15">
      <c r="A54" s="254">
        <v>52</v>
      </c>
      <c r="B54" s="254">
        <v>2074</v>
      </c>
      <c r="C54" s="254">
        <v>66</v>
      </c>
      <c r="D54" s="255" t="s">
        <v>4124</v>
      </c>
      <c r="E54" s="255">
        <v>40000</v>
      </c>
      <c r="F54" s="255">
        <v>4437500</v>
      </c>
      <c r="G54" s="255">
        <v>8367500</v>
      </c>
      <c r="H54" s="255">
        <v>100000</v>
      </c>
      <c r="I54" s="254">
        <f t="shared" si="0"/>
        <v>67</v>
      </c>
      <c r="J54" s="254">
        <f t="shared" si="1"/>
        <v>96</v>
      </c>
      <c r="K54" s="254">
        <f t="shared" si="2"/>
        <v>95</v>
      </c>
      <c r="L54" s="254">
        <v>6</v>
      </c>
      <c r="M54" s="255"/>
      <c r="N54" s="255">
        <f t="shared" si="12"/>
        <v>600000</v>
      </c>
      <c r="O54" s="255">
        <f t="shared" si="6"/>
        <v>857142.85714285716</v>
      </c>
      <c r="P54" s="255">
        <f>(N54*100)/80</f>
        <v>750000</v>
      </c>
      <c r="Q54" s="255">
        <f>(N54*100)/90</f>
        <v>666666.66666666663</v>
      </c>
      <c r="R54" s="255">
        <f t="shared" si="9"/>
        <v>100410000</v>
      </c>
      <c r="S54" s="255"/>
      <c r="T54" s="255">
        <f t="shared" si="10"/>
        <v>86351000</v>
      </c>
      <c r="U54" s="258">
        <f>U53</f>
        <v>2661875</v>
      </c>
      <c r="V54" s="258">
        <f>V53+N54-U54</f>
        <v>0</v>
      </c>
    </row>
    <row r="55" spans="1:22" ht="15">
      <c r="A55" s="254">
        <v>53</v>
      </c>
      <c r="B55" s="254">
        <v>2075</v>
      </c>
      <c r="C55" s="254">
        <v>67</v>
      </c>
      <c r="D55" s="255" t="s">
        <v>4124</v>
      </c>
      <c r="E55" s="255">
        <v>40000</v>
      </c>
      <c r="F55" s="255">
        <v>4437500</v>
      </c>
      <c r="G55" s="255">
        <v>8407500</v>
      </c>
      <c r="H55" s="255">
        <v>100000</v>
      </c>
      <c r="I55" s="254">
        <f t="shared" si="0"/>
        <v>68</v>
      </c>
      <c r="J55" s="254">
        <f t="shared" si="1"/>
        <v>97</v>
      </c>
      <c r="K55" s="254">
        <f t="shared" si="2"/>
        <v>96</v>
      </c>
      <c r="L55" s="261">
        <v>7</v>
      </c>
      <c r="M55" s="260">
        <f>G55</f>
        <v>8407500</v>
      </c>
      <c r="N55" s="260">
        <f t="shared" si="12"/>
        <v>8907500</v>
      </c>
      <c r="O55" s="260">
        <f t="shared" si="6"/>
        <v>12725000</v>
      </c>
      <c r="P55" s="260">
        <f>(N55*100)/80</f>
        <v>11134375</v>
      </c>
      <c r="Q55" s="260">
        <f>(N55*100)/90</f>
        <v>9897222.222222222</v>
      </c>
      <c r="R55" s="260">
        <f t="shared" si="9"/>
        <v>100890000</v>
      </c>
      <c r="S55" s="260"/>
      <c r="T55" s="260">
        <f t="shared" si="10"/>
        <v>95258500</v>
      </c>
      <c r="U55" s="258">
        <f>SUM(N55:N58)/4</f>
        <v>2601875</v>
      </c>
      <c r="V55" s="258">
        <f>N55-U55</f>
        <v>6305625</v>
      </c>
    </row>
    <row r="56" spans="1:22" ht="15">
      <c r="A56" s="254">
        <v>54</v>
      </c>
      <c r="B56" s="254">
        <v>2076</v>
      </c>
      <c r="C56" s="254">
        <v>68</v>
      </c>
      <c r="D56" s="255" t="s">
        <v>4124</v>
      </c>
      <c r="E56" s="255">
        <v>40000</v>
      </c>
      <c r="F56" s="255">
        <v>4437500</v>
      </c>
      <c r="G56" s="255">
        <v>8447500</v>
      </c>
      <c r="H56" s="255">
        <v>100000</v>
      </c>
      <c r="I56" s="254">
        <f t="shared" si="0"/>
        <v>69</v>
      </c>
      <c r="J56" s="254">
        <f t="shared" si="1"/>
        <v>98</v>
      </c>
      <c r="K56" s="254">
        <f t="shared" si="2"/>
        <v>97</v>
      </c>
      <c r="L56" s="254">
        <v>7</v>
      </c>
      <c r="M56" s="255"/>
      <c r="N56" s="255">
        <f t="shared" si="12"/>
        <v>500000</v>
      </c>
      <c r="O56" s="255">
        <f t="shared" si="6"/>
        <v>714285.71428571432</v>
      </c>
      <c r="P56" s="255">
        <f>(O56*100)/80</f>
        <v>892857.14285714296</v>
      </c>
      <c r="Q56" s="255">
        <f>(P56*100)/90</f>
        <v>992063.49206349219</v>
      </c>
      <c r="R56" s="255">
        <f t="shared" si="9"/>
        <v>101370000</v>
      </c>
      <c r="S56" s="255"/>
      <c r="T56" s="255">
        <f t="shared" si="10"/>
        <v>95758500</v>
      </c>
      <c r="U56" s="258">
        <f>U55</f>
        <v>2601875</v>
      </c>
      <c r="V56" s="258">
        <f>V55+N56-U56</f>
        <v>4203750</v>
      </c>
    </row>
    <row r="57" spans="1:22" ht="15">
      <c r="A57" s="254">
        <v>55</v>
      </c>
      <c r="B57" s="254">
        <v>2077</v>
      </c>
      <c r="C57" s="254">
        <v>69</v>
      </c>
      <c r="D57" s="255" t="s">
        <v>4124</v>
      </c>
      <c r="E57" s="255">
        <v>40000</v>
      </c>
      <c r="F57" s="255">
        <v>4437500</v>
      </c>
      <c r="G57" s="255">
        <v>8487500</v>
      </c>
      <c r="H57" s="255">
        <v>100000</v>
      </c>
      <c r="I57" s="254">
        <f t="shared" si="0"/>
        <v>70</v>
      </c>
      <c r="J57" s="254">
        <f t="shared" si="1"/>
        <v>99</v>
      </c>
      <c r="K57" s="254">
        <f t="shared" si="2"/>
        <v>98</v>
      </c>
      <c r="L57" s="254">
        <v>7</v>
      </c>
      <c r="M57" s="255"/>
      <c r="N57" s="255">
        <f t="shared" si="12"/>
        <v>500000</v>
      </c>
      <c r="O57" s="255">
        <f t="shared" si="6"/>
        <v>714285.71428571432</v>
      </c>
      <c r="P57" s="255">
        <f>(N57*100)/80</f>
        <v>625000</v>
      </c>
      <c r="Q57" s="255">
        <f>(N57*100)/90</f>
        <v>555555.5555555555</v>
      </c>
      <c r="R57" s="255">
        <f t="shared" si="9"/>
        <v>101850000</v>
      </c>
      <c r="S57" s="255"/>
      <c r="T57" s="255">
        <f t="shared" si="10"/>
        <v>96258500</v>
      </c>
      <c r="U57" s="258">
        <f>U56</f>
        <v>2601875</v>
      </c>
      <c r="V57" s="258">
        <f>V56+N57-U57</f>
        <v>2101875</v>
      </c>
    </row>
    <row r="58" spans="1:22" ht="15">
      <c r="A58" s="254">
        <v>56</v>
      </c>
      <c r="B58" s="254">
        <v>2078</v>
      </c>
      <c r="C58" s="254">
        <v>70</v>
      </c>
      <c r="D58" s="255" t="s">
        <v>4124</v>
      </c>
      <c r="E58" s="255">
        <v>40000</v>
      </c>
      <c r="F58" s="255">
        <v>4437500</v>
      </c>
      <c r="G58" s="255">
        <v>8527500</v>
      </c>
      <c r="H58" s="255">
        <v>100000</v>
      </c>
      <c r="I58" s="254">
        <f t="shared" si="0"/>
        <v>71</v>
      </c>
      <c r="J58" s="254">
        <f t="shared" si="1"/>
        <v>100</v>
      </c>
      <c r="K58" s="254">
        <f t="shared" si="2"/>
        <v>99</v>
      </c>
      <c r="L58" s="254">
        <v>7</v>
      </c>
      <c r="M58" s="255"/>
      <c r="N58" s="255">
        <f t="shared" si="12"/>
        <v>500000</v>
      </c>
      <c r="O58" s="255">
        <f t="shared" si="6"/>
        <v>714285.71428571432</v>
      </c>
      <c r="P58" s="255">
        <f>(N58*100)/80</f>
        <v>625000</v>
      </c>
      <c r="Q58" s="255">
        <f>(N58*100)/90</f>
        <v>555555.5555555555</v>
      </c>
      <c r="R58" s="255">
        <f t="shared" si="9"/>
        <v>102330000</v>
      </c>
      <c r="S58" s="255"/>
      <c r="T58" s="255">
        <f t="shared" si="10"/>
        <v>96758500</v>
      </c>
      <c r="U58" s="258">
        <f>U57</f>
        <v>2601875</v>
      </c>
      <c r="V58" s="258">
        <f>V57+N58-U58</f>
        <v>0</v>
      </c>
    </row>
    <row r="59" spans="1:22" ht="15">
      <c r="A59" s="254">
        <v>57</v>
      </c>
      <c r="B59" s="254">
        <v>2079</v>
      </c>
      <c r="C59" s="254">
        <v>71</v>
      </c>
      <c r="D59" s="255" t="s">
        <v>4124</v>
      </c>
      <c r="E59" s="255">
        <v>40000</v>
      </c>
      <c r="F59" s="255">
        <v>4437500</v>
      </c>
      <c r="G59" s="255">
        <v>8567500</v>
      </c>
      <c r="H59" s="255">
        <v>100000</v>
      </c>
      <c r="I59" s="254">
        <f t="shared" si="0"/>
        <v>72</v>
      </c>
      <c r="J59" s="254">
        <f t="shared" si="1"/>
        <v>101</v>
      </c>
      <c r="K59" s="254">
        <f t="shared" si="2"/>
        <v>100</v>
      </c>
      <c r="L59" s="261">
        <v>8</v>
      </c>
      <c r="M59" s="260">
        <f>G59</f>
        <v>8567500</v>
      </c>
      <c r="N59" s="260">
        <f t="shared" si="12"/>
        <v>8967500</v>
      </c>
      <c r="O59" s="260">
        <f t="shared" si="6"/>
        <v>12810714.285714285</v>
      </c>
      <c r="P59" s="260">
        <f>(N59*100)/80</f>
        <v>11209375</v>
      </c>
      <c r="Q59" s="260">
        <f>(N59*100)/90</f>
        <v>9963888.8888888881</v>
      </c>
      <c r="R59" s="260">
        <f t="shared" si="9"/>
        <v>102810000</v>
      </c>
      <c r="S59" s="260"/>
      <c r="T59" s="260">
        <f t="shared" si="10"/>
        <v>105726000</v>
      </c>
      <c r="U59" s="258">
        <f>SUM(N59:N62)/4</f>
        <v>2541875</v>
      </c>
      <c r="V59" s="258">
        <f>N59-U59</f>
        <v>6425625</v>
      </c>
    </row>
    <row r="60" spans="1:22" ht="15">
      <c r="A60" s="254">
        <v>58</v>
      </c>
      <c r="B60" s="254">
        <v>2080</v>
      </c>
      <c r="C60" s="254">
        <v>72</v>
      </c>
      <c r="D60" s="255" t="s">
        <v>4124</v>
      </c>
      <c r="E60" s="255">
        <v>40000</v>
      </c>
      <c r="F60" s="255">
        <v>4437500</v>
      </c>
      <c r="G60" s="255">
        <v>8607500</v>
      </c>
      <c r="H60" s="255">
        <v>100000</v>
      </c>
      <c r="I60" s="254">
        <f t="shared" si="0"/>
        <v>73</v>
      </c>
      <c r="J60" s="254">
        <f t="shared" si="1"/>
        <v>102</v>
      </c>
      <c r="K60" s="254">
        <f t="shared" si="2"/>
        <v>101</v>
      </c>
      <c r="L60" s="254">
        <v>8</v>
      </c>
      <c r="M60" s="255"/>
      <c r="N60" s="255">
        <f t="shared" si="12"/>
        <v>400000</v>
      </c>
      <c r="O60" s="255">
        <f t="shared" si="6"/>
        <v>571428.57142857148</v>
      </c>
      <c r="P60" s="255">
        <f>(O60*100)/80</f>
        <v>714285.71428571432</v>
      </c>
      <c r="Q60" s="255">
        <f>(P60*100)/90</f>
        <v>793650.79365079373</v>
      </c>
      <c r="R60" s="255">
        <f t="shared" si="9"/>
        <v>103290000</v>
      </c>
      <c r="S60" s="255"/>
      <c r="T60" s="255">
        <f t="shared" si="10"/>
        <v>106126000</v>
      </c>
      <c r="U60" s="258">
        <f>U59</f>
        <v>2541875</v>
      </c>
      <c r="V60" s="258">
        <f>V59+N60-U60</f>
        <v>4283750</v>
      </c>
    </row>
    <row r="61" spans="1:22" ht="15">
      <c r="A61" s="254">
        <v>59</v>
      </c>
      <c r="B61" s="254">
        <v>2081</v>
      </c>
      <c r="C61" s="254">
        <v>73</v>
      </c>
      <c r="D61" s="255" t="s">
        <v>4124</v>
      </c>
      <c r="E61" s="255">
        <v>40000</v>
      </c>
      <c r="F61" s="255">
        <v>4437500</v>
      </c>
      <c r="G61" s="255">
        <v>8647500</v>
      </c>
      <c r="H61" s="255">
        <v>100000</v>
      </c>
      <c r="I61" s="254">
        <f t="shared" si="0"/>
        <v>74</v>
      </c>
      <c r="J61" s="254">
        <f t="shared" si="1"/>
        <v>103</v>
      </c>
      <c r="K61" s="254">
        <f t="shared" si="2"/>
        <v>102</v>
      </c>
      <c r="L61" s="254">
        <v>8</v>
      </c>
      <c r="M61" s="255"/>
      <c r="N61" s="255">
        <f t="shared" si="12"/>
        <v>400000</v>
      </c>
      <c r="O61" s="255">
        <f t="shared" si="6"/>
        <v>571428.57142857148</v>
      </c>
      <c r="P61" s="255">
        <f>(N61*100)/80</f>
        <v>500000</v>
      </c>
      <c r="Q61" s="255">
        <f>(N61*100)/90</f>
        <v>444444.44444444444</v>
      </c>
      <c r="R61" s="255">
        <f t="shared" si="9"/>
        <v>103770000</v>
      </c>
      <c r="S61" s="255"/>
      <c r="T61" s="255">
        <f t="shared" si="10"/>
        <v>106526000</v>
      </c>
      <c r="U61" s="258">
        <f>U60</f>
        <v>2541875</v>
      </c>
      <c r="V61" s="258">
        <f>V60+N61-U61</f>
        <v>2141875</v>
      </c>
    </row>
    <row r="62" spans="1:22" ht="15">
      <c r="A62" s="254">
        <v>60</v>
      </c>
      <c r="B62" s="254">
        <v>2082</v>
      </c>
      <c r="C62" s="254">
        <v>74</v>
      </c>
      <c r="D62" s="255" t="s">
        <v>4124</v>
      </c>
      <c r="E62" s="255">
        <v>40000</v>
      </c>
      <c r="F62" s="255">
        <v>4437500</v>
      </c>
      <c r="G62" s="255">
        <v>8687500</v>
      </c>
      <c r="H62" s="255">
        <v>100000</v>
      </c>
      <c r="I62" s="254">
        <f t="shared" si="0"/>
        <v>75</v>
      </c>
      <c r="J62" s="254">
        <f t="shared" si="1"/>
        <v>104</v>
      </c>
      <c r="K62" s="254">
        <f t="shared" si="2"/>
        <v>103</v>
      </c>
      <c r="L62" s="254">
        <v>8</v>
      </c>
      <c r="M62" s="255"/>
      <c r="N62" s="255">
        <f t="shared" si="12"/>
        <v>400000</v>
      </c>
      <c r="O62" s="255">
        <f t="shared" si="6"/>
        <v>571428.57142857148</v>
      </c>
      <c r="P62" s="255">
        <f>(N62*100)/80</f>
        <v>500000</v>
      </c>
      <c r="Q62" s="255">
        <f>(N62*100)/90</f>
        <v>444444.44444444444</v>
      </c>
      <c r="R62" s="255">
        <f t="shared" si="9"/>
        <v>104250000</v>
      </c>
      <c r="S62" s="255"/>
      <c r="T62" s="255">
        <f t="shared" si="10"/>
        <v>106926000</v>
      </c>
      <c r="U62" s="258">
        <f>U61</f>
        <v>2541875</v>
      </c>
      <c r="V62" s="258">
        <f>V61+N62-U62</f>
        <v>0</v>
      </c>
    </row>
    <row r="63" spans="1:22" ht="15">
      <c r="A63" s="254">
        <v>61</v>
      </c>
      <c r="B63" s="254">
        <v>2083</v>
      </c>
      <c r="C63" s="254">
        <v>75</v>
      </c>
      <c r="D63" s="255" t="s">
        <v>4124</v>
      </c>
      <c r="E63" s="255">
        <v>40000</v>
      </c>
      <c r="F63" s="255">
        <v>4437500</v>
      </c>
      <c r="G63" s="255">
        <v>8727500</v>
      </c>
      <c r="H63" s="255">
        <v>100000</v>
      </c>
      <c r="I63" s="254">
        <f t="shared" si="0"/>
        <v>76</v>
      </c>
      <c r="J63" s="254">
        <f t="shared" si="1"/>
        <v>105</v>
      </c>
      <c r="K63" s="254">
        <f t="shared" si="2"/>
        <v>104</v>
      </c>
      <c r="L63" s="261">
        <v>9</v>
      </c>
      <c r="M63" s="260">
        <f>G63</f>
        <v>8727500</v>
      </c>
      <c r="N63" s="260">
        <f t="shared" si="12"/>
        <v>9027500</v>
      </c>
      <c r="O63" s="260">
        <f t="shared" si="6"/>
        <v>12896428.571428571</v>
      </c>
      <c r="P63" s="260">
        <f>(N63*100)/80</f>
        <v>11284375</v>
      </c>
      <c r="Q63" s="260">
        <f>(N63*100)/90</f>
        <v>10030555.555555556</v>
      </c>
      <c r="R63" s="260">
        <f t="shared" si="9"/>
        <v>104730000</v>
      </c>
      <c r="S63" s="260"/>
      <c r="T63" s="260">
        <f t="shared" si="10"/>
        <v>115953500</v>
      </c>
      <c r="U63" s="258">
        <f>SUM(N63:N66)/4</f>
        <v>2481875</v>
      </c>
      <c r="V63" s="258">
        <f>N63-U63</f>
        <v>6545625</v>
      </c>
    </row>
    <row r="64" spans="1:22" ht="15">
      <c r="A64" s="254">
        <v>62</v>
      </c>
      <c r="B64" s="254">
        <v>2084</v>
      </c>
      <c r="C64" s="254">
        <v>76</v>
      </c>
      <c r="D64" s="255" t="s">
        <v>4124</v>
      </c>
      <c r="E64" s="255">
        <v>40000</v>
      </c>
      <c r="F64" s="255">
        <v>4437500</v>
      </c>
      <c r="G64" s="255">
        <v>8767500</v>
      </c>
      <c r="H64" s="255">
        <v>100000</v>
      </c>
      <c r="I64" s="254">
        <f t="shared" si="0"/>
        <v>77</v>
      </c>
      <c r="J64" s="254">
        <f t="shared" si="1"/>
        <v>106</v>
      </c>
      <c r="K64" s="254">
        <f t="shared" si="2"/>
        <v>105</v>
      </c>
      <c r="L64" s="254">
        <v>9</v>
      </c>
      <c r="M64" s="255"/>
      <c r="N64" s="255">
        <f t="shared" si="12"/>
        <v>300000</v>
      </c>
      <c r="O64" s="255">
        <f t="shared" si="6"/>
        <v>428571.42857142858</v>
      </c>
      <c r="P64" s="255">
        <f>(O64*100)/80</f>
        <v>535714.28571428568</v>
      </c>
      <c r="Q64" s="255">
        <f>(P64*100)/90</f>
        <v>595238.09523809515</v>
      </c>
      <c r="R64" s="255">
        <f t="shared" si="9"/>
        <v>105210000</v>
      </c>
      <c r="S64" s="255"/>
      <c r="T64" s="255">
        <f t="shared" si="10"/>
        <v>116253500</v>
      </c>
      <c r="U64" s="258">
        <f>U63</f>
        <v>2481875</v>
      </c>
      <c r="V64" s="258">
        <f>V63+N64-U64</f>
        <v>4363750</v>
      </c>
    </row>
    <row r="65" spans="1:22" ht="15">
      <c r="A65" s="254">
        <v>63</v>
      </c>
      <c r="B65" s="254">
        <v>2085</v>
      </c>
      <c r="C65" s="254">
        <v>77</v>
      </c>
      <c r="D65" s="255" t="s">
        <v>4124</v>
      </c>
      <c r="E65" s="255">
        <v>40000</v>
      </c>
      <c r="F65" s="255">
        <v>4437500</v>
      </c>
      <c r="G65" s="255">
        <v>8807500</v>
      </c>
      <c r="H65" s="255">
        <v>100000</v>
      </c>
      <c r="I65" s="254">
        <f t="shared" si="0"/>
        <v>78</v>
      </c>
      <c r="J65" s="254">
        <f t="shared" si="1"/>
        <v>107</v>
      </c>
      <c r="K65" s="254">
        <f t="shared" si="2"/>
        <v>106</v>
      </c>
      <c r="L65" s="254">
        <v>9</v>
      </c>
      <c r="M65" s="255"/>
      <c r="N65" s="255">
        <f t="shared" si="12"/>
        <v>300000</v>
      </c>
      <c r="O65" s="255">
        <f t="shared" si="6"/>
        <v>428571.42857142858</v>
      </c>
      <c r="P65" s="255">
        <f>(N65*100)/80</f>
        <v>375000</v>
      </c>
      <c r="Q65" s="255">
        <f>(N65*100)/90</f>
        <v>333333.33333333331</v>
      </c>
      <c r="R65" s="255">
        <f t="shared" si="9"/>
        <v>105690000</v>
      </c>
      <c r="S65" s="255"/>
      <c r="T65" s="255">
        <f t="shared" si="10"/>
        <v>116553500</v>
      </c>
      <c r="U65" s="258">
        <f>U64</f>
        <v>2481875</v>
      </c>
      <c r="V65" s="258">
        <f>V64+N65-U65</f>
        <v>2181875</v>
      </c>
    </row>
    <row r="66" spans="1:22" ht="15">
      <c r="A66" s="254">
        <v>64</v>
      </c>
      <c r="B66" s="254">
        <v>2086</v>
      </c>
      <c r="C66" s="254">
        <v>78</v>
      </c>
      <c r="D66" s="255" t="s">
        <v>4124</v>
      </c>
      <c r="E66" s="255">
        <v>40000</v>
      </c>
      <c r="F66" s="255">
        <v>4437500</v>
      </c>
      <c r="G66" s="255">
        <v>8847500</v>
      </c>
      <c r="H66" s="255">
        <v>100000</v>
      </c>
      <c r="I66" s="254">
        <f t="shared" si="0"/>
        <v>79</v>
      </c>
      <c r="J66" s="254">
        <f t="shared" si="1"/>
        <v>108</v>
      </c>
      <c r="K66" s="254">
        <f t="shared" si="2"/>
        <v>107</v>
      </c>
      <c r="L66" s="254">
        <v>9</v>
      </c>
      <c r="M66" s="255"/>
      <c r="N66" s="255">
        <f t="shared" si="12"/>
        <v>300000</v>
      </c>
      <c r="O66" s="255">
        <f t="shared" si="6"/>
        <v>428571.42857142858</v>
      </c>
      <c r="P66" s="255">
        <f>(N66*100)/80</f>
        <v>375000</v>
      </c>
      <c r="Q66" s="255">
        <f>(N66*100)/90</f>
        <v>333333.33333333331</v>
      </c>
      <c r="R66" s="255">
        <f t="shared" si="9"/>
        <v>106170000</v>
      </c>
      <c r="S66" s="255"/>
      <c r="T66" s="255">
        <f t="shared" si="10"/>
        <v>116853500</v>
      </c>
      <c r="U66" s="258">
        <f>U65</f>
        <v>2481875</v>
      </c>
      <c r="V66" s="258">
        <f>V65+N66-U66</f>
        <v>0</v>
      </c>
    </row>
    <row r="67" spans="1:22" ht="15">
      <c r="A67" s="254">
        <v>65</v>
      </c>
      <c r="B67" s="254">
        <v>2087</v>
      </c>
      <c r="C67" s="254">
        <v>79</v>
      </c>
      <c r="D67" s="255" t="s">
        <v>4124</v>
      </c>
      <c r="E67" s="255">
        <v>40000</v>
      </c>
      <c r="F67" s="255">
        <v>4437500</v>
      </c>
      <c r="G67" s="255">
        <v>8887500</v>
      </c>
      <c r="H67" s="255">
        <v>100000</v>
      </c>
      <c r="I67" s="254">
        <f t="shared" ref="I67:I88" si="13">B67-2007</f>
        <v>80</v>
      </c>
      <c r="J67" s="254">
        <f t="shared" ref="J67:J88" si="14">B67-1978</f>
        <v>109</v>
      </c>
      <c r="K67" s="254">
        <f t="shared" ref="K67:K88" si="15">B67-1979</f>
        <v>108</v>
      </c>
      <c r="L67" s="261">
        <v>10</v>
      </c>
      <c r="M67" s="260">
        <f>G67</f>
        <v>8887500</v>
      </c>
      <c r="N67" s="260">
        <f t="shared" si="12"/>
        <v>9087500</v>
      </c>
      <c r="O67" s="260">
        <f t="shared" si="6"/>
        <v>12982142.857142856</v>
      </c>
      <c r="P67" s="260">
        <f>(N67*100)/80</f>
        <v>11359375</v>
      </c>
      <c r="Q67" s="260">
        <f>(N67*100)/90</f>
        <v>10097222.222222222</v>
      </c>
      <c r="R67" s="260">
        <f t="shared" si="9"/>
        <v>106650000</v>
      </c>
      <c r="S67" s="260"/>
      <c r="T67" s="260">
        <f t="shared" si="10"/>
        <v>125941000</v>
      </c>
      <c r="U67" s="258">
        <f>SUM(N67:N70)/4</f>
        <v>2421875</v>
      </c>
      <c r="V67" s="258">
        <f>N67-U67</f>
        <v>6665625</v>
      </c>
    </row>
    <row r="68" spans="1:22" ht="15">
      <c r="A68" s="254">
        <v>66</v>
      </c>
      <c r="B68" s="254">
        <v>2088</v>
      </c>
      <c r="C68" s="254">
        <v>80</v>
      </c>
      <c r="D68" s="255" t="s">
        <v>4124</v>
      </c>
      <c r="E68" s="255">
        <v>40000</v>
      </c>
      <c r="F68" s="255">
        <v>4437500</v>
      </c>
      <c r="G68" s="255">
        <v>8927500</v>
      </c>
      <c r="H68" s="255">
        <v>100000</v>
      </c>
      <c r="I68" s="254">
        <f t="shared" si="13"/>
        <v>81</v>
      </c>
      <c r="J68" s="254">
        <f t="shared" si="14"/>
        <v>110</v>
      </c>
      <c r="K68" s="254">
        <f t="shared" si="15"/>
        <v>109</v>
      </c>
      <c r="L68" s="254">
        <v>10</v>
      </c>
      <c r="M68" s="255"/>
      <c r="N68" s="255">
        <f t="shared" si="12"/>
        <v>200000</v>
      </c>
      <c r="O68" s="255">
        <f t="shared" si="6"/>
        <v>285714.28571428574</v>
      </c>
      <c r="P68" s="255">
        <f>(O68*100)/80</f>
        <v>357142.85714285716</v>
      </c>
      <c r="Q68" s="255">
        <f>(P68*100)/90</f>
        <v>396825.39682539686</v>
      </c>
      <c r="R68" s="255">
        <f t="shared" si="9"/>
        <v>107130000</v>
      </c>
      <c r="S68" s="255"/>
      <c r="T68" s="255">
        <f t="shared" si="10"/>
        <v>126141000</v>
      </c>
      <c r="U68" s="258">
        <f>U67</f>
        <v>2421875</v>
      </c>
      <c r="V68" s="258">
        <f>V67+N68-U68</f>
        <v>4443750</v>
      </c>
    </row>
    <row r="69" spans="1:22" ht="15">
      <c r="A69" s="254">
        <v>67</v>
      </c>
      <c r="B69" s="254">
        <v>2089</v>
      </c>
      <c r="C69" s="254">
        <v>81</v>
      </c>
      <c r="D69" s="255" t="s">
        <v>4124</v>
      </c>
      <c r="E69" s="255">
        <v>40000</v>
      </c>
      <c r="F69" s="255">
        <v>4437500</v>
      </c>
      <c r="G69" s="255">
        <v>8967500</v>
      </c>
      <c r="H69" s="255">
        <v>100000</v>
      </c>
      <c r="I69" s="254">
        <f t="shared" si="13"/>
        <v>82</v>
      </c>
      <c r="J69" s="254">
        <f t="shared" si="14"/>
        <v>111</v>
      </c>
      <c r="K69" s="254">
        <f t="shared" si="15"/>
        <v>110</v>
      </c>
      <c r="L69" s="254">
        <v>10</v>
      </c>
      <c r="M69" s="255"/>
      <c r="N69" s="255">
        <f t="shared" si="12"/>
        <v>200000</v>
      </c>
      <c r="O69" s="255">
        <f t="shared" si="6"/>
        <v>285714.28571428574</v>
      </c>
      <c r="P69" s="255">
        <f>(N69*100)/80</f>
        <v>250000</v>
      </c>
      <c r="Q69" s="255">
        <f>(N69*100)/90</f>
        <v>222222.22222222222</v>
      </c>
      <c r="R69" s="255">
        <f t="shared" si="9"/>
        <v>107610000</v>
      </c>
      <c r="S69" s="255"/>
      <c r="T69" s="255">
        <f t="shared" si="10"/>
        <v>126341000</v>
      </c>
      <c r="U69" s="258">
        <f>U68</f>
        <v>2421875</v>
      </c>
      <c r="V69" s="258">
        <f>V68+N69-U69</f>
        <v>2221875</v>
      </c>
    </row>
    <row r="70" spans="1:22" ht="15">
      <c r="A70" s="254">
        <v>68</v>
      </c>
      <c r="B70" s="254">
        <v>2090</v>
      </c>
      <c r="C70" s="254">
        <v>82</v>
      </c>
      <c r="D70" s="255" t="s">
        <v>4124</v>
      </c>
      <c r="E70" s="255">
        <v>40000</v>
      </c>
      <c r="F70" s="255">
        <v>4437500</v>
      </c>
      <c r="G70" s="255">
        <v>9007500</v>
      </c>
      <c r="H70" s="255">
        <v>100000</v>
      </c>
      <c r="I70" s="254">
        <f t="shared" si="13"/>
        <v>83</v>
      </c>
      <c r="J70" s="254">
        <f t="shared" si="14"/>
        <v>112</v>
      </c>
      <c r="K70" s="254">
        <f t="shared" si="15"/>
        <v>111</v>
      </c>
      <c r="L70" s="254">
        <v>10</v>
      </c>
      <c r="M70" s="255"/>
      <c r="N70" s="255">
        <f t="shared" si="12"/>
        <v>200000</v>
      </c>
      <c r="O70" s="255">
        <f t="shared" si="6"/>
        <v>285714.28571428574</v>
      </c>
      <c r="P70" s="255">
        <f>(N70*100)/80</f>
        <v>250000</v>
      </c>
      <c r="Q70" s="255">
        <f>(N70*100)/90</f>
        <v>222222.22222222222</v>
      </c>
      <c r="R70" s="255">
        <f t="shared" si="9"/>
        <v>108090000</v>
      </c>
      <c r="S70" s="255"/>
      <c r="T70" s="255">
        <f t="shared" si="10"/>
        <v>126541000</v>
      </c>
      <c r="U70" s="258">
        <f>U69</f>
        <v>2421875</v>
      </c>
      <c r="V70" s="258">
        <f>V69+N70-U70</f>
        <v>0</v>
      </c>
    </row>
    <row r="71" spans="1:22" ht="15">
      <c r="A71" s="254">
        <v>69</v>
      </c>
      <c r="B71" s="254">
        <v>2091</v>
      </c>
      <c r="C71" s="254">
        <v>83</v>
      </c>
      <c r="D71" s="255" t="s">
        <v>4124</v>
      </c>
      <c r="E71" s="255">
        <v>40000</v>
      </c>
      <c r="F71" s="255">
        <v>4437500</v>
      </c>
      <c r="G71" s="255">
        <v>9047500</v>
      </c>
      <c r="H71" s="255">
        <v>100000</v>
      </c>
      <c r="I71" s="254">
        <f t="shared" si="13"/>
        <v>84</v>
      </c>
      <c r="J71" s="254">
        <f t="shared" si="14"/>
        <v>113</v>
      </c>
      <c r="K71" s="254">
        <f t="shared" si="15"/>
        <v>112</v>
      </c>
      <c r="L71" s="261">
        <v>11</v>
      </c>
      <c r="M71" s="260">
        <f>G71</f>
        <v>9047500</v>
      </c>
      <c r="N71" s="260">
        <f t="shared" si="12"/>
        <v>9147500</v>
      </c>
      <c r="O71" s="260">
        <f t="shared" si="6"/>
        <v>13067857.142857144</v>
      </c>
      <c r="P71" s="260">
        <f>(N71*100)/80</f>
        <v>11434375</v>
      </c>
      <c r="Q71" s="260">
        <f>(N71*100)/90</f>
        <v>10163888.888888888</v>
      </c>
      <c r="R71" s="260">
        <f t="shared" si="9"/>
        <v>108570000</v>
      </c>
      <c r="S71" s="260"/>
      <c r="T71" s="260">
        <f t="shared" si="10"/>
        <v>135688500</v>
      </c>
      <c r="U71" s="258">
        <f>SUM(N71:N74)/4</f>
        <v>2361875</v>
      </c>
      <c r="V71" s="258">
        <f>N71-U71</f>
        <v>6785625</v>
      </c>
    </row>
    <row r="72" spans="1:22" ht="15">
      <c r="A72" s="254">
        <v>70</v>
      </c>
      <c r="B72" s="254">
        <v>2092</v>
      </c>
      <c r="C72" s="254">
        <v>84</v>
      </c>
      <c r="D72" s="255" t="s">
        <v>4124</v>
      </c>
      <c r="E72" s="255">
        <v>40000</v>
      </c>
      <c r="F72" s="255">
        <v>4437500</v>
      </c>
      <c r="G72" s="255">
        <v>9087500</v>
      </c>
      <c r="H72" s="255">
        <v>100000</v>
      </c>
      <c r="I72" s="254">
        <f t="shared" si="13"/>
        <v>85</v>
      </c>
      <c r="J72" s="254">
        <f t="shared" si="14"/>
        <v>114</v>
      </c>
      <c r="K72" s="254">
        <f t="shared" si="15"/>
        <v>113</v>
      </c>
      <c r="L72" s="254">
        <v>11</v>
      </c>
      <c r="N72" s="255">
        <f t="shared" si="12"/>
        <v>100000</v>
      </c>
      <c r="O72" s="255">
        <f t="shared" ref="O72:O75" si="16">(N72*100)/70</f>
        <v>142857.14285714287</v>
      </c>
      <c r="P72" s="255">
        <f>(O72*100)/80</f>
        <v>178571.42857142858</v>
      </c>
      <c r="Q72" s="255">
        <f>(P72*100)/90</f>
        <v>198412.69841269843</v>
      </c>
      <c r="R72" s="255">
        <f t="shared" ref="R72:R75" si="17">G72*12</f>
        <v>109050000</v>
      </c>
      <c r="S72" s="255"/>
      <c r="T72" s="255">
        <f t="shared" ref="T72:T75" si="18">T71+N72</f>
        <v>135788500</v>
      </c>
      <c r="U72" s="258">
        <f>U71</f>
        <v>2361875</v>
      </c>
      <c r="V72" s="258">
        <f>V71+N72-U72</f>
        <v>4523750</v>
      </c>
    </row>
    <row r="73" spans="1:22" ht="15">
      <c r="A73" s="254">
        <v>71</v>
      </c>
      <c r="B73" s="254">
        <v>2093</v>
      </c>
      <c r="C73" s="254">
        <v>85</v>
      </c>
      <c r="D73" s="255" t="s">
        <v>4124</v>
      </c>
      <c r="E73" s="255">
        <v>40000</v>
      </c>
      <c r="F73" s="255">
        <v>4437500</v>
      </c>
      <c r="G73" s="255">
        <v>9127500</v>
      </c>
      <c r="H73" s="255">
        <v>100000</v>
      </c>
      <c r="I73" s="254">
        <f t="shared" si="13"/>
        <v>86</v>
      </c>
      <c r="J73" s="254">
        <f t="shared" si="14"/>
        <v>115</v>
      </c>
      <c r="K73" s="254">
        <f t="shared" si="15"/>
        <v>114</v>
      </c>
      <c r="L73" s="254">
        <v>11</v>
      </c>
      <c r="N73" s="255">
        <f t="shared" si="12"/>
        <v>100000</v>
      </c>
      <c r="O73" s="255">
        <f t="shared" si="16"/>
        <v>142857.14285714287</v>
      </c>
      <c r="P73" s="255">
        <f>(N73*100)/80</f>
        <v>125000</v>
      </c>
      <c r="Q73" s="255">
        <f>(N73*100)/90</f>
        <v>111111.11111111111</v>
      </c>
      <c r="R73" s="255">
        <f t="shared" si="17"/>
        <v>109530000</v>
      </c>
      <c r="S73" s="255"/>
      <c r="T73" s="255">
        <f t="shared" si="18"/>
        <v>135888500</v>
      </c>
      <c r="U73" s="258">
        <f>U72</f>
        <v>2361875</v>
      </c>
      <c r="V73" s="258">
        <f>V72+N73-U73</f>
        <v>2261875</v>
      </c>
    </row>
    <row r="74" spans="1:22" ht="15">
      <c r="A74" s="254">
        <v>72</v>
      </c>
      <c r="B74" s="254">
        <v>2094</v>
      </c>
      <c r="C74" s="254">
        <v>86</v>
      </c>
      <c r="D74" s="255" t="s">
        <v>4124</v>
      </c>
      <c r="E74" s="255">
        <v>40000</v>
      </c>
      <c r="F74" s="255">
        <v>4437500</v>
      </c>
      <c r="G74" s="255">
        <v>9167500</v>
      </c>
      <c r="H74" s="255">
        <v>100000</v>
      </c>
      <c r="I74" s="254">
        <f t="shared" si="13"/>
        <v>87</v>
      </c>
      <c r="J74" s="254">
        <f t="shared" si="14"/>
        <v>116</v>
      </c>
      <c r="K74" s="254">
        <f t="shared" si="15"/>
        <v>115</v>
      </c>
      <c r="L74" s="254">
        <v>11</v>
      </c>
      <c r="N74" s="255">
        <f t="shared" si="12"/>
        <v>100000</v>
      </c>
      <c r="O74" s="255">
        <f t="shared" si="16"/>
        <v>142857.14285714287</v>
      </c>
      <c r="P74" s="255">
        <f>(N74*100)/80</f>
        <v>125000</v>
      </c>
      <c r="Q74" s="255">
        <f>(N74*100)/90</f>
        <v>111111.11111111111</v>
      </c>
      <c r="R74" s="255">
        <f t="shared" si="17"/>
        <v>110010000</v>
      </c>
      <c r="S74" s="255"/>
      <c r="T74" s="255">
        <f t="shared" si="18"/>
        <v>135988500</v>
      </c>
      <c r="U74" s="258">
        <f>U73</f>
        <v>2361875</v>
      </c>
      <c r="V74" s="258">
        <f>V73+N74-U74</f>
        <v>0</v>
      </c>
    </row>
    <row r="75" spans="1:22" ht="15">
      <c r="A75" s="254">
        <v>73</v>
      </c>
      <c r="B75" s="254">
        <v>2095</v>
      </c>
      <c r="C75" s="254">
        <v>87</v>
      </c>
      <c r="D75" s="255" t="s">
        <v>4124</v>
      </c>
      <c r="E75" s="255">
        <v>40000</v>
      </c>
      <c r="F75" s="255">
        <v>4437500</v>
      </c>
      <c r="G75" s="255">
        <v>9207500</v>
      </c>
      <c r="H75" s="255">
        <v>100000</v>
      </c>
      <c r="I75" s="254">
        <f t="shared" si="13"/>
        <v>88</v>
      </c>
      <c r="J75" s="254">
        <f t="shared" si="14"/>
        <v>117</v>
      </c>
      <c r="K75" s="254">
        <f t="shared" si="15"/>
        <v>116</v>
      </c>
      <c r="L75" s="261">
        <v>12</v>
      </c>
      <c r="M75" s="260">
        <f>G75</f>
        <v>9207500</v>
      </c>
      <c r="N75" s="260">
        <f t="shared" si="12"/>
        <v>9207500</v>
      </c>
      <c r="O75" s="260">
        <f t="shared" si="16"/>
        <v>13153571.428571429</v>
      </c>
      <c r="P75" s="260">
        <f>(N75*100)/80</f>
        <v>11509375</v>
      </c>
      <c r="Q75" s="260">
        <f>(N75*100)/90</f>
        <v>10230555.555555556</v>
      </c>
      <c r="R75" s="260">
        <f t="shared" si="17"/>
        <v>110490000</v>
      </c>
      <c r="S75" s="260"/>
      <c r="T75" s="260">
        <f t="shared" si="18"/>
        <v>145196000</v>
      </c>
    </row>
    <row r="76" spans="1:22" ht="15">
      <c r="A76" s="254">
        <v>74</v>
      </c>
      <c r="B76" s="254">
        <v>2096</v>
      </c>
      <c r="C76" s="254">
        <v>88</v>
      </c>
      <c r="D76" s="255" t="s">
        <v>4124</v>
      </c>
      <c r="E76" s="255">
        <v>40000</v>
      </c>
      <c r="F76" s="255">
        <v>4437500</v>
      </c>
      <c r="G76" s="255">
        <v>9247500</v>
      </c>
      <c r="H76" s="255">
        <v>100000</v>
      </c>
      <c r="I76" s="254">
        <f t="shared" si="13"/>
        <v>89</v>
      </c>
      <c r="J76" s="254">
        <f t="shared" si="14"/>
        <v>118</v>
      </c>
      <c r="K76" s="254">
        <f t="shared" si="15"/>
        <v>117</v>
      </c>
      <c r="N76" s="255"/>
      <c r="O76" s="255"/>
      <c r="P76" s="255"/>
      <c r="Q76" s="255"/>
      <c r="T76" s="255"/>
    </row>
    <row r="77" spans="1:22" ht="15">
      <c r="A77" s="254">
        <v>75</v>
      </c>
      <c r="B77" s="254">
        <v>2097</v>
      </c>
      <c r="C77" s="254">
        <v>89</v>
      </c>
      <c r="D77" s="255" t="s">
        <v>4124</v>
      </c>
      <c r="E77" s="255">
        <v>40000</v>
      </c>
      <c r="F77" s="255">
        <v>4437500</v>
      </c>
      <c r="G77" s="255">
        <v>9287500</v>
      </c>
      <c r="H77" s="255">
        <v>100000</v>
      </c>
      <c r="I77" s="254">
        <f t="shared" si="13"/>
        <v>90</v>
      </c>
      <c r="J77" s="254">
        <f t="shared" si="14"/>
        <v>119</v>
      </c>
      <c r="K77" s="254">
        <f t="shared" si="15"/>
        <v>118</v>
      </c>
    </row>
    <row r="78" spans="1:22" ht="15">
      <c r="A78" s="254">
        <v>76</v>
      </c>
      <c r="B78" s="254">
        <v>2098</v>
      </c>
      <c r="C78" s="254">
        <v>90</v>
      </c>
      <c r="D78" s="255" t="s">
        <v>4124</v>
      </c>
      <c r="E78" s="255">
        <v>40000</v>
      </c>
      <c r="F78" s="255">
        <v>4437500</v>
      </c>
      <c r="G78" s="255">
        <v>9327500</v>
      </c>
      <c r="H78" s="255">
        <v>100000</v>
      </c>
      <c r="I78" s="254">
        <f t="shared" si="13"/>
        <v>91</v>
      </c>
      <c r="J78" s="254">
        <f t="shared" si="14"/>
        <v>120</v>
      </c>
      <c r="K78" s="254">
        <f t="shared" si="15"/>
        <v>119</v>
      </c>
    </row>
    <row r="79" spans="1:22" ht="15">
      <c r="A79" s="254">
        <v>77</v>
      </c>
      <c r="B79" s="254">
        <v>2099</v>
      </c>
      <c r="C79" s="254">
        <v>91</v>
      </c>
      <c r="D79" s="255" t="s">
        <v>4124</v>
      </c>
      <c r="E79" s="255">
        <v>40000</v>
      </c>
      <c r="F79" s="255">
        <v>4437500</v>
      </c>
      <c r="G79" s="255">
        <v>9367500</v>
      </c>
      <c r="H79" s="255">
        <v>100000</v>
      </c>
      <c r="I79" s="254">
        <f t="shared" si="13"/>
        <v>92</v>
      </c>
      <c r="J79" s="254">
        <f t="shared" si="14"/>
        <v>121</v>
      </c>
      <c r="K79" s="254">
        <f t="shared" si="15"/>
        <v>120</v>
      </c>
    </row>
    <row r="80" spans="1:22" ht="15">
      <c r="A80" s="254">
        <v>78</v>
      </c>
      <c r="B80" s="254">
        <v>2100</v>
      </c>
      <c r="C80" s="254">
        <v>92</v>
      </c>
      <c r="D80" s="255" t="s">
        <v>4124</v>
      </c>
      <c r="E80" s="255">
        <v>40000</v>
      </c>
      <c r="F80" s="255">
        <v>4437500</v>
      </c>
      <c r="G80" s="255">
        <v>9407500</v>
      </c>
      <c r="H80" s="255">
        <v>100000</v>
      </c>
      <c r="I80" s="254">
        <f t="shared" si="13"/>
        <v>93</v>
      </c>
      <c r="J80" s="254">
        <f t="shared" si="14"/>
        <v>122</v>
      </c>
      <c r="K80" s="254">
        <f t="shared" si="15"/>
        <v>121</v>
      </c>
    </row>
    <row r="81" spans="1:11" ht="15">
      <c r="A81" s="254">
        <v>79</v>
      </c>
      <c r="B81" s="254">
        <v>2101</v>
      </c>
      <c r="C81" s="254">
        <v>93</v>
      </c>
      <c r="D81" s="255" t="s">
        <v>4124</v>
      </c>
      <c r="E81" s="255">
        <v>40000</v>
      </c>
      <c r="F81" s="255">
        <v>4437500</v>
      </c>
      <c r="G81" s="255">
        <v>9447500</v>
      </c>
      <c r="H81" s="255">
        <v>100000</v>
      </c>
      <c r="I81" s="254">
        <f t="shared" si="13"/>
        <v>94</v>
      </c>
      <c r="J81" s="254">
        <f t="shared" si="14"/>
        <v>123</v>
      </c>
      <c r="K81" s="254">
        <f t="shared" si="15"/>
        <v>122</v>
      </c>
    </row>
    <row r="82" spans="1:11" ht="15">
      <c r="A82" s="254">
        <v>80</v>
      </c>
      <c r="B82" s="254">
        <v>2102</v>
      </c>
      <c r="C82" s="254">
        <v>94</v>
      </c>
      <c r="D82" s="255" t="s">
        <v>4124</v>
      </c>
      <c r="E82" s="255">
        <v>40000</v>
      </c>
      <c r="F82" s="255">
        <v>4437500</v>
      </c>
      <c r="G82" s="255">
        <v>9487500</v>
      </c>
      <c r="H82" s="255">
        <v>100000</v>
      </c>
      <c r="I82" s="254">
        <f t="shared" si="13"/>
        <v>95</v>
      </c>
      <c r="J82" s="254">
        <f t="shared" si="14"/>
        <v>124</v>
      </c>
      <c r="K82" s="254">
        <f t="shared" si="15"/>
        <v>123</v>
      </c>
    </row>
    <row r="83" spans="1:11" ht="15">
      <c r="A83" s="254">
        <v>81</v>
      </c>
      <c r="B83" s="254">
        <v>2103</v>
      </c>
      <c r="C83" s="254">
        <v>95</v>
      </c>
      <c r="D83" s="255" t="s">
        <v>4124</v>
      </c>
      <c r="E83" s="255">
        <v>40000</v>
      </c>
      <c r="F83" s="255">
        <v>4437500</v>
      </c>
      <c r="G83" s="255">
        <v>9527500</v>
      </c>
      <c r="H83" s="255">
        <v>100000</v>
      </c>
      <c r="I83" s="254">
        <f t="shared" si="13"/>
        <v>96</v>
      </c>
      <c r="J83" s="254">
        <f t="shared" si="14"/>
        <v>125</v>
      </c>
      <c r="K83" s="254">
        <f t="shared" si="15"/>
        <v>124</v>
      </c>
    </row>
    <row r="84" spans="1:11" ht="15">
      <c r="A84" s="254">
        <v>82</v>
      </c>
      <c r="B84" s="254">
        <v>2104</v>
      </c>
      <c r="C84" s="254">
        <v>96</v>
      </c>
      <c r="D84" s="255" t="s">
        <v>4124</v>
      </c>
      <c r="E84" s="255">
        <v>40000</v>
      </c>
      <c r="F84" s="255">
        <v>4437500</v>
      </c>
      <c r="G84" s="255">
        <v>9567500</v>
      </c>
      <c r="H84" s="255">
        <v>100000</v>
      </c>
      <c r="I84" s="254">
        <f t="shared" si="13"/>
        <v>97</v>
      </c>
      <c r="J84" s="254">
        <f t="shared" si="14"/>
        <v>126</v>
      </c>
      <c r="K84" s="254">
        <f t="shared" si="15"/>
        <v>125</v>
      </c>
    </row>
    <row r="85" spans="1:11" ht="15">
      <c r="A85" s="254">
        <v>83</v>
      </c>
      <c r="B85" s="254">
        <v>2105</v>
      </c>
      <c r="C85" s="254">
        <v>97</v>
      </c>
      <c r="D85" s="255" t="s">
        <v>4124</v>
      </c>
      <c r="E85" s="255">
        <v>40000</v>
      </c>
      <c r="F85" s="255">
        <v>4437500</v>
      </c>
      <c r="G85" s="255">
        <v>9607500</v>
      </c>
      <c r="H85" s="255">
        <v>100000</v>
      </c>
      <c r="I85" s="254">
        <f t="shared" si="13"/>
        <v>98</v>
      </c>
      <c r="J85" s="254">
        <f t="shared" si="14"/>
        <v>127</v>
      </c>
      <c r="K85" s="254">
        <f t="shared" si="15"/>
        <v>126</v>
      </c>
    </row>
    <row r="86" spans="1:11" ht="15">
      <c r="A86" s="254">
        <v>84</v>
      </c>
      <c r="B86" s="254">
        <v>2106</v>
      </c>
      <c r="C86" s="254">
        <v>98</v>
      </c>
      <c r="D86" s="255" t="s">
        <v>4124</v>
      </c>
      <c r="E86" s="255">
        <v>40000</v>
      </c>
      <c r="F86" s="255">
        <v>4437500</v>
      </c>
      <c r="G86" s="255">
        <v>9647500</v>
      </c>
      <c r="H86" s="255">
        <v>100000</v>
      </c>
      <c r="I86" s="254">
        <f t="shared" si="13"/>
        <v>99</v>
      </c>
      <c r="J86" s="254">
        <f t="shared" si="14"/>
        <v>128</v>
      </c>
      <c r="K86" s="254">
        <f t="shared" si="15"/>
        <v>127</v>
      </c>
    </row>
    <row r="87" spans="1:11" ht="15">
      <c r="A87" s="254">
        <v>85</v>
      </c>
      <c r="B87" s="254">
        <v>2107</v>
      </c>
      <c r="C87" s="254">
        <v>99</v>
      </c>
      <c r="D87" s="255" t="s">
        <v>4124</v>
      </c>
      <c r="E87" s="255">
        <v>40000</v>
      </c>
      <c r="F87" s="255">
        <v>4437500</v>
      </c>
      <c r="G87" s="255">
        <v>9687500</v>
      </c>
      <c r="H87" s="255">
        <v>100000</v>
      </c>
      <c r="I87" s="254">
        <f t="shared" si="13"/>
        <v>100</v>
      </c>
      <c r="J87" s="254">
        <f t="shared" si="14"/>
        <v>129</v>
      </c>
      <c r="K87" s="254">
        <f t="shared" si="15"/>
        <v>128</v>
      </c>
    </row>
    <row r="88" spans="1:11" ht="15">
      <c r="A88" s="254">
        <v>86</v>
      </c>
      <c r="B88" s="254">
        <v>2108</v>
      </c>
      <c r="C88" s="254">
        <v>100</v>
      </c>
      <c r="D88" s="255" t="s">
        <v>952</v>
      </c>
      <c r="E88" s="255">
        <v>4000000</v>
      </c>
      <c r="F88" s="255">
        <v>4437500</v>
      </c>
      <c r="G88" s="255" t="s">
        <v>10608</v>
      </c>
      <c r="H88" s="255">
        <v>9687500</v>
      </c>
      <c r="I88" s="254">
        <f t="shared" si="13"/>
        <v>101</v>
      </c>
      <c r="J88" s="254">
        <f t="shared" si="14"/>
        <v>130</v>
      </c>
      <c r="K88" s="254">
        <f t="shared" si="15"/>
        <v>129</v>
      </c>
    </row>
  </sheetData>
  <hyperlinks>
    <hyperlink ref="U1" r:id="rId1" xr:uid="{12138D90-963B-4C8E-BB7A-9F0A3A062983}"/>
  </hyperlinks>
  <pageMargins left="0.7" right="0.7" top="0.75" bottom="0.75" header="0.3" footer="0.3"/>
  <pageSetup orientation="portrait" r:id="rId2"/>
  <legacyDrawing r:id="rId3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300-000000000000}">
  <sheetPr>
    <tabColor rgb="FFFFFF00"/>
  </sheetPr>
  <dimension ref="A1:O31"/>
  <sheetViews>
    <sheetView workbookViewId="0">
      <selection activeCell="K29" sqref="K29"/>
    </sheetView>
  </sheetViews>
  <sheetFormatPr defaultColWidth="8.85546875" defaultRowHeight="12.75"/>
  <cols>
    <col min="1" max="2" width="8.85546875" style="108"/>
    <col min="3" max="3" width="11.42578125" style="108" bestFit="1" customWidth="1"/>
    <col min="4" max="4" width="11.7109375" style="108" bestFit="1" customWidth="1"/>
    <col min="5" max="6" width="8.85546875" style="108"/>
    <col min="7" max="7" width="9.28515625" style="108" bestFit="1" customWidth="1"/>
    <col min="8" max="8" width="8.85546875" style="108"/>
    <col min="9" max="9" width="16.28515625" style="108" bestFit="1" customWidth="1"/>
    <col min="10" max="10" width="9.28515625" style="108" bestFit="1" customWidth="1"/>
    <col min="11" max="11" width="10.42578125" style="108" bestFit="1" customWidth="1"/>
    <col min="12" max="12" width="13.7109375" style="108" bestFit="1" customWidth="1"/>
    <col min="13" max="13" width="9.28515625" style="108" bestFit="1" customWidth="1"/>
    <col min="14" max="14" width="8.85546875" style="108"/>
    <col min="15" max="15" width="11" style="108" bestFit="1" customWidth="1"/>
    <col min="16" max="16384" width="8.85546875" style="108"/>
  </cols>
  <sheetData>
    <row r="1" spans="1:14">
      <c r="B1" s="108" t="s">
        <v>1022</v>
      </c>
      <c r="C1" s="108" t="s">
        <v>10451</v>
      </c>
      <c r="D1" s="108" t="s">
        <v>10450</v>
      </c>
      <c r="F1" s="108" t="s">
        <v>10690</v>
      </c>
      <c r="I1" s="108" t="s">
        <v>10770</v>
      </c>
      <c r="L1" s="108" t="s">
        <v>10690</v>
      </c>
    </row>
    <row r="2" spans="1:14">
      <c r="A2" s="108">
        <v>1</v>
      </c>
      <c r="B2" s="108">
        <v>2008</v>
      </c>
      <c r="C2" s="108">
        <v>35907</v>
      </c>
      <c r="D2" s="108">
        <v>500000</v>
      </c>
      <c r="F2" s="111">
        <v>0</v>
      </c>
      <c r="G2" s="112">
        <f>D2*F2</f>
        <v>0</v>
      </c>
      <c r="I2" s="108">
        <v>75</v>
      </c>
      <c r="J2" s="108">
        <f t="shared" ref="J2:J27" si="0">I2*D2/1000</f>
        <v>37500</v>
      </c>
      <c r="L2" s="108">
        <v>20</v>
      </c>
      <c r="M2" s="108">
        <f t="shared" ref="M2:M27" si="1">L2*D2/1000</f>
        <v>10000</v>
      </c>
    </row>
    <row r="3" spans="1:14">
      <c r="A3" s="108">
        <v>2</v>
      </c>
      <c r="B3" s="108">
        <v>2009</v>
      </c>
      <c r="C3" s="108">
        <v>35907</v>
      </c>
      <c r="D3" s="108">
        <v>500000</v>
      </c>
      <c r="I3" s="108">
        <v>75</v>
      </c>
      <c r="J3" s="108">
        <f t="shared" si="0"/>
        <v>37500</v>
      </c>
      <c r="L3" s="108">
        <v>20</v>
      </c>
      <c r="M3" s="108">
        <f t="shared" si="1"/>
        <v>10000</v>
      </c>
    </row>
    <row r="4" spans="1:14">
      <c r="A4" s="108">
        <v>3</v>
      </c>
      <c r="B4" s="108">
        <v>2010</v>
      </c>
      <c r="C4" s="108">
        <v>35907</v>
      </c>
      <c r="D4" s="108">
        <v>500000</v>
      </c>
      <c r="I4" s="108">
        <v>75</v>
      </c>
      <c r="J4" s="108">
        <f t="shared" si="0"/>
        <v>37500</v>
      </c>
      <c r="L4" s="108">
        <v>55</v>
      </c>
      <c r="M4" s="108">
        <f t="shared" si="1"/>
        <v>27500</v>
      </c>
      <c r="N4" s="108" t="s">
        <v>10771</v>
      </c>
    </row>
    <row r="5" spans="1:14">
      <c r="A5" s="108">
        <v>4</v>
      </c>
      <c r="B5" s="108">
        <v>2011</v>
      </c>
      <c r="C5" s="108">
        <v>35907</v>
      </c>
      <c r="D5" s="108">
        <v>500000</v>
      </c>
      <c r="I5" s="108">
        <v>75</v>
      </c>
      <c r="J5" s="108">
        <f t="shared" si="0"/>
        <v>37500</v>
      </c>
      <c r="L5" s="108">
        <v>75</v>
      </c>
      <c r="M5" s="108">
        <f t="shared" si="1"/>
        <v>37500</v>
      </c>
    </row>
    <row r="6" spans="1:14">
      <c r="A6" s="108">
        <v>5</v>
      </c>
      <c r="B6" s="108">
        <v>2012</v>
      </c>
      <c r="C6" s="108">
        <v>35907</v>
      </c>
      <c r="D6" s="108">
        <v>500000</v>
      </c>
      <c r="I6" s="108">
        <v>75</v>
      </c>
      <c r="J6" s="108">
        <f t="shared" si="0"/>
        <v>37500</v>
      </c>
      <c r="L6" s="108">
        <v>20</v>
      </c>
      <c r="M6" s="108">
        <f t="shared" si="1"/>
        <v>10000</v>
      </c>
      <c r="N6" s="108" t="s">
        <v>10772</v>
      </c>
    </row>
    <row r="7" spans="1:14">
      <c r="A7" s="108">
        <v>6</v>
      </c>
      <c r="B7" s="108">
        <v>2013</v>
      </c>
      <c r="C7" s="108">
        <v>35907</v>
      </c>
      <c r="D7" s="108">
        <v>500000</v>
      </c>
      <c r="I7" s="108">
        <v>75</v>
      </c>
      <c r="J7" s="108">
        <f t="shared" si="0"/>
        <v>37500</v>
      </c>
      <c r="L7" s="108">
        <v>20</v>
      </c>
      <c r="M7" s="108">
        <f t="shared" si="1"/>
        <v>10000</v>
      </c>
    </row>
    <row r="8" spans="1:14">
      <c r="A8" s="108">
        <v>7</v>
      </c>
      <c r="B8" s="108">
        <v>2014</v>
      </c>
      <c r="C8" s="108">
        <v>35907</v>
      </c>
      <c r="D8" s="108">
        <v>500000</v>
      </c>
      <c r="I8" s="108">
        <v>75</v>
      </c>
      <c r="J8" s="108">
        <f t="shared" si="0"/>
        <v>37500</v>
      </c>
      <c r="L8" s="108">
        <v>20</v>
      </c>
      <c r="M8" s="108">
        <f t="shared" si="1"/>
        <v>10000</v>
      </c>
    </row>
    <row r="9" spans="1:14">
      <c r="A9" s="108">
        <v>8</v>
      </c>
      <c r="B9" s="108">
        <v>2015</v>
      </c>
      <c r="C9" s="108">
        <v>35907</v>
      </c>
      <c r="D9" s="108">
        <v>500000</v>
      </c>
      <c r="I9" s="108">
        <v>75</v>
      </c>
      <c r="J9" s="108">
        <f t="shared" si="0"/>
        <v>37500</v>
      </c>
      <c r="L9" s="108">
        <v>20</v>
      </c>
      <c r="M9" s="108">
        <f t="shared" si="1"/>
        <v>10000</v>
      </c>
    </row>
    <row r="10" spans="1:14">
      <c r="A10" s="108">
        <v>9</v>
      </c>
      <c r="B10" s="108">
        <v>2016</v>
      </c>
      <c r="C10" s="108">
        <v>35907</v>
      </c>
      <c r="D10" s="108">
        <v>500000</v>
      </c>
      <c r="I10" s="108">
        <v>75</v>
      </c>
      <c r="J10" s="108">
        <f t="shared" si="0"/>
        <v>37500</v>
      </c>
      <c r="L10" s="108">
        <v>20</v>
      </c>
      <c r="M10" s="108">
        <f t="shared" si="1"/>
        <v>10000</v>
      </c>
    </row>
    <row r="11" spans="1:14">
      <c r="A11" s="108">
        <v>10</v>
      </c>
      <c r="B11" s="108">
        <v>2017</v>
      </c>
      <c r="C11" s="108">
        <v>35907</v>
      </c>
      <c r="D11" s="108">
        <v>500000</v>
      </c>
      <c r="I11" s="108">
        <v>75</v>
      </c>
      <c r="J11" s="108">
        <f t="shared" si="0"/>
        <v>37500</v>
      </c>
      <c r="L11" s="108">
        <v>20</v>
      </c>
      <c r="M11" s="108">
        <f t="shared" si="1"/>
        <v>10000</v>
      </c>
    </row>
    <row r="12" spans="1:14">
      <c r="A12" s="108">
        <v>11</v>
      </c>
      <c r="B12" s="108">
        <v>2018</v>
      </c>
      <c r="C12" s="108">
        <v>35907</v>
      </c>
      <c r="D12" s="108">
        <v>500000</v>
      </c>
      <c r="I12" s="108">
        <v>75</v>
      </c>
      <c r="J12" s="108">
        <f t="shared" si="0"/>
        <v>37500</v>
      </c>
      <c r="L12" s="108">
        <v>20</v>
      </c>
      <c r="M12" s="108">
        <f t="shared" si="1"/>
        <v>10000</v>
      </c>
    </row>
    <row r="13" spans="1:14">
      <c r="A13" s="108">
        <v>12</v>
      </c>
      <c r="B13" s="108">
        <v>2019</v>
      </c>
      <c r="C13" s="108">
        <v>35907</v>
      </c>
      <c r="D13" s="108">
        <v>500000</v>
      </c>
      <c r="I13" s="108">
        <v>75</v>
      </c>
      <c r="J13" s="108">
        <f t="shared" si="0"/>
        <v>37500</v>
      </c>
      <c r="L13" s="108">
        <v>20</v>
      </c>
      <c r="M13" s="108">
        <f t="shared" si="1"/>
        <v>10000</v>
      </c>
    </row>
    <row r="14" spans="1:14">
      <c r="A14" s="108">
        <v>13</v>
      </c>
      <c r="B14" s="108">
        <v>2020</v>
      </c>
      <c r="C14" s="108">
        <v>35907</v>
      </c>
      <c r="D14" s="108">
        <v>500000</v>
      </c>
      <c r="I14" s="108">
        <v>75</v>
      </c>
      <c r="J14" s="108">
        <f t="shared" si="0"/>
        <v>37500</v>
      </c>
      <c r="L14" s="108">
        <v>20</v>
      </c>
      <c r="M14" s="108">
        <f t="shared" si="1"/>
        <v>10000</v>
      </c>
    </row>
    <row r="15" spans="1:14">
      <c r="A15" s="108">
        <v>14</v>
      </c>
      <c r="B15" s="108">
        <v>2021</v>
      </c>
      <c r="C15" s="108">
        <v>35907</v>
      </c>
      <c r="D15" s="108">
        <v>500000</v>
      </c>
      <c r="I15" s="108">
        <v>75</v>
      </c>
      <c r="J15" s="108">
        <f t="shared" si="0"/>
        <v>37500</v>
      </c>
      <c r="L15" s="108">
        <v>20</v>
      </c>
      <c r="M15" s="108">
        <f t="shared" si="1"/>
        <v>10000</v>
      </c>
    </row>
    <row r="16" spans="1:14">
      <c r="A16" s="108">
        <v>15</v>
      </c>
      <c r="B16" s="108">
        <v>2022</v>
      </c>
      <c r="C16" s="108">
        <v>35907</v>
      </c>
      <c r="D16" s="108">
        <v>500000</v>
      </c>
      <c r="I16" s="108">
        <v>75</v>
      </c>
      <c r="J16" s="108">
        <f t="shared" si="0"/>
        <v>37500</v>
      </c>
      <c r="L16" s="108">
        <v>20</v>
      </c>
      <c r="M16" s="108">
        <f t="shared" si="1"/>
        <v>10000</v>
      </c>
    </row>
    <row r="17" spans="1:15">
      <c r="A17" s="108">
        <v>16</v>
      </c>
      <c r="B17" s="108">
        <v>2023</v>
      </c>
      <c r="C17" s="108">
        <v>35907</v>
      </c>
      <c r="D17" s="108">
        <v>500000</v>
      </c>
      <c r="I17" s="108">
        <v>75</v>
      </c>
      <c r="J17" s="108">
        <f t="shared" si="0"/>
        <v>37500</v>
      </c>
      <c r="L17" s="108">
        <v>20</v>
      </c>
      <c r="M17" s="108">
        <f t="shared" si="1"/>
        <v>10000</v>
      </c>
    </row>
    <row r="18" spans="1:15">
      <c r="A18" s="108">
        <v>17</v>
      </c>
      <c r="B18" s="108">
        <v>2024</v>
      </c>
      <c r="C18" s="108">
        <v>35907</v>
      </c>
      <c r="D18" s="108">
        <v>500000</v>
      </c>
      <c r="I18" s="108">
        <v>75</v>
      </c>
      <c r="J18" s="108">
        <f t="shared" si="0"/>
        <v>37500</v>
      </c>
      <c r="L18" s="108">
        <v>20</v>
      </c>
      <c r="M18" s="108">
        <f t="shared" si="1"/>
        <v>10000</v>
      </c>
    </row>
    <row r="19" spans="1:15">
      <c r="A19" s="108">
        <v>18</v>
      </c>
      <c r="B19" s="108">
        <v>2025</v>
      </c>
      <c r="C19" s="108">
        <v>35907</v>
      </c>
      <c r="D19" s="108">
        <v>500000</v>
      </c>
      <c r="E19" s="108">
        <v>1</v>
      </c>
      <c r="F19" s="111">
        <v>0.2</v>
      </c>
      <c r="G19" s="108">
        <f>F19*D19</f>
        <v>100000</v>
      </c>
      <c r="I19" s="108">
        <v>75</v>
      </c>
      <c r="J19" s="108">
        <f t="shared" si="0"/>
        <v>37500</v>
      </c>
      <c r="L19" s="108">
        <v>20</v>
      </c>
      <c r="M19" s="108">
        <f t="shared" si="1"/>
        <v>10000</v>
      </c>
    </row>
    <row r="20" spans="1:15">
      <c r="A20" s="108">
        <v>19</v>
      </c>
      <c r="B20" s="108">
        <v>2026</v>
      </c>
      <c r="D20" s="108">
        <v>500000</v>
      </c>
      <c r="I20" s="108">
        <v>75</v>
      </c>
      <c r="J20" s="108">
        <f t="shared" si="0"/>
        <v>37500</v>
      </c>
      <c r="L20" s="108">
        <v>20</v>
      </c>
      <c r="M20" s="108">
        <f t="shared" si="1"/>
        <v>10000</v>
      </c>
    </row>
    <row r="21" spans="1:15">
      <c r="A21" s="108">
        <v>20</v>
      </c>
      <c r="B21" s="108">
        <v>2027</v>
      </c>
      <c r="D21" s="108">
        <v>500000</v>
      </c>
      <c r="E21" s="108">
        <v>2</v>
      </c>
      <c r="F21" s="111">
        <v>0.2</v>
      </c>
      <c r="G21" s="108">
        <f>F21*D21</f>
        <v>100000</v>
      </c>
      <c r="I21" s="108">
        <v>75</v>
      </c>
      <c r="J21" s="108">
        <f t="shared" si="0"/>
        <v>37500</v>
      </c>
      <c r="L21" s="108">
        <v>20</v>
      </c>
      <c r="M21" s="108">
        <f t="shared" si="1"/>
        <v>10000</v>
      </c>
    </row>
    <row r="22" spans="1:15">
      <c r="A22" s="108">
        <v>21</v>
      </c>
      <c r="B22" s="108">
        <v>2028</v>
      </c>
      <c r="D22" s="108">
        <v>500000</v>
      </c>
      <c r="I22" s="108">
        <v>75</v>
      </c>
      <c r="J22" s="108">
        <f t="shared" si="0"/>
        <v>37500</v>
      </c>
      <c r="L22" s="108">
        <v>20</v>
      </c>
      <c r="M22" s="108">
        <f t="shared" si="1"/>
        <v>10000</v>
      </c>
    </row>
    <row r="23" spans="1:15">
      <c r="A23" s="108">
        <v>22</v>
      </c>
      <c r="B23" s="108">
        <v>2029</v>
      </c>
      <c r="D23" s="108">
        <v>500000</v>
      </c>
      <c r="E23" s="108">
        <v>3</v>
      </c>
      <c r="F23" s="111">
        <v>0.3</v>
      </c>
      <c r="G23" s="108">
        <f>F23*D23</f>
        <v>150000</v>
      </c>
      <c r="I23" s="108">
        <v>75</v>
      </c>
      <c r="J23" s="108">
        <f t="shared" si="0"/>
        <v>37500</v>
      </c>
      <c r="L23" s="108">
        <v>20</v>
      </c>
      <c r="M23" s="108">
        <f t="shared" si="1"/>
        <v>10000</v>
      </c>
    </row>
    <row r="24" spans="1:15">
      <c r="A24" s="108">
        <v>23</v>
      </c>
      <c r="B24" s="108">
        <v>2030</v>
      </c>
      <c r="D24" s="108">
        <v>500000</v>
      </c>
      <c r="I24" s="108">
        <v>75</v>
      </c>
      <c r="J24" s="108">
        <f t="shared" si="0"/>
        <v>37500</v>
      </c>
      <c r="L24" s="108">
        <v>20</v>
      </c>
      <c r="M24" s="108">
        <f t="shared" si="1"/>
        <v>10000</v>
      </c>
    </row>
    <row r="25" spans="1:15">
      <c r="A25" s="108">
        <v>24</v>
      </c>
      <c r="B25" s="108">
        <v>2031</v>
      </c>
      <c r="D25" s="108">
        <v>500000</v>
      </c>
      <c r="E25" s="108">
        <v>4</v>
      </c>
      <c r="F25" s="111">
        <v>0.3</v>
      </c>
      <c r="G25" s="108">
        <f>F25*D25</f>
        <v>150000</v>
      </c>
      <c r="I25" s="108">
        <v>75</v>
      </c>
      <c r="J25" s="108">
        <f t="shared" si="0"/>
        <v>37500</v>
      </c>
      <c r="L25" s="108">
        <v>20</v>
      </c>
      <c r="M25" s="108">
        <f t="shared" si="1"/>
        <v>10000</v>
      </c>
    </row>
    <row r="26" spans="1:15">
      <c r="A26" s="108">
        <v>25</v>
      </c>
      <c r="B26" s="108">
        <v>2032</v>
      </c>
      <c r="D26" s="108">
        <v>500000</v>
      </c>
      <c r="I26" s="108">
        <v>75</v>
      </c>
      <c r="J26" s="108">
        <f t="shared" si="0"/>
        <v>37500</v>
      </c>
      <c r="L26" s="108">
        <v>20</v>
      </c>
      <c r="M26" s="108">
        <f t="shared" si="1"/>
        <v>10000</v>
      </c>
    </row>
    <row r="27" spans="1:15">
      <c r="A27" s="108">
        <v>26</v>
      </c>
      <c r="B27" s="108">
        <v>2033</v>
      </c>
      <c r="D27" s="108">
        <v>500000</v>
      </c>
      <c r="E27" s="108">
        <v>5</v>
      </c>
      <c r="I27" s="108">
        <v>75</v>
      </c>
      <c r="J27" s="108">
        <f t="shared" si="0"/>
        <v>37500</v>
      </c>
      <c r="L27" s="108">
        <v>20</v>
      </c>
      <c r="M27" s="108">
        <f t="shared" si="1"/>
        <v>10000</v>
      </c>
      <c r="O27" s="108" t="s">
        <v>10679</v>
      </c>
    </row>
    <row r="28" spans="1:15">
      <c r="C28" s="110">
        <f>SUM(C2:C27)</f>
        <v>646326</v>
      </c>
      <c r="G28" s="110">
        <f>SUM(G2:G27)</f>
        <v>500000</v>
      </c>
      <c r="J28" s="110">
        <f>SUM(J2:J27)</f>
        <v>975000</v>
      </c>
      <c r="K28" s="109"/>
      <c r="M28" s="110">
        <f>SUM(M2:M27)</f>
        <v>305000</v>
      </c>
      <c r="O28" s="109">
        <f>G28+J28+M28</f>
        <v>1780000</v>
      </c>
    </row>
    <row r="29" spans="1:15">
      <c r="C29" s="50" t="s">
        <v>10773</v>
      </c>
    </row>
    <row r="30" spans="1:15">
      <c r="C30" s="50" t="s">
        <v>10774</v>
      </c>
    </row>
    <row r="31" spans="1:15">
      <c r="C31" s="50" t="s">
        <v>10775</v>
      </c>
    </row>
  </sheetData>
  <hyperlinks>
    <hyperlink ref="C29" r:id="rId1" xr:uid="{00000000-0004-0000-1300-000000000000}"/>
    <hyperlink ref="C30" r:id="rId2" xr:uid="{00000000-0004-0000-1300-000001000000}"/>
    <hyperlink ref="C31" r:id="rId3" xr:uid="{00000000-0004-0000-1300-000002000000}"/>
  </hyperlinks>
  <pageMargins left="0.7" right="0.7" top="0.75" bottom="0.75" header="0.3" footer="0.3"/>
  <pageSetup orientation="portrait" r:id="rId4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400-000000000000}">
  <sheetPr>
    <tabColor rgb="FFFFFF00"/>
  </sheetPr>
  <dimension ref="A1:AE31"/>
  <sheetViews>
    <sheetView topLeftCell="E1" workbookViewId="0">
      <selection activeCell="V11" sqref="V11"/>
    </sheetView>
  </sheetViews>
  <sheetFormatPr defaultColWidth="8.85546875" defaultRowHeight="12.75"/>
  <cols>
    <col min="1" max="2" width="8.85546875" style="108"/>
    <col min="3" max="3" width="11.42578125" style="108" bestFit="1" customWidth="1"/>
    <col min="4" max="4" width="11.7109375" style="108" bestFit="1" customWidth="1"/>
    <col min="5" max="6" width="8.85546875" style="108"/>
    <col min="7" max="7" width="9.28515625" style="108" bestFit="1" customWidth="1"/>
    <col min="8" max="8" width="8.85546875" style="108"/>
    <col min="9" max="9" width="16.28515625" style="108" bestFit="1" customWidth="1"/>
    <col min="10" max="10" width="9.28515625" style="108" bestFit="1" customWidth="1"/>
    <col min="11" max="11" width="10.42578125" style="108" bestFit="1" customWidth="1"/>
    <col min="12" max="12" width="13.7109375" style="108" bestFit="1" customWidth="1"/>
    <col min="13" max="14" width="8.85546875" style="108"/>
    <col min="15" max="15" width="11" style="108" bestFit="1" customWidth="1"/>
    <col min="16" max="17" width="8.85546875" style="108"/>
    <col min="18" max="18" width="10" style="108" bestFit="1" customWidth="1"/>
    <col min="19" max="19" width="9.7109375" style="108" bestFit="1" customWidth="1"/>
    <col min="20" max="20" width="9.5703125" style="108" bestFit="1" customWidth="1"/>
    <col min="21" max="25" width="8.85546875" style="108"/>
    <col min="26" max="26" width="9.7109375" style="108" bestFit="1" customWidth="1"/>
    <col min="27" max="27" width="9.5703125" style="108" bestFit="1" customWidth="1"/>
    <col min="28" max="29" width="8.85546875" style="108"/>
    <col min="30" max="30" width="11.85546875" style="108" bestFit="1" customWidth="1"/>
    <col min="31" max="16384" width="8.85546875" style="108"/>
  </cols>
  <sheetData>
    <row r="1" spans="1:31" ht="15">
      <c r="B1" s="108" t="s">
        <v>1022</v>
      </c>
      <c r="C1" s="108" t="s">
        <v>10451</v>
      </c>
      <c r="D1" s="108" t="s">
        <v>10450</v>
      </c>
      <c r="F1" s="108" t="s">
        <v>10690</v>
      </c>
      <c r="I1" s="314" t="s">
        <v>10776</v>
      </c>
      <c r="L1" s="108" t="s">
        <v>10690</v>
      </c>
      <c r="Q1"/>
      <c r="R1">
        <v>923803169</v>
      </c>
      <c r="S1" s="105">
        <v>39506</v>
      </c>
      <c r="T1" s="43">
        <v>500000</v>
      </c>
      <c r="U1">
        <v>35907</v>
      </c>
      <c r="V1" t="s">
        <v>10468</v>
      </c>
      <c r="W1" t="s">
        <v>10469</v>
      </c>
      <c r="X1"/>
      <c r="Y1">
        <v>923803170</v>
      </c>
      <c r="Z1" s="105">
        <v>39506</v>
      </c>
      <c r="AA1" s="43">
        <v>500000</v>
      </c>
      <c r="AB1">
        <v>23231</v>
      </c>
      <c r="AC1" t="s">
        <v>10468</v>
      </c>
      <c r="AD1" t="s">
        <v>10470</v>
      </c>
      <c r="AE1"/>
    </row>
    <row r="2" spans="1:31" ht="15">
      <c r="A2" s="108">
        <v>1</v>
      </c>
      <c r="B2" s="108">
        <v>2008</v>
      </c>
      <c r="C2" s="108">
        <v>23231</v>
      </c>
      <c r="D2" s="108">
        <v>500000</v>
      </c>
      <c r="F2" s="111">
        <v>0</v>
      </c>
      <c r="G2" s="112">
        <f>D2*F2</f>
        <v>0</v>
      </c>
      <c r="I2" s="108">
        <v>43</v>
      </c>
      <c r="J2" s="108">
        <f t="shared" ref="J2:J25" si="0">I2*D2/1000</f>
        <v>21500</v>
      </c>
      <c r="L2" s="108">
        <v>10</v>
      </c>
      <c r="M2" s="108">
        <f t="shared" ref="M2" si="1">L2*D2/1000</f>
        <v>5000</v>
      </c>
      <c r="Q2">
        <v>2026</v>
      </c>
      <c r="R2"/>
      <c r="S2"/>
      <c r="T2"/>
      <c r="U2"/>
      <c r="V2"/>
      <c r="W2">
        <v>100000</v>
      </c>
      <c r="X2"/>
      <c r="Y2"/>
      <c r="Z2"/>
      <c r="AA2"/>
      <c r="AB2"/>
      <c r="AC2"/>
      <c r="AD2"/>
      <c r="AE2"/>
    </row>
    <row r="3" spans="1:31" ht="15">
      <c r="A3" s="108">
        <v>2</v>
      </c>
      <c r="B3" s="108">
        <v>2009</v>
      </c>
      <c r="C3" s="108">
        <v>23231</v>
      </c>
      <c r="D3" s="108">
        <v>500000</v>
      </c>
      <c r="I3" s="108">
        <v>43</v>
      </c>
      <c r="J3" s="108">
        <f t="shared" si="0"/>
        <v>21500</v>
      </c>
      <c r="Q3">
        <v>2027</v>
      </c>
      <c r="R3"/>
      <c r="S3"/>
      <c r="T3"/>
      <c r="U3"/>
      <c r="V3"/>
      <c r="W3"/>
      <c r="X3"/>
      <c r="Y3"/>
      <c r="Z3"/>
      <c r="AA3"/>
      <c r="AB3"/>
      <c r="AC3"/>
      <c r="AD3">
        <v>125000</v>
      </c>
      <c r="AE3"/>
    </row>
    <row r="4" spans="1:31" ht="15">
      <c r="A4" s="108">
        <v>3</v>
      </c>
      <c r="B4" s="108">
        <v>2010</v>
      </c>
      <c r="C4" s="108">
        <v>23231</v>
      </c>
      <c r="D4" s="108">
        <v>500000</v>
      </c>
      <c r="I4" s="108">
        <v>43</v>
      </c>
      <c r="J4" s="108">
        <f t="shared" si="0"/>
        <v>21500</v>
      </c>
      <c r="Q4">
        <v>2028</v>
      </c>
      <c r="R4"/>
      <c r="S4"/>
      <c r="T4"/>
      <c r="U4"/>
      <c r="V4"/>
      <c r="W4">
        <v>100000</v>
      </c>
      <c r="X4"/>
      <c r="Y4"/>
      <c r="Z4"/>
      <c r="AA4"/>
      <c r="AB4"/>
      <c r="AC4"/>
      <c r="AD4">
        <v>50000</v>
      </c>
      <c r="AE4"/>
    </row>
    <row r="5" spans="1:31" ht="15">
      <c r="A5" s="108">
        <v>4</v>
      </c>
      <c r="B5" s="108">
        <v>2011</v>
      </c>
      <c r="C5" s="108">
        <v>23231</v>
      </c>
      <c r="D5" s="108">
        <v>500000</v>
      </c>
      <c r="I5" s="108">
        <v>43</v>
      </c>
      <c r="J5" s="108">
        <f t="shared" si="0"/>
        <v>21500</v>
      </c>
      <c r="Q5">
        <v>2029</v>
      </c>
      <c r="R5"/>
      <c r="S5"/>
      <c r="T5"/>
      <c r="U5"/>
      <c r="V5"/>
      <c r="W5"/>
      <c r="X5"/>
      <c r="Y5"/>
      <c r="Z5"/>
      <c r="AA5"/>
      <c r="AB5"/>
      <c r="AC5"/>
      <c r="AD5">
        <v>50000</v>
      </c>
      <c r="AE5"/>
    </row>
    <row r="6" spans="1:31" ht="15">
      <c r="A6" s="108">
        <v>5</v>
      </c>
      <c r="B6" s="108">
        <v>2012</v>
      </c>
      <c r="C6" s="108">
        <v>23231</v>
      </c>
      <c r="D6" s="108">
        <v>500000</v>
      </c>
      <c r="I6" s="108">
        <v>43</v>
      </c>
      <c r="J6" s="108">
        <f t="shared" si="0"/>
        <v>21500</v>
      </c>
      <c r="Q6">
        <v>2030</v>
      </c>
      <c r="R6"/>
      <c r="S6"/>
      <c r="T6"/>
      <c r="U6"/>
      <c r="V6"/>
      <c r="W6">
        <v>150000</v>
      </c>
      <c r="X6"/>
      <c r="Y6"/>
      <c r="Z6"/>
      <c r="AA6"/>
      <c r="AB6"/>
      <c r="AC6"/>
      <c r="AD6">
        <v>50000</v>
      </c>
      <c r="AE6"/>
    </row>
    <row r="7" spans="1:31" ht="15">
      <c r="A7" s="108">
        <v>6</v>
      </c>
      <c r="B7" s="108">
        <v>2013</v>
      </c>
      <c r="C7" s="108">
        <v>23231</v>
      </c>
      <c r="D7" s="108">
        <v>500000</v>
      </c>
      <c r="I7" s="108">
        <v>43</v>
      </c>
      <c r="J7" s="108">
        <f t="shared" si="0"/>
        <v>21500</v>
      </c>
      <c r="Q7">
        <v>2031</v>
      </c>
      <c r="R7"/>
      <c r="S7"/>
      <c r="T7"/>
      <c r="U7"/>
      <c r="V7"/>
      <c r="W7"/>
      <c r="X7"/>
      <c r="Y7"/>
      <c r="Z7"/>
      <c r="AA7"/>
      <c r="AB7"/>
      <c r="AC7"/>
      <c r="AD7">
        <v>50000</v>
      </c>
      <c r="AE7"/>
    </row>
    <row r="8" spans="1:31" ht="15">
      <c r="A8" s="108">
        <v>7</v>
      </c>
      <c r="B8" s="108">
        <v>2014</v>
      </c>
      <c r="C8" s="108">
        <v>23231</v>
      </c>
      <c r="D8" s="108">
        <v>500000</v>
      </c>
      <c r="I8" s="108">
        <v>43</v>
      </c>
      <c r="J8" s="108">
        <f t="shared" si="0"/>
        <v>21500</v>
      </c>
      <c r="Q8">
        <v>2032</v>
      </c>
      <c r="R8"/>
      <c r="S8"/>
      <c r="T8"/>
      <c r="U8"/>
      <c r="V8"/>
      <c r="W8">
        <v>150000</v>
      </c>
      <c r="X8"/>
      <c r="Y8"/>
      <c r="Z8"/>
      <c r="AA8"/>
      <c r="AB8"/>
      <c r="AC8"/>
      <c r="AD8">
        <v>931000</v>
      </c>
      <c r="AE8"/>
    </row>
    <row r="9" spans="1:31" ht="15">
      <c r="A9" s="108">
        <v>8</v>
      </c>
      <c r="B9" s="108">
        <v>2015</v>
      </c>
      <c r="C9" s="108">
        <v>23231</v>
      </c>
      <c r="D9" s="108">
        <v>500000</v>
      </c>
      <c r="I9" s="108">
        <v>43</v>
      </c>
      <c r="J9" s="108">
        <f t="shared" si="0"/>
        <v>21500</v>
      </c>
      <c r="Q9">
        <v>2033</v>
      </c>
      <c r="R9"/>
      <c r="S9"/>
      <c r="T9"/>
      <c r="U9"/>
      <c r="V9"/>
      <c r="W9"/>
      <c r="X9"/>
      <c r="Y9"/>
      <c r="Z9"/>
      <c r="AA9"/>
      <c r="AB9"/>
      <c r="AC9"/>
      <c r="AD9"/>
      <c r="AE9"/>
    </row>
    <row r="10" spans="1:31" ht="15">
      <c r="A10" s="108">
        <v>9</v>
      </c>
      <c r="B10" s="108">
        <v>2016</v>
      </c>
      <c r="C10" s="108">
        <v>23231</v>
      </c>
      <c r="D10" s="108">
        <v>500000</v>
      </c>
      <c r="I10" s="108">
        <v>43</v>
      </c>
      <c r="J10" s="108">
        <f t="shared" si="0"/>
        <v>21500</v>
      </c>
      <c r="Q10">
        <v>2034</v>
      </c>
      <c r="R10"/>
      <c r="S10"/>
      <c r="T10"/>
      <c r="U10"/>
      <c r="V10"/>
      <c r="W10">
        <v>1067500</v>
      </c>
      <c r="X10"/>
      <c r="Y10"/>
      <c r="Z10"/>
      <c r="AA10"/>
      <c r="AB10"/>
      <c r="AC10"/>
      <c r="AD10"/>
      <c r="AE10"/>
    </row>
    <row r="11" spans="1:31" ht="15">
      <c r="A11" s="108">
        <v>10</v>
      </c>
      <c r="B11" s="108">
        <v>2017</v>
      </c>
      <c r="C11" s="108">
        <v>23231</v>
      </c>
      <c r="D11" s="108">
        <v>500000</v>
      </c>
      <c r="I11" s="108">
        <v>43</v>
      </c>
      <c r="J11" s="108">
        <f t="shared" si="0"/>
        <v>21500</v>
      </c>
      <c r="Q11" t="s">
        <v>952</v>
      </c>
      <c r="R11"/>
      <c r="S11"/>
      <c r="T11"/>
      <c r="U11"/>
      <c r="V11"/>
      <c r="W11" s="29">
        <f>SUM(W2:W10)</f>
        <v>1567500</v>
      </c>
      <c r="X11"/>
      <c r="Y11"/>
      <c r="Z11"/>
      <c r="AA11"/>
      <c r="AB11"/>
      <c r="AC11"/>
      <c r="AD11" s="29">
        <f>SUM(AD2:AD10)</f>
        <v>1256000</v>
      </c>
      <c r="AE11"/>
    </row>
    <row r="12" spans="1:31">
      <c r="A12" s="108">
        <v>11</v>
      </c>
      <c r="B12" s="108">
        <v>2018</v>
      </c>
      <c r="C12" s="108">
        <v>23231</v>
      </c>
      <c r="D12" s="108">
        <v>500000</v>
      </c>
      <c r="I12" s="108">
        <v>43</v>
      </c>
      <c r="J12" s="108">
        <f t="shared" si="0"/>
        <v>21500</v>
      </c>
    </row>
    <row r="13" spans="1:31">
      <c r="A13" s="108">
        <v>12</v>
      </c>
      <c r="B13" s="108">
        <v>2019</v>
      </c>
      <c r="C13" s="108">
        <v>23231</v>
      </c>
      <c r="D13" s="108">
        <v>500000</v>
      </c>
      <c r="I13" s="108">
        <v>43</v>
      </c>
      <c r="J13" s="108">
        <f t="shared" si="0"/>
        <v>21500</v>
      </c>
    </row>
    <row r="14" spans="1:31">
      <c r="A14" s="108">
        <v>13</v>
      </c>
      <c r="B14" s="108">
        <v>2020</v>
      </c>
      <c r="C14" s="108">
        <v>23231</v>
      </c>
      <c r="D14" s="108">
        <v>500000</v>
      </c>
      <c r="I14" s="108">
        <v>43</v>
      </c>
      <c r="J14" s="108">
        <f t="shared" si="0"/>
        <v>21500</v>
      </c>
    </row>
    <row r="15" spans="1:31">
      <c r="A15" s="108">
        <v>14</v>
      </c>
      <c r="B15" s="108">
        <v>2021</v>
      </c>
      <c r="C15" s="108">
        <v>23231</v>
      </c>
      <c r="D15" s="108">
        <v>500000</v>
      </c>
      <c r="I15" s="108">
        <v>43</v>
      </c>
      <c r="J15" s="108">
        <f t="shared" si="0"/>
        <v>21500</v>
      </c>
    </row>
    <row r="16" spans="1:31">
      <c r="A16" s="108">
        <v>15</v>
      </c>
      <c r="B16" s="108">
        <v>2022</v>
      </c>
      <c r="C16" s="108">
        <v>23231</v>
      </c>
      <c r="D16" s="108">
        <v>500000</v>
      </c>
      <c r="I16" s="108">
        <v>43</v>
      </c>
      <c r="J16" s="108">
        <f t="shared" si="0"/>
        <v>21500</v>
      </c>
    </row>
    <row r="17" spans="1:15">
      <c r="A17" s="108">
        <v>16</v>
      </c>
      <c r="B17" s="108">
        <v>2023</v>
      </c>
      <c r="C17" s="108">
        <v>23231</v>
      </c>
      <c r="D17" s="108">
        <v>500000</v>
      </c>
      <c r="I17" s="108">
        <v>43</v>
      </c>
      <c r="J17" s="108">
        <f t="shared" si="0"/>
        <v>21500</v>
      </c>
    </row>
    <row r="18" spans="1:15">
      <c r="A18" s="108">
        <v>17</v>
      </c>
      <c r="B18" s="108">
        <v>2024</v>
      </c>
      <c r="C18" s="108">
        <v>23231</v>
      </c>
      <c r="D18" s="108">
        <v>500000</v>
      </c>
      <c r="I18" s="108">
        <v>43</v>
      </c>
      <c r="J18" s="108">
        <f t="shared" si="0"/>
        <v>21500</v>
      </c>
    </row>
    <row r="19" spans="1:15">
      <c r="A19" s="108">
        <v>18</v>
      </c>
      <c r="B19" s="108">
        <v>2025</v>
      </c>
      <c r="C19" s="108">
        <v>23231</v>
      </c>
      <c r="D19" s="108">
        <v>500000</v>
      </c>
      <c r="F19" s="111"/>
      <c r="I19" s="108">
        <v>43</v>
      </c>
      <c r="J19" s="108">
        <f t="shared" si="0"/>
        <v>21500</v>
      </c>
    </row>
    <row r="20" spans="1:15">
      <c r="A20" s="108">
        <v>19</v>
      </c>
      <c r="B20" s="108">
        <v>2026</v>
      </c>
      <c r="C20" s="108">
        <v>23231</v>
      </c>
      <c r="D20" s="108">
        <v>500000</v>
      </c>
      <c r="E20" s="108">
        <v>5</v>
      </c>
      <c r="F20" s="111">
        <v>0.25</v>
      </c>
      <c r="G20" s="108">
        <f>F20*D21</f>
        <v>125000</v>
      </c>
      <c r="I20" s="108">
        <v>43</v>
      </c>
      <c r="J20" s="108">
        <f t="shared" si="0"/>
        <v>21500</v>
      </c>
    </row>
    <row r="21" spans="1:15">
      <c r="A21" s="108">
        <v>20</v>
      </c>
      <c r="B21" s="108">
        <v>2027</v>
      </c>
      <c r="D21" s="108">
        <v>500000</v>
      </c>
      <c r="E21" s="108">
        <v>4</v>
      </c>
      <c r="F21" s="111">
        <v>0.1</v>
      </c>
      <c r="G21" s="108">
        <f>F21*D22</f>
        <v>50000</v>
      </c>
      <c r="I21" s="108">
        <v>43</v>
      </c>
      <c r="J21" s="108">
        <f t="shared" si="0"/>
        <v>21500</v>
      </c>
    </row>
    <row r="22" spans="1:15">
      <c r="A22" s="108">
        <v>21</v>
      </c>
      <c r="B22" s="108">
        <v>2028</v>
      </c>
      <c r="D22" s="108">
        <v>500000</v>
      </c>
      <c r="E22" s="108">
        <v>3</v>
      </c>
      <c r="F22" s="111">
        <v>0.1</v>
      </c>
      <c r="G22" s="108">
        <f>F22*D23</f>
        <v>50000</v>
      </c>
      <c r="I22" s="108">
        <v>43</v>
      </c>
      <c r="J22" s="108">
        <f t="shared" si="0"/>
        <v>21500</v>
      </c>
    </row>
    <row r="23" spans="1:15">
      <c r="A23" s="108">
        <v>22</v>
      </c>
      <c r="B23" s="108">
        <v>2029</v>
      </c>
      <c r="D23" s="108">
        <v>500000</v>
      </c>
      <c r="E23" s="108">
        <v>2</v>
      </c>
      <c r="F23" s="111">
        <v>0.1</v>
      </c>
      <c r="G23" s="108">
        <f>F23*D24</f>
        <v>50000</v>
      </c>
      <c r="I23" s="108">
        <v>43</v>
      </c>
      <c r="J23" s="108">
        <f t="shared" si="0"/>
        <v>21500</v>
      </c>
    </row>
    <row r="24" spans="1:15">
      <c r="A24" s="108">
        <v>23</v>
      </c>
      <c r="B24" s="108">
        <v>2030</v>
      </c>
      <c r="D24" s="108">
        <v>500000</v>
      </c>
      <c r="E24" s="108">
        <v>1</v>
      </c>
      <c r="F24" s="111">
        <v>0.1</v>
      </c>
      <c r="G24" s="108">
        <f>F24*D25</f>
        <v>50000</v>
      </c>
      <c r="I24" s="108">
        <v>43</v>
      </c>
      <c r="J24" s="108">
        <f t="shared" si="0"/>
        <v>21500</v>
      </c>
    </row>
    <row r="25" spans="1:15">
      <c r="A25" s="108">
        <v>24</v>
      </c>
      <c r="B25" s="108">
        <v>2031</v>
      </c>
      <c r="D25" s="108">
        <v>500000</v>
      </c>
      <c r="I25" s="108">
        <v>43</v>
      </c>
      <c r="J25" s="108">
        <f t="shared" si="0"/>
        <v>21500</v>
      </c>
    </row>
    <row r="27" spans="1:15">
      <c r="O27" s="108" t="s">
        <v>10679</v>
      </c>
    </row>
    <row r="28" spans="1:15">
      <c r="C28" s="110">
        <f>SUM(C2:C27)</f>
        <v>441389</v>
      </c>
      <c r="G28" s="110">
        <f>SUM(G2:G27)</f>
        <v>325000</v>
      </c>
      <c r="J28" s="110">
        <f>SUM(J2:J27)</f>
        <v>516000</v>
      </c>
      <c r="K28" s="109"/>
      <c r="M28" s="110">
        <f>SUM(M2:M27)</f>
        <v>5000</v>
      </c>
      <c r="O28" s="109">
        <f>G28+J28+M28</f>
        <v>846000</v>
      </c>
    </row>
    <row r="29" spans="1:15">
      <c r="C29" s="50" t="s">
        <v>10773</v>
      </c>
    </row>
    <row r="30" spans="1:15">
      <c r="C30" s="50" t="s">
        <v>10774</v>
      </c>
    </row>
    <row r="31" spans="1:15">
      <c r="C31" s="50" t="s">
        <v>10775</v>
      </c>
    </row>
  </sheetData>
  <hyperlinks>
    <hyperlink ref="C29" r:id="rId1" xr:uid="{00000000-0004-0000-1400-000000000000}"/>
    <hyperlink ref="C30" r:id="rId2" xr:uid="{00000000-0004-0000-1400-000001000000}"/>
    <hyperlink ref="C31" r:id="rId3" xr:uid="{00000000-0004-0000-1400-000002000000}"/>
  </hyperlinks>
  <pageMargins left="0.7" right="0.7" top="0.75" bottom="0.75" header="0.3" footer="0.3"/>
  <pageSetup orientation="portrait" r:id="rId4"/>
</worksheet>
</file>

<file path=xl/worksheets/sheet2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E00-000000000000}">
  <dimension ref="A1:AE75"/>
  <sheetViews>
    <sheetView workbookViewId="0">
      <pane xSplit="3" ySplit="1" topLeftCell="H2" activePane="bottomRight" state="frozen"/>
      <selection pane="topRight" activeCell="B1" sqref="B1"/>
      <selection pane="bottomLeft" activeCell="A2" sqref="A2"/>
      <selection pane="bottomRight" activeCell="H1" sqref="H1"/>
    </sheetView>
  </sheetViews>
  <sheetFormatPr defaultColWidth="8.85546875" defaultRowHeight="15"/>
  <cols>
    <col min="1" max="1" width="4.28515625" style="113" bestFit="1" customWidth="1"/>
    <col min="2" max="2" width="5.85546875" style="113" bestFit="1" customWidth="1"/>
    <col min="3" max="3" width="5" style="113" bestFit="1" customWidth="1"/>
    <col min="4" max="4" width="7.140625" style="113" bestFit="1" customWidth="1"/>
    <col min="5" max="5" width="10.28515625" style="113" bestFit="1" customWidth="1"/>
    <col min="6" max="6" width="10.42578125" style="114" bestFit="1" customWidth="1"/>
    <col min="7" max="7" width="16.7109375" style="113" bestFit="1" customWidth="1"/>
    <col min="8" max="8" width="9.5703125" style="114" bestFit="1" customWidth="1"/>
    <col min="9" max="9" width="10.28515625" style="113" bestFit="1" customWidth="1"/>
    <col min="10" max="10" width="9.5703125" style="113" bestFit="1" customWidth="1"/>
    <col min="11" max="11" width="12.5703125" style="113" bestFit="1" customWidth="1"/>
    <col min="12" max="12" width="8.85546875" style="114"/>
    <col min="13" max="13" width="13.140625" style="113" bestFit="1" customWidth="1"/>
    <col min="14" max="14" width="10.42578125" style="113" hidden="1" customWidth="1"/>
    <col min="15" max="15" width="16.7109375" style="113" hidden="1" customWidth="1"/>
    <col min="16" max="16" width="13.140625" style="114" bestFit="1" customWidth="1"/>
    <col min="17" max="17" width="10.42578125" style="113" bestFit="1" customWidth="1"/>
    <col min="18" max="18" width="3.85546875" style="113" customWidth="1"/>
    <col min="19" max="19" width="9.5703125" style="113" bestFit="1" customWidth="1"/>
    <col min="20" max="20" width="12.5703125" style="113" bestFit="1" customWidth="1"/>
    <col min="21" max="21" width="10.5703125" style="113" bestFit="1" customWidth="1"/>
    <col min="22" max="22" width="16.7109375" style="113" bestFit="1" customWidth="1"/>
    <col min="23" max="23" width="9.5703125" style="113" bestFit="1" customWidth="1"/>
    <col min="24" max="24" width="13.140625" style="113" bestFit="1" customWidth="1"/>
    <col min="25" max="25" width="13.140625" style="114" bestFit="1" customWidth="1"/>
    <col min="26" max="26" width="15.42578125" style="114" bestFit="1" customWidth="1"/>
    <col min="27" max="27" width="10.42578125" style="113" bestFit="1" customWidth="1"/>
    <col min="28" max="28" width="11.85546875" style="113" bestFit="1" customWidth="1"/>
    <col min="29" max="29" width="11.42578125" style="113" bestFit="1" customWidth="1"/>
    <col min="30" max="30" width="13.28515625" style="113" bestFit="1" customWidth="1"/>
    <col min="31" max="16384" width="8.85546875" style="113"/>
  </cols>
  <sheetData>
    <row r="1" spans="1:30" ht="45">
      <c r="A1" s="113" t="s">
        <v>10609</v>
      </c>
      <c r="B1" s="113" t="s">
        <v>10610</v>
      </c>
      <c r="C1" s="113" t="s">
        <v>1022</v>
      </c>
      <c r="D1" s="309" t="s">
        <v>10611</v>
      </c>
      <c r="E1" s="310"/>
      <c r="F1" s="114" t="s">
        <v>926</v>
      </c>
      <c r="G1" s="114" t="s">
        <v>926</v>
      </c>
      <c r="H1" s="114" t="s">
        <v>926</v>
      </c>
      <c r="I1" s="114" t="s">
        <v>926</v>
      </c>
      <c r="J1" s="114" t="s">
        <v>926</v>
      </c>
      <c r="K1" s="114" t="s">
        <v>926</v>
      </c>
      <c r="L1" s="114" t="s">
        <v>926</v>
      </c>
      <c r="M1" s="114" t="s">
        <v>926</v>
      </c>
      <c r="N1" s="114" t="s">
        <v>926</v>
      </c>
      <c r="O1" s="114" t="s">
        <v>926</v>
      </c>
      <c r="P1" s="114" t="s">
        <v>926</v>
      </c>
      <c r="Q1" s="114" t="s">
        <v>926</v>
      </c>
      <c r="S1" s="114" t="s">
        <v>925</v>
      </c>
      <c r="T1" s="114" t="s">
        <v>925</v>
      </c>
      <c r="U1" s="114" t="s">
        <v>925</v>
      </c>
      <c r="V1" s="114" t="s">
        <v>925</v>
      </c>
      <c r="W1" s="114" t="s">
        <v>925</v>
      </c>
      <c r="X1" s="114" t="s">
        <v>925</v>
      </c>
      <c r="Y1" s="114" t="s">
        <v>925</v>
      </c>
      <c r="Z1" s="114" t="s">
        <v>925</v>
      </c>
      <c r="AA1" s="114" t="s">
        <v>925</v>
      </c>
      <c r="AB1" s="114" t="s">
        <v>10612</v>
      </c>
      <c r="AC1" s="253" t="s">
        <v>10613</v>
      </c>
      <c r="AD1" s="114" t="s">
        <v>10614</v>
      </c>
    </row>
    <row r="2" spans="1:30">
      <c r="A2" s="113" t="s">
        <v>1020</v>
      </c>
      <c r="B2" s="113" t="s">
        <v>1020</v>
      </c>
      <c r="C2" s="113" t="s">
        <v>10615</v>
      </c>
      <c r="F2" s="114" t="s">
        <v>10616</v>
      </c>
      <c r="G2" s="113" t="s">
        <v>10448</v>
      </c>
      <c r="H2" s="114" t="s">
        <v>10616</v>
      </c>
      <c r="I2" s="113" t="s">
        <v>10448</v>
      </c>
      <c r="J2" s="114" t="s">
        <v>10616</v>
      </c>
      <c r="K2" s="113" t="s">
        <v>10448</v>
      </c>
      <c r="L2" s="114" t="s">
        <v>10616</v>
      </c>
      <c r="M2" s="113" t="s">
        <v>10448</v>
      </c>
      <c r="N2" s="114" t="s">
        <v>10616</v>
      </c>
      <c r="O2" s="113" t="s">
        <v>10448</v>
      </c>
      <c r="P2" s="114" t="s">
        <v>10617</v>
      </c>
      <c r="Q2" s="114" t="s">
        <v>952</v>
      </c>
      <c r="R2" s="114"/>
      <c r="S2" s="114" t="s">
        <v>10616</v>
      </c>
      <c r="T2" s="113" t="s">
        <v>10448</v>
      </c>
      <c r="U2" s="114" t="s">
        <v>10616</v>
      </c>
      <c r="V2" s="113" t="s">
        <v>10448</v>
      </c>
      <c r="W2" s="114" t="s">
        <v>10616</v>
      </c>
      <c r="X2" s="113" t="s">
        <v>10448</v>
      </c>
      <c r="Y2" s="114" t="s">
        <v>10617</v>
      </c>
      <c r="Z2" s="114" t="s">
        <v>10618</v>
      </c>
      <c r="AA2" s="114" t="s">
        <v>952</v>
      </c>
      <c r="AB2" s="114" t="s">
        <v>952</v>
      </c>
      <c r="AC2" s="114"/>
      <c r="AD2" s="114"/>
    </row>
    <row r="3" spans="1:30">
      <c r="A3" s="113">
        <v>42</v>
      </c>
      <c r="B3" s="113">
        <v>13</v>
      </c>
      <c r="C3" s="113">
        <v>2021</v>
      </c>
      <c r="Q3" s="115">
        <f t="shared" ref="Q3:Q6" si="0">F3+H3+J3+L3</f>
        <v>0</v>
      </c>
      <c r="R3" s="115"/>
      <c r="AA3" s="115">
        <f t="shared" ref="AA3:AA60" si="1">S3+U3+W3+Y3+Z3</f>
        <v>0</v>
      </c>
      <c r="AB3" s="115">
        <f t="shared" ref="AB3:AB34" si="2">AA3+Q3</f>
        <v>0</v>
      </c>
      <c r="AC3" s="115"/>
      <c r="AD3" s="115"/>
    </row>
    <row r="4" spans="1:30">
      <c r="A4" s="113">
        <v>43</v>
      </c>
      <c r="B4" s="113">
        <v>14</v>
      </c>
      <c r="C4" s="113">
        <v>2022</v>
      </c>
      <c r="D4" s="113">
        <v>9</v>
      </c>
      <c r="E4" s="310" t="s">
        <v>10619</v>
      </c>
      <c r="Q4" s="115">
        <f t="shared" si="0"/>
        <v>0</v>
      </c>
      <c r="R4" s="115"/>
      <c r="AA4" s="115">
        <f t="shared" si="1"/>
        <v>0</v>
      </c>
      <c r="AB4" s="115">
        <f t="shared" si="2"/>
        <v>0</v>
      </c>
      <c r="AC4" s="115"/>
      <c r="AD4" s="115"/>
    </row>
    <row r="5" spans="1:30">
      <c r="A5" s="113">
        <v>44</v>
      </c>
      <c r="B5" s="113">
        <v>15</v>
      </c>
      <c r="C5" s="113">
        <v>2023</v>
      </c>
      <c r="D5" s="113">
        <v>10</v>
      </c>
      <c r="E5" s="310" t="s">
        <v>10619</v>
      </c>
      <c r="Q5" s="115">
        <f t="shared" si="0"/>
        <v>0</v>
      </c>
      <c r="R5" s="115"/>
      <c r="AA5" s="115">
        <f t="shared" si="1"/>
        <v>0</v>
      </c>
      <c r="AB5" s="115">
        <f t="shared" si="2"/>
        <v>0</v>
      </c>
      <c r="AC5" s="115"/>
      <c r="AD5" s="115"/>
    </row>
    <row r="6" spans="1:30">
      <c r="A6" s="113">
        <v>45</v>
      </c>
      <c r="B6" s="113">
        <v>16</v>
      </c>
      <c r="C6" s="113">
        <v>2024</v>
      </c>
      <c r="D6" s="113">
        <v>11</v>
      </c>
      <c r="E6" s="310" t="s">
        <v>10619</v>
      </c>
      <c r="Q6" s="115">
        <f t="shared" si="0"/>
        <v>0</v>
      </c>
      <c r="R6" s="115"/>
      <c r="AA6" s="115">
        <f t="shared" si="1"/>
        <v>0</v>
      </c>
      <c r="AB6" s="115">
        <f t="shared" si="2"/>
        <v>0</v>
      </c>
      <c r="AC6" s="115"/>
      <c r="AD6" s="115"/>
    </row>
    <row r="7" spans="1:30">
      <c r="A7" s="113">
        <v>46</v>
      </c>
      <c r="B7" s="113">
        <v>17</v>
      </c>
      <c r="C7" s="113">
        <v>2025</v>
      </c>
      <c r="D7" s="113">
        <v>12</v>
      </c>
      <c r="E7" s="310" t="s">
        <v>10619</v>
      </c>
      <c r="F7" s="114">
        <v>100000</v>
      </c>
      <c r="G7" s="113" t="s">
        <v>10605</v>
      </c>
      <c r="Q7" s="115">
        <f t="shared" ref="Q7:Q13" si="3">F7+H7+J7+L7+P7</f>
        <v>100000</v>
      </c>
      <c r="R7" s="115"/>
      <c r="AA7" s="115">
        <f t="shared" ref="AA7:AA12" si="4">S7+U7+W7+Y7+Z7</f>
        <v>0</v>
      </c>
      <c r="AB7" s="115">
        <f t="shared" si="2"/>
        <v>100000</v>
      </c>
      <c r="AC7" s="115"/>
      <c r="AD7" s="115"/>
    </row>
    <row r="8" spans="1:30">
      <c r="A8" s="113">
        <v>47</v>
      </c>
      <c r="B8" s="113">
        <v>18</v>
      </c>
      <c r="C8" s="113">
        <v>2026</v>
      </c>
      <c r="D8" s="113">
        <v>13</v>
      </c>
      <c r="E8" s="310" t="s">
        <v>10619</v>
      </c>
      <c r="H8" s="114">
        <v>125000</v>
      </c>
      <c r="I8" s="113" t="s">
        <v>10620</v>
      </c>
      <c r="Q8" s="115">
        <f t="shared" si="3"/>
        <v>125000</v>
      </c>
      <c r="R8" s="115"/>
      <c r="Y8" s="114">
        <v>2500000</v>
      </c>
      <c r="AA8" s="115">
        <f t="shared" si="4"/>
        <v>2500000</v>
      </c>
      <c r="AB8" s="115">
        <f t="shared" si="2"/>
        <v>2625000</v>
      </c>
      <c r="AC8" s="115"/>
      <c r="AD8" s="115"/>
    </row>
    <row r="9" spans="1:30">
      <c r="A9" s="113">
        <v>48</v>
      </c>
      <c r="B9" s="113">
        <v>19</v>
      </c>
      <c r="C9" s="113">
        <v>2027</v>
      </c>
      <c r="D9" s="113">
        <v>14</v>
      </c>
      <c r="E9" s="310" t="s">
        <v>10619</v>
      </c>
      <c r="F9" s="114">
        <v>100000</v>
      </c>
      <c r="G9" s="113" t="s">
        <v>10605</v>
      </c>
      <c r="H9" s="114">
        <v>50000</v>
      </c>
      <c r="I9" s="113" t="s">
        <v>10620</v>
      </c>
      <c r="P9" s="114">
        <v>2500000</v>
      </c>
      <c r="Q9" s="115">
        <f t="shared" si="3"/>
        <v>2650000</v>
      </c>
      <c r="R9" s="115"/>
      <c r="AA9" s="115">
        <f t="shared" si="4"/>
        <v>0</v>
      </c>
      <c r="AB9" s="115">
        <f t="shared" si="2"/>
        <v>2650000</v>
      </c>
      <c r="AC9" s="115"/>
      <c r="AD9" s="115"/>
    </row>
    <row r="10" spans="1:30">
      <c r="A10" s="113">
        <v>49</v>
      </c>
      <c r="B10" s="113">
        <v>20</v>
      </c>
      <c r="C10" s="113">
        <v>2028</v>
      </c>
      <c r="D10" s="113">
        <v>15</v>
      </c>
      <c r="E10" s="310" t="s">
        <v>10619</v>
      </c>
      <c r="H10" s="114">
        <v>50000</v>
      </c>
      <c r="I10" s="113" t="s">
        <v>10620</v>
      </c>
      <c r="Q10" s="115">
        <f t="shared" si="3"/>
        <v>50000</v>
      </c>
      <c r="R10" s="115"/>
      <c r="S10" s="116">
        <v>965475</v>
      </c>
      <c r="T10" s="113" t="s">
        <v>10495</v>
      </c>
      <c r="Y10" s="114">
        <v>3000000</v>
      </c>
      <c r="AA10" s="115">
        <f t="shared" si="4"/>
        <v>3965475</v>
      </c>
      <c r="AB10" s="115">
        <f t="shared" si="2"/>
        <v>4015475</v>
      </c>
      <c r="AC10" s="115"/>
      <c r="AD10" s="115"/>
    </row>
    <row r="11" spans="1:30">
      <c r="A11" s="113">
        <v>50</v>
      </c>
      <c r="B11" s="113">
        <v>21</v>
      </c>
      <c r="C11" s="113">
        <v>2029</v>
      </c>
      <c r="D11" s="113">
        <v>16</v>
      </c>
      <c r="E11" s="310" t="s">
        <v>10619</v>
      </c>
      <c r="F11" s="114">
        <v>100000</v>
      </c>
      <c r="G11" s="113" t="s">
        <v>10605</v>
      </c>
      <c r="H11" s="114">
        <v>50000</v>
      </c>
      <c r="I11" s="113" t="s">
        <v>10620</v>
      </c>
      <c r="J11" s="116">
        <v>930510</v>
      </c>
      <c r="K11" s="113" t="s">
        <v>10495</v>
      </c>
      <c r="P11" s="114">
        <v>3000000</v>
      </c>
      <c r="Q11" s="115">
        <f t="shared" si="3"/>
        <v>4080510</v>
      </c>
      <c r="R11" s="115"/>
      <c r="S11" s="116">
        <v>930510</v>
      </c>
      <c r="T11" s="113" t="s">
        <v>10495</v>
      </c>
      <c r="U11" s="114">
        <v>1800000</v>
      </c>
      <c r="V11" s="113" t="s">
        <v>10497</v>
      </c>
      <c r="AA11" s="115">
        <f t="shared" si="4"/>
        <v>2730510</v>
      </c>
      <c r="AB11" s="115">
        <f t="shared" si="2"/>
        <v>6811020</v>
      </c>
      <c r="AC11" s="115"/>
      <c r="AD11" s="115"/>
    </row>
    <row r="12" spans="1:30">
      <c r="A12" s="113">
        <v>51</v>
      </c>
      <c r="B12" s="113">
        <v>22</v>
      </c>
      <c r="C12" s="113">
        <v>2030</v>
      </c>
      <c r="D12" s="113">
        <v>17</v>
      </c>
      <c r="E12" s="310" t="s">
        <v>10619</v>
      </c>
      <c r="H12" s="114">
        <v>50000</v>
      </c>
      <c r="I12" s="113" t="s">
        <v>10620</v>
      </c>
      <c r="J12" s="116">
        <v>873980</v>
      </c>
      <c r="K12" s="113" t="s">
        <v>10495</v>
      </c>
      <c r="Q12" s="115">
        <f t="shared" si="3"/>
        <v>923980</v>
      </c>
      <c r="R12" s="115"/>
      <c r="S12" s="116">
        <v>870980</v>
      </c>
      <c r="T12" s="113" t="s">
        <v>10495</v>
      </c>
      <c r="U12" s="114"/>
      <c r="Y12" s="114">
        <v>3500000</v>
      </c>
      <c r="AA12" s="115">
        <f t="shared" si="4"/>
        <v>4370980</v>
      </c>
      <c r="AB12" s="115">
        <f t="shared" si="2"/>
        <v>5294960</v>
      </c>
      <c r="AC12" s="115"/>
      <c r="AD12" s="115"/>
    </row>
    <row r="13" spans="1:30">
      <c r="A13" s="113">
        <v>52</v>
      </c>
      <c r="B13" s="113">
        <v>23</v>
      </c>
      <c r="C13" s="113">
        <v>2031</v>
      </c>
      <c r="D13" s="113">
        <v>18</v>
      </c>
      <c r="E13" s="310" t="s">
        <v>10619</v>
      </c>
      <c r="F13" s="114">
        <v>150000</v>
      </c>
      <c r="G13" s="113" t="s">
        <v>10605</v>
      </c>
      <c r="H13" s="114">
        <v>521000</v>
      </c>
      <c r="I13" s="113" t="s">
        <v>10620</v>
      </c>
      <c r="J13" s="116">
        <v>838585</v>
      </c>
      <c r="K13" s="113" t="s">
        <v>10495</v>
      </c>
      <c r="P13" s="114">
        <v>4000000</v>
      </c>
      <c r="Q13" s="115">
        <f t="shared" si="3"/>
        <v>5509585</v>
      </c>
      <c r="R13" s="115"/>
      <c r="S13" s="116">
        <v>838585</v>
      </c>
      <c r="T13" s="113" t="s">
        <v>10495</v>
      </c>
      <c r="U13" s="114"/>
      <c r="AA13" s="115">
        <f t="shared" si="1"/>
        <v>838585</v>
      </c>
      <c r="AB13" s="115">
        <f t="shared" si="2"/>
        <v>6348170</v>
      </c>
      <c r="AC13" s="115"/>
      <c r="AD13" s="115"/>
    </row>
    <row r="14" spans="1:30">
      <c r="A14" s="113">
        <v>53</v>
      </c>
      <c r="B14" s="113">
        <v>24</v>
      </c>
      <c r="C14" s="113">
        <v>2032</v>
      </c>
      <c r="J14" s="116">
        <v>811030</v>
      </c>
      <c r="K14" s="113" t="s">
        <v>10495</v>
      </c>
      <c r="Q14" s="115">
        <f t="shared" ref="Q14:Q60" si="5">F14+H14+J14+L14+P14</f>
        <v>811030</v>
      </c>
      <c r="R14" s="115"/>
      <c r="S14" s="116">
        <v>811030</v>
      </c>
      <c r="T14" s="113" t="s">
        <v>10495</v>
      </c>
      <c r="U14" s="114"/>
      <c r="AA14" s="115">
        <f t="shared" si="1"/>
        <v>811030</v>
      </c>
      <c r="AB14" s="115">
        <f t="shared" si="2"/>
        <v>1622060</v>
      </c>
      <c r="AC14" s="115"/>
      <c r="AD14" s="115"/>
    </row>
    <row r="15" spans="1:30">
      <c r="A15" s="113">
        <v>54</v>
      </c>
      <c r="B15" s="113">
        <v>25</v>
      </c>
      <c r="C15" s="113">
        <v>2033</v>
      </c>
      <c r="F15" s="114">
        <v>1280000</v>
      </c>
      <c r="G15" s="113" t="s">
        <v>10605</v>
      </c>
      <c r="J15" s="116">
        <v>806140</v>
      </c>
      <c r="K15" s="113" t="s">
        <v>10495</v>
      </c>
      <c r="Q15" s="115">
        <f t="shared" si="5"/>
        <v>2086140</v>
      </c>
      <c r="R15" s="115"/>
      <c r="S15" s="116">
        <v>806140</v>
      </c>
      <c r="T15" s="113" t="s">
        <v>10495</v>
      </c>
      <c r="U15" s="114"/>
      <c r="AA15" s="115">
        <f t="shared" si="1"/>
        <v>806140</v>
      </c>
      <c r="AB15" s="115">
        <f t="shared" si="2"/>
        <v>2892280</v>
      </c>
      <c r="AC15" s="115"/>
      <c r="AD15" s="115"/>
    </row>
    <row r="16" spans="1:30">
      <c r="A16" s="113">
        <v>55</v>
      </c>
      <c r="B16" s="113">
        <v>26</v>
      </c>
      <c r="C16" s="113">
        <v>2034</v>
      </c>
      <c r="J16" s="116">
        <v>806400</v>
      </c>
      <c r="K16" s="113" t="s">
        <v>10495</v>
      </c>
      <c r="Q16" s="115">
        <f t="shared" si="5"/>
        <v>806400</v>
      </c>
      <c r="R16" s="115"/>
      <c r="S16" s="116">
        <v>806400</v>
      </c>
      <c r="T16" s="113" t="s">
        <v>10495</v>
      </c>
      <c r="U16" s="114"/>
      <c r="AA16" s="115">
        <f t="shared" si="1"/>
        <v>806400</v>
      </c>
      <c r="AB16" s="115">
        <f t="shared" si="2"/>
        <v>1612800</v>
      </c>
      <c r="AC16" s="115"/>
      <c r="AD16" s="115"/>
    </row>
    <row r="17" spans="1:31">
      <c r="A17" s="113">
        <v>56</v>
      </c>
      <c r="B17" s="113">
        <v>27</v>
      </c>
      <c r="C17" s="113">
        <v>2035</v>
      </c>
      <c r="J17" s="116">
        <v>800700</v>
      </c>
      <c r="K17" s="113" t="s">
        <v>10495</v>
      </c>
      <c r="Q17" s="115">
        <f t="shared" si="5"/>
        <v>800700</v>
      </c>
      <c r="R17" s="115"/>
      <c r="S17" s="116">
        <v>800700</v>
      </c>
      <c r="T17" s="113" t="s">
        <v>10495</v>
      </c>
      <c r="AA17" s="115">
        <f>S17+U17+W17+Y17+Z17</f>
        <v>800700</v>
      </c>
      <c r="AB17" s="115">
        <f t="shared" si="2"/>
        <v>1601400</v>
      </c>
      <c r="AC17" s="115"/>
      <c r="AD17" s="115"/>
    </row>
    <row r="18" spans="1:31">
      <c r="A18" s="113">
        <v>57</v>
      </c>
      <c r="B18" s="113">
        <v>28</v>
      </c>
      <c r="C18" s="113">
        <v>2036</v>
      </c>
      <c r="J18" s="116">
        <v>789040</v>
      </c>
      <c r="K18" s="113" t="s">
        <v>10495</v>
      </c>
      <c r="Q18" s="115">
        <f t="shared" si="5"/>
        <v>789040</v>
      </c>
      <c r="R18" s="115"/>
      <c r="S18" s="116">
        <v>789040</v>
      </c>
      <c r="T18" s="113" t="s">
        <v>10495</v>
      </c>
      <c r="U18" s="114"/>
      <c r="AA18" s="115">
        <f t="shared" si="1"/>
        <v>789040</v>
      </c>
      <c r="AB18" s="115">
        <f t="shared" si="2"/>
        <v>1578080</v>
      </c>
      <c r="AC18" s="115"/>
      <c r="AD18" s="115"/>
    </row>
    <row r="19" spans="1:31">
      <c r="A19" s="113">
        <v>58</v>
      </c>
      <c r="B19" s="113">
        <v>29</v>
      </c>
      <c r="C19" s="113">
        <v>2037</v>
      </c>
      <c r="F19" s="114">
        <v>3500000</v>
      </c>
      <c r="G19" s="113" t="s">
        <v>1378</v>
      </c>
      <c r="J19" s="116">
        <v>776620</v>
      </c>
      <c r="K19" s="113" t="s">
        <v>10495</v>
      </c>
      <c r="Q19" s="115">
        <f t="shared" si="5"/>
        <v>4276620</v>
      </c>
      <c r="R19" s="115"/>
      <c r="S19" s="116">
        <v>776620</v>
      </c>
      <c r="T19" s="113" t="s">
        <v>10495</v>
      </c>
      <c r="U19" s="114"/>
      <c r="AA19" s="115">
        <f t="shared" si="1"/>
        <v>776620</v>
      </c>
      <c r="AB19" s="115">
        <f t="shared" si="2"/>
        <v>5053240</v>
      </c>
      <c r="AC19" s="115"/>
      <c r="AD19" s="115"/>
    </row>
    <row r="20" spans="1:31">
      <c r="A20" s="113">
        <v>59</v>
      </c>
      <c r="B20" s="113">
        <v>30</v>
      </c>
      <c r="C20" s="113">
        <v>2038</v>
      </c>
      <c r="J20" s="116">
        <v>773220</v>
      </c>
      <c r="K20" s="113" t="s">
        <v>10495</v>
      </c>
      <c r="Q20" s="115">
        <f t="shared" si="5"/>
        <v>773220</v>
      </c>
      <c r="R20" s="115"/>
      <c r="S20" s="116">
        <v>773220</v>
      </c>
      <c r="T20" s="113" t="s">
        <v>10495</v>
      </c>
      <c r="U20" s="114"/>
      <c r="AA20" s="115">
        <f t="shared" si="1"/>
        <v>773220</v>
      </c>
      <c r="AB20" s="115">
        <f t="shared" si="2"/>
        <v>1546440</v>
      </c>
      <c r="AC20" s="115"/>
      <c r="AD20" s="115"/>
    </row>
    <row r="21" spans="1:31">
      <c r="A21" s="113">
        <v>60</v>
      </c>
      <c r="B21" s="113">
        <v>31</v>
      </c>
      <c r="C21" s="113">
        <v>2039</v>
      </c>
      <c r="J21" s="116">
        <v>764750</v>
      </c>
      <c r="K21" s="113" t="s">
        <v>10495</v>
      </c>
      <c r="L21" s="114">
        <f t="shared" ref="L21:L60" si="6">240000*3+160000</f>
        <v>880000</v>
      </c>
      <c r="M21" s="113" t="s">
        <v>10496</v>
      </c>
      <c r="Q21" s="115">
        <f t="shared" si="5"/>
        <v>1644750</v>
      </c>
      <c r="R21" s="115"/>
      <c r="S21" s="116">
        <v>764750</v>
      </c>
      <c r="T21" s="113" t="s">
        <v>10495</v>
      </c>
      <c r="U21" s="114"/>
      <c r="W21" s="114">
        <f t="shared" ref="W21:W60" si="7">240000*3+160000</f>
        <v>880000</v>
      </c>
      <c r="X21" s="113" t="s">
        <v>10496</v>
      </c>
      <c r="AA21" s="115">
        <f t="shared" si="1"/>
        <v>1644750</v>
      </c>
      <c r="AB21" s="115">
        <f t="shared" si="2"/>
        <v>3289500</v>
      </c>
      <c r="AC21" s="115">
        <v>1200000</v>
      </c>
      <c r="AD21" s="115">
        <f>AB21+AC21</f>
        <v>4489500</v>
      </c>
    </row>
    <row r="22" spans="1:31">
      <c r="A22" s="113">
        <v>61</v>
      </c>
      <c r="B22" s="113">
        <v>32</v>
      </c>
      <c r="C22" s="113">
        <v>2040</v>
      </c>
      <c r="J22" s="116">
        <v>766260</v>
      </c>
      <c r="K22" s="113" t="s">
        <v>10495</v>
      </c>
      <c r="L22" s="114">
        <f t="shared" si="6"/>
        <v>880000</v>
      </c>
      <c r="M22" s="113" t="s">
        <v>10496</v>
      </c>
      <c r="Q22" s="115">
        <f t="shared" si="5"/>
        <v>1646260</v>
      </c>
      <c r="R22" s="115"/>
      <c r="S22" s="116">
        <v>766260</v>
      </c>
      <c r="T22" s="113" t="s">
        <v>10495</v>
      </c>
      <c r="U22" s="114">
        <v>1000000</v>
      </c>
      <c r="V22" s="113" t="s">
        <v>1023</v>
      </c>
      <c r="W22" s="114">
        <f t="shared" si="7"/>
        <v>880000</v>
      </c>
      <c r="X22" s="113" t="s">
        <v>10496</v>
      </c>
      <c r="AA22" s="115">
        <f t="shared" si="1"/>
        <v>2646260</v>
      </c>
      <c r="AB22" s="115">
        <f t="shared" si="2"/>
        <v>4292520</v>
      </c>
      <c r="AC22" s="115">
        <v>1200000</v>
      </c>
      <c r="AD22" s="115">
        <f t="shared" ref="AD22:AD58" si="8">AB22+AC22</f>
        <v>5492520</v>
      </c>
    </row>
    <row r="23" spans="1:31">
      <c r="A23" s="113">
        <v>62</v>
      </c>
      <c r="B23" s="113">
        <v>33</v>
      </c>
      <c r="C23" s="113">
        <v>2041</v>
      </c>
      <c r="F23" s="113"/>
      <c r="J23" s="116">
        <v>781665</v>
      </c>
      <c r="K23" s="113" t="s">
        <v>10495</v>
      </c>
      <c r="L23" s="114">
        <f t="shared" si="6"/>
        <v>880000</v>
      </c>
      <c r="M23" s="113" t="s">
        <v>10496</v>
      </c>
      <c r="Q23" s="115">
        <f t="shared" si="5"/>
        <v>1661665</v>
      </c>
      <c r="R23" s="115"/>
      <c r="S23" s="116">
        <v>781665</v>
      </c>
      <c r="T23" s="113" t="s">
        <v>10495</v>
      </c>
      <c r="U23" s="114">
        <v>3500000</v>
      </c>
      <c r="V23" s="113" t="s">
        <v>1378</v>
      </c>
      <c r="W23" s="114">
        <f t="shared" si="7"/>
        <v>880000</v>
      </c>
      <c r="X23" s="113" t="s">
        <v>10496</v>
      </c>
      <c r="AA23" s="115">
        <f t="shared" si="1"/>
        <v>5161665</v>
      </c>
      <c r="AB23" s="115">
        <f t="shared" si="2"/>
        <v>6823330</v>
      </c>
      <c r="AC23" s="115">
        <v>1200000</v>
      </c>
      <c r="AD23" s="115">
        <f t="shared" si="8"/>
        <v>8023330</v>
      </c>
    </row>
    <row r="24" spans="1:31">
      <c r="A24" s="113">
        <v>63</v>
      </c>
      <c r="B24" s="113">
        <v>34</v>
      </c>
      <c r="C24" s="113">
        <v>2042</v>
      </c>
      <c r="J24" s="116">
        <v>822400</v>
      </c>
      <c r="K24" s="113" t="s">
        <v>10495</v>
      </c>
      <c r="L24" s="114">
        <f t="shared" si="6"/>
        <v>880000</v>
      </c>
      <c r="M24" s="113" t="s">
        <v>10496</v>
      </c>
      <c r="Q24" s="115">
        <f t="shared" si="5"/>
        <v>1702400</v>
      </c>
      <c r="R24" s="115"/>
      <c r="S24" s="116">
        <v>753090</v>
      </c>
      <c r="T24" s="113" t="s">
        <v>10495</v>
      </c>
      <c r="W24" s="114">
        <f t="shared" si="7"/>
        <v>880000</v>
      </c>
      <c r="X24" s="113" t="s">
        <v>10496</v>
      </c>
      <c r="AA24" s="115">
        <f t="shared" si="1"/>
        <v>1633090</v>
      </c>
      <c r="AB24" s="115">
        <f t="shared" si="2"/>
        <v>3335490</v>
      </c>
      <c r="AC24" s="115">
        <v>1200000</v>
      </c>
      <c r="AD24" s="115">
        <f t="shared" si="8"/>
        <v>4535490</v>
      </c>
    </row>
    <row r="25" spans="1:31">
      <c r="A25" s="113">
        <v>64</v>
      </c>
      <c r="B25" s="113">
        <v>35</v>
      </c>
      <c r="C25" s="113">
        <v>2043</v>
      </c>
      <c r="J25" s="116">
        <v>784800</v>
      </c>
      <c r="K25" s="113" t="s">
        <v>10495</v>
      </c>
      <c r="L25" s="114">
        <f t="shared" si="6"/>
        <v>880000</v>
      </c>
      <c r="M25" s="113" t="s">
        <v>10496</v>
      </c>
      <c r="Q25" s="115">
        <f t="shared" si="5"/>
        <v>1664800</v>
      </c>
      <c r="R25" s="115"/>
      <c r="S25" s="116">
        <v>769685</v>
      </c>
      <c r="T25" s="113" t="s">
        <v>10495</v>
      </c>
      <c r="W25" s="114">
        <f t="shared" si="7"/>
        <v>880000</v>
      </c>
      <c r="X25" s="113" t="s">
        <v>10496</v>
      </c>
      <c r="AA25" s="115">
        <f t="shared" si="1"/>
        <v>1649685</v>
      </c>
      <c r="AB25" s="115">
        <f t="shared" si="2"/>
        <v>3314485</v>
      </c>
      <c r="AC25" s="115">
        <v>1200000</v>
      </c>
      <c r="AD25" s="115">
        <f t="shared" si="8"/>
        <v>4514485</v>
      </c>
    </row>
    <row r="26" spans="1:31">
      <c r="A26" s="113">
        <v>65</v>
      </c>
      <c r="B26" s="113">
        <v>36</v>
      </c>
      <c r="C26" s="113">
        <v>2044</v>
      </c>
      <c r="F26" s="116">
        <v>1620000</v>
      </c>
      <c r="G26" s="113" t="s">
        <v>10444</v>
      </c>
      <c r="J26" s="116">
        <v>790590</v>
      </c>
      <c r="K26" s="113" t="s">
        <v>10495</v>
      </c>
      <c r="L26" s="114">
        <f t="shared" si="6"/>
        <v>880000</v>
      </c>
      <c r="M26" s="113" t="s">
        <v>10496</v>
      </c>
      <c r="Q26" s="115">
        <f t="shared" si="5"/>
        <v>3290590</v>
      </c>
      <c r="R26" s="115"/>
      <c r="S26" s="116">
        <v>784800</v>
      </c>
      <c r="T26" s="113" t="s">
        <v>10495</v>
      </c>
      <c r="U26" s="114">
        <v>2160000</v>
      </c>
      <c r="V26" s="113" t="s">
        <v>10444</v>
      </c>
      <c r="W26" s="114">
        <f t="shared" si="7"/>
        <v>880000</v>
      </c>
      <c r="X26" s="113" t="s">
        <v>10496</v>
      </c>
      <c r="AA26" s="115">
        <f t="shared" si="1"/>
        <v>3824800</v>
      </c>
      <c r="AB26" s="115">
        <f t="shared" si="2"/>
        <v>7115390</v>
      </c>
      <c r="AC26" s="115">
        <v>1200000</v>
      </c>
      <c r="AD26" s="115">
        <f t="shared" si="8"/>
        <v>8315390</v>
      </c>
    </row>
    <row r="27" spans="1:31">
      <c r="A27" s="113">
        <v>66</v>
      </c>
      <c r="B27" s="113">
        <v>37</v>
      </c>
      <c r="C27" s="113">
        <v>2045</v>
      </c>
      <c r="J27" s="116">
        <v>775030</v>
      </c>
      <c r="K27" s="113" t="s">
        <v>10495</v>
      </c>
      <c r="L27" s="114">
        <f t="shared" si="6"/>
        <v>880000</v>
      </c>
      <c r="M27" s="113" t="s">
        <v>10496</v>
      </c>
      <c r="Q27" s="115">
        <f t="shared" si="5"/>
        <v>1655030</v>
      </c>
      <c r="R27" s="115"/>
      <c r="S27" s="116">
        <v>776030</v>
      </c>
      <c r="T27" s="113" t="s">
        <v>10495</v>
      </c>
      <c r="W27" s="114">
        <f t="shared" si="7"/>
        <v>880000</v>
      </c>
      <c r="X27" s="113" t="s">
        <v>10496</v>
      </c>
      <c r="AA27" s="115">
        <f t="shared" si="1"/>
        <v>1656030</v>
      </c>
      <c r="AB27" s="115">
        <f t="shared" si="2"/>
        <v>3311060</v>
      </c>
      <c r="AC27" s="115">
        <v>1200000</v>
      </c>
      <c r="AD27" s="115">
        <f t="shared" si="8"/>
        <v>4511060</v>
      </c>
    </row>
    <row r="28" spans="1:31">
      <c r="A28" s="113">
        <v>67</v>
      </c>
      <c r="B28" s="113">
        <v>38</v>
      </c>
      <c r="C28" s="113">
        <v>2046</v>
      </c>
      <c r="J28" s="116">
        <v>769280</v>
      </c>
      <c r="K28" s="113" t="s">
        <v>10495</v>
      </c>
      <c r="L28" s="114">
        <f t="shared" si="6"/>
        <v>880000</v>
      </c>
      <c r="M28" s="113" t="s">
        <v>10496</v>
      </c>
      <c r="Q28" s="115">
        <f t="shared" si="5"/>
        <v>1649280</v>
      </c>
      <c r="R28" s="115"/>
      <c r="S28" s="116">
        <v>769280</v>
      </c>
      <c r="T28" s="113" t="s">
        <v>10495</v>
      </c>
      <c r="W28" s="114">
        <f t="shared" si="7"/>
        <v>880000</v>
      </c>
      <c r="X28" s="113" t="s">
        <v>10496</v>
      </c>
      <c r="AA28" s="115">
        <f t="shared" si="1"/>
        <v>1649280</v>
      </c>
      <c r="AB28" s="115">
        <f t="shared" si="2"/>
        <v>3298560</v>
      </c>
      <c r="AC28" s="115">
        <v>1200000</v>
      </c>
      <c r="AD28" s="115">
        <f t="shared" si="8"/>
        <v>4498560</v>
      </c>
    </row>
    <row r="29" spans="1:31">
      <c r="A29" s="113">
        <v>68</v>
      </c>
      <c r="B29" s="113">
        <v>39</v>
      </c>
      <c r="C29" s="113">
        <v>2047</v>
      </c>
      <c r="F29" s="116">
        <v>2529600</v>
      </c>
      <c r="G29" s="113" t="s">
        <v>10441</v>
      </c>
      <c r="J29" s="116">
        <v>758550</v>
      </c>
      <c r="K29" s="113" t="s">
        <v>10495</v>
      </c>
      <c r="L29" s="114">
        <f t="shared" si="6"/>
        <v>880000</v>
      </c>
      <c r="M29" s="113" t="s">
        <v>10496</v>
      </c>
      <c r="Q29" s="115">
        <f t="shared" si="5"/>
        <v>4168150</v>
      </c>
      <c r="R29" s="115"/>
      <c r="S29" s="116">
        <v>758550</v>
      </c>
      <c r="T29" s="113" t="s">
        <v>10495</v>
      </c>
      <c r="W29" s="114">
        <f t="shared" si="7"/>
        <v>880000</v>
      </c>
      <c r="X29" s="113" t="s">
        <v>10496</v>
      </c>
      <c r="AA29" s="115">
        <f t="shared" si="1"/>
        <v>1638550</v>
      </c>
      <c r="AB29" s="115">
        <f t="shared" si="2"/>
        <v>5806700</v>
      </c>
      <c r="AC29" s="115">
        <v>1200000</v>
      </c>
      <c r="AD29" s="115">
        <f t="shared" si="8"/>
        <v>7006700</v>
      </c>
    </row>
    <row r="30" spans="1:31">
      <c r="A30" s="113">
        <v>69</v>
      </c>
      <c r="B30" s="113">
        <v>40</v>
      </c>
      <c r="C30" s="113">
        <v>2048</v>
      </c>
      <c r="J30" s="116">
        <v>776620</v>
      </c>
      <c r="K30" s="113" t="s">
        <v>10495</v>
      </c>
      <c r="L30" s="114">
        <f t="shared" si="6"/>
        <v>880000</v>
      </c>
      <c r="M30" s="113" t="s">
        <v>10496</v>
      </c>
      <c r="Q30" s="115">
        <f t="shared" si="5"/>
        <v>1656620</v>
      </c>
      <c r="R30" s="115"/>
      <c r="S30" s="116">
        <v>776620</v>
      </c>
      <c r="T30" s="113" t="s">
        <v>10495</v>
      </c>
      <c r="W30" s="114">
        <f t="shared" si="7"/>
        <v>880000</v>
      </c>
      <c r="X30" s="113" t="s">
        <v>10496</v>
      </c>
      <c r="AA30" s="115">
        <f t="shared" si="1"/>
        <v>1656620</v>
      </c>
      <c r="AB30" s="115">
        <f t="shared" si="2"/>
        <v>3313240</v>
      </c>
      <c r="AC30" s="115">
        <v>1200000</v>
      </c>
      <c r="AD30" s="115">
        <f t="shared" si="8"/>
        <v>4513240</v>
      </c>
    </row>
    <row r="31" spans="1:31">
      <c r="A31" s="113">
        <v>70</v>
      </c>
      <c r="B31" s="113">
        <v>41</v>
      </c>
      <c r="C31" s="113">
        <v>2049</v>
      </c>
      <c r="J31" s="116">
        <v>763425</v>
      </c>
      <c r="K31" s="113" t="s">
        <v>10495</v>
      </c>
      <c r="L31" s="114">
        <f t="shared" si="6"/>
        <v>880000</v>
      </c>
      <c r="M31" s="113" t="s">
        <v>10496</v>
      </c>
      <c r="Q31" s="115">
        <f t="shared" si="5"/>
        <v>1643425</v>
      </c>
      <c r="R31" s="115"/>
      <c r="S31" s="116">
        <v>763425</v>
      </c>
      <c r="T31" s="113" t="s">
        <v>10495</v>
      </c>
      <c r="U31" s="114">
        <v>3213000</v>
      </c>
      <c r="V31" s="113" t="s">
        <v>10441</v>
      </c>
      <c r="W31" s="114">
        <f t="shared" si="7"/>
        <v>880000</v>
      </c>
      <c r="X31" s="113" t="s">
        <v>10496</v>
      </c>
      <c r="Z31" s="114">
        <v>4900000</v>
      </c>
      <c r="AA31" s="115">
        <f t="shared" si="1"/>
        <v>9756425</v>
      </c>
      <c r="AB31" s="115">
        <f t="shared" si="2"/>
        <v>11399850</v>
      </c>
      <c r="AC31" s="115">
        <v>4677500</v>
      </c>
      <c r="AD31" s="115">
        <f t="shared" si="8"/>
        <v>16077350</v>
      </c>
      <c r="AE31" s="310" t="s">
        <v>10621</v>
      </c>
    </row>
    <row r="32" spans="1:31">
      <c r="A32" s="113">
        <v>71</v>
      </c>
      <c r="B32" s="113">
        <v>42</v>
      </c>
      <c r="C32" s="113">
        <v>2050</v>
      </c>
      <c r="J32" s="116">
        <v>774020</v>
      </c>
      <c r="K32" s="113" t="s">
        <v>10495</v>
      </c>
      <c r="L32" s="114">
        <f t="shared" si="6"/>
        <v>880000</v>
      </c>
      <c r="M32" s="113" t="s">
        <v>10496</v>
      </c>
      <c r="Q32" s="115">
        <f t="shared" si="5"/>
        <v>1654020</v>
      </c>
      <c r="R32" s="115"/>
      <c r="S32" s="116">
        <v>774020</v>
      </c>
      <c r="T32" s="113" t="s">
        <v>10495</v>
      </c>
      <c r="U32" s="114"/>
      <c r="W32" s="114">
        <f t="shared" si="7"/>
        <v>880000</v>
      </c>
      <c r="X32" s="113" t="s">
        <v>10496</v>
      </c>
      <c r="AA32" s="115">
        <f t="shared" si="1"/>
        <v>1654020</v>
      </c>
      <c r="AB32" s="115">
        <f t="shared" si="2"/>
        <v>3308040</v>
      </c>
      <c r="AC32" s="115">
        <v>1100000</v>
      </c>
      <c r="AD32" s="115">
        <f t="shared" si="8"/>
        <v>4408040</v>
      </c>
    </row>
    <row r="33" spans="1:30">
      <c r="A33" s="113">
        <v>72</v>
      </c>
      <c r="B33" s="113">
        <v>43</v>
      </c>
      <c r="C33" s="113">
        <v>2051</v>
      </c>
      <c r="J33" s="116">
        <v>780390</v>
      </c>
      <c r="K33" s="113" t="s">
        <v>10495</v>
      </c>
      <c r="L33" s="114">
        <f t="shared" si="6"/>
        <v>880000</v>
      </c>
      <c r="M33" s="113" t="s">
        <v>10496</v>
      </c>
      <c r="Q33" s="115">
        <f t="shared" si="5"/>
        <v>1660390</v>
      </c>
      <c r="R33" s="115"/>
      <c r="S33" s="116">
        <v>780390</v>
      </c>
      <c r="T33" s="113" t="s">
        <v>10495</v>
      </c>
      <c r="U33" s="114"/>
      <c r="W33" s="114">
        <f t="shared" si="7"/>
        <v>880000</v>
      </c>
      <c r="X33" s="113" t="s">
        <v>10496</v>
      </c>
      <c r="AA33" s="115">
        <f t="shared" si="1"/>
        <v>1660390</v>
      </c>
      <c r="AB33" s="115">
        <f t="shared" si="2"/>
        <v>3320780</v>
      </c>
      <c r="AC33" s="115">
        <v>1100000</v>
      </c>
      <c r="AD33" s="115">
        <f t="shared" si="8"/>
        <v>4420780</v>
      </c>
    </row>
    <row r="34" spans="1:30">
      <c r="A34" s="113">
        <v>73</v>
      </c>
      <c r="B34" s="113">
        <v>44</v>
      </c>
      <c r="C34" s="113">
        <v>2052</v>
      </c>
      <c r="F34" s="116">
        <f>2208500+2507500</f>
        <v>4716000</v>
      </c>
      <c r="G34" s="113" t="s">
        <v>10441</v>
      </c>
      <c r="J34" s="116">
        <v>786760</v>
      </c>
      <c r="K34" s="113" t="s">
        <v>10495</v>
      </c>
      <c r="L34" s="114">
        <f t="shared" si="6"/>
        <v>880000</v>
      </c>
      <c r="M34" s="113" t="s">
        <v>10496</v>
      </c>
      <c r="Q34" s="115">
        <f t="shared" si="5"/>
        <v>6382760</v>
      </c>
      <c r="R34" s="115"/>
      <c r="S34" s="116">
        <v>786760</v>
      </c>
      <c r="T34" s="113" t="s">
        <v>10495</v>
      </c>
      <c r="U34" s="114"/>
      <c r="W34" s="114">
        <f t="shared" si="7"/>
        <v>880000</v>
      </c>
      <c r="X34" s="113" t="s">
        <v>10496</v>
      </c>
      <c r="AA34" s="115">
        <f t="shared" si="1"/>
        <v>1666760</v>
      </c>
      <c r="AB34" s="115">
        <f t="shared" si="2"/>
        <v>8049520</v>
      </c>
      <c r="AC34" s="115">
        <v>1100000</v>
      </c>
      <c r="AD34" s="115">
        <f t="shared" si="8"/>
        <v>9149520</v>
      </c>
    </row>
    <row r="35" spans="1:30">
      <c r="A35" s="113">
        <v>74</v>
      </c>
      <c r="B35" s="113">
        <v>45</v>
      </c>
      <c r="C35" s="113">
        <v>2053</v>
      </c>
      <c r="J35" s="116">
        <v>762625</v>
      </c>
      <c r="K35" s="113" t="s">
        <v>10495</v>
      </c>
      <c r="L35" s="114">
        <f t="shared" si="6"/>
        <v>880000</v>
      </c>
      <c r="M35" s="113" t="s">
        <v>10496</v>
      </c>
      <c r="Q35" s="115">
        <f t="shared" si="5"/>
        <v>1642625</v>
      </c>
      <c r="R35" s="115"/>
      <c r="S35" s="116">
        <v>762625</v>
      </c>
      <c r="T35" s="113" t="s">
        <v>10495</v>
      </c>
      <c r="U35" s="114">
        <v>4417000</v>
      </c>
      <c r="V35" s="113" t="s">
        <v>10441</v>
      </c>
      <c r="W35" s="114">
        <f t="shared" si="7"/>
        <v>880000</v>
      </c>
      <c r="X35" s="113" t="s">
        <v>10496</v>
      </c>
      <c r="AA35" s="115">
        <f t="shared" si="1"/>
        <v>6059625</v>
      </c>
      <c r="AB35" s="115">
        <f t="shared" ref="AB35:AB60" si="9">AA35+Q35</f>
        <v>7702250</v>
      </c>
      <c r="AC35" s="115">
        <v>5425000</v>
      </c>
      <c r="AD35" s="115">
        <f t="shared" si="8"/>
        <v>13127250</v>
      </c>
    </row>
    <row r="36" spans="1:30">
      <c r="A36" s="113">
        <v>75</v>
      </c>
      <c r="B36" s="113">
        <v>46</v>
      </c>
      <c r="C36" s="113">
        <v>2054</v>
      </c>
      <c r="J36" s="116">
        <v>768750</v>
      </c>
      <c r="K36" s="113" t="s">
        <v>10495</v>
      </c>
      <c r="L36" s="114">
        <f t="shared" si="6"/>
        <v>880000</v>
      </c>
      <c r="M36" s="113" t="s">
        <v>10496</v>
      </c>
      <c r="Q36" s="115">
        <f t="shared" si="5"/>
        <v>1648750</v>
      </c>
      <c r="R36" s="115"/>
      <c r="S36" s="116"/>
      <c r="U36" s="114"/>
      <c r="W36" s="114">
        <f t="shared" si="7"/>
        <v>880000</v>
      </c>
      <c r="X36" s="113" t="s">
        <v>10496</v>
      </c>
      <c r="AA36" s="115">
        <f t="shared" si="1"/>
        <v>880000</v>
      </c>
      <c r="AB36" s="115">
        <f t="shared" si="9"/>
        <v>2528750</v>
      </c>
      <c r="AC36" s="115">
        <v>1000000</v>
      </c>
      <c r="AD36" s="115">
        <f t="shared" si="8"/>
        <v>3528750</v>
      </c>
    </row>
    <row r="37" spans="1:30">
      <c r="A37" s="113">
        <v>76</v>
      </c>
      <c r="B37" s="113">
        <v>47</v>
      </c>
      <c r="C37" s="113">
        <v>2055</v>
      </c>
      <c r="L37" s="114">
        <f t="shared" si="6"/>
        <v>880000</v>
      </c>
      <c r="M37" s="113" t="s">
        <v>10496</v>
      </c>
      <c r="Q37" s="115">
        <f t="shared" si="5"/>
        <v>880000</v>
      </c>
      <c r="R37" s="115"/>
      <c r="U37" s="114"/>
      <c r="W37" s="114">
        <f t="shared" si="7"/>
        <v>880000</v>
      </c>
      <c r="X37" s="113" t="s">
        <v>10496</v>
      </c>
      <c r="AA37" s="115">
        <f t="shared" si="1"/>
        <v>880000</v>
      </c>
      <c r="AB37" s="115">
        <f t="shared" si="9"/>
        <v>1760000</v>
      </c>
      <c r="AC37" s="115">
        <v>1000000</v>
      </c>
      <c r="AD37" s="115">
        <f t="shared" si="8"/>
        <v>2760000</v>
      </c>
    </row>
    <row r="38" spans="1:30">
      <c r="A38" s="113">
        <v>77</v>
      </c>
      <c r="B38" s="113">
        <v>48</v>
      </c>
      <c r="C38" s="113">
        <v>2056</v>
      </c>
      <c r="L38" s="114">
        <f t="shared" si="6"/>
        <v>880000</v>
      </c>
      <c r="M38" s="113" t="s">
        <v>10496</v>
      </c>
      <c r="Q38" s="115">
        <f t="shared" si="5"/>
        <v>880000</v>
      </c>
      <c r="R38" s="115"/>
      <c r="U38" s="114"/>
      <c r="W38" s="114">
        <f t="shared" si="7"/>
        <v>880000</v>
      </c>
      <c r="X38" s="113" t="s">
        <v>10496</v>
      </c>
      <c r="AA38" s="115">
        <f t="shared" si="1"/>
        <v>880000</v>
      </c>
      <c r="AB38" s="115">
        <f t="shared" si="9"/>
        <v>1760000</v>
      </c>
      <c r="AC38" s="115">
        <v>1000000</v>
      </c>
      <c r="AD38" s="115">
        <f t="shared" si="8"/>
        <v>2760000</v>
      </c>
    </row>
    <row r="39" spans="1:30">
      <c r="A39" s="113">
        <v>78</v>
      </c>
      <c r="B39" s="113">
        <v>49</v>
      </c>
      <c r="C39" s="113">
        <v>2057</v>
      </c>
      <c r="L39" s="114">
        <f t="shared" si="6"/>
        <v>880000</v>
      </c>
      <c r="M39" s="113" t="s">
        <v>10496</v>
      </c>
      <c r="Q39" s="115">
        <f t="shared" si="5"/>
        <v>880000</v>
      </c>
      <c r="R39" s="115"/>
      <c r="U39" s="114"/>
      <c r="W39" s="114">
        <f t="shared" si="7"/>
        <v>880000</v>
      </c>
      <c r="X39" s="113" t="s">
        <v>10496</v>
      </c>
      <c r="AA39" s="115">
        <f t="shared" si="1"/>
        <v>880000</v>
      </c>
      <c r="AB39" s="115">
        <f t="shared" si="9"/>
        <v>1760000</v>
      </c>
      <c r="AC39" s="115">
        <v>6672500</v>
      </c>
      <c r="AD39" s="115">
        <f>AB39+AC39</f>
        <v>8432500</v>
      </c>
    </row>
    <row r="40" spans="1:30">
      <c r="A40" s="113">
        <v>79</v>
      </c>
      <c r="B40" s="113">
        <v>50</v>
      </c>
      <c r="C40" s="113">
        <v>2058</v>
      </c>
      <c r="L40" s="114">
        <f t="shared" si="6"/>
        <v>880000</v>
      </c>
      <c r="M40" s="113" t="s">
        <v>10496</v>
      </c>
      <c r="Q40" s="115">
        <f t="shared" si="5"/>
        <v>880000</v>
      </c>
      <c r="R40" s="115"/>
      <c r="U40" s="114"/>
      <c r="W40" s="114">
        <f t="shared" si="7"/>
        <v>880000</v>
      </c>
      <c r="X40" s="113" t="s">
        <v>10496</v>
      </c>
      <c r="AA40" s="115">
        <f t="shared" si="1"/>
        <v>880000</v>
      </c>
      <c r="AB40" s="115">
        <f t="shared" si="9"/>
        <v>1760000</v>
      </c>
      <c r="AC40" s="115">
        <v>900000</v>
      </c>
      <c r="AD40" s="115">
        <f t="shared" si="8"/>
        <v>2660000</v>
      </c>
    </row>
    <row r="41" spans="1:30">
      <c r="A41" s="113">
        <v>80</v>
      </c>
      <c r="B41" s="113">
        <v>51</v>
      </c>
      <c r="C41" s="113">
        <v>2059</v>
      </c>
      <c r="L41" s="114">
        <f t="shared" si="6"/>
        <v>880000</v>
      </c>
      <c r="M41" s="113" t="s">
        <v>10496</v>
      </c>
      <c r="Q41" s="115">
        <f t="shared" si="5"/>
        <v>880000</v>
      </c>
      <c r="R41" s="115"/>
      <c r="U41" s="114"/>
      <c r="W41" s="114">
        <f t="shared" si="7"/>
        <v>880000</v>
      </c>
      <c r="X41" s="113" t="s">
        <v>10496</v>
      </c>
      <c r="AA41" s="115">
        <f t="shared" si="1"/>
        <v>880000</v>
      </c>
      <c r="AB41" s="115">
        <f t="shared" si="9"/>
        <v>1760000</v>
      </c>
      <c r="AC41" s="115">
        <v>900000</v>
      </c>
      <c r="AD41" s="115">
        <f t="shared" si="8"/>
        <v>2660000</v>
      </c>
    </row>
    <row r="42" spans="1:30">
      <c r="A42" s="113">
        <v>81</v>
      </c>
      <c r="B42" s="113">
        <v>52</v>
      </c>
      <c r="C42" s="113">
        <v>2060</v>
      </c>
      <c r="L42" s="114">
        <f t="shared" si="6"/>
        <v>880000</v>
      </c>
      <c r="M42" s="113" t="s">
        <v>10496</v>
      </c>
      <c r="Q42" s="115">
        <f t="shared" si="5"/>
        <v>880000</v>
      </c>
      <c r="R42" s="115"/>
      <c r="U42" s="114"/>
      <c r="W42" s="114">
        <f t="shared" si="7"/>
        <v>880000</v>
      </c>
      <c r="X42" s="113" t="s">
        <v>10496</v>
      </c>
      <c r="AA42" s="115">
        <f t="shared" si="1"/>
        <v>880000</v>
      </c>
      <c r="AB42" s="115">
        <f t="shared" si="9"/>
        <v>1760000</v>
      </c>
      <c r="AC42" s="115">
        <v>900000</v>
      </c>
      <c r="AD42" s="115">
        <f t="shared" si="8"/>
        <v>2660000</v>
      </c>
    </row>
    <row r="43" spans="1:30">
      <c r="A43" s="113">
        <v>82</v>
      </c>
      <c r="B43" s="113">
        <v>53</v>
      </c>
      <c r="C43" s="113">
        <v>2061</v>
      </c>
      <c r="L43" s="114">
        <f t="shared" si="6"/>
        <v>880000</v>
      </c>
      <c r="M43" s="113" t="s">
        <v>10496</v>
      </c>
      <c r="Q43" s="115">
        <f t="shared" si="5"/>
        <v>880000</v>
      </c>
      <c r="R43" s="115"/>
      <c r="U43" s="114"/>
      <c r="W43" s="114">
        <f t="shared" si="7"/>
        <v>880000</v>
      </c>
      <c r="X43" s="113" t="s">
        <v>10496</v>
      </c>
      <c r="AA43" s="115">
        <f t="shared" si="1"/>
        <v>880000</v>
      </c>
      <c r="AB43" s="115">
        <f t="shared" si="9"/>
        <v>1760000</v>
      </c>
      <c r="AC43" s="115">
        <v>7982500</v>
      </c>
      <c r="AD43" s="115">
        <f>AB43+AC43</f>
        <v>9742500</v>
      </c>
    </row>
    <row r="44" spans="1:30">
      <c r="A44" s="113">
        <v>83</v>
      </c>
      <c r="B44" s="113">
        <v>54</v>
      </c>
      <c r="C44" s="113">
        <v>2062</v>
      </c>
      <c r="L44" s="114">
        <f t="shared" si="6"/>
        <v>880000</v>
      </c>
      <c r="M44" s="113" t="s">
        <v>10496</v>
      </c>
      <c r="Q44" s="115">
        <f t="shared" si="5"/>
        <v>880000</v>
      </c>
      <c r="R44" s="115"/>
      <c r="U44" s="114"/>
      <c r="W44" s="114">
        <f t="shared" si="7"/>
        <v>880000</v>
      </c>
      <c r="X44" s="113" t="s">
        <v>10496</v>
      </c>
      <c r="AA44" s="115">
        <f t="shared" si="1"/>
        <v>880000</v>
      </c>
      <c r="AB44" s="115">
        <f t="shared" si="9"/>
        <v>1760000</v>
      </c>
      <c r="AC44" s="115">
        <v>800000</v>
      </c>
      <c r="AD44" s="115">
        <f t="shared" si="8"/>
        <v>2560000</v>
      </c>
    </row>
    <row r="45" spans="1:30">
      <c r="A45" s="113">
        <v>84</v>
      </c>
      <c r="B45" s="113">
        <v>55</v>
      </c>
      <c r="C45" s="113">
        <v>2063</v>
      </c>
      <c r="L45" s="114">
        <f t="shared" si="6"/>
        <v>880000</v>
      </c>
      <c r="M45" s="113" t="s">
        <v>10496</v>
      </c>
      <c r="Q45" s="115">
        <f t="shared" si="5"/>
        <v>880000</v>
      </c>
      <c r="R45" s="115"/>
      <c r="U45" s="114"/>
      <c r="W45" s="114">
        <f t="shared" si="7"/>
        <v>880000</v>
      </c>
      <c r="X45" s="113" t="s">
        <v>10496</v>
      </c>
      <c r="AA45" s="115">
        <f t="shared" si="1"/>
        <v>880000</v>
      </c>
      <c r="AB45" s="115">
        <f t="shared" si="9"/>
        <v>1760000</v>
      </c>
      <c r="AC45" s="115">
        <v>800000</v>
      </c>
      <c r="AD45" s="115">
        <f t="shared" si="8"/>
        <v>2560000</v>
      </c>
    </row>
    <row r="46" spans="1:30">
      <c r="A46" s="113">
        <v>85</v>
      </c>
      <c r="B46" s="113">
        <v>56</v>
      </c>
      <c r="C46" s="113">
        <v>2064</v>
      </c>
      <c r="L46" s="114">
        <f t="shared" si="6"/>
        <v>880000</v>
      </c>
      <c r="M46" s="113" t="s">
        <v>10496</v>
      </c>
      <c r="Q46" s="115">
        <f t="shared" si="5"/>
        <v>880000</v>
      </c>
      <c r="R46" s="115"/>
      <c r="U46" s="114"/>
      <c r="W46" s="114">
        <f t="shared" si="7"/>
        <v>880000</v>
      </c>
      <c r="X46" s="113" t="s">
        <v>10496</v>
      </c>
      <c r="AA46" s="115">
        <f t="shared" si="1"/>
        <v>880000</v>
      </c>
      <c r="AB46" s="115">
        <f t="shared" si="9"/>
        <v>1760000</v>
      </c>
      <c r="AC46" s="115">
        <v>800000</v>
      </c>
      <c r="AD46" s="115">
        <f t="shared" si="8"/>
        <v>2560000</v>
      </c>
    </row>
    <row r="47" spans="1:30">
      <c r="A47" s="113">
        <v>86</v>
      </c>
      <c r="B47" s="113">
        <v>57</v>
      </c>
      <c r="C47" s="113">
        <v>2065</v>
      </c>
      <c r="L47" s="114">
        <f t="shared" si="6"/>
        <v>880000</v>
      </c>
      <c r="M47" s="113" t="s">
        <v>10496</v>
      </c>
      <c r="Q47" s="115">
        <f t="shared" si="5"/>
        <v>880000</v>
      </c>
      <c r="R47" s="115"/>
      <c r="U47" s="114"/>
      <c r="W47" s="114">
        <f t="shared" si="7"/>
        <v>880000</v>
      </c>
      <c r="X47" s="113" t="s">
        <v>10496</v>
      </c>
      <c r="AA47" s="115">
        <f t="shared" si="1"/>
        <v>880000</v>
      </c>
      <c r="AB47" s="115">
        <f t="shared" si="9"/>
        <v>1760000</v>
      </c>
      <c r="AC47" s="115">
        <v>8667500</v>
      </c>
      <c r="AD47" s="115">
        <f t="shared" si="8"/>
        <v>10427500</v>
      </c>
    </row>
    <row r="48" spans="1:30">
      <c r="A48" s="113">
        <v>87</v>
      </c>
      <c r="B48" s="113">
        <v>58</v>
      </c>
      <c r="C48" s="113">
        <v>2066</v>
      </c>
      <c r="L48" s="114">
        <f t="shared" si="6"/>
        <v>880000</v>
      </c>
      <c r="M48" s="113" t="s">
        <v>10496</v>
      </c>
      <c r="Q48" s="115">
        <f t="shared" si="5"/>
        <v>880000</v>
      </c>
      <c r="R48" s="115"/>
      <c r="U48" s="114"/>
      <c r="W48" s="114">
        <f t="shared" si="7"/>
        <v>880000</v>
      </c>
      <c r="X48" s="113" t="s">
        <v>10496</v>
      </c>
      <c r="AA48" s="115">
        <f t="shared" si="1"/>
        <v>880000</v>
      </c>
      <c r="AB48" s="115">
        <f t="shared" si="9"/>
        <v>1760000</v>
      </c>
      <c r="AC48" s="115">
        <v>700000</v>
      </c>
      <c r="AD48" s="115">
        <f t="shared" si="8"/>
        <v>2460000</v>
      </c>
    </row>
    <row r="49" spans="1:30">
      <c r="A49" s="113">
        <v>88</v>
      </c>
      <c r="B49" s="113">
        <v>59</v>
      </c>
      <c r="C49" s="113">
        <v>2067</v>
      </c>
      <c r="L49" s="114">
        <f t="shared" si="6"/>
        <v>880000</v>
      </c>
      <c r="M49" s="113" t="s">
        <v>10496</v>
      </c>
      <c r="Q49" s="115">
        <f t="shared" si="5"/>
        <v>880000</v>
      </c>
      <c r="R49" s="115"/>
      <c r="U49" s="114"/>
      <c r="W49" s="114">
        <f t="shared" si="7"/>
        <v>880000</v>
      </c>
      <c r="X49" s="113" t="s">
        <v>10496</v>
      </c>
      <c r="AA49" s="115">
        <f t="shared" si="1"/>
        <v>880000</v>
      </c>
      <c r="AB49" s="115">
        <f t="shared" si="9"/>
        <v>1760000</v>
      </c>
      <c r="AC49" s="115">
        <v>700000</v>
      </c>
      <c r="AD49" s="115">
        <f t="shared" si="8"/>
        <v>2460000</v>
      </c>
    </row>
    <row r="50" spans="1:30">
      <c r="A50" s="113">
        <v>89</v>
      </c>
      <c r="B50" s="113">
        <v>60</v>
      </c>
      <c r="C50" s="113">
        <v>2068</v>
      </c>
      <c r="L50" s="114">
        <f t="shared" si="6"/>
        <v>880000</v>
      </c>
      <c r="M50" s="113" t="s">
        <v>10496</v>
      </c>
      <c r="Q50" s="115">
        <f t="shared" si="5"/>
        <v>880000</v>
      </c>
      <c r="R50" s="115"/>
      <c r="U50" s="114"/>
      <c r="W50" s="114">
        <f t="shared" si="7"/>
        <v>880000</v>
      </c>
      <c r="X50" s="113" t="s">
        <v>10496</v>
      </c>
      <c r="AA50" s="115">
        <f t="shared" si="1"/>
        <v>880000</v>
      </c>
      <c r="AB50" s="115">
        <f t="shared" si="9"/>
        <v>1760000</v>
      </c>
      <c r="AC50" s="115">
        <v>700000</v>
      </c>
      <c r="AD50" s="115">
        <f t="shared" si="8"/>
        <v>2460000</v>
      </c>
    </row>
    <row r="51" spans="1:30">
      <c r="A51" s="113">
        <v>90</v>
      </c>
      <c r="B51" s="113">
        <v>61</v>
      </c>
      <c r="C51" s="113">
        <v>2069</v>
      </c>
      <c r="L51" s="114">
        <f t="shared" si="6"/>
        <v>880000</v>
      </c>
      <c r="M51" s="113" t="s">
        <v>10496</v>
      </c>
      <c r="Q51" s="115">
        <f t="shared" si="5"/>
        <v>880000</v>
      </c>
      <c r="R51" s="115"/>
      <c r="U51" s="114"/>
      <c r="W51" s="114">
        <f t="shared" si="7"/>
        <v>880000</v>
      </c>
      <c r="X51" s="113" t="s">
        <v>10496</v>
      </c>
      <c r="AA51" s="115">
        <f t="shared" si="1"/>
        <v>880000</v>
      </c>
      <c r="AB51" s="115">
        <f t="shared" si="9"/>
        <v>1760000</v>
      </c>
      <c r="AC51" s="115">
        <v>8727500</v>
      </c>
      <c r="AD51" s="115">
        <f t="shared" ref="AD51:AD57" si="10">AB51+AC51</f>
        <v>10487500</v>
      </c>
    </row>
    <row r="52" spans="1:30">
      <c r="A52" s="113">
        <v>91</v>
      </c>
      <c r="B52" s="113">
        <v>62</v>
      </c>
      <c r="C52" s="113">
        <v>2070</v>
      </c>
      <c r="L52" s="114">
        <f t="shared" si="6"/>
        <v>880000</v>
      </c>
      <c r="M52" s="113" t="s">
        <v>10496</v>
      </c>
      <c r="Q52" s="115">
        <f t="shared" si="5"/>
        <v>880000</v>
      </c>
      <c r="R52" s="115"/>
      <c r="U52" s="114"/>
      <c r="W52" s="114">
        <f t="shared" si="7"/>
        <v>880000</v>
      </c>
      <c r="X52" s="113" t="s">
        <v>10496</v>
      </c>
      <c r="AA52" s="115">
        <f t="shared" si="1"/>
        <v>880000</v>
      </c>
      <c r="AB52" s="115">
        <f t="shared" si="9"/>
        <v>1760000</v>
      </c>
      <c r="AC52" s="115">
        <v>600000</v>
      </c>
      <c r="AD52" s="115">
        <f t="shared" si="10"/>
        <v>2360000</v>
      </c>
    </row>
    <row r="53" spans="1:30">
      <c r="A53" s="113">
        <v>92</v>
      </c>
      <c r="B53" s="113">
        <v>63</v>
      </c>
      <c r="C53" s="113">
        <v>2071</v>
      </c>
      <c r="L53" s="114">
        <f t="shared" si="6"/>
        <v>880000</v>
      </c>
      <c r="M53" s="113" t="s">
        <v>10496</v>
      </c>
      <c r="Q53" s="115">
        <f t="shared" si="5"/>
        <v>880000</v>
      </c>
      <c r="R53" s="115"/>
      <c r="W53" s="114">
        <f t="shared" si="7"/>
        <v>880000</v>
      </c>
      <c r="X53" s="113" t="s">
        <v>10496</v>
      </c>
      <c r="AA53" s="115">
        <f t="shared" si="1"/>
        <v>880000</v>
      </c>
      <c r="AB53" s="115">
        <f t="shared" si="9"/>
        <v>1760000</v>
      </c>
      <c r="AC53" s="115">
        <v>600000</v>
      </c>
      <c r="AD53" s="115">
        <f t="shared" si="10"/>
        <v>2360000</v>
      </c>
    </row>
    <row r="54" spans="1:30">
      <c r="A54" s="113">
        <v>93</v>
      </c>
      <c r="B54" s="113">
        <v>64</v>
      </c>
      <c r="C54" s="113">
        <v>2072</v>
      </c>
      <c r="L54" s="114">
        <f t="shared" si="6"/>
        <v>880000</v>
      </c>
      <c r="M54" s="113" t="s">
        <v>10496</v>
      </c>
      <c r="Q54" s="115">
        <f t="shared" si="5"/>
        <v>880000</v>
      </c>
      <c r="R54" s="115"/>
      <c r="W54" s="114">
        <f t="shared" si="7"/>
        <v>880000</v>
      </c>
      <c r="X54" s="113" t="s">
        <v>10496</v>
      </c>
      <c r="AA54" s="115">
        <f t="shared" si="1"/>
        <v>880000</v>
      </c>
      <c r="AB54" s="115">
        <f t="shared" si="9"/>
        <v>1760000</v>
      </c>
      <c r="AC54" s="115">
        <v>600000</v>
      </c>
      <c r="AD54" s="115">
        <f t="shared" si="10"/>
        <v>2360000</v>
      </c>
    </row>
    <row r="55" spans="1:30">
      <c r="A55" s="113">
        <v>94</v>
      </c>
      <c r="B55" s="113">
        <v>65</v>
      </c>
      <c r="C55" s="113">
        <v>2073</v>
      </c>
      <c r="L55" s="114">
        <f t="shared" si="6"/>
        <v>880000</v>
      </c>
      <c r="M55" s="113" t="s">
        <v>10496</v>
      </c>
      <c r="Q55" s="115">
        <f t="shared" si="5"/>
        <v>880000</v>
      </c>
      <c r="R55" s="115"/>
      <c r="W55" s="114">
        <f t="shared" si="7"/>
        <v>880000</v>
      </c>
      <c r="X55" s="113" t="s">
        <v>10496</v>
      </c>
      <c r="AA55" s="115">
        <f t="shared" si="1"/>
        <v>880000</v>
      </c>
      <c r="AB55" s="115">
        <f t="shared" si="9"/>
        <v>1760000</v>
      </c>
      <c r="AC55" s="115">
        <v>8787500</v>
      </c>
      <c r="AD55" s="115">
        <f t="shared" si="10"/>
        <v>10547500</v>
      </c>
    </row>
    <row r="56" spans="1:30">
      <c r="A56" s="113">
        <v>95</v>
      </c>
      <c r="B56" s="113">
        <v>66</v>
      </c>
      <c r="C56" s="113">
        <v>2074</v>
      </c>
      <c r="L56" s="114">
        <f t="shared" si="6"/>
        <v>880000</v>
      </c>
      <c r="M56" s="113" t="s">
        <v>10496</v>
      </c>
      <c r="Q56" s="115">
        <f t="shared" si="5"/>
        <v>880000</v>
      </c>
      <c r="R56" s="115"/>
      <c r="W56" s="114">
        <f t="shared" si="7"/>
        <v>880000</v>
      </c>
      <c r="X56" s="113" t="s">
        <v>10496</v>
      </c>
      <c r="AA56" s="115">
        <f t="shared" si="1"/>
        <v>880000</v>
      </c>
      <c r="AB56" s="115">
        <f t="shared" si="9"/>
        <v>1760000</v>
      </c>
      <c r="AC56" s="115">
        <v>500000</v>
      </c>
      <c r="AD56" s="115">
        <f t="shared" si="10"/>
        <v>2260000</v>
      </c>
    </row>
    <row r="57" spans="1:30">
      <c r="A57" s="113">
        <v>96</v>
      </c>
      <c r="B57" s="113">
        <v>67</v>
      </c>
      <c r="C57" s="113">
        <v>2075</v>
      </c>
      <c r="L57" s="114">
        <f t="shared" si="6"/>
        <v>880000</v>
      </c>
      <c r="M57" s="113" t="s">
        <v>10496</v>
      </c>
      <c r="Q57" s="115">
        <f t="shared" si="5"/>
        <v>880000</v>
      </c>
      <c r="R57" s="115"/>
      <c r="W57" s="114">
        <f t="shared" si="7"/>
        <v>880000</v>
      </c>
      <c r="X57" s="113" t="s">
        <v>10496</v>
      </c>
      <c r="AA57" s="115">
        <f t="shared" si="1"/>
        <v>880000</v>
      </c>
      <c r="AB57" s="115">
        <f t="shared" si="9"/>
        <v>1760000</v>
      </c>
      <c r="AC57" s="115">
        <v>500000</v>
      </c>
      <c r="AD57" s="115">
        <f t="shared" si="10"/>
        <v>2260000</v>
      </c>
    </row>
    <row r="58" spans="1:30">
      <c r="A58" s="113">
        <v>97</v>
      </c>
      <c r="B58" s="113">
        <v>68</v>
      </c>
      <c r="C58" s="113">
        <v>2076</v>
      </c>
      <c r="L58" s="114">
        <f t="shared" si="6"/>
        <v>880000</v>
      </c>
      <c r="M58" s="113" t="s">
        <v>10496</v>
      </c>
      <c r="Q58" s="115">
        <f t="shared" si="5"/>
        <v>880000</v>
      </c>
      <c r="R58" s="115"/>
      <c r="W58" s="114">
        <f t="shared" si="7"/>
        <v>880000</v>
      </c>
      <c r="X58" s="113" t="s">
        <v>10496</v>
      </c>
      <c r="AA58" s="115">
        <f t="shared" si="1"/>
        <v>880000</v>
      </c>
      <c r="AB58" s="115">
        <f t="shared" si="9"/>
        <v>1760000</v>
      </c>
      <c r="AC58" s="115">
        <v>500000</v>
      </c>
      <c r="AD58" s="115">
        <f t="shared" si="8"/>
        <v>2260000</v>
      </c>
    </row>
    <row r="59" spans="1:30">
      <c r="A59" s="113">
        <v>98</v>
      </c>
      <c r="B59" s="113">
        <v>69</v>
      </c>
      <c r="C59" s="113">
        <v>2077</v>
      </c>
      <c r="L59" s="114">
        <f t="shared" si="6"/>
        <v>880000</v>
      </c>
      <c r="M59" s="113" t="s">
        <v>10496</v>
      </c>
      <c r="Q59" s="115">
        <f t="shared" si="5"/>
        <v>880000</v>
      </c>
      <c r="R59" s="115"/>
      <c r="W59" s="114">
        <f t="shared" si="7"/>
        <v>880000</v>
      </c>
      <c r="X59" s="113" t="s">
        <v>10496</v>
      </c>
      <c r="AA59" s="115">
        <f t="shared" si="1"/>
        <v>880000</v>
      </c>
      <c r="AB59" s="115">
        <f t="shared" si="9"/>
        <v>1760000</v>
      </c>
      <c r="AC59" s="115">
        <v>8847500</v>
      </c>
      <c r="AD59" s="115">
        <f t="shared" ref="AD59:AD75" si="11">AB59+AC59</f>
        <v>10607500</v>
      </c>
    </row>
    <row r="60" spans="1:30">
      <c r="A60" s="113">
        <v>99</v>
      </c>
      <c r="B60" s="113">
        <v>70</v>
      </c>
      <c r="C60" s="113">
        <v>2078</v>
      </c>
      <c r="L60" s="114">
        <f t="shared" si="6"/>
        <v>880000</v>
      </c>
      <c r="M60" s="113" t="s">
        <v>10496</v>
      </c>
      <c r="Q60" s="115">
        <f t="shared" si="5"/>
        <v>880000</v>
      </c>
      <c r="R60" s="115"/>
      <c r="W60" s="114">
        <f t="shared" si="7"/>
        <v>880000</v>
      </c>
      <c r="X60" s="113" t="s">
        <v>10496</v>
      </c>
      <c r="AA60" s="115">
        <f t="shared" si="1"/>
        <v>880000</v>
      </c>
      <c r="AB60" s="115">
        <f t="shared" si="9"/>
        <v>1760000</v>
      </c>
      <c r="AC60" s="115">
        <v>400000</v>
      </c>
      <c r="AD60" s="115">
        <f t="shared" si="11"/>
        <v>2160000</v>
      </c>
    </row>
    <row r="61" spans="1:30">
      <c r="B61" s="113">
        <v>71</v>
      </c>
      <c r="C61" s="113">
        <v>2079</v>
      </c>
      <c r="AC61" s="115">
        <v>400000</v>
      </c>
      <c r="AD61" s="115">
        <f t="shared" si="11"/>
        <v>400000</v>
      </c>
    </row>
    <row r="62" spans="1:30">
      <c r="B62" s="113">
        <v>72</v>
      </c>
      <c r="C62" s="113">
        <v>2080</v>
      </c>
      <c r="AC62" s="115">
        <v>400000</v>
      </c>
      <c r="AD62" s="115">
        <f t="shared" si="11"/>
        <v>400000</v>
      </c>
    </row>
    <row r="63" spans="1:30">
      <c r="B63" s="113">
        <v>73</v>
      </c>
      <c r="C63" s="113">
        <v>2081</v>
      </c>
      <c r="AC63" s="115">
        <v>8907500</v>
      </c>
      <c r="AD63" s="115">
        <f t="shared" si="11"/>
        <v>8907500</v>
      </c>
    </row>
    <row r="64" spans="1:30">
      <c r="B64" s="113">
        <v>74</v>
      </c>
      <c r="C64" s="113">
        <v>2082</v>
      </c>
      <c r="AC64" s="115">
        <v>300000</v>
      </c>
      <c r="AD64" s="115">
        <f t="shared" si="11"/>
        <v>300000</v>
      </c>
    </row>
    <row r="65" spans="2:30">
      <c r="B65" s="113">
        <v>75</v>
      </c>
      <c r="C65" s="113">
        <v>2083</v>
      </c>
      <c r="AC65" s="115">
        <v>300000</v>
      </c>
      <c r="AD65" s="115">
        <f t="shared" si="11"/>
        <v>300000</v>
      </c>
    </row>
    <row r="66" spans="2:30">
      <c r="B66" s="113">
        <v>76</v>
      </c>
      <c r="C66" s="113">
        <v>2084</v>
      </c>
      <c r="AC66" s="115">
        <v>300000</v>
      </c>
      <c r="AD66" s="115">
        <f t="shared" si="11"/>
        <v>300000</v>
      </c>
    </row>
    <row r="67" spans="2:30">
      <c r="B67" s="113">
        <v>77</v>
      </c>
      <c r="C67" s="113">
        <v>2085</v>
      </c>
      <c r="AC67" s="115">
        <v>8967500</v>
      </c>
      <c r="AD67" s="115">
        <f t="shared" si="11"/>
        <v>8967500</v>
      </c>
    </row>
    <row r="68" spans="2:30">
      <c r="B68" s="113">
        <v>78</v>
      </c>
      <c r="C68" s="113">
        <v>2086</v>
      </c>
      <c r="AC68" s="115">
        <v>200000</v>
      </c>
      <c r="AD68" s="115">
        <f t="shared" si="11"/>
        <v>200000</v>
      </c>
    </row>
    <row r="69" spans="2:30">
      <c r="B69" s="113">
        <v>79</v>
      </c>
      <c r="C69" s="113">
        <v>2087</v>
      </c>
      <c r="AC69" s="115">
        <v>200000</v>
      </c>
      <c r="AD69" s="115">
        <f t="shared" si="11"/>
        <v>200000</v>
      </c>
    </row>
    <row r="70" spans="2:30">
      <c r="B70" s="113">
        <v>80</v>
      </c>
      <c r="C70" s="113">
        <v>2088</v>
      </c>
      <c r="AC70" s="115">
        <v>200000</v>
      </c>
      <c r="AD70" s="115">
        <f t="shared" si="11"/>
        <v>200000</v>
      </c>
    </row>
    <row r="71" spans="2:30">
      <c r="B71" s="113">
        <v>81</v>
      </c>
      <c r="C71" s="113">
        <v>2089</v>
      </c>
      <c r="AC71" s="115">
        <v>9027500</v>
      </c>
      <c r="AD71" s="115">
        <f t="shared" si="11"/>
        <v>9027500</v>
      </c>
    </row>
    <row r="72" spans="2:30">
      <c r="B72" s="113">
        <v>82</v>
      </c>
      <c r="C72" s="113">
        <v>2090</v>
      </c>
      <c r="AC72" s="115">
        <v>100000</v>
      </c>
      <c r="AD72" s="115">
        <f t="shared" si="11"/>
        <v>100000</v>
      </c>
    </row>
    <row r="73" spans="2:30">
      <c r="B73" s="113">
        <v>83</v>
      </c>
      <c r="C73" s="113">
        <v>2091</v>
      </c>
      <c r="AC73" s="115">
        <v>100000</v>
      </c>
      <c r="AD73" s="115">
        <f t="shared" si="11"/>
        <v>100000</v>
      </c>
    </row>
    <row r="74" spans="2:30">
      <c r="B74" s="113">
        <v>84</v>
      </c>
      <c r="C74" s="113">
        <v>2092</v>
      </c>
      <c r="AC74" s="115">
        <v>100000</v>
      </c>
      <c r="AD74" s="115">
        <f t="shared" si="11"/>
        <v>100000</v>
      </c>
    </row>
    <row r="75" spans="2:30">
      <c r="B75" s="113">
        <v>85</v>
      </c>
      <c r="C75" s="113">
        <v>2093</v>
      </c>
      <c r="AC75" s="115">
        <v>9087500</v>
      </c>
      <c r="AD75" s="115">
        <f t="shared" si="11"/>
        <v>9087500</v>
      </c>
    </row>
  </sheetData>
  <pageMargins left="0.7" right="0.7" top="0.75" bottom="0.75" header="0.3" footer="0.3"/>
  <pageSetup orientation="portrait" r:id="rId1"/>
  <legacyDrawing r:id="rId2"/>
</worksheet>
</file>

<file path=xl/worksheets/sheet2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C00-000000000000}">
  <sheetPr>
    <tabColor rgb="FFFFC000"/>
  </sheetPr>
  <dimension ref="B1:W35"/>
  <sheetViews>
    <sheetView workbookViewId="0">
      <selection activeCell="B6" sqref="B6"/>
    </sheetView>
  </sheetViews>
  <sheetFormatPr defaultColWidth="8.85546875" defaultRowHeight="15"/>
  <cols>
    <col min="1" max="1" width="2.7109375" style="130" customWidth="1"/>
    <col min="2" max="2" width="10.85546875" style="130" bestFit="1" customWidth="1"/>
    <col min="3" max="3" width="5" style="130" bestFit="1" customWidth="1"/>
    <col min="4" max="4" width="14" style="130" bestFit="1" customWidth="1"/>
    <col min="5" max="6" width="10.42578125" style="130" bestFit="1" customWidth="1"/>
    <col min="7" max="7" width="15" style="130" bestFit="1" customWidth="1"/>
    <col min="8" max="8" width="9.140625"/>
    <col min="9" max="9" width="12.140625" bestFit="1" customWidth="1"/>
    <col min="10" max="10" width="13.140625" style="130" bestFit="1" customWidth="1"/>
    <col min="11" max="11" width="3.140625" style="130" customWidth="1"/>
    <col min="12" max="13" width="10.5703125" style="130" bestFit="1" customWidth="1"/>
    <col min="14" max="14" width="11.42578125" style="130" bestFit="1" customWidth="1"/>
    <col min="15" max="15" width="20.5703125" style="130" bestFit="1" customWidth="1"/>
    <col min="16" max="16" width="2.7109375" style="130" customWidth="1"/>
    <col min="17" max="17" width="34.7109375" style="130" bestFit="1" customWidth="1"/>
    <col min="18" max="18" width="10.42578125" style="130" bestFit="1" customWidth="1"/>
    <col min="19" max="22" width="8.85546875" style="130"/>
    <col min="23" max="23" width="15" style="130" bestFit="1" customWidth="1"/>
    <col min="24" max="16384" width="8.85546875" style="130"/>
  </cols>
  <sheetData>
    <row r="1" spans="2:23" ht="38.25">
      <c r="B1" s="311" t="s">
        <v>10622</v>
      </c>
      <c r="C1" s="130" t="s">
        <v>1022</v>
      </c>
      <c r="D1" s="130" t="s">
        <v>10623</v>
      </c>
      <c r="E1" s="130" t="s">
        <v>10624</v>
      </c>
      <c r="F1" s="130" t="s">
        <v>952</v>
      </c>
      <c r="G1" s="130" t="s">
        <v>10625</v>
      </c>
      <c r="H1" s="311" t="s">
        <v>10626</v>
      </c>
      <c r="I1" s="130" t="s">
        <v>10458</v>
      </c>
      <c r="J1" s="130" t="s">
        <v>10627</v>
      </c>
      <c r="L1" s="130" t="s">
        <v>925</v>
      </c>
      <c r="M1" s="130" t="s">
        <v>926</v>
      </c>
      <c r="N1" s="133" t="s">
        <v>10628</v>
      </c>
      <c r="O1" s="311" t="s">
        <v>10629</v>
      </c>
      <c r="Q1" s="136" t="s">
        <v>10630</v>
      </c>
      <c r="W1" s="136" t="s">
        <v>10631</v>
      </c>
    </row>
    <row r="2" spans="2:23">
      <c r="B2" s="312">
        <v>0.06</v>
      </c>
      <c r="C2" s="130">
        <v>2021</v>
      </c>
      <c r="D2" s="131">
        <v>240000</v>
      </c>
      <c r="E2" s="131">
        <v>800000</v>
      </c>
      <c r="F2" s="131">
        <f t="shared" ref="F2:F18" si="0">D2*12+E2</f>
        <v>3680000</v>
      </c>
      <c r="G2" s="131">
        <f>'Varsha Policies'!W47</f>
        <v>4843406</v>
      </c>
      <c r="H2">
        <v>1500000</v>
      </c>
      <c r="I2" s="10">
        <f>G2+H2</f>
        <v>6343406</v>
      </c>
      <c r="J2" s="131">
        <f>F2-I2</f>
        <v>-2663406</v>
      </c>
      <c r="L2" s="10">
        <v>5000000</v>
      </c>
      <c r="M2" s="10">
        <v>6000000</v>
      </c>
      <c r="N2" s="132">
        <f>L2+M2</f>
        <v>11000000</v>
      </c>
      <c r="O2" s="10">
        <f>N2+J2</f>
        <v>8336594</v>
      </c>
      <c r="Q2" s="313" t="s">
        <v>10632</v>
      </c>
      <c r="R2" s="132">
        <v>1000000</v>
      </c>
      <c r="V2" s="313"/>
      <c r="W2" s="130">
        <v>65</v>
      </c>
    </row>
    <row r="3" spans="2:23">
      <c r="C3" s="130">
        <v>2022</v>
      </c>
      <c r="D3" s="131">
        <f t="shared" ref="D3:D18" si="1">D2+D2*6%</f>
        <v>254400</v>
      </c>
      <c r="E3" s="131">
        <f>E2+E2*$B$2</f>
        <v>848000</v>
      </c>
      <c r="F3" s="131">
        <f t="shared" si="0"/>
        <v>3900800</v>
      </c>
      <c r="G3" s="131">
        <f>'Varsha Policies'!X47</f>
        <v>4843406</v>
      </c>
      <c r="H3">
        <f>H2+H2*12%</f>
        <v>1680000</v>
      </c>
      <c r="I3" s="10">
        <f t="shared" ref="I3:I18" si="2">G3+H3</f>
        <v>6523406</v>
      </c>
      <c r="J3" s="131">
        <f t="shared" ref="J3:J18" si="3">F3-I3</f>
        <v>-2622606</v>
      </c>
      <c r="O3" s="10">
        <f>O2*3%+O2+J3</f>
        <v>5964085.8200000003</v>
      </c>
      <c r="Q3" s="313" t="s">
        <v>10633</v>
      </c>
      <c r="R3" s="132">
        <v>1000000</v>
      </c>
      <c r="W3" s="130">
        <v>65</v>
      </c>
    </row>
    <row r="4" spans="2:23">
      <c r="C4" s="130">
        <v>2023</v>
      </c>
      <c r="D4" s="131">
        <f t="shared" si="1"/>
        <v>269664</v>
      </c>
      <c r="E4" s="131">
        <f t="shared" ref="E4:E18" si="4">E3+E3*$B$2</f>
        <v>898880</v>
      </c>
      <c r="F4" s="131">
        <f t="shared" si="0"/>
        <v>4134848</v>
      </c>
      <c r="G4" s="131">
        <f>'Varsha Policies'!Y47</f>
        <v>4843406</v>
      </c>
      <c r="H4">
        <f t="shared" ref="H4:H18" si="5">H3+H3*12%</f>
        <v>1881600</v>
      </c>
      <c r="I4" s="10">
        <f t="shared" si="2"/>
        <v>6725006</v>
      </c>
      <c r="J4" s="131">
        <f t="shared" si="3"/>
        <v>-2590158</v>
      </c>
      <c r="O4" s="10">
        <f>O3*3%+O3+J4</f>
        <v>3552850.3946000002</v>
      </c>
      <c r="Q4" s="313" t="s">
        <v>10634</v>
      </c>
      <c r="R4" s="132">
        <v>500000</v>
      </c>
      <c r="W4" s="130">
        <v>5</v>
      </c>
    </row>
    <row r="5" spans="2:23">
      <c r="B5" s="134" t="s">
        <v>10635</v>
      </c>
      <c r="C5" s="134">
        <v>2024</v>
      </c>
      <c r="D5" s="135">
        <f t="shared" si="1"/>
        <v>285843.84000000003</v>
      </c>
      <c r="E5" s="135">
        <f t="shared" si="4"/>
        <v>952812.8</v>
      </c>
      <c r="F5" s="135">
        <f t="shared" si="0"/>
        <v>4382938.88</v>
      </c>
      <c r="G5" s="135">
        <f>'Varsha Policies'!Z47</f>
        <v>3826401</v>
      </c>
      <c r="H5" s="8">
        <f t="shared" si="5"/>
        <v>2107392</v>
      </c>
      <c r="I5" s="26">
        <f t="shared" si="2"/>
        <v>5933793</v>
      </c>
      <c r="J5" s="135">
        <f t="shared" si="3"/>
        <v>-1550854.12</v>
      </c>
      <c r="K5" s="134"/>
      <c r="L5" s="134"/>
      <c r="M5" s="134"/>
      <c r="N5" s="134"/>
      <c r="O5" s="135">
        <f>O4*3%+O4+J5</f>
        <v>2108581.7864379999</v>
      </c>
      <c r="P5" s="134"/>
      <c r="Q5" s="313" t="s">
        <v>10636</v>
      </c>
      <c r="R5" s="132">
        <v>1000000</v>
      </c>
      <c r="W5" s="130">
        <v>20</v>
      </c>
    </row>
    <row r="6" spans="2:23">
      <c r="B6" s="134" t="s">
        <v>10637</v>
      </c>
      <c r="C6" s="134">
        <v>2025</v>
      </c>
      <c r="D6" s="135">
        <f t="shared" si="1"/>
        <v>302994.47040000005</v>
      </c>
      <c r="E6" s="135">
        <f t="shared" si="4"/>
        <v>1009981.5680000001</v>
      </c>
      <c r="F6" s="135">
        <f t="shared" si="0"/>
        <v>4645915.2128000008</v>
      </c>
      <c r="G6" s="135">
        <f>'Varsha Policies'!AA47</f>
        <v>3226401</v>
      </c>
      <c r="H6" s="8">
        <f t="shared" si="5"/>
        <v>2360279.04</v>
      </c>
      <c r="I6" s="26">
        <f t="shared" si="2"/>
        <v>5586680.04</v>
      </c>
      <c r="J6" s="135">
        <f t="shared" si="3"/>
        <v>-940764.82719999924</v>
      </c>
      <c r="K6" s="134"/>
      <c r="L6" s="134"/>
      <c r="M6" s="134"/>
      <c r="N6" s="134"/>
      <c r="O6" s="135">
        <f>O5*3%+O5+J6</f>
        <v>1231074.4128311407</v>
      </c>
      <c r="P6" s="134"/>
      <c r="Q6" s="313" t="s">
        <v>10638</v>
      </c>
      <c r="R6" s="132">
        <v>1500000</v>
      </c>
      <c r="W6" s="130">
        <v>20</v>
      </c>
    </row>
    <row r="7" spans="2:23">
      <c r="C7" s="130">
        <v>2026</v>
      </c>
      <c r="D7" s="131">
        <f t="shared" si="1"/>
        <v>321174.13862400007</v>
      </c>
      <c r="E7" s="131">
        <f t="shared" si="4"/>
        <v>1070580.4620800002</v>
      </c>
      <c r="F7" s="131">
        <f t="shared" si="0"/>
        <v>4924670.1255680006</v>
      </c>
      <c r="G7" s="131">
        <f>'Varsha Policies'!AB47</f>
        <v>3190494</v>
      </c>
      <c r="H7">
        <f t="shared" si="5"/>
        <v>2643512.5247999998</v>
      </c>
      <c r="I7" s="10">
        <f t="shared" si="2"/>
        <v>5834006.5247999998</v>
      </c>
      <c r="J7" s="131">
        <f t="shared" si="3"/>
        <v>-909336.39923199918</v>
      </c>
      <c r="O7" s="10">
        <f>O6*3%+O6+J7</f>
        <v>358670.24598407582</v>
      </c>
      <c r="Q7" s="313" t="s">
        <v>10639</v>
      </c>
      <c r="R7" s="132">
        <v>2500000</v>
      </c>
      <c r="W7" s="130">
        <v>20</v>
      </c>
    </row>
    <row r="8" spans="2:23">
      <c r="C8" s="130">
        <v>2027</v>
      </c>
      <c r="D8" s="131">
        <f t="shared" si="1"/>
        <v>340444.58694144007</v>
      </c>
      <c r="E8" s="131">
        <f t="shared" si="4"/>
        <v>1134815.2898048002</v>
      </c>
      <c r="F8" s="131">
        <f t="shared" si="0"/>
        <v>5220150.333102081</v>
      </c>
      <c r="G8" s="131">
        <f>'Varsha Policies'!AC47</f>
        <v>3167263</v>
      </c>
      <c r="H8">
        <f t="shared" si="5"/>
        <v>2960734.0277759996</v>
      </c>
      <c r="I8" s="10">
        <f t="shared" si="2"/>
        <v>6127997.0277759992</v>
      </c>
      <c r="J8" s="131">
        <f t="shared" si="3"/>
        <v>-907846.69467391819</v>
      </c>
      <c r="O8" s="10">
        <f t="shared" ref="O8:O18" si="6">O7*3%+O7+J8</f>
        <v>-538416.34131032007</v>
      </c>
      <c r="Q8" s="136" t="s">
        <v>10640</v>
      </c>
      <c r="R8" s="137">
        <f>SUM(R2:R7)</f>
        <v>7500000</v>
      </c>
    </row>
    <row r="9" spans="2:23">
      <c r="C9" s="130">
        <v>2028</v>
      </c>
      <c r="D9" s="131">
        <f t="shared" si="1"/>
        <v>360871.26215792645</v>
      </c>
      <c r="E9" s="131">
        <f t="shared" si="4"/>
        <v>1202904.2071930883</v>
      </c>
      <c r="F9" s="131">
        <f t="shared" si="0"/>
        <v>5533359.3530882057</v>
      </c>
      <c r="G9" s="131">
        <f>'Varsha Policies'!AD47</f>
        <v>3134689</v>
      </c>
      <c r="H9">
        <f t="shared" si="5"/>
        <v>3316022.1111091194</v>
      </c>
      <c r="I9" s="10">
        <f t="shared" si="2"/>
        <v>6450711.1111091189</v>
      </c>
      <c r="J9" s="131">
        <f t="shared" si="3"/>
        <v>-917351.75802091323</v>
      </c>
      <c r="O9" s="10">
        <f t="shared" si="6"/>
        <v>-1471920.5895705428</v>
      </c>
    </row>
    <row r="10" spans="2:23">
      <c r="C10" s="130">
        <v>2029</v>
      </c>
      <c r="D10" s="131">
        <f t="shared" si="1"/>
        <v>382523.53788740205</v>
      </c>
      <c r="E10" s="131">
        <f t="shared" si="4"/>
        <v>1275078.4596246735</v>
      </c>
      <c r="F10" s="131">
        <f t="shared" si="0"/>
        <v>5865360.9142734976</v>
      </c>
      <c r="G10" s="131">
        <f>'Varsha Policies'!AE48+300000</f>
        <v>1209598</v>
      </c>
      <c r="H10">
        <f t="shared" si="5"/>
        <v>3713944.7644422138</v>
      </c>
      <c r="I10" s="10">
        <f t="shared" si="2"/>
        <v>4923542.7644422138</v>
      </c>
      <c r="J10" s="131">
        <f t="shared" si="3"/>
        <v>941818.14983128384</v>
      </c>
      <c r="O10" s="10">
        <f t="shared" si="6"/>
        <v>-574260.05742637534</v>
      </c>
      <c r="Q10" s="313" t="s">
        <v>10641</v>
      </c>
      <c r="W10" s="130">
        <v>20</v>
      </c>
    </row>
    <row r="11" spans="2:23">
      <c r="C11" s="130">
        <v>2030</v>
      </c>
      <c r="D11" s="131">
        <f t="shared" si="1"/>
        <v>405474.95016064617</v>
      </c>
      <c r="E11" s="131">
        <f t="shared" si="4"/>
        <v>1351583.1672021539</v>
      </c>
      <c r="F11" s="131">
        <f t="shared" si="0"/>
        <v>6217282.5691299085</v>
      </c>
      <c r="G11" s="131">
        <f>'Varsha Policies'!AF48+300000</f>
        <v>1247433</v>
      </c>
      <c r="H11">
        <f t="shared" si="5"/>
        <v>4159618.1361752795</v>
      </c>
      <c r="I11" s="10">
        <f t="shared" si="2"/>
        <v>5407051.1361752795</v>
      </c>
      <c r="J11" s="131">
        <f t="shared" si="3"/>
        <v>810231.43295462895</v>
      </c>
      <c r="O11" s="10">
        <f t="shared" si="6"/>
        <v>218743.57380546234</v>
      </c>
      <c r="Q11" s="313" t="s">
        <v>10642</v>
      </c>
      <c r="W11" s="130">
        <v>20</v>
      </c>
    </row>
    <row r="12" spans="2:23">
      <c r="C12" s="130">
        <v>2031</v>
      </c>
      <c r="D12" s="131">
        <f t="shared" si="1"/>
        <v>429803.44717028493</v>
      </c>
      <c r="E12" s="131">
        <f t="shared" si="4"/>
        <v>1432678.1572342832</v>
      </c>
      <c r="F12" s="131">
        <f t="shared" si="0"/>
        <v>6590319.5232777018</v>
      </c>
      <c r="G12" s="131">
        <f>'Varsha Policies'!AG48+300000</f>
        <v>1296917</v>
      </c>
      <c r="H12">
        <f t="shared" si="5"/>
        <v>4658772.312516313</v>
      </c>
      <c r="I12" s="10">
        <f t="shared" si="2"/>
        <v>5955689.312516313</v>
      </c>
      <c r="J12" s="131">
        <f t="shared" si="3"/>
        <v>634630.21076138876</v>
      </c>
      <c r="O12" s="10">
        <f t="shared" si="6"/>
        <v>859936.09178101504</v>
      </c>
      <c r="Q12" s="313"/>
    </row>
    <row r="13" spans="2:23">
      <c r="C13" s="130">
        <v>2032</v>
      </c>
      <c r="D13" s="131">
        <f t="shared" si="1"/>
        <v>455591.65400050202</v>
      </c>
      <c r="E13" s="131">
        <f t="shared" si="4"/>
        <v>1518638.8466683403</v>
      </c>
      <c r="F13" s="131">
        <f t="shared" si="0"/>
        <v>6985738.6946743643</v>
      </c>
      <c r="G13" s="131">
        <f>'Varsha Policies'!AH48+300000</f>
        <v>1318065</v>
      </c>
      <c r="H13">
        <f t="shared" si="5"/>
        <v>5217824.9900182709</v>
      </c>
      <c r="I13" s="10">
        <f t="shared" si="2"/>
        <v>6535889.9900182709</v>
      </c>
      <c r="J13" s="131">
        <f t="shared" si="3"/>
        <v>449848.70465609338</v>
      </c>
      <c r="O13" s="10">
        <f t="shared" si="6"/>
        <v>1335582.879190539</v>
      </c>
    </row>
    <row r="14" spans="2:23">
      <c r="C14" s="130">
        <v>2033</v>
      </c>
      <c r="D14" s="131">
        <f t="shared" si="1"/>
        <v>482927.15324053215</v>
      </c>
      <c r="E14" s="131">
        <f t="shared" si="4"/>
        <v>1609757.1774684407</v>
      </c>
      <c r="F14" s="131">
        <f t="shared" si="0"/>
        <v>7404883.0163548263</v>
      </c>
      <c r="G14" s="131">
        <f>'Varsha Policies'!AI48+300000</f>
        <v>1316458</v>
      </c>
      <c r="H14">
        <f t="shared" si="5"/>
        <v>5843963.9888204634</v>
      </c>
      <c r="I14" s="10">
        <f t="shared" si="2"/>
        <v>7160421.9888204634</v>
      </c>
      <c r="J14" s="131">
        <f t="shared" si="3"/>
        <v>244461.02753436286</v>
      </c>
      <c r="O14" s="10">
        <f t="shared" si="6"/>
        <v>1620111.3931006179</v>
      </c>
    </row>
    <row r="15" spans="2:23">
      <c r="C15" s="130">
        <v>2034</v>
      </c>
      <c r="D15" s="131">
        <f t="shared" si="1"/>
        <v>511902.78243496409</v>
      </c>
      <c r="E15" s="131">
        <f t="shared" si="4"/>
        <v>1706342.6081165471</v>
      </c>
      <c r="F15" s="131">
        <f t="shared" si="0"/>
        <v>7849175.9973361157</v>
      </c>
      <c r="G15" s="131">
        <f>'Varsha Policies'!AJ48+300000</f>
        <v>1290867</v>
      </c>
      <c r="H15">
        <f t="shared" si="5"/>
        <v>6545239.667478919</v>
      </c>
      <c r="I15" s="10">
        <f t="shared" si="2"/>
        <v>7836106.667478919</v>
      </c>
      <c r="J15" s="131">
        <f t="shared" si="3"/>
        <v>13069.329857196659</v>
      </c>
      <c r="O15" s="10">
        <f t="shared" si="6"/>
        <v>1681784.0647508332</v>
      </c>
    </row>
    <row r="16" spans="2:23">
      <c r="C16" s="130">
        <v>2035</v>
      </c>
      <c r="D16" s="131">
        <f t="shared" si="1"/>
        <v>542616.94938106195</v>
      </c>
      <c r="E16" s="131">
        <f t="shared" si="4"/>
        <v>1808723.16460354</v>
      </c>
      <c r="F16" s="131">
        <f t="shared" si="0"/>
        <v>8320126.5571762836</v>
      </c>
      <c r="G16" s="131">
        <f>'Varsha Policies'!AK48+300000</f>
        <v>1240701</v>
      </c>
      <c r="H16">
        <f t="shared" si="5"/>
        <v>7330668.4275763892</v>
      </c>
      <c r="I16" s="10">
        <f t="shared" si="2"/>
        <v>8571369.4275763892</v>
      </c>
      <c r="J16" s="131">
        <f t="shared" si="3"/>
        <v>-251242.8704001056</v>
      </c>
      <c r="O16" s="10">
        <f t="shared" si="6"/>
        <v>1480994.7162932525</v>
      </c>
    </row>
    <row r="17" spans="3:23">
      <c r="C17" s="130">
        <v>2036</v>
      </c>
      <c r="D17" s="131">
        <f t="shared" si="1"/>
        <v>575173.96634392568</v>
      </c>
      <c r="E17" s="131">
        <f t="shared" si="4"/>
        <v>1917246.5544797524</v>
      </c>
      <c r="F17" s="131">
        <f t="shared" si="0"/>
        <v>8819334.1506068595</v>
      </c>
      <c r="G17" s="131">
        <f>'Varsha Policies'!AL48+300000</f>
        <v>1196051</v>
      </c>
      <c r="H17">
        <f t="shared" si="5"/>
        <v>8210348.6388855558</v>
      </c>
      <c r="I17" s="10">
        <f t="shared" si="2"/>
        <v>9406399.6388855558</v>
      </c>
      <c r="J17" s="131">
        <f t="shared" si="3"/>
        <v>-587065.48827869631</v>
      </c>
      <c r="O17" s="10">
        <f t="shared" si="6"/>
        <v>938359.06950335391</v>
      </c>
    </row>
    <row r="18" spans="3:23">
      <c r="C18" s="130">
        <v>2037</v>
      </c>
      <c r="D18" s="131">
        <f t="shared" si="1"/>
        <v>609684.40432456124</v>
      </c>
      <c r="E18" s="131">
        <f t="shared" si="4"/>
        <v>2032281.3477485375</v>
      </c>
      <c r="F18" s="131">
        <f t="shared" si="0"/>
        <v>9348494.1996432729</v>
      </c>
      <c r="G18" s="131">
        <f>'Varsha Policies'!AM48+300000</f>
        <v>1198211</v>
      </c>
      <c r="H18">
        <f t="shared" si="5"/>
        <v>9195590.4755518232</v>
      </c>
      <c r="I18" s="10">
        <f t="shared" si="2"/>
        <v>10393801.475551823</v>
      </c>
      <c r="J18" s="131">
        <f t="shared" si="3"/>
        <v>-1045307.2759085502</v>
      </c>
      <c r="O18" s="10">
        <f t="shared" si="6"/>
        <v>-78797.434320095694</v>
      </c>
      <c r="W18" s="130">
        <f>SUM(W2:W17)</f>
        <v>235</v>
      </c>
    </row>
    <row r="19" spans="3:23">
      <c r="C19" s="130">
        <v>2038</v>
      </c>
      <c r="D19" s="131"/>
      <c r="E19" s="131"/>
      <c r="F19" s="131"/>
      <c r="G19" s="131"/>
      <c r="J19" s="131"/>
    </row>
    <row r="20" spans="3:23">
      <c r="C20" s="130">
        <v>2039</v>
      </c>
    </row>
    <row r="21" spans="3:23">
      <c r="C21" s="130">
        <v>2040</v>
      </c>
    </row>
    <row r="22" spans="3:23">
      <c r="C22" s="130">
        <v>2041</v>
      </c>
    </row>
    <row r="23" spans="3:23">
      <c r="C23" s="130">
        <v>2042</v>
      </c>
    </row>
    <row r="24" spans="3:23">
      <c r="C24" s="130">
        <v>2043</v>
      </c>
    </row>
    <row r="25" spans="3:23">
      <c r="C25" s="130">
        <v>2044</v>
      </c>
    </row>
    <row r="26" spans="3:23">
      <c r="C26" s="130">
        <v>2045</v>
      </c>
    </row>
    <row r="27" spans="3:23">
      <c r="C27" s="130">
        <v>2046</v>
      </c>
    </row>
    <row r="28" spans="3:23">
      <c r="C28" s="130">
        <v>2047</v>
      </c>
    </row>
    <row r="29" spans="3:23">
      <c r="C29" s="130">
        <v>2048</v>
      </c>
    </row>
    <row r="30" spans="3:23">
      <c r="C30" s="130">
        <v>2049</v>
      </c>
    </row>
    <row r="31" spans="3:23">
      <c r="C31" s="130">
        <v>2050</v>
      </c>
    </row>
    <row r="32" spans="3:23">
      <c r="C32" s="130">
        <v>2051</v>
      </c>
    </row>
    <row r="33" spans="3:3">
      <c r="C33" s="130">
        <v>2052</v>
      </c>
    </row>
    <row r="34" spans="3:3">
      <c r="C34" s="130">
        <v>2053</v>
      </c>
    </row>
    <row r="35" spans="3:3">
      <c r="C35" s="130">
        <v>2054</v>
      </c>
    </row>
  </sheetData>
  <pageMargins left="0.7" right="0.7" top="0.75" bottom="0.75" header="0.3" footer="0.3"/>
  <pageSetup orientation="portrait" r:id="rId1"/>
  <legacyDrawing r:id="rId2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D00-000000000000}">
  <dimension ref="A1:N12"/>
  <sheetViews>
    <sheetView workbookViewId="0">
      <selection activeCell="L26" sqref="L26"/>
    </sheetView>
  </sheetViews>
  <sheetFormatPr defaultColWidth="8.85546875" defaultRowHeight="12.75"/>
  <cols>
    <col min="1" max="1" width="11.28515625" style="100" bestFit="1" customWidth="1"/>
    <col min="2" max="2" width="8.28515625" style="100" bestFit="1" customWidth="1"/>
    <col min="3" max="3" width="10.28515625" style="100" bestFit="1" customWidth="1"/>
    <col min="4" max="4" width="11.7109375" style="100" bestFit="1" customWidth="1"/>
    <col min="5" max="5" width="10.28515625" style="100" bestFit="1" customWidth="1"/>
    <col min="6" max="6" width="6.7109375" style="100" bestFit="1" customWidth="1"/>
    <col min="7" max="7" width="8.7109375" style="100" bestFit="1" customWidth="1"/>
    <col min="8" max="8" width="8" style="100" bestFit="1" customWidth="1"/>
    <col min="9" max="9" width="8.7109375" style="100" bestFit="1" customWidth="1"/>
    <col min="10" max="10" width="8.28515625" style="100" bestFit="1" customWidth="1"/>
    <col min="11" max="11" width="12.85546875" style="100" bestFit="1" customWidth="1"/>
    <col min="12" max="12" width="18" style="100" customWidth="1"/>
    <col min="13" max="13" width="15.28515625" style="100" customWidth="1"/>
    <col min="14" max="14" width="10.7109375" style="100" bestFit="1" customWidth="1"/>
    <col min="15" max="16384" width="8.85546875" style="100"/>
  </cols>
  <sheetData>
    <row r="1" spans="1:14" ht="25.5">
      <c r="A1" s="103" t="s">
        <v>10643</v>
      </c>
      <c r="B1" s="103" t="s">
        <v>10644</v>
      </c>
      <c r="C1" s="103" t="s">
        <v>10645</v>
      </c>
      <c r="D1" s="103" t="s">
        <v>10646</v>
      </c>
      <c r="E1" s="103" t="s">
        <v>10647</v>
      </c>
      <c r="F1" s="103" t="s">
        <v>10648</v>
      </c>
      <c r="G1" s="103" t="s">
        <v>1368</v>
      </c>
      <c r="H1" s="103" t="s">
        <v>10649</v>
      </c>
      <c r="I1" s="103" t="s">
        <v>10650</v>
      </c>
      <c r="J1" s="103" t="s">
        <v>10651</v>
      </c>
      <c r="K1" s="103" t="s">
        <v>10652</v>
      </c>
      <c r="L1" s="104" t="s">
        <v>10653</v>
      </c>
      <c r="M1" s="104" t="s">
        <v>10654</v>
      </c>
      <c r="N1" s="103" t="s">
        <v>10655</v>
      </c>
    </row>
    <row r="2" spans="1:14" ht="15">
      <c r="A2" s="289">
        <v>50000</v>
      </c>
      <c r="B2" s="100">
        <v>12</v>
      </c>
      <c r="C2" s="289">
        <f>A2*B2</f>
        <v>600000</v>
      </c>
      <c r="D2" s="289">
        <v>250000</v>
      </c>
      <c r="E2" s="289">
        <f>C2-D2</f>
        <v>350000</v>
      </c>
      <c r="F2" s="102">
        <v>8.5000000000000006E-2</v>
      </c>
      <c r="G2" s="289">
        <f>E2*F2</f>
        <v>29750.000000000004</v>
      </c>
      <c r="H2" s="289">
        <f>G2*31.2%</f>
        <v>9282.0000000000018</v>
      </c>
      <c r="I2" s="289">
        <f>G2-H2</f>
        <v>20468</v>
      </c>
      <c r="J2" s="289">
        <f>D2*F2</f>
        <v>21250</v>
      </c>
      <c r="K2" s="289">
        <f>I2+J2</f>
        <v>41718</v>
      </c>
      <c r="L2" s="289">
        <f>C2*F2</f>
        <v>51000.000000000007</v>
      </c>
      <c r="M2" s="289">
        <f>L2-K2</f>
        <v>9282.0000000000073</v>
      </c>
      <c r="N2" s="101">
        <f>M2/C2</f>
        <v>1.5470000000000012E-2</v>
      </c>
    </row>
    <row r="3" spans="1:14" ht="15">
      <c r="A3" s="289">
        <v>100000</v>
      </c>
      <c r="B3" s="100">
        <v>12</v>
      </c>
      <c r="C3" s="289">
        <f>A3*B3</f>
        <v>1200000</v>
      </c>
      <c r="D3" s="289">
        <v>250000</v>
      </c>
      <c r="E3" s="289">
        <f>C3-D3</f>
        <v>950000</v>
      </c>
      <c r="F3" s="102">
        <v>8.5000000000000006E-2</v>
      </c>
      <c r="G3" s="289">
        <f>E3*F3</f>
        <v>80750</v>
      </c>
      <c r="H3" s="289">
        <f>G3*31.2%</f>
        <v>25194</v>
      </c>
      <c r="I3" s="289">
        <f>G3-H3</f>
        <v>55556</v>
      </c>
      <c r="J3" s="289">
        <f>D3*F3</f>
        <v>21250</v>
      </c>
      <c r="K3" s="289">
        <f>I3+J3</f>
        <v>76806</v>
      </c>
      <c r="L3" s="289">
        <f>C3*F3</f>
        <v>102000.00000000001</v>
      </c>
      <c r="M3" s="289">
        <f>L3-K3</f>
        <v>25194.000000000015</v>
      </c>
      <c r="N3" s="101">
        <f>M3/C3</f>
        <v>2.0995000000000014E-2</v>
      </c>
    </row>
    <row r="4" spans="1:14" ht="15">
      <c r="A4" s="289">
        <v>150000</v>
      </c>
      <c r="B4" s="100">
        <v>12</v>
      </c>
      <c r="C4" s="289">
        <f>A4*B4</f>
        <v>1800000</v>
      </c>
      <c r="D4" s="289">
        <v>250000</v>
      </c>
      <c r="E4" s="289">
        <f>C4-D4</f>
        <v>1550000</v>
      </c>
      <c r="F4" s="102">
        <v>8.5000000000000006E-2</v>
      </c>
      <c r="G4" s="289">
        <f>E4*F4</f>
        <v>131750</v>
      </c>
      <c r="H4" s="289">
        <f>G4*31.2%</f>
        <v>41106</v>
      </c>
      <c r="I4" s="289">
        <f>G4-H4</f>
        <v>90644</v>
      </c>
      <c r="J4" s="289">
        <f>D4*F4</f>
        <v>21250</v>
      </c>
      <c r="K4" s="289">
        <f>I4+J4</f>
        <v>111894</v>
      </c>
      <c r="L4" s="289">
        <f>C4*F4</f>
        <v>153000</v>
      </c>
      <c r="M4" s="289">
        <f>L4-K4</f>
        <v>41106</v>
      </c>
      <c r="N4" s="101">
        <f>M4/C4</f>
        <v>2.2836666666666668E-2</v>
      </c>
    </row>
    <row r="5" spans="1:14" ht="15">
      <c r="A5" s="289">
        <v>200000</v>
      </c>
      <c r="B5" s="100">
        <v>12</v>
      </c>
      <c r="C5" s="289">
        <f>A5*B5</f>
        <v>2400000</v>
      </c>
      <c r="D5" s="289">
        <v>250000</v>
      </c>
      <c r="E5" s="289">
        <f>C5-D5</f>
        <v>2150000</v>
      </c>
      <c r="F5" s="102">
        <v>8.5000000000000006E-2</v>
      </c>
      <c r="G5" s="289">
        <f>E5*F5</f>
        <v>182750</v>
      </c>
      <c r="H5" s="289">
        <f>G5*31.2%</f>
        <v>57018</v>
      </c>
      <c r="I5" s="289">
        <f>G5-H5</f>
        <v>125732</v>
      </c>
      <c r="J5" s="289">
        <f>D5*F5</f>
        <v>21250</v>
      </c>
      <c r="K5" s="289">
        <f>I5+J5</f>
        <v>146982</v>
      </c>
      <c r="L5" s="289">
        <f>C5*F5</f>
        <v>204000.00000000003</v>
      </c>
      <c r="M5" s="289">
        <f>L5-K5</f>
        <v>57018.000000000029</v>
      </c>
      <c r="N5" s="101">
        <f>M5/C5</f>
        <v>2.3757500000000011E-2</v>
      </c>
    </row>
    <row r="6" spans="1:14" ht="15">
      <c r="A6" s="289">
        <v>250000</v>
      </c>
      <c r="B6" s="100">
        <v>12</v>
      </c>
      <c r="C6" s="289">
        <f>A6*B6</f>
        <v>3000000</v>
      </c>
      <c r="D6" s="289">
        <v>250000</v>
      </c>
      <c r="E6" s="289">
        <f>C6-D6</f>
        <v>2750000</v>
      </c>
      <c r="F6" s="102">
        <v>8.5000000000000006E-2</v>
      </c>
      <c r="G6" s="289">
        <f>E6*F6</f>
        <v>233750.00000000003</v>
      </c>
      <c r="H6" s="289">
        <f>G6*31.2%</f>
        <v>72930.000000000015</v>
      </c>
      <c r="I6" s="289">
        <f>G6-H6</f>
        <v>160820</v>
      </c>
      <c r="J6" s="289">
        <f>D6*F6</f>
        <v>21250</v>
      </c>
      <c r="K6" s="289">
        <f>I6+J6</f>
        <v>182070</v>
      </c>
      <c r="L6" s="289">
        <f>C6*F6</f>
        <v>255000.00000000003</v>
      </c>
      <c r="M6" s="289">
        <f>L6-K6</f>
        <v>72930.000000000029</v>
      </c>
      <c r="N6" s="101">
        <f>M6/C6</f>
        <v>2.4310000000000009E-2</v>
      </c>
    </row>
    <row r="8" spans="1:14" ht="15">
      <c r="A8" s="289">
        <v>50000</v>
      </c>
      <c r="B8" s="100">
        <v>12</v>
      </c>
      <c r="C8" s="289">
        <f>A8*B8</f>
        <v>600000</v>
      </c>
      <c r="D8" s="289">
        <v>250000</v>
      </c>
      <c r="E8" s="289">
        <f>C8-D8</f>
        <v>350000</v>
      </c>
      <c r="F8" s="102">
        <v>0.08</v>
      </c>
      <c r="G8" s="289">
        <f>E8*F8</f>
        <v>28000</v>
      </c>
      <c r="H8" s="289">
        <f>G8*31.2%</f>
        <v>8736</v>
      </c>
      <c r="I8" s="289">
        <f>G8-H8</f>
        <v>19264</v>
      </c>
      <c r="J8" s="289">
        <f>D8*F8</f>
        <v>20000</v>
      </c>
      <c r="K8" s="289">
        <f>I8+J8</f>
        <v>39264</v>
      </c>
      <c r="L8" s="289">
        <f>C8*F8</f>
        <v>48000</v>
      </c>
      <c r="M8" s="289">
        <f>L8-K8</f>
        <v>8736</v>
      </c>
      <c r="N8" s="101">
        <f>M8/C8</f>
        <v>1.456E-2</v>
      </c>
    </row>
    <row r="9" spans="1:14" ht="15">
      <c r="A9" s="289">
        <v>100000</v>
      </c>
      <c r="B9" s="100">
        <v>12</v>
      </c>
      <c r="C9" s="289">
        <f>A9*B9</f>
        <v>1200000</v>
      </c>
      <c r="D9" s="289">
        <v>250000</v>
      </c>
      <c r="E9" s="289">
        <f>C9-D9</f>
        <v>950000</v>
      </c>
      <c r="F9" s="102">
        <v>0.08</v>
      </c>
      <c r="G9" s="289">
        <f>E9*F9</f>
        <v>76000</v>
      </c>
      <c r="H9" s="289">
        <f>G9*31.2%</f>
        <v>23712</v>
      </c>
      <c r="I9" s="289">
        <f>G9-H9</f>
        <v>52288</v>
      </c>
      <c r="J9" s="289">
        <f>D9*F9</f>
        <v>20000</v>
      </c>
      <c r="K9" s="289">
        <f>I9+J9</f>
        <v>72288</v>
      </c>
      <c r="L9" s="289">
        <f>C9*F9</f>
        <v>96000</v>
      </c>
      <c r="M9" s="289">
        <f>L9-K9</f>
        <v>23712</v>
      </c>
      <c r="N9" s="101">
        <f>M9/C9</f>
        <v>1.976E-2</v>
      </c>
    </row>
    <row r="10" spans="1:14" ht="15">
      <c r="A10" s="289">
        <v>150000</v>
      </c>
      <c r="B10" s="100">
        <v>12</v>
      </c>
      <c r="C10" s="289">
        <f>A10*B10</f>
        <v>1800000</v>
      </c>
      <c r="D10" s="289">
        <v>250000</v>
      </c>
      <c r="E10" s="289">
        <f>C10-D10</f>
        <v>1550000</v>
      </c>
      <c r="F10" s="102">
        <v>0.08</v>
      </c>
      <c r="G10" s="289">
        <f>E10*F10</f>
        <v>124000</v>
      </c>
      <c r="H10" s="289">
        <f>G10*31.2%</f>
        <v>38688</v>
      </c>
      <c r="I10" s="289">
        <f>G10-H10</f>
        <v>85312</v>
      </c>
      <c r="J10" s="289">
        <f>D10*F10</f>
        <v>20000</v>
      </c>
      <c r="K10" s="289">
        <f>I10+J10</f>
        <v>105312</v>
      </c>
      <c r="L10" s="289">
        <f>C10*F10</f>
        <v>144000</v>
      </c>
      <c r="M10" s="289">
        <f>L10-K10</f>
        <v>38688</v>
      </c>
      <c r="N10" s="101">
        <f>M10/C10</f>
        <v>2.1493333333333333E-2</v>
      </c>
    </row>
    <row r="11" spans="1:14" ht="15">
      <c r="A11" s="289">
        <v>200000</v>
      </c>
      <c r="B11" s="100">
        <v>12</v>
      </c>
      <c r="C11" s="289">
        <f>A11*B11</f>
        <v>2400000</v>
      </c>
      <c r="D11" s="289">
        <v>250000</v>
      </c>
      <c r="E11" s="289">
        <f>C11-D11</f>
        <v>2150000</v>
      </c>
      <c r="F11" s="102">
        <v>0.08</v>
      </c>
      <c r="G11" s="289">
        <f>E11*F11</f>
        <v>172000</v>
      </c>
      <c r="H11" s="289">
        <f>G11*31.2%</f>
        <v>53664</v>
      </c>
      <c r="I11" s="289">
        <f>G11-H11</f>
        <v>118336</v>
      </c>
      <c r="J11" s="289">
        <f>D11*F11</f>
        <v>20000</v>
      </c>
      <c r="K11" s="289">
        <f>I11+J11</f>
        <v>138336</v>
      </c>
      <c r="L11" s="289">
        <f>C11*F11</f>
        <v>192000</v>
      </c>
      <c r="M11" s="289">
        <f>L11-K11</f>
        <v>53664</v>
      </c>
      <c r="N11" s="101">
        <f>M11/C11</f>
        <v>2.2360000000000001E-2</v>
      </c>
    </row>
    <row r="12" spans="1:14" ht="15">
      <c r="A12" s="289">
        <v>250000</v>
      </c>
      <c r="B12" s="100">
        <v>12</v>
      </c>
      <c r="C12" s="289">
        <f>A12*B12</f>
        <v>3000000</v>
      </c>
      <c r="D12" s="289">
        <v>250000</v>
      </c>
      <c r="E12" s="289">
        <f>C12-D12</f>
        <v>2750000</v>
      </c>
      <c r="F12" s="102">
        <v>0.08</v>
      </c>
      <c r="G12" s="289">
        <f>E12*F12</f>
        <v>220000</v>
      </c>
      <c r="H12" s="289">
        <f>G12*31.2%</f>
        <v>68640</v>
      </c>
      <c r="I12" s="289">
        <f>G12-H12</f>
        <v>151360</v>
      </c>
      <c r="J12" s="289">
        <f>D12*F12</f>
        <v>20000</v>
      </c>
      <c r="K12" s="289">
        <f>I12+J12</f>
        <v>171360</v>
      </c>
      <c r="L12" s="289">
        <f>C12*F12</f>
        <v>240000</v>
      </c>
      <c r="M12" s="289">
        <f>L12-K12</f>
        <v>68640</v>
      </c>
      <c r="N12" s="101">
        <f>M12/C12</f>
        <v>2.2880000000000001E-2</v>
      </c>
    </row>
  </sheetData>
  <pageMargins left="0.7" right="0.7" top="0.75" bottom="0.75" header="0.3" footer="0.3"/>
  <pageSetup orientation="portrait" r:id="rId1"/>
</worksheet>
</file>

<file path=xl/worksheets/sheet2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000-000000000000}">
  <dimension ref="A1:AO92"/>
  <sheetViews>
    <sheetView topLeftCell="A49" workbookViewId="0">
      <selection activeCell="A86" sqref="A86"/>
    </sheetView>
  </sheetViews>
  <sheetFormatPr defaultRowHeight="15"/>
  <cols>
    <col min="1" max="1" width="6" bestFit="1" customWidth="1"/>
    <col min="2" max="2" width="6.7109375" customWidth="1"/>
    <col min="3" max="3" width="5.42578125" customWidth="1"/>
    <col min="4" max="4" width="9.5703125" bestFit="1" customWidth="1"/>
    <col min="5" max="5" width="9.28515625" customWidth="1"/>
    <col min="6" max="6" width="23" customWidth="1"/>
    <col min="7" max="7" width="12.5703125" bestFit="1" customWidth="1"/>
    <col min="8" max="8" width="8.140625" bestFit="1" customWidth="1"/>
    <col min="9" max="9" width="12.5703125" bestFit="1" customWidth="1"/>
    <col min="10" max="10" width="14.85546875" customWidth="1"/>
    <col min="11" max="11" width="16" customWidth="1"/>
    <col min="13" max="13" width="11.140625" bestFit="1" customWidth="1"/>
    <col min="14" max="14" width="13.28515625" bestFit="1" customWidth="1"/>
    <col min="15" max="15" width="11" bestFit="1" customWidth="1"/>
    <col min="16" max="16" width="13.5703125" bestFit="1" customWidth="1"/>
    <col min="17" max="17" width="14.28515625" bestFit="1" customWidth="1"/>
    <col min="18" max="18" width="13.140625" bestFit="1" customWidth="1"/>
    <col min="20" max="20" width="6.42578125" customWidth="1"/>
    <col min="21" max="21" width="4.42578125" customWidth="1"/>
    <col min="22" max="22" width="8.7109375" bestFit="1" customWidth="1"/>
    <col min="23" max="23" width="12.28515625" bestFit="1" customWidth="1"/>
    <col min="25" max="25" width="9.28515625" bestFit="1" customWidth="1"/>
    <col min="27" max="27" width="22.7109375" bestFit="1" customWidth="1"/>
    <col min="30" max="30" width="13.28515625" bestFit="1" customWidth="1"/>
    <col min="31" max="31" width="15" bestFit="1" customWidth="1"/>
    <col min="32" max="32" width="15.28515625" bestFit="1" customWidth="1"/>
    <col min="33" max="33" width="8.7109375" bestFit="1" customWidth="1"/>
    <col min="34" max="34" width="10.5703125" bestFit="1" customWidth="1"/>
    <col min="35" max="35" width="13.28515625" bestFit="1" customWidth="1"/>
    <col min="36" max="36" width="7.42578125" bestFit="1" customWidth="1"/>
    <col min="37" max="37" width="13.5703125" bestFit="1" customWidth="1"/>
    <col min="38" max="38" width="27.5703125" bestFit="1" customWidth="1"/>
    <col min="39" max="39" width="12.5703125" bestFit="1" customWidth="1"/>
    <col min="40" max="40" width="22.85546875" bestFit="1" customWidth="1"/>
  </cols>
  <sheetData>
    <row r="1" spans="5:24" hidden="1">
      <c r="F1" t="s">
        <v>10656</v>
      </c>
      <c r="G1" t="s">
        <v>10657</v>
      </c>
      <c r="H1" t="s">
        <v>10658</v>
      </c>
      <c r="I1" t="s">
        <v>10659</v>
      </c>
      <c r="J1" t="s">
        <v>10660</v>
      </c>
      <c r="K1" t="s">
        <v>10661</v>
      </c>
    </row>
    <row r="2" spans="5:24" hidden="1">
      <c r="E2" t="s">
        <v>10662</v>
      </c>
      <c r="F2">
        <v>900000</v>
      </c>
      <c r="G2">
        <v>69847.75</v>
      </c>
      <c r="H2" s="70">
        <f>G2/F2</f>
        <v>7.7608611111111114E-2</v>
      </c>
      <c r="I2">
        <v>757887.94</v>
      </c>
      <c r="J2" s="70">
        <f>I2/F2</f>
        <v>0.84209771111111109</v>
      </c>
      <c r="K2" s="70">
        <f>I2/(F2-G2)</f>
        <v>0.91295053407371951</v>
      </c>
    </row>
    <row r="3" spans="5:24" hidden="1">
      <c r="E3" t="s">
        <v>10662</v>
      </c>
      <c r="F3">
        <v>800000</v>
      </c>
      <c r="G3">
        <v>57222.38</v>
      </c>
      <c r="H3" s="70">
        <f>G3/F3</f>
        <v>7.1527974999999994E-2</v>
      </c>
      <c r="I3">
        <v>685282.03</v>
      </c>
      <c r="J3" s="70">
        <f>I3/F3</f>
        <v>0.85660253750000004</v>
      </c>
      <c r="K3" s="70">
        <f>I3/(F3-G3)</f>
        <v>0.92259380405133917</v>
      </c>
    </row>
    <row r="4" spans="5:24" hidden="1">
      <c r="E4" t="s">
        <v>10662</v>
      </c>
      <c r="F4">
        <v>1200000</v>
      </c>
      <c r="G4">
        <f>48000+17199.99+4639.94+12086.25</f>
        <v>81926.180000000008</v>
      </c>
      <c r="H4" s="70">
        <f>G4/F4</f>
        <v>6.8271816666666679E-2</v>
      </c>
      <c r="I4">
        <v>1039654.41</v>
      </c>
      <c r="J4" s="70">
        <f>I4/F4</f>
        <v>0.86637867499999999</v>
      </c>
      <c r="K4" s="70">
        <f>I4/(F4-G4)</f>
        <v>0.92986204613931478</v>
      </c>
    </row>
    <row r="5" spans="5:24" hidden="1">
      <c r="E5" t="s">
        <v>10663</v>
      </c>
      <c r="F5">
        <f>SUM(F2:F4)</f>
        <v>2900000</v>
      </c>
      <c r="G5">
        <f>SUM(G2:G4)</f>
        <v>208996.31</v>
      </c>
      <c r="H5" s="70">
        <f>G5/F5</f>
        <v>7.206769310344828E-2</v>
      </c>
      <c r="I5">
        <f>SUM(I2:I4)</f>
        <v>2482824.38</v>
      </c>
      <c r="J5" s="70">
        <f>I5/F5</f>
        <v>0.85614633793103445</v>
      </c>
      <c r="K5" s="70">
        <f>I5/(F5-G5)</f>
        <v>0.9226387868684045</v>
      </c>
    </row>
    <row r="7" spans="5:24">
      <c r="E7" t="s">
        <v>10664</v>
      </c>
      <c r="F7" s="159" t="s">
        <v>10665</v>
      </c>
    </row>
    <row r="9" spans="5:24" hidden="1">
      <c r="E9">
        <v>900544</v>
      </c>
      <c r="F9" s="68">
        <v>1E-3</v>
      </c>
      <c r="G9">
        <f>E9*F9</f>
        <v>900.54399999999998</v>
      </c>
      <c r="H9">
        <f>G9*29</f>
        <v>26115.775999999998</v>
      </c>
      <c r="I9">
        <v>29</v>
      </c>
      <c r="K9" t="s">
        <v>10666</v>
      </c>
    </row>
    <row r="10" spans="5:24" hidden="1">
      <c r="E10">
        <v>393924</v>
      </c>
      <c r="F10" s="68">
        <v>1E-3</v>
      </c>
      <c r="G10">
        <f>E10*F10</f>
        <v>393.92400000000004</v>
      </c>
      <c r="H10">
        <f>G10*27</f>
        <v>10635.948</v>
      </c>
      <c r="I10">
        <v>27</v>
      </c>
      <c r="K10" t="s">
        <v>10667</v>
      </c>
    </row>
    <row r="11" spans="5:24" hidden="1">
      <c r="E11">
        <v>63747</v>
      </c>
      <c r="F11" s="68">
        <v>1E-3</v>
      </c>
      <c r="G11">
        <f>E11*F11</f>
        <v>63.747</v>
      </c>
      <c r="H11">
        <f>G11*22</f>
        <v>1402.434</v>
      </c>
      <c r="I11">
        <v>22</v>
      </c>
      <c r="K11" t="s">
        <v>10668</v>
      </c>
    </row>
    <row r="12" spans="5:24" hidden="1">
      <c r="H12">
        <f>SUM(H9:H11)</f>
        <v>38154.158000000003</v>
      </c>
    </row>
    <row r="13" spans="5:24" hidden="1">
      <c r="V13" t="s">
        <v>10669</v>
      </c>
    </row>
    <row r="14" spans="5:24" hidden="1">
      <c r="V14" t="s">
        <v>10670</v>
      </c>
    </row>
    <row r="15" spans="5:24" hidden="1">
      <c r="E15" t="s">
        <v>10671</v>
      </c>
      <c r="F15" t="s">
        <v>946</v>
      </c>
      <c r="G15" t="s">
        <v>10672</v>
      </c>
      <c r="H15" t="s">
        <v>10673</v>
      </c>
      <c r="I15" t="s">
        <v>10674</v>
      </c>
      <c r="J15" t="s">
        <v>10675</v>
      </c>
      <c r="K15" t="s">
        <v>10676</v>
      </c>
      <c r="L15" t="s">
        <v>10677</v>
      </c>
      <c r="M15" t="s">
        <v>10678</v>
      </c>
      <c r="N15" t="s">
        <v>10679</v>
      </c>
      <c r="O15" t="s">
        <v>10680</v>
      </c>
      <c r="Q15" t="s">
        <v>946</v>
      </c>
      <c r="R15" t="s">
        <v>10672</v>
      </c>
      <c r="S15" t="s">
        <v>10673</v>
      </c>
      <c r="T15" t="s">
        <v>10674</v>
      </c>
      <c r="U15" t="s">
        <v>10675</v>
      </c>
      <c r="V15" t="s">
        <v>10676</v>
      </c>
      <c r="W15" t="s">
        <v>10679</v>
      </c>
      <c r="X15" t="s">
        <v>10680</v>
      </c>
    </row>
    <row r="16" spans="5:24" hidden="1">
      <c r="E16" t="s">
        <v>10681</v>
      </c>
      <c r="F16">
        <v>6</v>
      </c>
      <c r="G16" s="169">
        <v>1342080</v>
      </c>
      <c r="H16" s="68">
        <v>2E-3</v>
      </c>
      <c r="I16" s="169">
        <f t="shared" ref="I16:I21" si="0">G16*H16</f>
        <v>2684.16</v>
      </c>
      <c r="J16" s="169">
        <f>I16*K16</f>
        <v>69788.160000000003</v>
      </c>
      <c r="K16">
        <v>26</v>
      </c>
      <c r="L16">
        <f t="shared" ref="L16:L21" si="1">G16+J16</f>
        <v>1411868.16</v>
      </c>
      <c r="M16">
        <v>1200000</v>
      </c>
      <c r="N16" s="70">
        <f t="shared" ref="N16:N20" si="2">(L16-M16)/M16</f>
        <v>0.17655679999999993</v>
      </c>
      <c r="O16" s="70">
        <f t="shared" ref="O16:O20" si="3">N16/F16</f>
        <v>2.9426133333333323E-2</v>
      </c>
      <c r="Q16">
        <v>5</v>
      </c>
      <c r="R16">
        <v>1675343</v>
      </c>
      <c r="S16" s="68">
        <v>1E-3</v>
      </c>
      <c r="T16" s="169">
        <f t="shared" ref="T16:T22" si="4">R16*S16</f>
        <v>1675.3430000000001</v>
      </c>
      <c r="U16" s="169">
        <f>T16*V16</f>
        <v>43558.918000000005</v>
      </c>
      <c r="V16">
        <v>26</v>
      </c>
      <c r="W16" s="70" t="e">
        <f>(#REF!-#REF!)/#REF!</f>
        <v>#REF!</v>
      </c>
      <c r="X16" s="70" t="e">
        <f t="shared" ref="X16:X22" si="5">W16/Q16</f>
        <v>#REF!</v>
      </c>
    </row>
    <row r="17" spans="5:24" hidden="1">
      <c r="E17" t="s">
        <v>10681</v>
      </c>
      <c r="F17">
        <v>7</v>
      </c>
      <c r="G17" s="169">
        <f>L16</f>
        <v>1411868.16</v>
      </c>
      <c r="H17" s="68">
        <v>2E-3</v>
      </c>
      <c r="I17" s="169">
        <f t="shared" si="0"/>
        <v>2823.73632</v>
      </c>
      <c r="J17" s="169">
        <f t="shared" ref="J17:J21" si="6">I17*K17</f>
        <v>73417.144319999992</v>
      </c>
      <c r="K17">
        <v>26</v>
      </c>
      <c r="L17">
        <f t="shared" si="1"/>
        <v>1485285.3043199999</v>
      </c>
      <c r="M17">
        <v>1200000</v>
      </c>
      <c r="N17" s="70">
        <f t="shared" si="2"/>
        <v>0.23773775359999991</v>
      </c>
      <c r="O17" s="70">
        <f t="shared" si="3"/>
        <v>3.3962536228571413E-2</v>
      </c>
      <c r="Q17">
        <v>6</v>
      </c>
      <c r="R17" t="e">
        <f>#REF!</f>
        <v>#REF!</v>
      </c>
      <c r="S17" s="68">
        <v>1E-3</v>
      </c>
      <c r="T17" s="169" t="e">
        <f t="shared" si="4"/>
        <v>#REF!</v>
      </c>
      <c r="U17" s="169" t="e">
        <f t="shared" ref="U17:U22" si="7">T17*V17</f>
        <v>#REF!</v>
      </c>
      <c r="V17">
        <v>27</v>
      </c>
      <c r="W17" s="70" t="e">
        <f>(#REF!-#REF!)/#REF!</f>
        <v>#REF!</v>
      </c>
      <c r="X17" s="70" t="e">
        <f t="shared" si="5"/>
        <v>#REF!</v>
      </c>
    </row>
    <row r="18" spans="5:24" hidden="1">
      <c r="E18" t="s">
        <v>10681</v>
      </c>
      <c r="F18">
        <v>8</v>
      </c>
      <c r="G18" s="169">
        <f>L17</f>
        <v>1485285.3043199999</v>
      </c>
      <c r="H18" s="68">
        <v>3.5000000000000001E-3</v>
      </c>
      <c r="I18" s="169">
        <f t="shared" si="0"/>
        <v>5198.4985651199995</v>
      </c>
      <c r="J18" s="169">
        <f t="shared" si="6"/>
        <v>135160.96269311997</v>
      </c>
      <c r="K18">
        <v>26</v>
      </c>
      <c r="L18">
        <f t="shared" si="1"/>
        <v>1620446.2670131198</v>
      </c>
      <c r="M18">
        <v>1200000</v>
      </c>
      <c r="N18" s="70">
        <f t="shared" si="2"/>
        <v>0.35037188917759982</v>
      </c>
      <c r="O18" s="70">
        <f t="shared" si="3"/>
        <v>4.3796486147199977E-2</v>
      </c>
      <c r="Q18">
        <v>7</v>
      </c>
      <c r="R18" t="e">
        <f>#REF!</f>
        <v>#REF!</v>
      </c>
      <c r="S18" s="68">
        <v>1E-3</v>
      </c>
      <c r="T18" s="169" t="e">
        <f t="shared" si="4"/>
        <v>#REF!</v>
      </c>
      <c r="U18" s="169" t="e">
        <f t="shared" si="7"/>
        <v>#REF!</v>
      </c>
      <c r="V18">
        <v>28</v>
      </c>
      <c r="W18" s="70" t="e">
        <f>(#REF!-#REF!)/#REF!</f>
        <v>#REF!</v>
      </c>
      <c r="X18" s="70" t="e">
        <f t="shared" si="5"/>
        <v>#REF!</v>
      </c>
    </row>
    <row r="19" spans="5:24" hidden="1">
      <c r="E19" t="s">
        <v>10681</v>
      </c>
      <c r="F19">
        <v>9</v>
      </c>
      <c r="G19" s="169">
        <f>L18</f>
        <v>1620446.2670131198</v>
      </c>
      <c r="H19" s="68">
        <v>3.5000000000000001E-3</v>
      </c>
      <c r="I19" s="169">
        <f t="shared" si="0"/>
        <v>5671.561934545919</v>
      </c>
      <c r="J19" s="169">
        <f t="shared" si="6"/>
        <v>147460.6102981939</v>
      </c>
      <c r="K19">
        <v>26</v>
      </c>
      <c r="L19">
        <f t="shared" si="1"/>
        <v>1767906.8773113138</v>
      </c>
      <c r="M19">
        <v>1200000</v>
      </c>
      <c r="N19" s="70">
        <f t="shared" si="2"/>
        <v>0.47325573109276148</v>
      </c>
      <c r="O19" s="70">
        <f t="shared" si="3"/>
        <v>5.2583970121417939E-2</v>
      </c>
      <c r="Q19">
        <v>8</v>
      </c>
      <c r="R19" t="e">
        <f>#REF!</f>
        <v>#REF!</v>
      </c>
      <c r="S19" s="68">
        <v>1E-3</v>
      </c>
      <c r="T19" s="169" t="e">
        <f t="shared" si="4"/>
        <v>#REF!</v>
      </c>
      <c r="U19" s="169" t="e">
        <f t="shared" si="7"/>
        <v>#REF!</v>
      </c>
      <c r="V19">
        <v>29</v>
      </c>
      <c r="W19" s="70" t="e">
        <f>(#REF!-#REF!)/#REF!</f>
        <v>#REF!</v>
      </c>
      <c r="X19" s="70" t="e">
        <f t="shared" si="5"/>
        <v>#REF!</v>
      </c>
    </row>
    <row r="20" spans="5:24" hidden="1">
      <c r="E20" t="s">
        <v>10681</v>
      </c>
      <c r="F20">
        <v>10</v>
      </c>
      <c r="G20" s="169">
        <f>L19</f>
        <v>1767906.8773113138</v>
      </c>
      <c r="H20" s="68">
        <v>3.5000000000000001E-3</v>
      </c>
      <c r="I20" s="169">
        <f t="shared" si="0"/>
        <v>6187.6740705895982</v>
      </c>
      <c r="J20" s="169">
        <f t="shared" si="6"/>
        <v>160879.52583532955</v>
      </c>
      <c r="K20">
        <v>26</v>
      </c>
      <c r="L20">
        <f t="shared" si="1"/>
        <v>1928786.4031466432</v>
      </c>
      <c r="M20">
        <v>1200000</v>
      </c>
      <c r="N20" s="70">
        <f t="shared" si="2"/>
        <v>0.60732200262220271</v>
      </c>
      <c r="O20" s="70">
        <f t="shared" si="3"/>
        <v>6.0732200262220273E-2</v>
      </c>
      <c r="Q20">
        <v>9</v>
      </c>
      <c r="R20" t="e">
        <f>#REF!</f>
        <v>#REF!</v>
      </c>
      <c r="S20" s="68">
        <v>1E-3</v>
      </c>
      <c r="T20" s="169" t="e">
        <f t="shared" si="4"/>
        <v>#REF!</v>
      </c>
      <c r="U20" s="169" t="e">
        <f t="shared" si="7"/>
        <v>#REF!</v>
      </c>
      <c r="V20">
        <v>30</v>
      </c>
      <c r="W20" s="70" t="e">
        <f>(#REF!-#REF!)/#REF!</f>
        <v>#REF!</v>
      </c>
      <c r="X20" s="70" t="e">
        <f t="shared" si="5"/>
        <v>#REF!</v>
      </c>
    </row>
    <row r="21" spans="5:24" hidden="1">
      <c r="E21" t="s">
        <v>10681</v>
      </c>
      <c r="F21">
        <v>11</v>
      </c>
      <c r="G21" s="169">
        <f>L20</f>
        <v>1928786.4031466432</v>
      </c>
      <c r="H21" s="68">
        <v>1.35E-2</v>
      </c>
      <c r="I21" s="169">
        <f t="shared" si="0"/>
        <v>26038.616442479684</v>
      </c>
      <c r="J21" s="169">
        <f t="shared" si="6"/>
        <v>677004.02750447183</v>
      </c>
      <c r="K21">
        <v>26</v>
      </c>
      <c r="L21">
        <f t="shared" si="1"/>
        <v>2605790.4306511153</v>
      </c>
      <c r="M21">
        <v>1200000</v>
      </c>
      <c r="N21" s="70">
        <f>(L21-M21)/M21</f>
        <v>1.171492025542596</v>
      </c>
      <c r="O21" s="70">
        <f>N21/F21</f>
        <v>0.10649927504932691</v>
      </c>
      <c r="Q21">
        <v>10</v>
      </c>
      <c r="R21" t="e">
        <f>#REF!</f>
        <v>#REF!</v>
      </c>
      <c r="S21" s="68">
        <v>1.0999999999999999E-2</v>
      </c>
      <c r="T21" s="169" t="e">
        <f t="shared" si="4"/>
        <v>#REF!</v>
      </c>
      <c r="U21" s="169" t="e">
        <f t="shared" si="7"/>
        <v>#REF!</v>
      </c>
      <c r="V21">
        <v>31</v>
      </c>
      <c r="W21" s="70" t="e">
        <f>(#REF!-#REF!)/#REF!</f>
        <v>#REF!</v>
      </c>
      <c r="X21" s="70" t="e">
        <f t="shared" si="5"/>
        <v>#REF!</v>
      </c>
    </row>
    <row r="22" spans="5:24" hidden="1">
      <c r="H22" t="s">
        <v>10682</v>
      </c>
      <c r="Q22">
        <v>11</v>
      </c>
      <c r="R22" t="e">
        <f>#REF!</f>
        <v>#REF!</v>
      </c>
      <c r="S22" s="68">
        <v>1E-3</v>
      </c>
      <c r="T22" s="169" t="e">
        <f t="shared" si="4"/>
        <v>#REF!</v>
      </c>
      <c r="U22" s="169" t="e">
        <f t="shared" si="7"/>
        <v>#REF!</v>
      </c>
      <c r="V22">
        <v>32</v>
      </c>
      <c r="W22" s="70" t="e">
        <f>(#REF!-#REF!)/#REF!</f>
        <v>#REF!</v>
      </c>
      <c r="X22" s="70" t="e">
        <f t="shared" si="5"/>
        <v>#REF!</v>
      </c>
    </row>
    <row r="24" spans="5:24">
      <c r="F24" s="50" t="s">
        <v>10683</v>
      </c>
    </row>
    <row r="25" spans="5:24" hidden="1">
      <c r="E25" t="s">
        <v>10684</v>
      </c>
      <c r="F25">
        <v>6</v>
      </c>
      <c r="G25" s="169">
        <v>1675343</v>
      </c>
      <c r="H25" s="68">
        <v>3.0000000000000001E-3</v>
      </c>
      <c r="I25" s="169">
        <f t="shared" ref="I25:I30" si="8">G25*H25</f>
        <v>5026.0290000000005</v>
      </c>
      <c r="J25" s="169">
        <f>I25*K25</f>
        <v>130676.75400000002</v>
      </c>
      <c r="K25">
        <v>26</v>
      </c>
      <c r="L25">
        <f t="shared" ref="L25:L30" si="9">G25+J25</f>
        <v>1806019.754</v>
      </c>
      <c r="M25">
        <v>1500000</v>
      </c>
      <c r="N25" s="70">
        <f t="shared" ref="N25:N30" si="10">(L25-M25)/M25</f>
        <v>0.2040131693333333</v>
      </c>
      <c r="O25" s="70">
        <f t="shared" ref="O25:O30" si="11">N25/F25</f>
        <v>3.4002194888888886E-2</v>
      </c>
    </row>
    <row r="26" spans="5:24" hidden="1">
      <c r="E26" t="s">
        <v>10684</v>
      </c>
      <c r="F26">
        <v>7</v>
      </c>
      <c r="G26" s="169">
        <f t="shared" ref="G26:G31" si="12">L25</f>
        <v>1806019.754</v>
      </c>
      <c r="H26" s="68">
        <v>5.4999999999999997E-3</v>
      </c>
      <c r="I26" s="169">
        <f t="shared" si="8"/>
        <v>9933.1086469999991</v>
      </c>
      <c r="J26" s="169">
        <f t="shared" ref="J26:J30" si="13">I26*K26</f>
        <v>258260.82482199997</v>
      </c>
      <c r="K26">
        <v>26</v>
      </c>
      <c r="L26">
        <f t="shared" si="9"/>
        <v>2064280.578822</v>
      </c>
      <c r="M26">
        <v>1500000</v>
      </c>
      <c r="N26" s="70">
        <f t="shared" si="10"/>
        <v>0.37618705254799994</v>
      </c>
      <c r="O26" s="70">
        <f t="shared" si="11"/>
        <v>5.3741007506857133E-2</v>
      </c>
    </row>
    <row r="27" spans="5:24" hidden="1">
      <c r="E27" t="s">
        <v>10684</v>
      </c>
      <c r="F27">
        <v>8</v>
      </c>
      <c r="G27" s="169">
        <f t="shared" si="12"/>
        <v>2064280.578822</v>
      </c>
      <c r="H27" s="68">
        <v>5.4999999999999997E-3</v>
      </c>
      <c r="I27" s="169">
        <f t="shared" si="8"/>
        <v>11353.543183520998</v>
      </c>
      <c r="J27" s="169">
        <f t="shared" si="13"/>
        <v>295192.12277154595</v>
      </c>
      <c r="K27">
        <v>26</v>
      </c>
      <c r="L27">
        <f t="shared" si="9"/>
        <v>2359472.7015935457</v>
      </c>
      <c r="M27">
        <v>1500000</v>
      </c>
      <c r="N27" s="70">
        <f t="shared" si="10"/>
        <v>0.57298180106236385</v>
      </c>
      <c r="O27" s="70">
        <f t="shared" si="11"/>
        <v>7.1622725132795481E-2</v>
      </c>
    </row>
    <row r="28" spans="5:24" hidden="1">
      <c r="E28" t="s">
        <v>10684</v>
      </c>
      <c r="F28">
        <v>9</v>
      </c>
      <c r="G28" s="169">
        <f t="shared" si="12"/>
        <v>2359472.7015935457</v>
      </c>
      <c r="H28" s="68">
        <v>5.4999999999999997E-3</v>
      </c>
      <c r="I28" s="169">
        <f t="shared" si="8"/>
        <v>12977.099858764501</v>
      </c>
      <c r="J28" s="169">
        <f t="shared" si="13"/>
        <v>337404.59632787702</v>
      </c>
      <c r="K28">
        <v>26</v>
      </c>
      <c r="L28">
        <f t="shared" si="9"/>
        <v>2696877.2979214229</v>
      </c>
      <c r="M28">
        <v>1500000</v>
      </c>
      <c r="N28" s="70">
        <f t="shared" si="10"/>
        <v>0.79791819861428193</v>
      </c>
      <c r="O28" s="70">
        <f t="shared" si="11"/>
        <v>8.8657577623809103E-2</v>
      </c>
    </row>
    <row r="29" spans="5:24" hidden="1">
      <c r="E29" t="s">
        <v>10684</v>
      </c>
      <c r="F29">
        <v>10</v>
      </c>
      <c r="G29" s="169">
        <f t="shared" si="12"/>
        <v>2696877.2979214229</v>
      </c>
      <c r="H29" s="68">
        <v>5.4999999999999997E-3</v>
      </c>
      <c r="I29" s="169">
        <f t="shared" si="8"/>
        <v>14832.825138567825</v>
      </c>
      <c r="J29" s="169">
        <f t="shared" si="13"/>
        <v>385653.45360276347</v>
      </c>
      <c r="K29">
        <v>26</v>
      </c>
      <c r="L29">
        <f t="shared" si="9"/>
        <v>3082530.7515241862</v>
      </c>
      <c r="M29">
        <v>1500000</v>
      </c>
      <c r="N29" s="70">
        <f t="shared" si="10"/>
        <v>1.0550205010161242</v>
      </c>
      <c r="O29" s="70">
        <f t="shared" si="11"/>
        <v>0.10550205010161243</v>
      </c>
    </row>
    <row r="30" spans="5:24" hidden="1">
      <c r="E30" t="s">
        <v>10684</v>
      </c>
      <c r="F30">
        <v>11</v>
      </c>
      <c r="G30" s="169">
        <f t="shared" si="12"/>
        <v>3082530.7515241862</v>
      </c>
      <c r="H30" s="68">
        <v>2.0500000000000001E-2</v>
      </c>
      <c r="I30" s="169">
        <f t="shared" si="8"/>
        <v>63191.880406245822</v>
      </c>
      <c r="J30" s="169">
        <f t="shared" si="13"/>
        <v>1642988.8905623914</v>
      </c>
      <c r="K30">
        <v>26</v>
      </c>
      <c r="L30">
        <f t="shared" si="9"/>
        <v>4725519.6420865776</v>
      </c>
      <c r="M30">
        <v>1500000</v>
      </c>
      <c r="N30" s="70">
        <f t="shared" si="10"/>
        <v>2.1503464280577185</v>
      </c>
      <c r="O30" s="70">
        <f t="shared" si="11"/>
        <v>0.19548603891433805</v>
      </c>
    </row>
    <row r="31" spans="5:24" hidden="1">
      <c r="E31" t="s">
        <v>10684</v>
      </c>
      <c r="F31">
        <v>12</v>
      </c>
      <c r="G31" s="169">
        <f t="shared" si="12"/>
        <v>4725519.6420865776</v>
      </c>
      <c r="H31" s="68">
        <v>7.4999999999999997E-3</v>
      </c>
      <c r="I31" s="169">
        <f t="shared" ref="I31" si="14">G31*H31</f>
        <v>35441.39731564933</v>
      </c>
      <c r="J31" s="169">
        <f t="shared" ref="J31" si="15">I31*K31</f>
        <v>921476.33020688256</v>
      </c>
      <c r="K31">
        <v>26</v>
      </c>
      <c r="L31">
        <f t="shared" ref="L31" si="16">G31+J31</f>
        <v>5646995.9722934598</v>
      </c>
      <c r="M31">
        <v>1500000</v>
      </c>
      <c r="N31" s="70">
        <f t="shared" ref="N31" si="17">(L31-M31)/M31</f>
        <v>2.7646639815289733</v>
      </c>
      <c r="O31" s="70">
        <f t="shared" ref="O31" si="18">N31/F31</f>
        <v>0.23038866512741443</v>
      </c>
    </row>
    <row r="33" spans="1:40">
      <c r="B33" s="29" t="s">
        <v>10685</v>
      </c>
      <c r="S33" s="5"/>
    </row>
    <row r="34" spans="1:40">
      <c r="A34" t="s">
        <v>925</v>
      </c>
      <c r="C34" s="29" t="s">
        <v>946</v>
      </c>
      <c r="E34" t="s">
        <v>10451</v>
      </c>
      <c r="F34" s="29" t="s">
        <v>10448</v>
      </c>
      <c r="G34" s="29" t="s">
        <v>10686</v>
      </c>
      <c r="H34" s="29" t="s">
        <v>10687</v>
      </c>
      <c r="I34" s="29" t="s">
        <v>10688</v>
      </c>
      <c r="J34" s="29" t="s">
        <v>10689</v>
      </c>
      <c r="K34" s="29" t="s">
        <v>10690</v>
      </c>
      <c r="L34" s="29" t="s">
        <v>10691</v>
      </c>
      <c r="M34" t="s">
        <v>952</v>
      </c>
      <c r="N34" t="s">
        <v>10678</v>
      </c>
      <c r="O34" s="29" t="s">
        <v>10612</v>
      </c>
      <c r="P34" s="29" t="s">
        <v>10692</v>
      </c>
      <c r="Q34" t="s">
        <v>10693</v>
      </c>
      <c r="S34" s="5"/>
      <c r="V34" t="s">
        <v>926</v>
      </c>
      <c r="X34" s="29" t="s">
        <v>946</v>
      </c>
      <c r="Z34" t="s">
        <v>10451</v>
      </c>
      <c r="AA34" s="29" t="s">
        <v>10448</v>
      </c>
      <c r="AB34" s="29" t="s">
        <v>10686</v>
      </c>
      <c r="AC34" s="29" t="s">
        <v>10687</v>
      </c>
      <c r="AD34" s="29" t="s">
        <v>10688</v>
      </c>
      <c r="AE34" s="29" t="s">
        <v>10689</v>
      </c>
      <c r="AF34" s="29" t="s">
        <v>10690</v>
      </c>
      <c r="AG34" s="29" t="s">
        <v>10691</v>
      </c>
      <c r="AH34" t="s">
        <v>952</v>
      </c>
      <c r="AI34" t="s">
        <v>10678</v>
      </c>
      <c r="AJ34" s="29" t="s">
        <v>10612</v>
      </c>
      <c r="AK34" s="29" t="s">
        <v>10692</v>
      </c>
      <c r="AL34" t="s">
        <v>10693</v>
      </c>
      <c r="AN34" s="5"/>
    </row>
    <row r="35" spans="1:40">
      <c r="A35" t="s">
        <v>925</v>
      </c>
      <c r="C35" t="s">
        <v>10694</v>
      </c>
      <c r="D35" s="5">
        <v>42675</v>
      </c>
      <c r="E35">
        <v>300000</v>
      </c>
      <c r="F35" t="s">
        <v>10695</v>
      </c>
      <c r="G35">
        <v>20477630</v>
      </c>
      <c r="S35" s="5"/>
      <c r="V35" t="s">
        <v>926</v>
      </c>
      <c r="X35" t="s">
        <v>10694</v>
      </c>
      <c r="Y35" s="5">
        <v>42675</v>
      </c>
      <c r="Z35">
        <v>300000</v>
      </c>
      <c r="AA35" t="s">
        <v>10695</v>
      </c>
      <c r="AB35">
        <v>20477630</v>
      </c>
      <c r="AN35" s="5"/>
    </row>
    <row r="36" spans="1:40">
      <c r="A36" t="s">
        <v>925</v>
      </c>
      <c r="B36" s="210" t="s">
        <v>10696</v>
      </c>
      <c r="C36">
        <v>1</v>
      </c>
      <c r="D36" s="5">
        <v>43040</v>
      </c>
      <c r="E36">
        <v>300000</v>
      </c>
      <c r="F36" t="s">
        <v>10695</v>
      </c>
      <c r="G36">
        <v>20477630</v>
      </c>
      <c r="S36" s="5"/>
      <c r="V36" t="s">
        <v>926</v>
      </c>
      <c r="W36" s="210" t="s">
        <v>10696</v>
      </c>
      <c r="X36">
        <v>1</v>
      </c>
      <c r="Y36" s="5">
        <v>43040</v>
      </c>
      <c r="Z36">
        <v>300000</v>
      </c>
      <c r="AA36" t="s">
        <v>10695</v>
      </c>
      <c r="AB36">
        <v>20477630</v>
      </c>
      <c r="AN36" s="5"/>
    </row>
    <row r="37" spans="1:40">
      <c r="A37" t="s">
        <v>925</v>
      </c>
      <c r="B37" s="210" t="s">
        <v>10696</v>
      </c>
      <c r="C37">
        <v>2</v>
      </c>
      <c r="D37" s="5">
        <v>43405</v>
      </c>
      <c r="E37">
        <v>300000</v>
      </c>
      <c r="F37" t="s">
        <v>10695</v>
      </c>
      <c r="G37">
        <v>20477630</v>
      </c>
      <c r="S37" s="5"/>
      <c r="V37" t="s">
        <v>926</v>
      </c>
      <c r="W37" s="210" t="s">
        <v>10696</v>
      </c>
      <c r="X37">
        <v>2</v>
      </c>
      <c r="Y37" s="5">
        <v>43405</v>
      </c>
      <c r="Z37">
        <v>300000</v>
      </c>
      <c r="AA37" t="s">
        <v>10695</v>
      </c>
      <c r="AB37">
        <v>20477630</v>
      </c>
      <c r="AN37" s="5"/>
    </row>
    <row r="38" spans="1:40">
      <c r="A38" t="s">
        <v>925</v>
      </c>
      <c r="B38" s="210" t="s">
        <v>10696</v>
      </c>
      <c r="C38">
        <v>3</v>
      </c>
      <c r="D38" s="5">
        <v>43770</v>
      </c>
      <c r="E38">
        <v>300000</v>
      </c>
      <c r="F38" t="s">
        <v>10695</v>
      </c>
      <c r="G38">
        <v>20477630</v>
      </c>
      <c r="S38" s="5"/>
      <c r="V38" t="s">
        <v>926</v>
      </c>
      <c r="W38" s="210" t="s">
        <v>10696</v>
      </c>
      <c r="X38">
        <v>3</v>
      </c>
      <c r="Y38" s="5">
        <v>43770</v>
      </c>
      <c r="Z38">
        <v>300000</v>
      </c>
      <c r="AA38" t="s">
        <v>10695</v>
      </c>
      <c r="AB38">
        <v>20477630</v>
      </c>
      <c r="AN38" s="5"/>
    </row>
    <row r="39" spans="1:40">
      <c r="A39" t="s">
        <v>925</v>
      </c>
      <c r="B39" s="210" t="s">
        <v>10696</v>
      </c>
      <c r="C39">
        <v>4</v>
      </c>
      <c r="D39" s="5">
        <v>44136</v>
      </c>
      <c r="E39">
        <v>300000</v>
      </c>
      <c r="F39" t="s">
        <v>10695</v>
      </c>
      <c r="G39">
        <v>20477630</v>
      </c>
      <c r="S39" s="5"/>
      <c r="V39" t="s">
        <v>926</v>
      </c>
      <c r="W39" s="210" t="s">
        <v>10696</v>
      </c>
      <c r="X39">
        <v>4</v>
      </c>
      <c r="Y39" s="5">
        <v>44136</v>
      </c>
      <c r="Z39">
        <v>300000</v>
      </c>
      <c r="AA39" t="s">
        <v>10695</v>
      </c>
      <c r="AB39">
        <v>20477630</v>
      </c>
      <c r="AN39" s="5"/>
    </row>
    <row r="40" spans="1:40">
      <c r="A40" t="s">
        <v>925</v>
      </c>
      <c r="B40" s="210" t="s">
        <v>10696</v>
      </c>
      <c r="C40">
        <v>5</v>
      </c>
      <c r="D40" s="5">
        <v>44501</v>
      </c>
      <c r="F40" t="s">
        <v>10695</v>
      </c>
      <c r="G40">
        <v>20477630</v>
      </c>
      <c r="S40" s="5"/>
      <c r="V40" t="s">
        <v>926</v>
      </c>
      <c r="W40" s="210" t="s">
        <v>10696</v>
      </c>
      <c r="X40">
        <v>5</v>
      </c>
      <c r="Y40" s="5">
        <v>44501</v>
      </c>
      <c r="AA40" t="s">
        <v>10695</v>
      </c>
      <c r="AB40">
        <v>20477630</v>
      </c>
      <c r="AN40" s="5"/>
    </row>
    <row r="41" spans="1:40">
      <c r="A41" t="s">
        <v>925</v>
      </c>
      <c r="B41" s="210" t="s">
        <v>10696</v>
      </c>
      <c r="C41">
        <v>6</v>
      </c>
      <c r="D41" s="5">
        <v>44866</v>
      </c>
      <c r="F41" t="s">
        <v>10695</v>
      </c>
      <c r="G41">
        <v>20477630</v>
      </c>
      <c r="H41">
        <v>59228.39</v>
      </c>
      <c r="I41" s="69">
        <v>1976703.63</v>
      </c>
      <c r="J41" s="209">
        <f>I41/H41</f>
        <v>33.374259033547929</v>
      </c>
      <c r="K41" s="68">
        <f>0.3%+0.25%</f>
        <v>5.4999999999999997E-3</v>
      </c>
      <c r="L41" s="69">
        <f>I41*K41</f>
        <v>10871.869964999998</v>
      </c>
      <c r="M41" s="169">
        <f t="shared" ref="M41:M52" si="19">I41+L41</f>
        <v>1987575.499965</v>
      </c>
      <c r="N41" s="169">
        <f t="shared" ref="N41:N52" si="20">300000*5</f>
        <v>1500000</v>
      </c>
      <c r="O41" s="202">
        <f t="shared" ref="O41:O52" si="21">(M41/N41)-100%</f>
        <v>0.32505033330999988</v>
      </c>
      <c r="P41" s="70">
        <f t="shared" ref="P41:P52" si="22">O41/C36</f>
        <v>0.32505033330999988</v>
      </c>
      <c r="Q41" s="211">
        <f t="shared" ref="Q41:Q52" si="23">M41*1.3</f>
        <v>2583848.1499545001</v>
      </c>
      <c r="R41" s="201">
        <f t="shared" ref="R41:R52" si="24">Q41/N41-100%</f>
        <v>0.72256543330300005</v>
      </c>
      <c r="S41" s="201">
        <f t="shared" ref="S41:S52" si="25">R41/C41</f>
        <v>0.12042757221716667</v>
      </c>
      <c r="V41" t="s">
        <v>926</v>
      </c>
      <c r="W41" s="210" t="s">
        <v>10696</v>
      </c>
      <c r="X41">
        <v>6</v>
      </c>
      <c r="Y41" s="5">
        <v>44866</v>
      </c>
      <c r="AA41" t="s">
        <v>10695</v>
      </c>
      <c r="AB41">
        <v>20477630</v>
      </c>
      <c r="AC41">
        <v>58900.36</v>
      </c>
      <c r="AD41" s="69">
        <v>1991559.38</v>
      </c>
      <c r="AE41" s="209">
        <f>AD41/AC41</f>
        <v>33.812346478018128</v>
      </c>
      <c r="AF41" s="68">
        <f>0.3%+0.25%</f>
        <v>5.4999999999999997E-3</v>
      </c>
      <c r="AG41" s="69">
        <f t="shared" ref="AG41:AG52" si="26">AD41*AF41</f>
        <v>10953.576589999999</v>
      </c>
      <c r="AH41" s="169">
        <f t="shared" ref="AH41:AH52" si="27">AD41+AG41</f>
        <v>2002512.9565899998</v>
      </c>
      <c r="AI41" s="169">
        <f t="shared" ref="AI41:AI52" si="28">300000*5</f>
        <v>1500000</v>
      </c>
      <c r="AJ41" s="202">
        <f t="shared" ref="AJ41:AJ52" si="29">(AH41/AI41)-100%</f>
        <v>0.33500863772666656</v>
      </c>
      <c r="AK41" s="70">
        <f t="shared" ref="AK41:AK52" si="30">AJ41/X36</f>
        <v>0.33500863772666656</v>
      </c>
      <c r="AL41" s="211">
        <f t="shared" ref="AL41:AL52" si="31">AH41*1.3</f>
        <v>2603266.8435669998</v>
      </c>
      <c r="AM41" s="201">
        <f t="shared" ref="AM41:AM52" si="32">AL41/AI41-100%</f>
        <v>0.73551122904466659</v>
      </c>
      <c r="AN41" s="201">
        <f t="shared" ref="AN41:AN52" si="33">AM41/X41</f>
        <v>0.12258520484077777</v>
      </c>
    </row>
    <row r="42" spans="1:40">
      <c r="A42" t="s">
        <v>925</v>
      </c>
      <c r="B42" s="210" t="s">
        <v>10696</v>
      </c>
      <c r="C42">
        <v>7</v>
      </c>
      <c r="D42" s="5">
        <v>45231</v>
      </c>
      <c r="F42" t="s">
        <v>10695</v>
      </c>
      <c r="G42">
        <v>20477630</v>
      </c>
      <c r="I42" s="69">
        <f t="shared" ref="I42:I52" si="34">M41</f>
        <v>1987575.499965</v>
      </c>
      <c r="J42" s="29"/>
      <c r="K42" s="68">
        <f t="shared" ref="K42:K44" si="35">0.3%+0.25%</f>
        <v>5.4999999999999997E-3</v>
      </c>
      <c r="L42" s="69">
        <f t="shared" ref="L42:L52" si="36">I42*K42</f>
        <v>10931.6652498075</v>
      </c>
      <c r="M42" s="169">
        <f t="shared" si="19"/>
        <v>1998507.1652148075</v>
      </c>
      <c r="N42" s="169">
        <f t="shared" si="20"/>
        <v>1500000</v>
      </c>
      <c r="O42" s="202">
        <f t="shared" si="21"/>
        <v>0.33233811014320502</v>
      </c>
      <c r="P42" s="70">
        <f t="shared" si="22"/>
        <v>0.16616905507160251</v>
      </c>
      <c r="Q42" s="211">
        <f t="shared" si="23"/>
        <v>2598059.31477925</v>
      </c>
      <c r="R42" s="201">
        <f t="shared" si="24"/>
        <v>0.7320395431861666</v>
      </c>
      <c r="S42" s="201">
        <f t="shared" si="25"/>
        <v>0.1045770775980238</v>
      </c>
      <c r="V42" t="s">
        <v>926</v>
      </c>
      <c r="W42" s="210" t="s">
        <v>10696</v>
      </c>
      <c r="X42">
        <v>7</v>
      </c>
      <c r="Y42" s="5">
        <v>45231</v>
      </c>
      <c r="AA42" t="s">
        <v>10695</v>
      </c>
      <c r="AB42">
        <v>20477630</v>
      </c>
      <c r="AD42" s="69">
        <f t="shared" ref="AD42:AD52" si="37">AH41</f>
        <v>2002512.9565899998</v>
      </c>
      <c r="AE42" s="29"/>
      <c r="AF42" s="68">
        <f t="shared" ref="AF42:AF44" si="38">0.3%+0.25%</f>
        <v>5.4999999999999997E-3</v>
      </c>
      <c r="AG42" s="69">
        <f t="shared" si="26"/>
        <v>11013.821261244999</v>
      </c>
      <c r="AH42" s="169">
        <f t="shared" si="27"/>
        <v>2013526.7778512449</v>
      </c>
      <c r="AI42" s="169">
        <f t="shared" si="28"/>
        <v>1500000</v>
      </c>
      <c r="AJ42" s="202">
        <f t="shared" si="29"/>
        <v>0.34235118523416319</v>
      </c>
      <c r="AK42" s="70">
        <f t="shared" si="30"/>
        <v>0.1711755926170816</v>
      </c>
      <c r="AL42" s="211">
        <f t="shared" si="31"/>
        <v>2617584.8112066183</v>
      </c>
      <c r="AM42" s="201">
        <f t="shared" si="32"/>
        <v>0.7450565408044123</v>
      </c>
      <c r="AN42" s="201">
        <f t="shared" si="33"/>
        <v>0.10643664868634461</v>
      </c>
    </row>
    <row r="43" spans="1:40">
      <c r="A43" t="s">
        <v>925</v>
      </c>
      <c r="B43" s="210" t="s">
        <v>10696</v>
      </c>
      <c r="C43">
        <v>8</v>
      </c>
      <c r="D43" s="5">
        <v>45597</v>
      </c>
      <c r="F43" t="s">
        <v>10695</v>
      </c>
      <c r="G43">
        <v>20477630</v>
      </c>
      <c r="I43" s="69">
        <f t="shared" si="34"/>
        <v>1998507.1652148075</v>
      </c>
      <c r="J43" s="29"/>
      <c r="K43" s="68">
        <f t="shared" si="35"/>
        <v>5.4999999999999997E-3</v>
      </c>
      <c r="L43" s="69">
        <f t="shared" si="36"/>
        <v>10991.789408681441</v>
      </c>
      <c r="M43" s="169">
        <f t="shared" si="19"/>
        <v>2009498.9546234889</v>
      </c>
      <c r="N43" s="169">
        <f t="shared" si="20"/>
        <v>1500000</v>
      </c>
      <c r="O43" s="202">
        <f t="shared" si="21"/>
        <v>0.33966596974899255</v>
      </c>
      <c r="P43" s="70">
        <f t="shared" si="22"/>
        <v>0.11322198991633085</v>
      </c>
      <c r="Q43" s="211">
        <f t="shared" si="23"/>
        <v>2612348.6410105359</v>
      </c>
      <c r="R43" s="201">
        <f t="shared" si="24"/>
        <v>0.74156576067369051</v>
      </c>
      <c r="S43" s="201">
        <f t="shared" si="25"/>
        <v>9.2695720084211314E-2</v>
      </c>
      <c r="V43" t="s">
        <v>926</v>
      </c>
      <c r="W43" s="210" t="s">
        <v>10696</v>
      </c>
      <c r="X43">
        <v>8</v>
      </c>
      <c r="Y43" s="5">
        <v>45597</v>
      </c>
      <c r="AA43" t="s">
        <v>10695</v>
      </c>
      <c r="AB43">
        <v>20477630</v>
      </c>
      <c r="AD43" s="69">
        <f t="shared" si="37"/>
        <v>2013526.7778512449</v>
      </c>
      <c r="AE43" s="29"/>
      <c r="AF43" s="68">
        <f t="shared" si="38"/>
        <v>5.4999999999999997E-3</v>
      </c>
      <c r="AG43" s="69">
        <f t="shared" si="26"/>
        <v>11074.397278181847</v>
      </c>
      <c r="AH43" s="169">
        <f t="shared" si="27"/>
        <v>2024601.1751294266</v>
      </c>
      <c r="AI43" s="169">
        <f t="shared" si="28"/>
        <v>1500000</v>
      </c>
      <c r="AJ43" s="202">
        <f t="shared" si="29"/>
        <v>0.34973411675295107</v>
      </c>
      <c r="AK43" s="70">
        <f t="shared" si="30"/>
        <v>0.11657803891765035</v>
      </c>
      <c r="AL43" s="211">
        <f t="shared" si="31"/>
        <v>2631981.5276682549</v>
      </c>
      <c r="AM43" s="201">
        <f t="shared" si="32"/>
        <v>0.75465435177883666</v>
      </c>
      <c r="AN43" s="201">
        <f t="shared" si="33"/>
        <v>9.4331793972354583E-2</v>
      </c>
    </row>
    <row r="44" spans="1:40">
      <c r="A44" t="s">
        <v>925</v>
      </c>
      <c r="B44" s="210" t="s">
        <v>10696</v>
      </c>
      <c r="C44">
        <v>9</v>
      </c>
      <c r="D44" s="5">
        <v>45962</v>
      </c>
      <c r="F44" t="s">
        <v>10695</v>
      </c>
      <c r="G44">
        <v>20477630</v>
      </c>
      <c r="I44" s="69">
        <f t="shared" si="34"/>
        <v>2009498.9546234889</v>
      </c>
      <c r="J44" s="29"/>
      <c r="K44" s="68">
        <f t="shared" si="35"/>
        <v>5.4999999999999997E-3</v>
      </c>
      <c r="L44" s="69">
        <f t="shared" si="36"/>
        <v>11052.244250429188</v>
      </c>
      <c r="M44" s="169">
        <f t="shared" si="19"/>
        <v>2020551.198873918</v>
      </c>
      <c r="N44" s="169">
        <f t="shared" si="20"/>
        <v>1500000</v>
      </c>
      <c r="O44" s="202">
        <f t="shared" si="21"/>
        <v>0.34703413258261206</v>
      </c>
      <c r="P44" s="70">
        <f t="shared" si="22"/>
        <v>8.6758533145653016E-2</v>
      </c>
      <c r="Q44" s="211">
        <f t="shared" si="23"/>
        <v>2626716.5585360937</v>
      </c>
      <c r="R44" s="201">
        <f t="shared" si="24"/>
        <v>0.75114437235739584</v>
      </c>
      <c r="S44" s="201">
        <f t="shared" si="25"/>
        <v>8.3460485817488425E-2</v>
      </c>
      <c r="V44" t="s">
        <v>926</v>
      </c>
      <c r="W44" s="210" t="s">
        <v>10696</v>
      </c>
      <c r="X44">
        <v>9</v>
      </c>
      <c r="Y44" s="5">
        <v>45962</v>
      </c>
      <c r="AA44" t="s">
        <v>10695</v>
      </c>
      <c r="AB44">
        <v>20477630</v>
      </c>
      <c r="AD44" s="69">
        <f t="shared" si="37"/>
        <v>2024601.1751294266</v>
      </c>
      <c r="AE44" s="29"/>
      <c r="AF44" s="68">
        <f t="shared" si="38"/>
        <v>5.4999999999999997E-3</v>
      </c>
      <c r="AG44" s="69">
        <f t="shared" si="26"/>
        <v>11135.306463211846</v>
      </c>
      <c r="AH44" s="169">
        <f t="shared" si="27"/>
        <v>2035736.4815926384</v>
      </c>
      <c r="AI44" s="169">
        <f t="shared" si="28"/>
        <v>1500000</v>
      </c>
      <c r="AJ44" s="202">
        <f t="shared" si="29"/>
        <v>0.35715765439509228</v>
      </c>
      <c r="AK44" s="70">
        <f t="shared" si="30"/>
        <v>8.9289413598773071E-2</v>
      </c>
      <c r="AL44" s="211">
        <f t="shared" si="31"/>
        <v>2646457.4260704299</v>
      </c>
      <c r="AM44" s="201">
        <f t="shared" si="32"/>
        <v>0.76430495071361992</v>
      </c>
      <c r="AN44" s="201">
        <f t="shared" si="33"/>
        <v>8.4922772301513322E-2</v>
      </c>
    </row>
    <row r="45" spans="1:40">
      <c r="A45" s="8" t="s">
        <v>925</v>
      </c>
      <c r="B45" s="212" t="s">
        <v>10696</v>
      </c>
      <c r="C45" s="8">
        <v>10</v>
      </c>
      <c r="D45" s="213">
        <v>46327</v>
      </c>
      <c r="E45" s="8"/>
      <c r="F45" s="8" t="s">
        <v>10695</v>
      </c>
      <c r="G45" s="8">
        <v>20477630</v>
      </c>
      <c r="H45" s="8"/>
      <c r="I45" s="214">
        <f t="shared" si="34"/>
        <v>2020551.198873918</v>
      </c>
      <c r="J45" s="30"/>
      <c r="K45" s="215">
        <f>1.5%+0.3%+0.25%</f>
        <v>2.0499999999999997E-2</v>
      </c>
      <c r="L45" s="214">
        <f t="shared" si="36"/>
        <v>41421.299576915313</v>
      </c>
      <c r="M45" s="9">
        <f t="shared" si="19"/>
        <v>2061972.4984508334</v>
      </c>
      <c r="N45" s="9">
        <f t="shared" si="20"/>
        <v>1500000</v>
      </c>
      <c r="O45" s="216">
        <f t="shared" si="21"/>
        <v>0.37464833230055561</v>
      </c>
      <c r="P45" s="217">
        <f t="shared" si="22"/>
        <v>7.4929666460111122E-2</v>
      </c>
      <c r="Q45" s="218">
        <f t="shared" si="23"/>
        <v>2680564.2479860834</v>
      </c>
      <c r="R45" s="219">
        <f t="shared" si="24"/>
        <v>0.78704283199072234</v>
      </c>
      <c r="S45" s="219">
        <f t="shared" si="25"/>
        <v>7.8704283199072231E-2</v>
      </c>
      <c r="V45" t="s">
        <v>926</v>
      </c>
      <c r="W45" s="210" t="s">
        <v>10696</v>
      </c>
      <c r="X45">
        <v>10</v>
      </c>
      <c r="Y45" s="5">
        <v>46327</v>
      </c>
      <c r="AA45" t="s">
        <v>10695</v>
      </c>
      <c r="AB45">
        <v>20477630</v>
      </c>
      <c r="AD45" s="69">
        <f t="shared" si="37"/>
        <v>2035736.4815926384</v>
      </c>
      <c r="AE45" s="29"/>
      <c r="AF45" s="68">
        <f>1.5%+0.3%+0.25%</f>
        <v>2.0499999999999997E-2</v>
      </c>
      <c r="AG45" s="69">
        <f t="shared" si="26"/>
        <v>41732.597872649079</v>
      </c>
      <c r="AH45" s="220">
        <f t="shared" si="27"/>
        <v>2077469.0794652875</v>
      </c>
      <c r="AI45" s="220">
        <f t="shared" si="28"/>
        <v>1500000</v>
      </c>
      <c r="AJ45" s="221">
        <f t="shared" si="29"/>
        <v>0.38497938631019157</v>
      </c>
      <c r="AK45" s="222">
        <f t="shared" si="30"/>
        <v>7.6995877262038312E-2</v>
      </c>
      <c r="AL45" s="211">
        <f t="shared" si="31"/>
        <v>2700709.8033048739</v>
      </c>
      <c r="AM45" s="223">
        <f t="shared" si="32"/>
        <v>0.80047320220324925</v>
      </c>
      <c r="AN45" s="223">
        <f t="shared" si="33"/>
        <v>8.004732022032493E-2</v>
      </c>
    </row>
    <row r="46" spans="1:40">
      <c r="A46" t="s">
        <v>925</v>
      </c>
      <c r="B46" s="210" t="s">
        <v>10696</v>
      </c>
      <c r="C46">
        <v>11</v>
      </c>
      <c r="D46" s="5">
        <v>46692</v>
      </c>
      <c r="F46" t="s">
        <v>10695</v>
      </c>
      <c r="G46">
        <v>20477630</v>
      </c>
      <c r="I46" s="69">
        <f t="shared" si="34"/>
        <v>2061972.4984508334</v>
      </c>
      <c r="K46" s="68">
        <f>0.5%+0.25%</f>
        <v>7.4999999999999997E-3</v>
      </c>
      <c r="L46" s="69">
        <f t="shared" si="36"/>
        <v>15464.79373838125</v>
      </c>
      <c r="M46" s="169">
        <f t="shared" si="19"/>
        <v>2077437.2921892146</v>
      </c>
      <c r="N46" s="169">
        <f t="shared" si="20"/>
        <v>1500000</v>
      </c>
      <c r="O46" s="202">
        <f t="shared" si="21"/>
        <v>0.38495819479280979</v>
      </c>
      <c r="P46" s="70">
        <f t="shared" si="22"/>
        <v>6.415969913213497E-2</v>
      </c>
      <c r="Q46" s="211">
        <f t="shared" si="23"/>
        <v>2700668.4798459793</v>
      </c>
      <c r="R46" s="201">
        <f t="shared" si="24"/>
        <v>0.80044565323065275</v>
      </c>
      <c r="S46" s="201">
        <f t="shared" si="25"/>
        <v>7.2767786657332065E-2</v>
      </c>
      <c r="V46" s="8" t="s">
        <v>926</v>
      </c>
      <c r="W46" s="212" t="s">
        <v>10696</v>
      </c>
      <c r="X46" s="8">
        <v>11</v>
      </c>
      <c r="Y46" s="213">
        <v>46692</v>
      </c>
      <c r="Z46" s="8"/>
      <c r="AA46" s="8" t="s">
        <v>10695</v>
      </c>
      <c r="AB46" s="8">
        <v>20477630</v>
      </c>
      <c r="AC46" s="8"/>
      <c r="AD46" s="214">
        <f t="shared" si="37"/>
        <v>2077469.0794652875</v>
      </c>
      <c r="AE46" s="8"/>
      <c r="AF46" s="215">
        <f>0.5%+0.25%</f>
        <v>7.4999999999999997E-3</v>
      </c>
      <c r="AG46" s="214">
        <f t="shared" si="26"/>
        <v>15581.018095989655</v>
      </c>
      <c r="AH46" s="9">
        <f t="shared" si="27"/>
        <v>2093050.0975612772</v>
      </c>
      <c r="AI46" s="9">
        <f t="shared" si="28"/>
        <v>1500000</v>
      </c>
      <c r="AJ46" s="216">
        <f t="shared" si="29"/>
        <v>0.39536673170751824</v>
      </c>
      <c r="AK46" s="217">
        <f t="shared" si="30"/>
        <v>6.5894455284586373E-2</v>
      </c>
      <c r="AL46" s="218">
        <f t="shared" si="31"/>
        <v>2720965.1268296605</v>
      </c>
      <c r="AM46" s="219">
        <f t="shared" si="32"/>
        <v>0.81397675121977375</v>
      </c>
      <c r="AN46" s="219">
        <f t="shared" si="33"/>
        <v>7.399788647452489E-2</v>
      </c>
    </row>
    <row r="47" spans="1:40">
      <c r="A47" t="s">
        <v>925</v>
      </c>
      <c r="B47" s="210" t="s">
        <v>10696</v>
      </c>
      <c r="C47">
        <v>12</v>
      </c>
      <c r="D47" s="5">
        <v>47058</v>
      </c>
      <c r="F47" t="s">
        <v>10695</v>
      </c>
      <c r="G47">
        <v>20477630</v>
      </c>
      <c r="I47" s="69">
        <f t="shared" si="34"/>
        <v>2077437.2921892146</v>
      </c>
      <c r="K47" s="68">
        <f>0.5%+0.25%</f>
        <v>7.4999999999999997E-3</v>
      </c>
      <c r="L47" s="69">
        <f t="shared" si="36"/>
        <v>15580.779691419109</v>
      </c>
      <c r="M47" s="169">
        <f t="shared" si="19"/>
        <v>2093018.0718806337</v>
      </c>
      <c r="N47" s="169">
        <f t="shared" si="20"/>
        <v>1500000</v>
      </c>
      <c r="O47" s="202">
        <f t="shared" si="21"/>
        <v>0.39534538125375573</v>
      </c>
      <c r="P47" s="70">
        <f t="shared" si="22"/>
        <v>5.6477911607679392E-2</v>
      </c>
      <c r="Q47" s="211">
        <f t="shared" si="23"/>
        <v>2720923.4934448241</v>
      </c>
      <c r="R47" s="201">
        <f t="shared" si="24"/>
        <v>0.81394899562988265</v>
      </c>
      <c r="S47" s="201">
        <f t="shared" si="25"/>
        <v>6.7829082969156893E-2</v>
      </c>
      <c r="V47" t="s">
        <v>926</v>
      </c>
      <c r="W47" s="210" t="s">
        <v>10696</v>
      </c>
      <c r="X47">
        <v>12</v>
      </c>
      <c r="Y47" s="5">
        <v>47058</v>
      </c>
      <c r="AA47" t="s">
        <v>10695</v>
      </c>
      <c r="AB47">
        <v>20477630</v>
      </c>
      <c r="AD47" s="69">
        <f t="shared" si="37"/>
        <v>2093050.0975612772</v>
      </c>
      <c r="AF47" s="68">
        <f>0.5%+0.25%</f>
        <v>7.4999999999999997E-3</v>
      </c>
      <c r="AG47" s="69">
        <f t="shared" si="26"/>
        <v>15697.875731709579</v>
      </c>
      <c r="AH47" s="169">
        <f t="shared" si="27"/>
        <v>2108747.9732929869</v>
      </c>
      <c r="AI47" s="169">
        <f t="shared" si="28"/>
        <v>1500000</v>
      </c>
      <c r="AJ47" s="202">
        <f t="shared" si="29"/>
        <v>0.40583198219532468</v>
      </c>
      <c r="AK47" s="70">
        <f t="shared" si="30"/>
        <v>5.7975997456474956E-2</v>
      </c>
      <c r="AL47" s="211">
        <f t="shared" si="31"/>
        <v>2741372.3652808829</v>
      </c>
      <c r="AM47" s="201">
        <f t="shared" si="32"/>
        <v>0.82758157685392186</v>
      </c>
      <c r="AN47" s="201">
        <f t="shared" si="33"/>
        <v>6.8965131404493493E-2</v>
      </c>
    </row>
    <row r="48" spans="1:40">
      <c r="A48" t="s">
        <v>925</v>
      </c>
      <c r="B48" s="210" t="s">
        <v>10696</v>
      </c>
      <c r="C48">
        <v>13</v>
      </c>
      <c r="D48" s="5">
        <v>47423</v>
      </c>
      <c r="F48" t="s">
        <v>10695</v>
      </c>
      <c r="G48">
        <v>20477630</v>
      </c>
      <c r="I48" s="69">
        <f t="shared" si="34"/>
        <v>2093018.0718806337</v>
      </c>
      <c r="K48" s="68">
        <f>0.5%+0.25%</f>
        <v>7.4999999999999997E-3</v>
      </c>
      <c r="L48" s="69">
        <f t="shared" si="36"/>
        <v>15697.635539104753</v>
      </c>
      <c r="M48" s="169">
        <f t="shared" si="19"/>
        <v>2108715.7074197386</v>
      </c>
      <c r="N48" s="169">
        <f t="shared" si="20"/>
        <v>1500000</v>
      </c>
      <c r="O48" s="202">
        <f t="shared" si="21"/>
        <v>0.4058104716131592</v>
      </c>
      <c r="P48" s="70">
        <f t="shared" si="22"/>
        <v>5.07263089516449E-2</v>
      </c>
      <c r="Q48" s="211">
        <f t="shared" si="23"/>
        <v>2741330.4196456606</v>
      </c>
      <c r="R48" s="201">
        <f t="shared" si="24"/>
        <v>0.82755361309710707</v>
      </c>
      <c r="S48" s="201">
        <f t="shared" si="25"/>
        <v>6.3657970238239006E-2</v>
      </c>
      <c r="V48" t="s">
        <v>926</v>
      </c>
      <c r="W48" s="210" t="s">
        <v>10696</v>
      </c>
      <c r="X48">
        <v>13</v>
      </c>
      <c r="Y48" s="5">
        <v>47423</v>
      </c>
      <c r="AA48" t="s">
        <v>10695</v>
      </c>
      <c r="AB48">
        <v>20477630</v>
      </c>
      <c r="AD48" s="69">
        <f t="shared" si="37"/>
        <v>2108747.9732929869</v>
      </c>
      <c r="AF48" s="68">
        <f>0.5%+0.25%</f>
        <v>7.4999999999999997E-3</v>
      </c>
      <c r="AG48" s="69">
        <f t="shared" si="26"/>
        <v>15815.6097996974</v>
      </c>
      <c r="AH48" s="169">
        <f t="shared" si="27"/>
        <v>2124563.5830926844</v>
      </c>
      <c r="AI48" s="169">
        <f t="shared" si="28"/>
        <v>1500000</v>
      </c>
      <c r="AJ48" s="202">
        <f t="shared" si="29"/>
        <v>0.41637572206178963</v>
      </c>
      <c r="AK48" s="70">
        <f t="shared" si="30"/>
        <v>5.2046965257723704E-2</v>
      </c>
      <c r="AL48" s="211">
        <f t="shared" si="31"/>
        <v>2761932.6580204898</v>
      </c>
      <c r="AM48" s="201">
        <f t="shared" si="32"/>
        <v>0.84128843868032654</v>
      </c>
      <c r="AN48" s="201">
        <f t="shared" si="33"/>
        <v>6.4714495283102039E-2</v>
      </c>
    </row>
    <row r="49" spans="1:40">
      <c r="A49" t="s">
        <v>925</v>
      </c>
      <c r="B49" s="210" t="s">
        <v>10696</v>
      </c>
      <c r="C49">
        <v>14</v>
      </c>
      <c r="D49" s="5">
        <v>47788</v>
      </c>
      <c r="F49" t="s">
        <v>10695</v>
      </c>
      <c r="G49">
        <v>20477630</v>
      </c>
      <c r="I49" s="69">
        <f t="shared" si="34"/>
        <v>2108715.7074197386</v>
      </c>
      <c r="K49" s="68">
        <f>0.5%+0.25%</f>
        <v>7.4999999999999997E-3</v>
      </c>
      <c r="L49" s="69">
        <f t="shared" si="36"/>
        <v>15815.367805648038</v>
      </c>
      <c r="M49" s="169">
        <f t="shared" si="19"/>
        <v>2124531.0752253868</v>
      </c>
      <c r="N49" s="169">
        <f t="shared" si="20"/>
        <v>1500000</v>
      </c>
      <c r="O49" s="202">
        <f t="shared" si="21"/>
        <v>0.41635405015025784</v>
      </c>
      <c r="P49" s="70">
        <f t="shared" si="22"/>
        <v>4.6261561127806425E-2</v>
      </c>
      <c r="Q49" s="211">
        <f t="shared" si="23"/>
        <v>2761890.3977930029</v>
      </c>
      <c r="R49" s="201">
        <f t="shared" si="24"/>
        <v>0.84126026519533537</v>
      </c>
      <c r="S49" s="201">
        <f t="shared" si="25"/>
        <v>6.0090018942523957E-2</v>
      </c>
      <c r="V49" t="s">
        <v>926</v>
      </c>
      <c r="W49" s="210" t="s">
        <v>10696</v>
      </c>
      <c r="X49">
        <v>14</v>
      </c>
      <c r="Y49" s="5">
        <v>47788</v>
      </c>
      <c r="AA49" t="s">
        <v>10695</v>
      </c>
      <c r="AB49">
        <v>20477630</v>
      </c>
      <c r="AD49" s="69">
        <f t="shared" si="37"/>
        <v>2124563.5830926844</v>
      </c>
      <c r="AF49" s="68">
        <f>0.5%+0.25%</f>
        <v>7.4999999999999997E-3</v>
      </c>
      <c r="AG49" s="69">
        <f t="shared" si="26"/>
        <v>15934.226873195132</v>
      </c>
      <c r="AH49" s="169">
        <f t="shared" si="27"/>
        <v>2140497.8099658797</v>
      </c>
      <c r="AI49" s="169">
        <f t="shared" si="28"/>
        <v>1500000</v>
      </c>
      <c r="AJ49" s="202">
        <f t="shared" si="29"/>
        <v>0.42699853997725312</v>
      </c>
      <c r="AK49" s="70">
        <f t="shared" si="30"/>
        <v>4.7444282219694794E-2</v>
      </c>
      <c r="AL49" s="211">
        <f t="shared" si="31"/>
        <v>2782647.1529556438</v>
      </c>
      <c r="AM49" s="201">
        <f t="shared" si="32"/>
        <v>0.85509810197042913</v>
      </c>
      <c r="AN49" s="201">
        <f t="shared" si="33"/>
        <v>6.1078435855030651E-2</v>
      </c>
    </row>
    <row r="50" spans="1:40">
      <c r="A50" t="s">
        <v>925</v>
      </c>
      <c r="B50" s="210" t="s">
        <v>10696</v>
      </c>
      <c r="C50">
        <v>15</v>
      </c>
      <c r="D50" s="5">
        <v>48153</v>
      </c>
      <c r="F50" t="s">
        <v>10695</v>
      </c>
      <c r="G50">
        <v>20477630</v>
      </c>
      <c r="I50" s="69">
        <f t="shared" si="34"/>
        <v>2124531.0752253868</v>
      </c>
      <c r="K50" s="68">
        <f>1.5%+0.5%+0.25%</f>
        <v>2.2499999999999999E-2</v>
      </c>
      <c r="L50" s="69">
        <f t="shared" si="36"/>
        <v>47801.949192571199</v>
      </c>
      <c r="M50" s="169">
        <f t="shared" si="19"/>
        <v>2172333.0244179578</v>
      </c>
      <c r="N50" s="169">
        <f t="shared" si="20"/>
        <v>1500000</v>
      </c>
      <c r="O50" s="202">
        <f t="shared" si="21"/>
        <v>0.44822201627863856</v>
      </c>
      <c r="P50" s="70">
        <f t="shared" si="22"/>
        <v>4.4822201627863857E-2</v>
      </c>
      <c r="Q50" s="211">
        <f t="shared" si="23"/>
        <v>2824032.9317433452</v>
      </c>
      <c r="R50" s="201">
        <f t="shared" si="24"/>
        <v>0.88268862116223024</v>
      </c>
      <c r="S50" s="201">
        <f t="shared" si="25"/>
        <v>5.8845908077482016E-2</v>
      </c>
      <c r="V50" t="s">
        <v>926</v>
      </c>
      <c r="W50" s="210" t="s">
        <v>10696</v>
      </c>
      <c r="X50">
        <v>15</v>
      </c>
      <c r="Y50" s="5">
        <v>48153</v>
      </c>
      <c r="AA50" t="s">
        <v>10695</v>
      </c>
      <c r="AB50">
        <v>20477630</v>
      </c>
      <c r="AD50" s="69">
        <f t="shared" si="37"/>
        <v>2140497.8099658797</v>
      </c>
      <c r="AF50" s="68">
        <f>1.5%+0.5%+0.25%</f>
        <v>2.2499999999999999E-2</v>
      </c>
      <c r="AG50" s="69">
        <f t="shared" si="26"/>
        <v>48161.200724232287</v>
      </c>
      <c r="AH50" s="169">
        <f t="shared" si="27"/>
        <v>2188659.0106901121</v>
      </c>
      <c r="AI50" s="169">
        <f t="shared" si="28"/>
        <v>1500000</v>
      </c>
      <c r="AJ50" s="202">
        <f t="shared" si="29"/>
        <v>0.45910600712674143</v>
      </c>
      <c r="AK50" s="70">
        <f t="shared" si="30"/>
        <v>4.5910600712674145E-2</v>
      </c>
      <c r="AL50" s="211">
        <f t="shared" si="31"/>
        <v>2845256.7138971458</v>
      </c>
      <c r="AM50" s="201">
        <f t="shared" si="32"/>
        <v>0.89683780926476397</v>
      </c>
      <c r="AN50" s="201">
        <f t="shared" si="33"/>
        <v>5.9789187284317598E-2</v>
      </c>
    </row>
    <row r="51" spans="1:40">
      <c r="A51" t="s">
        <v>925</v>
      </c>
      <c r="B51" s="210" t="s">
        <v>10696</v>
      </c>
      <c r="C51">
        <v>16</v>
      </c>
      <c r="D51" s="5">
        <v>48519</v>
      </c>
      <c r="F51" t="s">
        <v>10695</v>
      </c>
      <c r="G51">
        <v>20477630</v>
      </c>
      <c r="I51" s="69">
        <f t="shared" si="34"/>
        <v>2172333.0244179578</v>
      </c>
      <c r="K51" s="68">
        <f>0.5%+0.25%</f>
        <v>7.4999999999999997E-3</v>
      </c>
      <c r="L51" s="69">
        <f t="shared" si="36"/>
        <v>16292.497683134683</v>
      </c>
      <c r="M51" s="169">
        <f t="shared" si="19"/>
        <v>2188625.5221010926</v>
      </c>
      <c r="N51" s="169">
        <f t="shared" si="20"/>
        <v>1500000</v>
      </c>
      <c r="O51" s="202">
        <f t="shared" si="21"/>
        <v>0.45908368140072842</v>
      </c>
      <c r="P51" s="70">
        <f t="shared" si="22"/>
        <v>4.1734880127338947E-2</v>
      </c>
      <c r="Q51" s="211">
        <f t="shared" si="23"/>
        <v>2845213.1787314205</v>
      </c>
      <c r="R51" s="201">
        <f t="shared" si="24"/>
        <v>0.89680878582094703</v>
      </c>
      <c r="S51" s="201">
        <f t="shared" si="25"/>
        <v>5.6050549113809189E-2</v>
      </c>
      <c r="V51" t="s">
        <v>926</v>
      </c>
      <c r="W51" s="210" t="s">
        <v>10696</v>
      </c>
      <c r="X51">
        <v>16</v>
      </c>
      <c r="Y51" s="5">
        <v>48519</v>
      </c>
      <c r="AA51" t="s">
        <v>10695</v>
      </c>
      <c r="AB51">
        <v>20477630</v>
      </c>
      <c r="AD51" s="69">
        <f t="shared" si="37"/>
        <v>2188659.0106901121</v>
      </c>
      <c r="AF51" s="68">
        <f>0.5%+0.25%</f>
        <v>7.4999999999999997E-3</v>
      </c>
      <c r="AG51" s="69">
        <f t="shared" si="26"/>
        <v>16414.942580175841</v>
      </c>
      <c r="AH51" s="169">
        <f t="shared" si="27"/>
        <v>2205073.9532702882</v>
      </c>
      <c r="AI51" s="169">
        <f t="shared" si="28"/>
        <v>1500000</v>
      </c>
      <c r="AJ51" s="202">
        <f t="shared" si="29"/>
        <v>0.47004930218019214</v>
      </c>
      <c r="AK51" s="70">
        <f t="shared" si="30"/>
        <v>4.273175474365383E-2</v>
      </c>
      <c r="AL51" s="211">
        <f t="shared" si="31"/>
        <v>2866596.1392513746</v>
      </c>
      <c r="AM51" s="201">
        <f t="shared" si="32"/>
        <v>0.91106409283424972</v>
      </c>
      <c r="AN51" s="201">
        <f t="shared" si="33"/>
        <v>5.6941505802140607E-2</v>
      </c>
    </row>
    <row r="52" spans="1:40">
      <c r="A52" t="s">
        <v>925</v>
      </c>
      <c r="B52" s="210" t="s">
        <v>10696</v>
      </c>
      <c r="C52">
        <v>17</v>
      </c>
      <c r="D52" s="5">
        <v>48884</v>
      </c>
      <c r="F52" t="s">
        <v>10695</v>
      </c>
      <c r="G52">
        <v>20477630</v>
      </c>
      <c r="I52" s="69">
        <f t="shared" si="34"/>
        <v>2188625.5221010926</v>
      </c>
      <c r="K52" s="68">
        <f>0.5%+0.25%</f>
        <v>7.4999999999999997E-3</v>
      </c>
      <c r="L52" s="69">
        <f t="shared" si="36"/>
        <v>16414.691415758192</v>
      </c>
      <c r="M52" s="169">
        <f t="shared" si="19"/>
        <v>2205040.213516851</v>
      </c>
      <c r="N52" s="169">
        <f t="shared" si="20"/>
        <v>1500000</v>
      </c>
      <c r="O52" s="202">
        <f t="shared" si="21"/>
        <v>0.47002680901123406</v>
      </c>
      <c r="P52" s="70">
        <f t="shared" si="22"/>
        <v>3.9168900750936174E-2</v>
      </c>
      <c r="Q52" s="211">
        <f t="shared" si="23"/>
        <v>2866552.2775719063</v>
      </c>
      <c r="R52" s="201">
        <f t="shared" si="24"/>
        <v>0.9110348517146043</v>
      </c>
      <c r="S52" s="201">
        <f t="shared" si="25"/>
        <v>5.3590285394976726E-2</v>
      </c>
      <c r="V52" t="s">
        <v>926</v>
      </c>
      <c r="W52" s="210" t="s">
        <v>10696</v>
      </c>
      <c r="X52">
        <v>17</v>
      </c>
      <c r="Y52" s="5">
        <v>48884</v>
      </c>
      <c r="AA52" t="s">
        <v>10695</v>
      </c>
      <c r="AB52">
        <v>20477630</v>
      </c>
      <c r="AD52" s="69">
        <f t="shared" si="37"/>
        <v>2205073.9532702882</v>
      </c>
      <c r="AF52" s="68">
        <f>0.5%+0.25%</f>
        <v>7.4999999999999997E-3</v>
      </c>
      <c r="AG52" s="69">
        <f t="shared" si="26"/>
        <v>16538.054649527159</v>
      </c>
      <c r="AH52" s="169">
        <f t="shared" si="27"/>
        <v>2221612.0079198154</v>
      </c>
      <c r="AI52" s="169">
        <f t="shared" si="28"/>
        <v>1500000</v>
      </c>
      <c r="AJ52" s="202">
        <f t="shared" si="29"/>
        <v>0.48107467194654352</v>
      </c>
      <c r="AK52" s="70">
        <f t="shared" si="30"/>
        <v>4.0089555995545291E-2</v>
      </c>
      <c r="AL52" s="211">
        <f t="shared" si="31"/>
        <v>2888095.61029576</v>
      </c>
      <c r="AM52" s="201">
        <f t="shared" si="32"/>
        <v>0.9253970735305066</v>
      </c>
      <c r="AN52" s="201">
        <f t="shared" si="33"/>
        <v>5.443512197238274E-2</v>
      </c>
    </row>
    <row r="53" spans="1:40">
      <c r="A53" t="s">
        <v>925</v>
      </c>
      <c r="B53" s="210"/>
      <c r="D53" s="5"/>
      <c r="S53" s="5"/>
      <c r="V53" t="s">
        <v>926</v>
      </c>
      <c r="Y53" s="5"/>
      <c r="AN53" s="5"/>
    </row>
    <row r="54" spans="1:40">
      <c r="A54" t="s">
        <v>925</v>
      </c>
      <c r="C54" s="29" t="s">
        <v>946</v>
      </c>
      <c r="F54" s="29" t="s">
        <v>10448</v>
      </c>
      <c r="G54" s="29" t="s">
        <v>10686</v>
      </c>
      <c r="H54" s="29" t="s">
        <v>10687</v>
      </c>
      <c r="I54" s="29" t="s">
        <v>10688</v>
      </c>
      <c r="J54" s="29" t="s">
        <v>10689</v>
      </c>
      <c r="K54" s="29" t="s">
        <v>10690</v>
      </c>
      <c r="L54" s="29" t="s">
        <v>10691</v>
      </c>
      <c r="M54" t="s">
        <v>952</v>
      </c>
      <c r="N54" t="s">
        <v>10678</v>
      </c>
      <c r="O54" s="29" t="s">
        <v>10612</v>
      </c>
      <c r="P54" s="29" t="s">
        <v>10692</v>
      </c>
      <c r="Q54" s="29" t="s">
        <v>10687</v>
      </c>
      <c r="R54">
        <v>59972</v>
      </c>
      <c r="S54" s="5"/>
      <c r="V54" t="s">
        <v>926</v>
      </c>
      <c r="X54" s="29" t="s">
        <v>946</v>
      </c>
      <c r="AA54" s="29" t="s">
        <v>10448</v>
      </c>
      <c r="AB54" s="29" t="s">
        <v>10686</v>
      </c>
      <c r="AC54" s="29" t="s">
        <v>10687</v>
      </c>
      <c r="AD54" s="29" t="s">
        <v>10688</v>
      </c>
      <c r="AE54" s="29" t="s">
        <v>10689</v>
      </c>
      <c r="AF54" s="29" t="s">
        <v>10690</v>
      </c>
      <c r="AG54" s="29" t="s">
        <v>10691</v>
      </c>
      <c r="AH54" t="s">
        <v>952</v>
      </c>
      <c r="AI54" t="s">
        <v>10678</v>
      </c>
      <c r="AJ54" s="29" t="s">
        <v>10612</v>
      </c>
      <c r="AK54" s="29" t="s">
        <v>10692</v>
      </c>
      <c r="AL54" s="29" t="s">
        <v>10687</v>
      </c>
      <c r="AM54">
        <v>60148.99</v>
      </c>
      <c r="AN54" s="5"/>
    </row>
    <row r="55" spans="1:40">
      <c r="A55" t="s">
        <v>925</v>
      </c>
      <c r="C55" t="s">
        <v>10694</v>
      </c>
      <c r="D55" s="5">
        <v>42887</v>
      </c>
      <c r="E55">
        <v>300000</v>
      </c>
      <c r="F55" t="s">
        <v>10681</v>
      </c>
      <c r="G55">
        <v>21131016</v>
      </c>
      <c r="Q55" s="29" t="s">
        <v>10688</v>
      </c>
      <c r="R55">
        <v>1660630.56</v>
      </c>
      <c r="S55" s="5"/>
      <c r="V55" t="s">
        <v>926</v>
      </c>
      <c r="X55" t="s">
        <v>10694</v>
      </c>
      <c r="Y55" s="5">
        <v>42887</v>
      </c>
      <c r="Z55">
        <v>300000</v>
      </c>
      <c r="AA55" t="s">
        <v>10681</v>
      </c>
      <c r="AB55">
        <v>21131016</v>
      </c>
      <c r="AL55" s="29" t="s">
        <v>10688</v>
      </c>
      <c r="AM55">
        <v>1676688.76</v>
      </c>
      <c r="AN55" s="5"/>
    </row>
    <row r="56" spans="1:40">
      <c r="A56" t="s">
        <v>925</v>
      </c>
      <c r="B56" s="210" t="s">
        <v>10696</v>
      </c>
      <c r="C56">
        <v>1</v>
      </c>
      <c r="D56" s="5">
        <v>43252</v>
      </c>
      <c r="E56">
        <v>300000</v>
      </c>
      <c r="F56" t="s">
        <v>10681</v>
      </c>
      <c r="G56">
        <v>21131016</v>
      </c>
      <c r="Q56" s="29" t="s">
        <v>10689</v>
      </c>
      <c r="R56">
        <v>27.690098045754688</v>
      </c>
      <c r="S56" s="5"/>
      <c r="V56" t="s">
        <v>926</v>
      </c>
      <c r="W56" s="210" t="s">
        <v>10696</v>
      </c>
      <c r="X56">
        <v>1</v>
      </c>
      <c r="Y56" s="5">
        <v>43252</v>
      </c>
      <c r="Z56">
        <v>300000</v>
      </c>
      <c r="AA56" t="s">
        <v>10681</v>
      </c>
      <c r="AB56">
        <v>21131016</v>
      </c>
      <c r="AL56" s="29" t="s">
        <v>10689</v>
      </c>
      <c r="AM56" s="69">
        <f>AM55/AM54</f>
        <v>27.875592923505451</v>
      </c>
      <c r="AN56" s="5"/>
    </row>
    <row r="57" spans="1:40">
      <c r="A57" t="s">
        <v>925</v>
      </c>
      <c r="B57" s="210" t="s">
        <v>10696</v>
      </c>
      <c r="C57">
        <v>2</v>
      </c>
      <c r="D57" s="5">
        <v>43617</v>
      </c>
      <c r="E57">
        <v>300000</v>
      </c>
      <c r="F57" t="s">
        <v>10681</v>
      </c>
      <c r="G57">
        <v>21131016</v>
      </c>
      <c r="S57" s="5"/>
      <c r="V57" t="s">
        <v>926</v>
      </c>
      <c r="W57" s="210" t="s">
        <v>10696</v>
      </c>
      <c r="X57">
        <v>2</v>
      </c>
      <c r="Y57" s="5">
        <v>43617</v>
      </c>
      <c r="Z57">
        <v>300000</v>
      </c>
      <c r="AA57" t="s">
        <v>10681</v>
      </c>
      <c r="AB57">
        <v>21131016</v>
      </c>
      <c r="AN57" s="5"/>
    </row>
    <row r="58" spans="1:40">
      <c r="A58" t="s">
        <v>925</v>
      </c>
      <c r="B58" s="210" t="s">
        <v>10696</v>
      </c>
      <c r="C58">
        <v>3</v>
      </c>
      <c r="D58" s="5">
        <v>43983</v>
      </c>
      <c r="E58">
        <v>300000</v>
      </c>
      <c r="F58" t="s">
        <v>10681</v>
      </c>
      <c r="G58">
        <v>21131016</v>
      </c>
      <c r="Q58" t="s">
        <v>10697</v>
      </c>
      <c r="R58" t="s">
        <v>10698</v>
      </c>
      <c r="S58" s="5"/>
      <c r="V58" t="s">
        <v>926</v>
      </c>
      <c r="W58" s="210" t="s">
        <v>10696</v>
      </c>
      <c r="X58">
        <v>3</v>
      </c>
      <c r="Y58" s="5">
        <v>43983</v>
      </c>
      <c r="Z58">
        <v>300000</v>
      </c>
      <c r="AA58" t="s">
        <v>10681</v>
      </c>
      <c r="AB58">
        <v>21131016</v>
      </c>
      <c r="AL58" t="s">
        <v>10697</v>
      </c>
      <c r="AM58" t="s">
        <v>10698</v>
      </c>
      <c r="AN58" s="5"/>
    </row>
    <row r="59" spans="1:40">
      <c r="A59" t="s">
        <v>925</v>
      </c>
      <c r="B59" s="210" t="s">
        <v>10696</v>
      </c>
      <c r="C59">
        <v>4</v>
      </c>
      <c r="D59" s="5">
        <v>44348</v>
      </c>
      <c r="E59">
        <v>300000</v>
      </c>
      <c r="F59" t="s">
        <v>10681</v>
      </c>
      <c r="G59">
        <v>21131016</v>
      </c>
      <c r="Q59">
        <v>12.75</v>
      </c>
      <c r="R59">
        <v>59972</v>
      </c>
      <c r="S59" s="5"/>
      <c r="V59" t="s">
        <v>926</v>
      </c>
      <c r="W59" s="210" t="s">
        <v>10696</v>
      </c>
      <c r="X59">
        <v>4</v>
      </c>
      <c r="Y59" s="5">
        <v>44348</v>
      </c>
      <c r="Z59">
        <v>300000</v>
      </c>
      <c r="AA59" t="s">
        <v>10681</v>
      </c>
      <c r="AB59">
        <v>21131016</v>
      </c>
      <c r="AL59">
        <v>12.75</v>
      </c>
      <c r="AM59">
        <f>AM54</f>
        <v>60148.99</v>
      </c>
      <c r="AN59" s="5"/>
    </row>
    <row r="60" spans="1:40">
      <c r="A60" t="s">
        <v>925</v>
      </c>
      <c r="B60" s="210" t="s">
        <v>10696</v>
      </c>
      <c r="C60">
        <v>5</v>
      </c>
      <c r="D60" s="5">
        <v>44713</v>
      </c>
      <c r="E60">
        <v>300000</v>
      </c>
      <c r="F60" t="s">
        <v>10681</v>
      </c>
      <c r="G60">
        <v>21131016</v>
      </c>
      <c r="Q60">
        <v>21</v>
      </c>
      <c r="R60">
        <f>R59*Q60/Q59</f>
        <v>98777.411764705888</v>
      </c>
      <c r="S60" s="5" t="s">
        <v>10699</v>
      </c>
      <c r="V60" t="s">
        <v>926</v>
      </c>
      <c r="W60" s="210" t="s">
        <v>10696</v>
      </c>
      <c r="X60">
        <v>5</v>
      </c>
      <c r="Y60" s="5">
        <v>44713</v>
      </c>
      <c r="Z60">
        <v>300000</v>
      </c>
      <c r="AA60" t="s">
        <v>10681</v>
      </c>
      <c r="AB60">
        <v>21131016</v>
      </c>
      <c r="AL60">
        <v>21</v>
      </c>
      <c r="AM60" s="69">
        <f>AM59*AL60/AL59</f>
        <v>99068.924705882353</v>
      </c>
      <c r="AN60" s="5" t="s">
        <v>10699</v>
      </c>
    </row>
    <row r="61" spans="1:40">
      <c r="A61" t="s">
        <v>925</v>
      </c>
      <c r="B61" s="210" t="s">
        <v>10696</v>
      </c>
      <c r="C61">
        <v>6</v>
      </c>
      <c r="D61" s="5">
        <v>45078</v>
      </c>
      <c r="E61">
        <v>300000</v>
      </c>
      <c r="F61" t="s">
        <v>10681</v>
      </c>
      <c r="G61">
        <v>21131016</v>
      </c>
      <c r="H61">
        <f>R60</f>
        <v>98777.411764705888</v>
      </c>
      <c r="I61" s="69">
        <f>R61</f>
        <v>2735146.5317647061</v>
      </c>
      <c r="J61" s="209">
        <f>I61/H61</f>
        <v>27.69</v>
      </c>
      <c r="K61" s="68">
        <v>2E-3</v>
      </c>
      <c r="L61" s="69">
        <f t="shared" ref="L61:L71" si="39">I61*K61</f>
        <v>5470.2930635294124</v>
      </c>
      <c r="M61" s="169">
        <f t="shared" ref="M61:M71" si="40">I61+L61</f>
        <v>2740616.8248282354</v>
      </c>
      <c r="N61" s="169">
        <v>2100000</v>
      </c>
      <c r="O61" s="202">
        <f t="shared" ref="O61:O71" si="41">(M61/N61)-100%</f>
        <v>0.30505563087058829</v>
      </c>
      <c r="P61" s="70">
        <f t="shared" ref="P61:P71" si="42">O61/C56</f>
        <v>0.30505563087058829</v>
      </c>
      <c r="R61">
        <f>R60*27.69</f>
        <v>2735146.5317647061</v>
      </c>
      <c r="S61" s="5" t="s">
        <v>10699</v>
      </c>
      <c r="V61" t="s">
        <v>926</v>
      </c>
      <c r="W61" s="210" t="s">
        <v>10696</v>
      </c>
      <c r="X61">
        <v>6</v>
      </c>
      <c r="Y61" s="5">
        <v>45078</v>
      </c>
      <c r="Z61">
        <v>300000</v>
      </c>
      <c r="AA61" t="s">
        <v>10681</v>
      </c>
      <c r="AB61">
        <v>21131016</v>
      </c>
      <c r="AC61">
        <f>AM60</f>
        <v>99068.924705882353</v>
      </c>
      <c r="AD61" s="69">
        <f>AM61</f>
        <v>2743218.5251058824</v>
      </c>
      <c r="AE61" s="209">
        <f>AD61/AC61</f>
        <v>27.69</v>
      </c>
      <c r="AF61" s="68">
        <v>2E-3</v>
      </c>
      <c r="AG61" s="69">
        <f t="shared" ref="AG61:AG71" si="43">AD61*AF61</f>
        <v>5486.4370502117654</v>
      </c>
      <c r="AH61" s="169">
        <f t="shared" ref="AH61:AH71" si="44">AD61+AG61</f>
        <v>2748704.9621560941</v>
      </c>
      <c r="AI61" s="169">
        <v>2100000</v>
      </c>
      <c r="AJ61" s="202">
        <f t="shared" ref="AJ61:AJ71" si="45">(AH61/AI61)-100%</f>
        <v>0.30890712483623539</v>
      </c>
      <c r="AK61" s="70">
        <f t="shared" ref="AK61:AK71" si="46">AJ61/X56</f>
        <v>0.30890712483623539</v>
      </c>
      <c r="AM61" s="69">
        <f>AM60*27.69</f>
        <v>2743218.5251058824</v>
      </c>
      <c r="AN61" s="5" t="s">
        <v>10699</v>
      </c>
    </row>
    <row r="62" spans="1:40">
      <c r="A62" t="s">
        <v>925</v>
      </c>
      <c r="B62" s="210" t="s">
        <v>10696</v>
      </c>
      <c r="C62">
        <v>7</v>
      </c>
      <c r="D62" s="5">
        <v>45444</v>
      </c>
      <c r="F62" t="s">
        <v>10681</v>
      </c>
      <c r="G62">
        <v>21131016</v>
      </c>
      <c r="I62" s="69">
        <f t="shared" ref="I62:I71" si="47">M61</f>
        <v>2740616.8248282354</v>
      </c>
      <c r="J62" s="29"/>
      <c r="K62" s="68">
        <v>2E-3</v>
      </c>
      <c r="L62" s="69">
        <f t="shared" si="39"/>
        <v>5481.2336496564712</v>
      </c>
      <c r="M62" s="169">
        <f t="shared" si="40"/>
        <v>2746098.0584778921</v>
      </c>
      <c r="N62" s="169">
        <v>2100000</v>
      </c>
      <c r="O62" s="202">
        <f t="shared" si="41"/>
        <v>0.30766574213232967</v>
      </c>
      <c r="P62" s="70">
        <f t="shared" si="42"/>
        <v>0.15383287106616483</v>
      </c>
      <c r="Q62" s="211"/>
      <c r="R62" s="201"/>
      <c r="S62" s="201"/>
      <c r="V62" t="s">
        <v>926</v>
      </c>
      <c r="W62" s="210" t="s">
        <v>10696</v>
      </c>
      <c r="X62">
        <v>7</v>
      </c>
      <c r="Y62" s="5">
        <v>45444</v>
      </c>
      <c r="AA62" t="s">
        <v>10681</v>
      </c>
      <c r="AB62">
        <v>21131016</v>
      </c>
      <c r="AD62" s="69">
        <f t="shared" ref="AD62:AD71" si="48">AH61</f>
        <v>2748704.9621560941</v>
      </c>
      <c r="AE62" s="29"/>
      <c r="AF62" s="68">
        <v>2E-3</v>
      </c>
      <c r="AG62" s="69">
        <f t="shared" si="43"/>
        <v>5497.4099243121882</v>
      </c>
      <c r="AH62" s="169">
        <f t="shared" si="44"/>
        <v>2754202.3720804062</v>
      </c>
      <c r="AI62" s="169">
        <v>2100000</v>
      </c>
      <c r="AJ62" s="202">
        <f t="shared" si="45"/>
        <v>0.31152493908590762</v>
      </c>
      <c r="AK62" s="70">
        <f t="shared" si="46"/>
        <v>0.15576246954295381</v>
      </c>
      <c r="AL62" s="211"/>
      <c r="AM62" s="201"/>
      <c r="AN62" s="201"/>
    </row>
    <row r="63" spans="1:40">
      <c r="A63" t="s">
        <v>925</v>
      </c>
      <c r="B63" s="210" t="s">
        <v>10696</v>
      </c>
      <c r="C63">
        <v>8</v>
      </c>
      <c r="D63" s="5">
        <v>45809</v>
      </c>
      <c r="F63" t="s">
        <v>10681</v>
      </c>
      <c r="G63">
        <v>21131016</v>
      </c>
      <c r="I63" s="69">
        <f t="shared" si="47"/>
        <v>2746098.0584778921</v>
      </c>
      <c r="J63" s="29"/>
      <c r="K63" s="68">
        <v>3.5000000000000001E-3</v>
      </c>
      <c r="L63" s="69">
        <f t="shared" si="39"/>
        <v>9611.343204672623</v>
      </c>
      <c r="M63" s="169">
        <f t="shared" si="40"/>
        <v>2755709.4016825645</v>
      </c>
      <c r="N63" s="169">
        <v>2100000</v>
      </c>
      <c r="O63" s="202">
        <f t="shared" si="41"/>
        <v>0.31224257222979257</v>
      </c>
      <c r="P63" s="70">
        <f t="shared" si="42"/>
        <v>0.10408085740993085</v>
      </c>
      <c r="Q63" s="211">
        <f t="shared" ref="Q63:Q71" si="49">M63*1.3</f>
        <v>3582422.2221873342</v>
      </c>
      <c r="R63" s="201">
        <f t="shared" ref="R63:R71" si="50">Q63/N63-100%</f>
        <v>0.70591534389873067</v>
      </c>
      <c r="S63" s="201">
        <f t="shared" ref="S63:S71" si="51">R63/C63</f>
        <v>8.8239417987341334E-2</v>
      </c>
      <c r="V63" t="s">
        <v>926</v>
      </c>
      <c r="W63" s="210" t="s">
        <v>10696</v>
      </c>
      <c r="X63">
        <v>8</v>
      </c>
      <c r="Y63" s="5">
        <v>45809</v>
      </c>
      <c r="AA63" t="s">
        <v>10681</v>
      </c>
      <c r="AB63">
        <v>21131016</v>
      </c>
      <c r="AD63" s="69">
        <f t="shared" si="48"/>
        <v>2754202.3720804062</v>
      </c>
      <c r="AE63" s="29"/>
      <c r="AF63" s="68">
        <v>3.5000000000000001E-3</v>
      </c>
      <c r="AG63" s="69">
        <f t="shared" si="43"/>
        <v>9639.7083022814222</v>
      </c>
      <c r="AH63" s="169">
        <f t="shared" si="44"/>
        <v>2763842.0803826875</v>
      </c>
      <c r="AI63" s="169">
        <v>2100000</v>
      </c>
      <c r="AJ63" s="202">
        <f t="shared" si="45"/>
        <v>0.31611527637270842</v>
      </c>
      <c r="AK63" s="70">
        <f t="shared" si="46"/>
        <v>0.10537175879090281</v>
      </c>
      <c r="AL63" s="211">
        <f t="shared" ref="AL63:AL71" si="52">AH63*1.3</f>
        <v>3592994.7044974938</v>
      </c>
      <c r="AM63" s="201">
        <f t="shared" ref="AM63:AM71" si="53">AL63/AI63-100%</f>
        <v>0.71094985928452092</v>
      </c>
      <c r="AN63" s="201">
        <f t="shared" ref="AN63:AN71" si="54">AM63/X63</f>
        <v>8.8868732410565116E-2</v>
      </c>
    </row>
    <row r="64" spans="1:40">
      <c r="A64" t="s">
        <v>925</v>
      </c>
      <c r="B64" s="210" t="s">
        <v>10696</v>
      </c>
      <c r="C64">
        <v>9</v>
      </c>
      <c r="D64" s="5">
        <v>46174</v>
      </c>
      <c r="F64" t="s">
        <v>10681</v>
      </c>
      <c r="G64">
        <v>21131016</v>
      </c>
      <c r="I64" s="69">
        <f t="shared" si="47"/>
        <v>2755709.4016825645</v>
      </c>
      <c r="J64" s="29"/>
      <c r="K64" s="68">
        <v>3.5000000000000001E-3</v>
      </c>
      <c r="L64" s="69">
        <f t="shared" si="39"/>
        <v>9644.9829058889754</v>
      </c>
      <c r="M64" s="169">
        <f t="shared" si="40"/>
        <v>2765354.3845884535</v>
      </c>
      <c r="N64" s="169">
        <v>2100000</v>
      </c>
      <c r="O64" s="202">
        <f t="shared" si="41"/>
        <v>0.31683542123259678</v>
      </c>
      <c r="P64" s="70">
        <f t="shared" si="42"/>
        <v>7.9208855308149195E-2</v>
      </c>
      <c r="Q64" s="211">
        <f t="shared" si="49"/>
        <v>3594960.6999649894</v>
      </c>
      <c r="R64" s="201">
        <f t="shared" si="50"/>
        <v>0.71188604760237584</v>
      </c>
      <c r="S64" s="201">
        <f t="shared" si="51"/>
        <v>7.9098449733597309E-2</v>
      </c>
      <c r="V64" t="s">
        <v>926</v>
      </c>
      <c r="W64" s="210" t="s">
        <v>10696</v>
      </c>
      <c r="X64">
        <v>9</v>
      </c>
      <c r="Y64" s="5">
        <v>46174</v>
      </c>
      <c r="AA64" t="s">
        <v>10681</v>
      </c>
      <c r="AB64">
        <v>21131016</v>
      </c>
      <c r="AD64" s="69">
        <f t="shared" si="48"/>
        <v>2763842.0803826875</v>
      </c>
      <c r="AE64" s="29"/>
      <c r="AF64" s="68">
        <v>3.5000000000000001E-3</v>
      </c>
      <c r="AG64" s="69">
        <f t="shared" si="43"/>
        <v>9673.4472813394059</v>
      </c>
      <c r="AH64" s="169">
        <f t="shared" si="44"/>
        <v>2773515.5276640267</v>
      </c>
      <c r="AI64" s="169">
        <v>2100000</v>
      </c>
      <c r="AJ64" s="202">
        <f t="shared" si="45"/>
        <v>0.32072167984001276</v>
      </c>
      <c r="AK64" s="70">
        <f t="shared" si="46"/>
        <v>8.0180419960003191E-2</v>
      </c>
      <c r="AL64" s="211">
        <f t="shared" si="52"/>
        <v>3605570.1859632349</v>
      </c>
      <c r="AM64" s="201">
        <f t="shared" si="53"/>
        <v>0.71693818379201657</v>
      </c>
      <c r="AN64" s="201">
        <f t="shared" si="54"/>
        <v>7.9659798199112952E-2</v>
      </c>
    </row>
    <row r="65" spans="1:40">
      <c r="A65" t="s">
        <v>925</v>
      </c>
      <c r="B65" s="210" t="s">
        <v>10696</v>
      </c>
      <c r="C65">
        <v>10</v>
      </c>
      <c r="D65" s="5">
        <v>46539</v>
      </c>
      <c r="F65" t="s">
        <v>10681</v>
      </c>
      <c r="G65">
        <v>21131016</v>
      </c>
      <c r="I65" s="69">
        <f t="shared" si="47"/>
        <v>2765354.3845884535</v>
      </c>
      <c r="J65" s="29"/>
      <c r="K65" s="68">
        <v>1.35E-2</v>
      </c>
      <c r="L65" s="69">
        <f t="shared" si="39"/>
        <v>37332.28419194412</v>
      </c>
      <c r="M65" s="220">
        <f t="shared" si="40"/>
        <v>2802686.6687803976</v>
      </c>
      <c r="N65" s="220">
        <v>2100000</v>
      </c>
      <c r="O65" s="221">
        <f t="shared" si="41"/>
        <v>0.33461269941923688</v>
      </c>
      <c r="P65" s="222">
        <f t="shared" si="42"/>
        <v>6.6922539883847373E-2</v>
      </c>
      <c r="Q65" s="211">
        <f t="shared" si="49"/>
        <v>3643492.669414517</v>
      </c>
      <c r="R65" s="223">
        <f t="shared" si="50"/>
        <v>0.73499650924500814</v>
      </c>
      <c r="S65" s="223">
        <f t="shared" si="51"/>
        <v>7.3499650924500809E-2</v>
      </c>
      <c r="V65" t="s">
        <v>926</v>
      </c>
      <c r="W65" s="210" t="s">
        <v>10696</v>
      </c>
      <c r="X65">
        <v>10</v>
      </c>
      <c r="Y65" s="5">
        <v>46539</v>
      </c>
      <c r="AA65" t="s">
        <v>10681</v>
      </c>
      <c r="AB65">
        <v>21131016</v>
      </c>
      <c r="AD65" s="69">
        <f t="shared" si="48"/>
        <v>2773515.5276640267</v>
      </c>
      <c r="AE65" s="29"/>
      <c r="AF65" s="68">
        <v>1.35E-2</v>
      </c>
      <c r="AG65" s="69">
        <f t="shared" si="43"/>
        <v>37442.459623464361</v>
      </c>
      <c r="AH65" s="220">
        <f t="shared" si="44"/>
        <v>2810957.9872874911</v>
      </c>
      <c r="AI65" s="220">
        <v>2100000</v>
      </c>
      <c r="AJ65" s="221">
        <f t="shared" si="45"/>
        <v>0.33855142251785297</v>
      </c>
      <c r="AK65" s="222">
        <f t="shared" si="46"/>
        <v>6.7710284503570597E-2</v>
      </c>
      <c r="AL65" s="211">
        <f t="shared" si="52"/>
        <v>3654245.3834737386</v>
      </c>
      <c r="AM65" s="223">
        <f t="shared" si="53"/>
        <v>0.74011684927320887</v>
      </c>
      <c r="AN65" s="223">
        <f t="shared" si="54"/>
        <v>7.4011684927320881E-2</v>
      </c>
    </row>
    <row r="66" spans="1:40">
      <c r="A66" s="8" t="s">
        <v>925</v>
      </c>
      <c r="B66" s="212" t="s">
        <v>10696</v>
      </c>
      <c r="C66" s="8">
        <v>11</v>
      </c>
      <c r="D66" s="213">
        <v>46905</v>
      </c>
      <c r="E66" s="8"/>
      <c r="F66" s="8" t="s">
        <v>10681</v>
      </c>
      <c r="G66" s="8">
        <v>21131016</v>
      </c>
      <c r="H66" s="8"/>
      <c r="I66" s="214">
        <f t="shared" si="47"/>
        <v>2802686.6687803976</v>
      </c>
      <c r="J66" s="8"/>
      <c r="K66" s="215">
        <v>3.5000000000000001E-3</v>
      </c>
      <c r="L66" s="214">
        <f t="shared" si="39"/>
        <v>9809.4033407313927</v>
      </c>
      <c r="M66" s="9">
        <f t="shared" si="40"/>
        <v>2812496.0721211289</v>
      </c>
      <c r="N66" s="9">
        <v>2100000</v>
      </c>
      <c r="O66" s="216">
        <f t="shared" si="41"/>
        <v>0.33928384386720434</v>
      </c>
      <c r="P66" s="217">
        <f t="shared" si="42"/>
        <v>5.6547307311200723E-2</v>
      </c>
      <c r="Q66" s="218">
        <f t="shared" si="49"/>
        <v>3656244.8937574676</v>
      </c>
      <c r="R66" s="219">
        <f t="shared" si="50"/>
        <v>0.74106899702736562</v>
      </c>
      <c r="S66" s="219">
        <f t="shared" si="51"/>
        <v>6.7369908820669608E-2</v>
      </c>
      <c r="V66" t="s">
        <v>926</v>
      </c>
      <c r="W66" s="210" t="s">
        <v>10696</v>
      </c>
      <c r="X66">
        <v>11</v>
      </c>
      <c r="Y66" s="5">
        <v>46905</v>
      </c>
      <c r="AA66" t="s">
        <v>10681</v>
      </c>
      <c r="AB66">
        <v>21131016</v>
      </c>
      <c r="AD66" s="69">
        <f t="shared" si="48"/>
        <v>2810957.9872874911</v>
      </c>
      <c r="AF66" s="68">
        <v>3.5000000000000001E-3</v>
      </c>
      <c r="AG66" s="69">
        <f t="shared" si="43"/>
        <v>9838.3529555062196</v>
      </c>
      <c r="AH66" s="220">
        <f t="shared" si="44"/>
        <v>2820796.3402429973</v>
      </c>
      <c r="AI66" s="220">
        <v>2100000</v>
      </c>
      <c r="AJ66" s="221">
        <f t="shared" si="45"/>
        <v>0.34323635249666529</v>
      </c>
      <c r="AK66" s="222">
        <f t="shared" si="46"/>
        <v>5.7206058749444212E-2</v>
      </c>
      <c r="AL66" s="211">
        <f t="shared" si="52"/>
        <v>3667035.2423158968</v>
      </c>
      <c r="AM66" s="223">
        <f t="shared" si="53"/>
        <v>0.74620725824566514</v>
      </c>
      <c r="AN66" s="223">
        <f t="shared" si="54"/>
        <v>6.7837023476878644E-2</v>
      </c>
    </row>
    <row r="67" spans="1:40">
      <c r="A67" t="s">
        <v>925</v>
      </c>
      <c r="B67" s="210" t="s">
        <v>10696</v>
      </c>
      <c r="C67">
        <v>12</v>
      </c>
      <c r="D67" s="5">
        <v>47270</v>
      </c>
      <c r="F67" t="s">
        <v>10681</v>
      </c>
      <c r="G67">
        <v>21131016</v>
      </c>
      <c r="I67" s="69">
        <f t="shared" si="47"/>
        <v>2812496.0721211289</v>
      </c>
      <c r="K67" s="68">
        <v>3.5000000000000001E-3</v>
      </c>
      <c r="L67" s="69">
        <f t="shared" si="39"/>
        <v>9843.7362524239506</v>
      </c>
      <c r="M67" s="169">
        <f t="shared" si="40"/>
        <v>2822339.8083735527</v>
      </c>
      <c r="N67" s="169">
        <v>2100000</v>
      </c>
      <c r="O67" s="202">
        <f t="shared" si="41"/>
        <v>0.34397133732073937</v>
      </c>
      <c r="P67" s="70">
        <f t="shared" si="42"/>
        <v>4.9138762474391341E-2</v>
      </c>
      <c r="Q67" s="211">
        <f t="shared" si="49"/>
        <v>3669041.7508856189</v>
      </c>
      <c r="R67" s="201">
        <f t="shared" si="50"/>
        <v>0.74716273851696147</v>
      </c>
      <c r="S67" s="201">
        <f t="shared" si="51"/>
        <v>6.2263561543080125E-2</v>
      </c>
      <c r="V67" s="8" t="s">
        <v>926</v>
      </c>
      <c r="W67" s="212" t="s">
        <v>10696</v>
      </c>
      <c r="X67" s="8">
        <v>12</v>
      </c>
      <c r="Y67" s="213">
        <v>47270</v>
      </c>
      <c r="Z67" s="8"/>
      <c r="AA67" s="8" t="s">
        <v>10681</v>
      </c>
      <c r="AB67" s="8">
        <v>21131016</v>
      </c>
      <c r="AC67" s="8"/>
      <c r="AD67" s="214">
        <f t="shared" si="48"/>
        <v>2820796.3402429973</v>
      </c>
      <c r="AE67" s="8"/>
      <c r="AF67" s="215">
        <v>3.5000000000000001E-3</v>
      </c>
      <c r="AG67" s="214">
        <f t="shared" si="43"/>
        <v>9872.7871908504912</v>
      </c>
      <c r="AH67" s="9">
        <f t="shared" si="44"/>
        <v>2830669.1274338476</v>
      </c>
      <c r="AI67" s="9">
        <v>2100000</v>
      </c>
      <c r="AJ67" s="216">
        <f t="shared" si="45"/>
        <v>0.34793767973040368</v>
      </c>
      <c r="AK67" s="217">
        <f t="shared" si="46"/>
        <v>4.9705382818629094E-2</v>
      </c>
      <c r="AL67" s="218">
        <f t="shared" si="52"/>
        <v>3679869.865664002</v>
      </c>
      <c r="AM67" s="219">
        <f t="shared" si="53"/>
        <v>0.75231898364952476</v>
      </c>
      <c r="AN67" s="219">
        <f t="shared" si="54"/>
        <v>6.2693248637460397E-2</v>
      </c>
    </row>
    <row r="68" spans="1:40">
      <c r="A68" t="s">
        <v>925</v>
      </c>
      <c r="B68" s="210" t="s">
        <v>10696</v>
      </c>
      <c r="C68">
        <v>13</v>
      </c>
      <c r="D68" s="5">
        <v>47635</v>
      </c>
      <c r="F68" t="s">
        <v>10681</v>
      </c>
      <c r="G68">
        <v>21131016</v>
      </c>
      <c r="I68" s="69">
        <f t="shared" si="47"/>
        <v>2822339.8083735527</v>
      </c>
      <c r="K68" s="68">
        <v>3.5000000000000001E-3</v>
      </c>
      <c r="L68" s="69">
        <f t="shared" si="39"/>
        <v>9878.1893293074354</v>
      </c>
      <c r="M68" s="169">
        <f t="shared" si="40"/>
        <v>2832217.9977028603</v>
      </c>
      <c r="N68" s="169">
        <v>2100000</v>
      </c>
      <c r="O68" s="202">
        <f t="shared" si="41"/>
        <v>0.34867523700136194</v>
      </c>
      <c r="P68" s="70">
        <f t="shared" si="42"/>
        <v>4.3584404625170242E-2</v>
      </c>
      <c r="Q68" s="211">
        <f t="shared" si="49"/>
        <v>3681883.3970137183</v>
      </c>
      <c r="R68" s="201">
        <f t="shared" si="50"/>
        <v>0.75327780810177059</v>
      </c>
      <c r="S68" s="201">
        <f t="shared" si="51"/>
        <v>5.7944446777059275E-2</v>
      </c>
      <c r="V68" t="s">
        <v>926</v>
      </c>
      <c r="W68" s="210" t="s">
        <v>10696</v>
      </c>
      <c r="X68">
        <v>13</v>
      </c>
      <c r="Y68" s="5">
        <v>47635</v>
      </c>
      <c r="AA68" t="s">
        <v>10681</v>
      </c>
      <c r="AB68">
        <v>21131016</v>
      </c>
      <c r="AD68" s="69">
        <f t="shared" si="48"/>
        <v>2830669.1274338476</v>
      </c>
      <c r="AF68" s="68">
        <v>3.5000000000000001E-3</v>
      </c>
      <c r="AG68" s="69">
        <f t="shared" si="43"/>
        <v>9907.3419460184668</v>
      </c>
      <c r="AH68" s="169">
        <f t="shared" si="44"/>
        <v>2840576.469379866</v>
      </c>
      <c r="AI68" s="169">
        <v>2100000</v>
      </c>
      <c r="AJ68" s="202">
        <f t="shared" si="45"/>
        <v>0.35265546160945993</v>
      </c>
      <c r="AK68" s="70">
        <f t="shared" si="46"/>
        <v>4.4081932701182491E-2</v>
      </c>
      <c r="AL68" s="211">
        <f t="shared" si="52"/>
        <v>3692749.4101938261</v>
      </c>
      <c r="AM68" s="201">
        <f t="shared" si="53"/>
        <v>0.75845210009229813</v>
      </c>
      <c r="AN68" s="201">
        <f t="shared" si="54"/>
        <v>5.8342469237869087E-2</v>
      </c>
    </row>
    <row r="69" spans="1:40">
      <c r="A69" t="s">
        <v>925</v>
      </c>
      <c r="B69" s="210" t="s">
        <v>10696</v>
      </c>
      <c r="C69">
        <v>14</v>
      </c>
      <c r="D69" s="5">
        <v>48000</v>
      </c>
      <c r="F69" t="s">
        <v>10681</v>
      </c>
      <c r="G69">
        <v>21131016</v>
      </c>
      <c r="I69" s="69">
        <f t="shared" si="47"/>
        <v>2832217.9977028603</v>
      </c>
      <c r="K69" s="68">
        <v>3.5000000000000001E-3</v>
      </c>
      <c r="L69" s="69">
        <f t="shared" si="39"/>
        <v>9912.7629919600113</v>
      </c>
      <c r="M69" s="169">
        <f t="shared" si="40"/>
        <v>2842130.7606948204</v>
      </c>
      <c r="N69" s="169">
        <v>2100000</v>
      </c>
      <c r="O69" s="202">
        <f t="shared" si="41"/>
        <v>0.35339560033086692</v>
      </c>
      <c r="P69" s="70">
        <f t="shared" si="42"/>
        <v>3.9266177814540767E-2</v>
      </c>
      <c r="Q69" s="211">
        <f t="shared" si="49"/>
        <v>3694769.9889032668</v>
      </c>
      <c r="R69" s="201">
        <f t="shared" si="50"/>
        <v>0.75941428043012715</v>
      </c>
      <c r="S69" s="201">
        <f t="shared" si="51"/>
        <v>5.4243877173580514E-2</v>
      </c>
      <c r="V69" t="s">
        <v>926</v>
      </c>
      <c r="W69" s="210" t="s">
        <v>10696</v>
      </c>
      <c r="X69">
        <v>14</v>
      </c>
      <c r="Y69" s="5">
        <v>48000</v>
      </c>
      <c r="AA69" t="s">
        <v>10681</v>
      </c>
      <c r="AB69">
        <v>21131016</v>
      </c>
      <c r="AD69" s="69">
        <f t="shared" si="48"/>
        <v>2840576.469379866</v>
      </c>
      <c r="AF69" s="68">
        <v>3.5000000000000001E-3</v>
      </c>
      <c r="AG69" s="69">
        <f t="shared" si="43"/>
        <v>9942.0176428295308</v>
      </c>
      <c r="AH69" s="169">
        <f t="shared" si="44"/>
        <v>2850518.4870226956</v>
      </c>
      <c r="AI69" s="169">
        <v>2100000</v>
      </c>
      <c r="AJ69" s="202">
        <f t="shared" si="45"/>
        <v>0.35738975572509313</v>
      </c>
      <c r="AK69" s="70">
        <f t="shared" si="46"/>
        <v>3.9709972858343684E-2</v>
      </c>
      <c r="AL69" s="211">
        <f t="shared" si="52"/>
        <v>3705674.0331295044</v>
      </c>
      <c r="AM69" s="201">
        <f t="shared" si="53"/>
        <v>0.7646066824426212</v>
      </c>
      <c r="AN69" s="201">
        <f t="shared" si="54"/>
        <v>5.4614763031615797E-2</v>
      </c>
    </row>
    <row r="70" spans="1:40">
      <c r="A70" t="s">
        <v>925</v>
      </c>
      <c r="B70" s="210" t="s">
        <v>10696</v>
      </c>
      <c r="C70">
        <v>15</v>
      </c>
      <c r="D70" s="5">
        <v>48366</v>
      </c>
      <c r="F70" t="s">
        <v>10681</v>
      </c>
      <c r="G70">
        <v>21131016</v>
      </c>
      <c r="I70" s="69">
        <f t="shared" si="47"/>
        <v>2842130.7606948204</v>
      </c>
      <c r="K70" s="68">
        <v>1.35E-2</v>
      </c>
      <c r="L70" s="69">
        <f t="shared" si="39"/>
        <v>38368.765269380077</v>
      </c>
      <c r="M70" s="169">
        <f t="shared" si="40"/>
        <v>2880499.5259642005</v>
      </c>
      <c r="N70" s="169">
        <v>2100000</v>
      </c>
      <c r="O70" s="202">
        <f t="shared" si="41"/>
        <v>0.37166644093533363</v>
      </c>
      <c r="P70" s="70">
        <f t="shared" si="42"/>
        <v>3.716664409353336E-2</v>
      </c>
      <c r="Q70" s="211">
        <f t="shared" si="49"/>
        <v>3744649.3837534608</v>
      </c>
      <c r="R70" s="201">
        <f t="shared" si="50"/>
        <v>0.78316637321593374</v>
      </c>
      <c r="S70" s="201">
        <f t="shared" si="51"/>
        <v>5.2211091547728919E-2</v>
      </c>
      <c r="V70" t="s">
        <v>926</v>
      </c>
      <c r="W70" s="210" t="s">
        <v>10696</v>
      </c>
      <c r="X70">
        <v>15</v>
      </c>
      <c r="Y70" s="5">
        <v>48366</v>
      </c>
      <c r="AA70" t="s">
        <v>10681</v>
      </c>
      <c r="AB70">
        <v>21131016</v>
      </c>
      <c r="AD70" s="69">
        <f t="shared" si="48"/>
        <v>2850518.4870226956</v>
      </c>
      <c r="AF70" s="68">
        <v>1.35E-2</v>
      </c>
      <c r="AG70" s="69">
        <f t="shared" si="43"/>
        <v>38481.999574806388</v>
      </c>
      <c r="AH70" s="169">
        <f t="shared" si="44"/>
        <v>2889000.4865975021</v>
      </c>
      <c r="AI70" s="169">
        <v>2100000</v>
      </c>
      <c r="AJ70" s="202">
        <f t="shared" si="45"/>
        <v>0.37571451742738193</v>
      </c>
      <c r="AK70" s="70">
        <f t="shared" si="46"/>
        <v>3.7571451742738196E-2</v>
      </c>
      <c r="AL70" s="211">
        <f t="shared" si="52"/>
        <v>3755700.6325767529</v>
      </c>
      <c r="AM70" s="201">
        <f t="shared" si="53"/>
        <v>0.78842887265559658</v>
      </c>
      <c r="AN70" s="201">
        <f t="shared" si="54"/>
        <v>5.2561924843706441E-2</v>
      </c>
    </row>
    <row r="71" spans="1:40">
      <c r="A71" t="s">
        <v>925</v>
      </c>
      <c r="B71" s="210" t="s">
        <v>10696</v>
      </c>
      <c r="C71">
        <v>16</v>
      </c>
      <c r="D71" s="5">
        <v>48731</v>
      </c>
      <c r="F71" t="s">
        <v>10681</v>
      </c>
      <c r="G71">
        <v>21131016</v>
      </c>
      <c r="I71" s="69">
        <f t="shared" si="47"/>
        <v>2880499.5259642005</v>
      </c>
      <c r="K71" s="68">
        <v>3.5000000000000001E-3</v>
      </c>
      <c r="L71" s="69">
        <f t="shared" si="39"/>
        <v>10081.748340874701</v>
      </c>
      <c r="M71" s="169">
        <f t="shared" si="40"/>
        <v>2890581.2743050754</v>
      </c>
      <c r="N71" s="169">
        <v>2100000</v>
      </c>
      <c r="O71" s="202">
        <f t="shared" si="41"/>
        <v>0.37646727347860742</v>
      </c>
      <c r="P71" s="70">
        <f t="shared" si="42"/>
        <v>3.4224297588964309E-2</v>
      </c>
      <c r="Q71" s="211">
        <f t="shared" si="49"/>
        <v>3757755.6565965982</v>
      </c>
      <c r="R71" s="201">
        <f t="shared" si="50"/>
        <v>0.78940745552218972</v>
      </c>
      <c r="S71" s="201">
        <f t="shared" si="51"/>
        <v>4.9337965970136857E-2</v>
      </c>
      <c r="V71" t="s">
        <v>926</v>
      </c>
      <c r="W71" s="210" t="s">
        <v>10696</v>
      </c>
      <c r="X71">
        <v>16</v>
      </c>
      <c r="Y71" s="5">
        <v>48731</v>
      </c>
      <c r="AA71" t="s">
        <v>10681</v>
      </c>
      <c r="AB71">
        <v>21131016</v>
      </c>
      <c r="AD71" s="69">
        <f t="shared" si="48"/>
        <v>2889000.4865975021</v>
      </c>
      <c r="AF71" s="68">
        <v>3.5000000000000001E-3</v>
      </c>
      <c r="AG71" s="69">
        <f t="shared" si="43"/>
        <v>10111.501703091257</v>
      </c>
      <c r="AH71" s="169">
        <f t="shared" si="44"/>
        <v>2899111.9883005936</v>
      </c>
      <c r="AI71" s="169">
        <v>2100000</v>
      </c>
      <c r="AJ71" s="202">
        <f t="shared" si="45"/>
        <v>0.38052951823837788</v>
      </c>
      <c r="AK71" s="70">
        <f t="shared" si="46"/>
        <v>3.4593592567125263E-2</v>
      </c>
      <c r="AL71" s="211">
        <f t="shared" si="52"/>
        <v>3768845.5847907718</v>
      </c>
      <c r="AM71" s="201">
        <f t="shared" si="53"/>
        <v>0.79468837370989132</v>
      </c>
      <c r="AN71" s="201">
        <f t="shared" si="54"/>
        <v>4.9668023356868207E-2</v>
      </c>
    </row>
    <row r="72" spans="1:40">
      <c r="A72" t="s">
        <v>925</v>
      </c>
      <c r="S72" s="201"/>
      <c r="V72" t="s">
        <v>926</v>
      </c>
      <c r="AN72" s="201"/>
    </row>
    <row r="73" spans="1:40">
      <c r="A73" t="s">
        <v>925</v>
      </c>
      <c r="C73" s="29" t="s">
        <v>946</v>
      </c>
      <c r="F73" s="29" t="s">
        <v>10448</v>
      </c>
      <c r="G73" s="29" t="s">
        <v>10686</v>
      </c>
      <c r="H73" s="29" t="s">
        <v>10687</v>
      </c>
      <c r="I73" s="29" t="s">
        <v>10688</v>
      </c>
      <c r="J73" s="29" t="s">
        <v>10689</v>
      </c>
      <c r="K73" s="29" t="s">
        <v>10690</v>
      </c>
      <c r="L73" s="29" t="s">
        <v>10691</v>
      </c>
      <c r="M73" t="s">
        <v>952</v>
      </c>
      <c r="N73" t="s">
        <v>10678</v>
      </c>
      <c r="O73" s="29" t="s">
        <v>10612</v>
      </c>
      <c r="P73" s="29" t="s">
        <v>10692</v>
      </c>
      <c r="Q73" s="29" t="s">
        <v>10687</v>
      </c>
      <c r="R73">
        <v>48727.839999999997</v>
      </c>
      <c r="S73" s="5"/>
      <c r="V73" t="s">
        <v>926</v>
      </c>
      <c r="X73" s="29" t="s">
        <v>946</v>
      </c>
      <c r="AA73" s="29" t="s">
        <v>10448</v>
      </c>
      <c r="AB73" s="29" t="s">
        <v>10686</v>
      </c>
      <c r="AC73" s="29" t="s">
        <v>10687</v>
      </c>
      <c r="AD73" s="29" t="s">
        <v>10688</v>
      </c>
      <c r="AE73" s="29" t="s">
        <v>10689</v>
      </c>
      <c r="AF73" s="29" t="s">
        <v>10690</v>
      </c>
      <c r="AG73" s="29" t="s">
        <v>10691</v>
      </c>
      <c r="AH73" t="s">
        <v>952</v>
      </c>
      <c r="AI73" t="s">
        <v>10678</v>
      </c>
      <c r="AJ73" s="29" t="s">
        <v>10612</v>
      </c>
      <c r="AK73" s="29" t="s">
        <v>10692</v>
      </c>
      <c r="AL73" s="29" t="s">
        <v>10687</v>
      </c>
      <c r="AM73">
        <v>61076.2</v>
      </c>
      <c r="AN73" s="5"/>
    </row>
    <row r="74" spans="1:40">
      <c r="A74" t="s">
        <v>925</v>
      </c>
      <c r="C74" t="s">
        <v>10694</v>
      </c>
      <c r="D74" s="5">
        <v>43282</v>
      </c>
      <c r="E74">
        <v>400000</v>
      </c>
      <c r="F74" t="s">
        <v>10681</v>
      </c>
      <c r="G74">
        <v>24511656</v>
      </c>
      <c r="Q74" s="29" t="s">
        <v>10688</v>
      </c>
      <c r="R74">
        <v>1976965.47058</v>
      </c>
      <c r="S74" s="5"/>
      <c r="V74" t="s">
        <v>926</v>
      </c>
      <c r="X74" t="s">
        <v>10694</v>
      </c>
      <c r="Y74" s="5">
        <v>43282</v>
      </c>
      <c r="Z74">
        <v>500000</v>
      </c>
      <c r="AA74" t="s">
        <v>10681</v>
      </c>
      <c r="AB74">
        <v>24511656</v>
      </c>
      <c r="AL74" s="29" t="s">
        <v>10688</v>
      </c>
      <c r="AM74">
        <v>2132463.4500000002</v>
      </c>
      <c r="AN74" s="5"/>
    </row>
    <row r="75" spans="1:40">
      <c r="A75" t="s">
        <v>925</v>
      </c>
      <c r="B75" s="210" t="s">
        <v>10696</v>
      </c>
      <c r="C75">
        <v>1</v>
      </c>
      <c r="D75" s="5">
        <v>43647</v>
      </c>
      <c r="E75">
        <v>400000</v>
      </c>
      <c r="F75" t="s">
        <v>10681</v>
      </c>
      <c r="G75">
        <v>24511656</v>
      </c>
      <c r="Q75" s="29" t="s">
        <v>10689</v>
      </c>
      <c r="R75">
        <v>40.571580242013603</v>
      </c>
      <c r="S75" s="5"/>
      <c r="V75" t="s">
        <v>926</v>
      </c>
      <c r="W75" s="210" t="s">
        <v>10696</v>
      </c>
      <c r="X75">
        <v>1</v>
      </c>
      <c r="Y75" s="5">
        <v>43647</v>
      </c>
      <c r="Z75">
        <v>500000</v>
      </c>
      <c r="AA75" t="s">
        <v>10681</v>
      </c>
      <c r="AB75">
        <v>24511656</v>
      </c>
      <c r="AL75" s="29" t="s">
        <v>10689</v>
      </c>
      <c r="AM75" s="69">
        <f>AM74/AM73</f>
        <v>34.914802328894076</v>
      </c>
      <c r="AN75" s="5"/>
    </row>
    <row r="76" spans="1:40">
      <c r="A76" t="s">
        <v>925</v>
      </c>
      <c r="B76" s="210" t="s">
        <v>10696</v>
      </c>
      <c r="C76">
        <v>2</v>
      </c>
      <c r="D76" s="5">
        <v>44013</v>
      </c>
      <c r="E76">
        <v>400000</v>
      </c>
      <c r="F76" t="s">
        <v>10681</v>
      </c>
      <c r="G76">
        <v>24511656</v>
      </c>
      <c r="S76" s="5"/>
      <c r="V76" t="s">
        <v>926</v>
      </c>
      <c r="W76" s="210" t="s">
        <v>10696</v>
      </c>
      <c r="X76">
        <v>2</v>
      </c>
      <c r="Y76" s="5">
        <v>44013</v>
      </c>
      <c r="Z76">
        <v>500000</v>
      </c>
      <c r="AA76" t="s">
        <v>10681</v>
      </c>
      <c r="AB76">
        <v>24511656</v>
      </c>
      <c r="AN76" s="5"/>
    </row>
    <row r="77" spans="1:40">
      <c r="A77" t="s">
        <v>925</v>
      </c>
      <c r="B77" s="210" t="s">
        <v>10696</v>
      </c>
      <c r="C77">
        <v>3</v>
      </c>
      <c r="D77" s="5">
        <v>44378</v>
      </c>
      <c r="E77">
        <v>400000</v>
      </c>
      <c r="F77" t="s">
        <v>10681</v>
      </c>
      <c r="G77">
        <v>24511656</v>
      </c>
      <c r="Q77" t="s">
        <v>10697</v>
      </c>
      <c r="R77" t="s">
        <v>10698</v>
      </c>
      <c r="S77" s="5"/>
      <c r="V77" t="s">
        <v>926</v>
      </c>
      <c r="W77" s="210" t="s">
        <v>10696</v>
      </c>
      <c r="X77">
        <v>3</v>
      </c>
      <c r="Y77" s="5">
        <v>44378</v>
      </c>
      <c r="Z77">
        <v>500000</v>
      </c>
      <c r="AA77" t="s">
        <v>10681</v>
      </c>
      <c r="AB77">
        <v>24511656</v>
      </c>
      <c r="AL77" t="s">
        <v>10697</v>
      </c>
      <c r="AM77" t="s">
        <v>10698</v>
      </c>
      <c r="AN77" s="5"/>
    </row>
    <row r="78" spans="1:40">
      <c r="A78" t="s">
        <v>925</v>
      </c>
      <c r="B78" s="210" t="s">
        <v>10696</v>
      </c>
      <c r="C78">
        <v>4</v>
      </c>
      <c r="D78" s="5">
        <v>44743</v>
      </c>
      <c r="E78">
        <v>400000</v>
      </c>
      <c r="F78" t="s">
        <v>10681</v>
      </c>
      <c r="G78">
        <v>24511656</v>
      </c>
      <c r="Q78">
        <v>12.66</v>
      </c>
      <c r="R78">
        <v>48727.8</v>
      </c>
      <c r="S78" s="5"/>
      <c r="V78" t="s">
        <v>926</v>
      </c>
      <c r="W78" s="210" t="s">
        <v>10696</v>
      </c>
      <c r="X78">
        <v>4</v>
      </c>
      <c r="Y78" s="5">
        <v>44743</v>
      </c>
      <c r="Z78">
        <v>500000</v>
      </c>
      <c r="AA78" t="s">
        <v>10681</v>
      </c>
      <c r="AB78">
        <v>24511656</v>
      </c>
      <c r="AL78">
        <v>15.83</v>
      </c>
      <c r="AM78">
        <f>AM73</f>
        <v>61076.2</v>
      </c>
      <c r="AN78" s="5"/>
    </row>
    <row r="79" spans="1:40">
      <c r="A79" t="s">
        <v>925</v>
      </c>
      <c r="B79" s="210" t="s">
        <v>10696</v>
      </c>
      <c r="C79">
        <v>5</v>
      </c>
      <c r="D79" s="5">
        <v>45108</v>
      </c>
      <c r="E79">
        <v>400000</v>
      </c>
      <c r="F79" t="s">
        <v>10681</v>
      </c>
      <c r="G79">
        <v>24511656</v>
      </c>
      <c r="Q79">
        <v>28</v>
      </c>
      <c r="R79">
        <f>R78*Q79/Q78</f>
        <v>107770.8056872038</v>
      </c>
      <c r="S79" s="5" t="s">
        <v>10699</v>
      </c>
      <c r="V79" t="s">
        <v>926</v>
      </c>
      <c r="W79" s="210" t="s">
        <v>10696</v>
      </c>
      <c r="X79">
        <v>5</v>
      </c>
      <c r="Y79" s="5">
        <v>45108</v>
      </c>
      <c r="Z79">
        <v>500000</v>
      </c>
      <c r="AA79" t="s">
        <v>10681</v>
      </c>
      <c r="AB79">
        <v>24511656</v>
      </c>
      <c r="AL79">
        <v>35</v>
      </c>
      <c r="AM79" s="69">
        <f>AM78*AL79/AL78</f>
        <v>135038.97662665823</v>
      </c>
      <c r="AN79" s="5" t="s">
        <v>10699</v>
      </c>
    </row>
    <row r="80" spans="1:40">
      <c r="A80" t="s">
        <v>925</v>
      </c>
      <c r="B80" s="210" t="s">
        <v>10696</v>
      </c>
      <c r="C80">
        <v>6</v>
      </c>
      <c r="D80" s="5">
        <v>45474</v>
      </c>
      <c r="E80">
        <v>400000</v>
      </c>
      <c r="F80" t="s">
        <v>10681</v>
      </c>
      <c r="G80">
        <v>24511656</v>
      </c>
      <c r="H80">
        <f>R79</f>
        <v>107770.8056872038</v>
      </c>
      <c r="I80" s="69">
        <f>R80</f>
        <v>4372261.5867298581</v>
      </c>
      <c r="J80" s="209">
        <f>I80/H80</f>
        <v>40.57</v>
      </c>
      <c r="K80" s="68">
        <v>2E-3</v>
      </c>
      <c r="L80" s="69">
        <f t="shared" ref="L80:L89" si="55">I80*K80</f>
        <v>8744.5231734597164</v>
      </c>
      <c r="M80" s="169">
        <f t="shared" ref="M80:M89" si="56">I80+L80</f>
        <v>4381006.1099033179</v>
      </c>
      <c r="N80" s="169">
        <v>2800000</v>
      </c>
      <c r="O80" s="202">
        <f t="shared" ref="O80:O89" si="57">(M80/N80)-100%</f>
        <v>0.56464503925118503</v>
      </c>
      <c r="P80" s="70">
        <f t="shared" ref="P80:P89" si="58">O80/C75</f>
        <v>0.56464503925118503</v>
      </c>
      <c r="R80">
        <f>R79*40.57</f>
        <v>4372261.5867298581</v>
      </c>
      <c r="S80" s="5" t="s">
        <v>10699</v>
      </c>
      <c r="V80" t="s">
        <v>926</v>
      </c>
      <c r="W80" s="210" t="s">
        <v>10696</v>
      </c>
      <c r="X80">
        <v>6</v>
      </c>
      <c r="Y80" s="5">
        <v>45474</v>
      </c>
      <c r="Z80">
        <v>500000</v>
      </c>
      <c r="AA80" t="s">
        <v>10681</v>
      </c>
      <c r="AB80">
        <v>24511656</v>
      </c>
      <c r="AC80">
        <f>AM79</f>
        <v>135038.97662665823</v>
      </c>
      <c r="AD80" s="69">
        <f>AM80</f>
        <v>5478531.2817435246</v>
      </c>
      <c r="AE80" s="209">
        <f>AD80/AC80</f>
        <v>40.57</v>
      </c>
      <c r="AF80" s="68">
        <v>2E-3</v>
      </c>
      <c r="AG80" s="69">
        <f t="shared" ref="AG80:AG89" si="59">AD80*AF80</f>
        <v>10957.06256348705</v>
      </c>
      <c r="AH80" s="169">
        <f t="shared" ref="AH80:AH89" si="60">AD80+AG80</f>
        <v>5489488.3443070119</v>
      </c>
      <c r="AI80" s="169">
        <v>3500000</v>
      </c>
      <c r="AJ80" s="202">
        <f t="shared" ref="AJ80:AJ89" si="61">(AH80/AI80)-100%</f>
        <v>0.56842524123057481</v>
      </c>
      <c r="AK80" s="70">
        <f t="shared" ref="AK80:AK89" si="62">AJ80/X75</f>
        <v>0.56842524123057481</v>
      </c>
      <c r="AM80" s="69">
        <f>AM79*40.57</f>
        <v>5478531.2817435246</v>
      </c>
      <c r="AN80" s="5" t="s">
        <v>10699</v>
      </c>
    </row>
    <row r="81" spans="1:41">
      <c r="A81" t="s">
        <v>925</v>
      </c>
      <c r="B81" s="210" t="s">
        <v>10696</v>
      </c>
      <c r="C81">
        <v>7</v>
      </c>
      <c r="D81" s="5">
        <v>45839</v>
      </c>
      <c r="F81" t="s">
        <v>10681</v>
      </c>
      <c r="G81">
        <v>24511656</v>
      </c>
      <c r="I81" s="69">
        <f t="shared" ref="I81:I89" si="63">M80</f>
        <v>4381006.1099033179</v>
      </c>
      <c r="J81" s="29"/>
      <c r="K81" s="68">
        <v>2E-3</v>
      </c>
      <c r="L81" s="69">
        <f t="shared" si="55"/>
        <v>8762.0122198066365</v>
      </c>
      <c r="M81" s="169">
        <f t="shared" si="56"/>
        <v>4389768.1221231241</v>
      </c>
      <c r="N81" s="169">
        <v>2800000</v>
      </c>
      <c r="O81" s="202">
        <f t="shared" si="57"/>
        <v>0.56777432932968708</v>
      </c>
      <c r="P81" s="70">
        <f t="shared" si="58"/>
        <v>0.28388716466484354</v>
      </c>
      <c r="V81" t="s">
        <v>926</v>
      </c>
      <c r="W81" s="210" t="s">
        <v>10696</v>
      </c>
      <c r="X81">
        <v>7</v>
      </c>
      <c r="Y81" s="5">
        <v>45839</v>
      </c>
      <c r="AA81" t="s">
        <v>10681</v>
      </c>
      <c r="AB81">
        <v>24511656</v>
      </c>
      <c r="AD81" s="69">
        <f t="shared" ref="AD81:AD89" si="64">AH80</f>
        <v>5489488.3443070119</v>
      </c>
      <c r="AE81" s="29"/>
      <c r="AF81" s="68">
        <v>2E-3</v>
      </c>
      <c r="AG81" s="69">
        <f t="shared" si="59"/>
        <v>10978.976688614024</v>
      </c>
      <c r="AH81" s="169">
        <f t="shared" si="60"/>
        <v>5500467.320995626</v>
      </c>
      <c r="AI81" s="169">
        <v>3500000</v>
      </c>
      <c r="AJ81" s="202">
        <f t="shared" si="61"/>
        <v>0.57156209171303596</v>
      </c>
      <c r="AK81" s="70">
        <f t="shared" si="62"/>
        <v>0.28578104585651798</v>
      </c>
    </row>
    <row r="82" spans="1:41">
      <c r="A82" t="s">
        <v>925</v>
      </c>
      <c r="B82" s="210" t="s">
        <v>10696</v>
      </c>
      <c r="C82">
        <v>8</v>
      </c>
      <c r="D82" s="5">
        <v>46204</v>
      </c>
      <c r="F82" t="s">
        <v>10681</v>
      </c>
      <c r="G82">
        <v>24511656</v>
      </c>
      <c r="I82" s="69">
        <f t="shared" si="63"/>
        <v>4389768.1221231241</v>
      </c>
      <c r="J82" s="29"/>
      <c r="K82" s="68">
        <v>3.5000000000000001E-3</v>
      </c>
      <c r="L82" s="69">
        <f t="shared" si="55"/>
        <v>15364.188427430934</v>
      </c>
      <c r="M82" s="169">
        <f t="shared" si="56"/>
        <v>4405132.3105505547</v>
      </c>
      <c r="N82" s="169">
        <v>2800000</v>
      </c>
      <c r="O82" s="202">
        <f t="shared" si="57"/>
        <v>0.57326153948234104</v>
      </c>
      <c r="P82" s="70">
        <f t="shared" si="58"/>
        <v>0.19108717982744702</v>
      </c>
      <c r="Q82" s="211">
        <f t="shared" ref="Q82:Q89" si="65">M82*1.3</f>
        <v>5726672.003715721</v>
      </c>
      <c r="R82" s="201">
        <f t="shared" ref="R82:R89" si="66">Q82/N82-100%</f>
        <v>1.0452400013270431</v>
      </c>
      <c r="S82" s="201">
        <f t="shared" ref="S82:S89" si="67">R82/C82</f>
        <v>0.13065500016588039</v>
      </c>
      <c r="V82" t="s">
        <v>926</v>
      </c>
      <c r="W82" s="210" t="s">
        <v>10696</v>
      </c>
      <c r="X82">
        <v>8</v>
      </c>
      <c r="Y82" s="5">
        <v>46204</v>
      </c>
      <c r="AA82" t="s">
        <v>10681</v>
      </c>
      <c r="AB82">
        <v>24511656</v>
      </c>
      <c r="AD82" s="69">
        <f t="shared" si="64"/>
        <v>5500467.320995626</v>
      </c>
      <c r="AE82" s="29"/>
      <c r="AF82" s="68">
        <v>3.5000000000000001E-3</v>
      </c>
      <c r="AG82" s="69">
        <f t="shared" si="59"/>
        <v>19251.63562348469</v>
      </c>
      <c r="AH82" s="169">
        <f t="shared" si="60"/>
        <v>5519718.9566191109</v>
      </c>
      <c r="AI82" s="169">
        <v>3500000</v>
      </c>
      <c r="AJ82" s="202">
        <f t="shared" si="61"/>
        <v>0.5770625590340317</v>
      </c>
      <c r="AK82" s="70">
        <f t="shared" si="62"/>
        <v>0.19235418634467724</v>
      </c>
      <c r="AL82" s="211">
        <f t="shared" ref="AL82:AL89" si="68">AH82*1.3</f>
        <v>7175634.6436048448</v>
      </c>
      <c r="AM82" s="201">
        <f t="shared" ref="AM82:AM89" si="69">AL82/AI82-100%</f>
        <v>1.0501813267442413</v>
      </c>
      <c r="AN82" s="201">
        <f t="shared" ref="AN82:AN89" si="70">AM82/X82</f>
        <v>0.13127266584303016</v>
      </c>
    </row>
    <row r="83" spans="1:41">
      <c r="A83" t="s">
        <v>925</v>
      </c>
      <c r="B83" s="210" t="s">
        <v>10696</v>
      </c>
      <c r="C83">
        <v>9</v>
      </c>
      <c r="D83" s="5">
        <v>46569</v>
      </c>
      <c r="F83" t="s">
        <v>10681</v>
      </c>
      <c r="G83">
        <v>24511656</v>
      </c>
      <c r="I83" s="69">
        <f t="shared" si="63"/>
        <v>4405132.3105505547</v>
      </c>
      <c r="J83" s="29"/>
      <c r="K83" s="68">
        <v>3.5000000000000001E-3</v>
      </c>
      <c r="L83" s="69">
        <f t="shared" si="55"/>
        <v>15417.963086926942</v>
      </c>
      <c r="M83" s="169">
        <f t="shared" si="56"/>
        <v>4420550.273637482</v>
      </c>
      <c r="N83" s="169">
        <v>2800000</v>
      </c>
      <c r="O83" s="202">
        <f t="shared" si="57"/>
        <v>0.57876795487052934</v>
      </c>
      <c r="P83" s="70">
        <f t="shared" si="58"/>
        <v>0.14469198871763234</v>
      </c>
      <c r="Q83" s="211">
        <f t="shared" si="65"/>
        <v>5746715.3557287268</v>
      </c>
      <c r="R83" s="201">
        <f t="shared" si="66"/>
        <v>1.052398341331688</v>
      </c>
      <c r="S83" s="201">
        <f t="shared" si="67"/>
        <v>0.11693314903685421</v>
      </c>
      <c r="V83" t="s">
        <v>926</v>
      </c>
      <c r="W83" s="210" t="s">
        <v>10696</v>
      </c>
      <c r="X83">
        <v>9</v>
      </c>
      <c r="Y83" s="5">
        <v>46569</v>
      </c>
      <c r="AA83" t="s">
        <v>10681</v>
      </c>
      <c r="AB83">
        <v>24511656</v>
      </c>
      <c r="AD83" s="69">
        <f t="shared" si="64"/>
        <v>5519718.9566191109</v>
      </c>
      <c r="AE83" s="29"/>
      <c r="AF83" s="68">
        <v>3.5000000000000001E-3</v>
      </c>
      <c r="AG83" s="69">
        <f t="shared" si="59"/>
        <v>19319.01634816689</v>
      </c>
      <c r="AH83" s="169">
        <f t="shared" si="60"/>
        <v>5539037.9729672782</v>
      </c>
      <c r="AI83" s="169">
        <v>3500000</v>
      </c>
      <c r="AJ83" s="202">
        <f t="shared" si="61"/>
        <v>0.58258227799065088</v>
      </c>
      <c r="AK83" s="70">
        <f t="shared" si="62"/>
        <v>0.14564556949766272</v>
      </c>
      <c r="AL83" s="211">
        <f t="shared" si="68"/>
        <v>7200749.3648574622</v>
      </c>
      <c r="AM83" s="201">
        <f t="shared" si="69"/>
        <v>1.0573569613878462</v>
      </c>
      <c r="AN83" s="201">
        <f t="shared" si="70"/>
        <v>0.11748410682087179</v>
      </c>
    </row>
    <row r="84" spans="1:41">
      <c r="A84" t="s">
        <v>925</v>
      </c>
      <c r="B84" s="210" t="s">
        <v>10696</v>
      </c>
      <c r="C84">
        <v>10</v>
      </c>
      <c r="D84" s="5">
        <v>46935</v>
      </c>
      <c r="F84" t="s">
        <v>10681</v>
      </c>
      <c r="G84">
        <v>24511656</v>
      </c>
      <c r="I84" s="69">
        <f t="shared" si="63"/>
        <v>4420550.273637482</v>
      </c>
      <c r="J84" s="29"/>
      <c r="K84" s="68">
        <v>1.35E-2</v>
      </c>
      <c r="L84" s="69">
        <f t="shared" si="55"/>
        <v>59677.428694106005</v>
      </c>
      <c r="M84" s="169">
        <f t="shared" si="56"/>
        <v>4480227.7023315877</v>
      </c>
      <c r="N84" s="169">
        <v>2800000</v>
      </c>
      <c r="O84" s="202">
        <f t="shared" si="57"/>
        <v>0.6000813222612813</v>
      </c>
      <c r="P84" s="70">
        <f t="shared" si="58"/>
        <v>0.12001626445225626</v>
      </c>
      <c r="Q84" s="211">
        <f t="shared" si="65"/>
        <v>5824296.0130310645</v>
      </c>
      <c r="R84" s="201">
        <f t="shared" si="66"/>
        <v>1.0801057189396661</v>
      </c>
      <c r="S84" s="201">
        <f t="shared" si="67"/>
        <v>0.10801057189396661</v>
      </c>
      <c r="V84" t="s">
        <v>926</v>
      </c>
      <c r="W84" s="210" t="s">
        <v>10696</v>
      </c>
      <c r="X84">
        <v>10</v>
      </c>
      <c r="Y84" s="5">
        <v>46935</v>
      </c>
      <c r="AA84" t="s">
        <v>10681</v>
      </c>
      <c r="AB84">
        <v>24511656</v>
      </c>
      <c r="AD84" s="69">
        <f t="shared" si="64"/>
        <v>5539037.9729672782</v>
      </c>
      <c r="AE84" s="29"/>
      <c r="AF84" s="68">
        <v>1.35E-2</v>
      </c>
      <c r="AG84" s="69">
        <f t="shared" si="59"/>
        <v>74777.012635058258</v>
      </c>
      <c r="AH84" s="169">
        <f t="shared" si="60"/>
        <v>5613814.985602336</v>
      </c>
      <c r="AI84" s="169">
        <v>3500000</v>
      </c>
      <c r="AJ84" s="202">
        <f t="shared" si="61"/>
        <v>0.60394713874352468</v>
      </c>
      <c r="AK84" s="70">
        <f t="shared" si="62"/>
        <v>0.12078942774870494</v>
      </c>
      <c r="AL84" s="211">
        <f t="shared" si="68"/>
        <v>7297959.481283037</v>
      </c>
      <c r="AM84" s="201">
        <f t="shared" si="69"/>
        <v>1.085131280366582</v>
      </c>
      <c r="AN84" s="201">
        <f t="shared" si="70"/>
        <v>0.1085131280366582</v>
      </c>
    </row>
    <row r="85" spans="1:41">
      <c r="A85" t="s">
        <v>925</v>
      </c>
      <c r="B85" s="210" t="s">
        <v>10696</v>
      </c>
      <c r="C85">
        <v>11</v>
      </c>
      <c r="D85" s="5">
        <v>47300</v>
      </c>
      <c r="F85" t="s">
        <v>10681</v>
      </c>
      <c r="G85">
        <v>24511656</v>
      </c>
      <c r="I85" s="69">
        <f t="shared" si="63"/>
        <v>4480227.7023315877</v>
      </c>
      <c r="J85" s="29"/>
      <c r="K85" s="68">
        <v>3.5000000000000001E-3</v>
      </c>
      <c r="L85" s="69">
        <f t="shared" si="55"/>
        <v>15680.796958160558</v>
      </c>
      <c r="M85" s="169">
        <f t="shared" si="56"/>
        <v>4495908.4992897483</v>
      </c>
      <c r="N85" s="169">
        <v>2800000</v>
      </c>
      <c r="O85" s="202">
        <f t="shared" si="57"/>
        <v>0.6056816068891957</v>
      </c>
      <c r="P85" s="70">
        <f t="shared" si="58"/>
        <v>0.10094693448153262</v>
      </c>
      <c r="Q85" s="211">
        <f t="shared" si="65"/>
        <v>5844681.0490766726</v>
      </c>
      <c r="R85" s="201">
        <f t="shared" si="66"/>
        <v>1.0873860889559546</v>
      </c>
      <c r="S85" s="201">
        <f t="shared" si="67"/>
        <v>9.8853280814177685E-2</v>
      </c>
      <c r="V85" t="s">
        <v>926</v>
      </c>
      <c r="W85" s="210" t="s">
        <v>10696</v>
      </c>
      <c r="X85">
        <v>11</v>
      </c>
      <c r="Y85" s="5">
        <v>47300</v>
      </c>
      <c r="AA85" t="s">
        <v>10681</v>
      </c>
      <c r="AB85">
        <v>24511656</v>
      </c>
      <c r="AD85" s="69">
        <f t="shared" si="64"/>
        <v>5613814.985602336</v>
      </c>
      <c r="AE85" s="29"/>
      <c r="AF85" s="68">
        <v>3.5000000000000001E-3</v>
      </c>
      <c r="AG85" s="69">
        <f t="shared" si="59"/>
        <v>19648.352449608177</v>
      </c>
      <c r="AH85" s="169">
        <f t="shared" si="60"/>
        <v>5633463.338051944</v>
      </c>
      <c r="AI85" s="169">
        <v>3500000</v>
      </c>
      <c r="AJ85" s="202">
        <f t="shared" si="61"/>
        <v>0.60956095372912689</v>
      </c>
      <c r="AK85" s="70">
        <f t="shared" si="62"/>
        <v>0.10159349228818781</v>
      </c>
      <c r="AL85" s="211">
        <f t="shared" si="68"/>
        <v>7323502.3394675273</v>
      </c>
      <c r="AM85" s="201">
        <f t="shared" si="69"/>
        <v>1.0924292398478648</v>
      </c>
      <c r="AN85" s="201">
        <f t="shared" si="70"/>
        <v>9.9311749077078612E-2</v>
      </c>
    </row>
    <row r="86" spans="1:41">
      <c r="A86" s="8" t="s">
        <v>925</v>
      </c>
      <c r="B86" s="212" t="s">
        <v>10696</v>
      </c>
      <c r="C86" s="8">
        <v>12</v>
      </c>
      <c r="D86" s="213">
        <v>47665</v>
      </c>
      <c r="E86" s="8"/>
      <c r="F86" s="8" t="s">
        <v>10681</v>
      </c>
      <c r="G86" s="8">
        <v>24511656</v>
      </c>
      <c r="H86" s="8"/>
      <c r="I86" s="214">
        <f t="shared" si="63"/>
        <v>4495908.4992897483</v>
      </c>
      <c r="J86" s="30"/>
      <c r="K86" s="215">
        <v>3.5000000000000001E-3</v>
      </c>
      <c r="L86" s="214">
        <f t="shared" si="55"/>
        <v>15735.679747514119</v>
      </c>
      <c r="M86" s="9">
        <f t="shared" si="56"/>
        <v>4511644.1790372627</v>
      </c>
      <c r="N86" s="9">
        <v>2800000</v>
      </c>
      <c r="O86" s="216">
        <f t="shared" si="57"/>
        <v>0.61130149251330801</v>
      </c>
      <c r="P86" s="217">
        <f t="shared" si="58"/>
        <v>8.7328784644758281E-2</v>
      </c>
      <c r="Q86" s="218">
        <f t="shared" si="65"/>
        <v>5865137.4327484416</v>
      </c>
      <c r="R86" s="219">
        <f t="shared" si="66"/>
        <v>1.0946919402673005</v>
      </c>
      <c r="S86" s="219">
        <f t="shared" si="67"/>
        <v>9.1224328355608383E-2</v>
      </c>
      <c r="V86" t="s">
        <v>926</v>
      </c>
      <c r="W86" s="210" t="s">
        <v>10696</v>
      </c>
      <c r="X86">
        <v>12</v>
      </c>
      <c r="Y86" s="5">
        <v>47665</v>
      </c>
      <c r="AA86" t="s">
        <v>10681</v>
      </c>
      <c r="AB86">
        <v>24511656</v>
      </c>
      <c r="AD86" s="69">
        <f t="shared" si="64"/>
        <v>5633463.338051944</v>
      </c>
      <c r="AE86" s="29"/>
      <c r="AF86" s="68">
        <v>3.5000000000000001E-3</v>
      </c>
      <c r="AG86" s="69">
        <f t="shared" si="59"/>
        <v>19717.121683181806</v>
      </c>
      <c r="AH86" s="220">
        <f t="shared" si="60"/>
        <v>5653180.4597351262</v>
      </c>
      <c r="AI86" s="169">
        <v>3500000</v>
      </c>
      <c r="AJ86" s="221">
        <f t="shared" si="61"/>
        <v>0.61519441706717903</v>
      </c>
      <c r="AK86" s="222">
        <f t="shared" si="62"/>
        <v>8.7884916723882725E-2</v>
      </c>
      <c r="AL86" s="211">
        <f t="shared" si="68"/>
        <v>7349134.5976556642</v>
      </c>
      <c r="AM86" s="223">
        <f t="shared" si="69"/>
        <v>1.0997527421873325</v>
      </c>
      <c r="AN86" s="223">
        <f t="shared" si="70"/>
        <v>9.1646061848944374E-2</v>
      </c>
    </row>
    <row r="87" spans="1:41">
      <c r="A87" t="s">
        <v>925</v>
      </c>
      <c r="B87" s="210" t="s">
        <v>10696</v>
      </c>
      <c r="C87">
        <v>13</v>
      </c>
      <c r="D87" s="5">
        <v>48030</v>
      </c>
      <c r="F87" t="s">
        <v>10681</v>
      </c>
      <c r="G87">
        <v>24511656</v>
      </c>
      <c r="I87" s="69">
        <f t="shared" si="63"/>
        <v>4511644.1790372627</v>
      </c>
      <c r="J87" s="29"/>
      <c r="K87" s="68">
        <v>3.5000000000000001E-3</v>
      </c>
      <c r="L87" s="69">
        <f t="shared" si="55"/>
        <v>15790.75462663042</v>
      </c>
      <c r="M87" s="169">
        <f t="shared" si="56"/>
        <v>4527434.9336638935</v>
      </c>
      <c r="N87" s="169">
        <v>2800000</v>
      </c>
      <c r="O87" s="202">
        <f t="shared" si="57"/>
        <v>0.6169410477371049</v>
      </c>
      <c r="P87" s="70">
        <f t="shared" si="58"/>
        <v>7.7117630967138112E-2</v>
      </c>
      <c r="Q87" s="211">
        <f t="shared" si="65"/>
        <v>5885665.4137630621</v>
      </c>
      <c r="R87" s="201">
        <f t="shared" si="66"/>
        <v>1.1020233620582363</v>
      </c>
      <c r="S87" s="201">
        <f t="shared" si="67"/>
        <v>8.4771027850633562E-2</v>
      </c>
      <c r="V87" s="8" t="s">
        <v>926</v>
      </c>
      <c r="W87" s="212" t="s">
        <v>10696</v>
      </c>
      <c r="X87" s="8">
        <v>13</v>
      </c>
      <c r="Y87" s="213">
        <v>48030</v>
      </c>
      <c r="Z87" s="8"/>
      <c r="AA87" s="8" t="s">
        <v>10681</v>
      </c>
      <c r="AB87" s="8">
        <v>24511656</v>
      </c>
      <c r="AC87" s="8"/>
      <c r="AD87" s="214">
        <f t="shared" si="64"/>
        <v>5653180.4597351262</v>
      </c>
      <c r="AE87" s="30"/>
      <c r="AF87" s="215">
        <v>3.5000000000000001E-3</v>
      </c>
      <c r="AG87" s="214">
        <f t="shared" si="59"/>
        <v>19786.131609072942</v>
      </c>
      <c r="AH87" s="9">
        <f t="shared" si="60"/>
        <v>5672966.5913441991</v>
      </c>
      <c r="AI87" s="9">
        <v>3500000</v>
      </c>
      <c r="AJ87" s="216">
        <f t="shared" si="61"/>
        <v>0.6208475975269141</v>
      </c>
      <c r="AK87" s="217">
        <f t="shared" si="62"/>
        <v>7.7605949690864262E-2</v>
      </c>
      <c r="AL87" s="218">
        <f t="shared" si="68"/>
        <v>7374856.568747459</v>
      </c>
      <c r="AM87" s="219">
        <f t="shared" si="69"/>
        <v>1.1071018767849883</v>
      </c>
      <c r="AN87" s="219">
        <f t="shared" si="70"/>
        <v>8.5161682829614477E-2</v>
      </c>
    </row>
    <row r="88" spans="1:41">
      <c r="A88" t="s">
        <v>925</v>
      </c>
      <c r="B88" s="210" t="s">
        <v>10696</v>
      </c>
      <c r="C88">
        <v>14</v>
      </c>
      <c r="D88" s="5">
        <v>48396</v>
      </c>
      <c r="F88" t="s">
        <v>10681</v>
      </c>
      <c r="G88">
        <v>24511656</v>
      </c>
      <c r="I88" s="69">
        <f t="shared" si="63"/>
        <v>4527434.9336638935</v>
      </c>
      <c r="J88" s="29"/>
      <c r="K88" s="68">
        <v>3.5000000000000001E-3</v>
      </c>
      <c r="L88" s="69">
        <f t="shared" si="55"/>
        <v>15846.022267823628</v>
      </c>
      <c r="M88" s="169">
        <f t="shared" si="56"/>
        <v>4543280.9559317175</v>
      </c>
      <c r="N88" s="169">
        <v>2800000</v>
      </c>
      <c r="O88" s="202">
        <f t="shared" si="57"/>
        <v>0.62260034140418474</v>
      </c>
      <c r="P88" s="70">
        <f t="shared" si="58"/>
        <v>6.9177815711576079E-2</v>
      </c>
      <c r="Q88" s="211">
        <f t="shared" si="65"/>
        <v>5906265.242711233</v>
      </c>
      <c r="R88" s="201">
        <f t="shared" si="66"/>
        <v>1.1093804438254402</v>
      </c>
      <c r="S88" s="201">
        <f t="shared" si="67"/>
        <v>7.9241460273245731E-2</v>
      </c>
      <c r="V88" t="s">
        <v>926</v>
      </c>
      <c r="W88" s="210" t="s">
        <v>10696</v>
      </c>
      <c r="X88">
        <v>14</v>
      </c>
      <c r="Y88" s="5">
        <v>48396</v>
      </c>
      <c r="AA88" t="s">
        <v>10681</v>
      </c>
      <c r="AB88">
        <v>24511656</v>
      </c>
      <c r="AD88" s="69">
        <f t="shared" si="64"/>
        <v>5672966.5913441991</v>
      </c>
      <c r="AE88" s="29"/>
      <c r="AF88" s="68">
        <v>3.5000000000000001E-3</v>
      </c>
      <c r="AG88" s="69">
        <f t="shared" si="59"/>
        <v>19855.383069704698</v>
      </c>
      <c r="AH88" s="169">
        <f t="shared" si="60"/>
        <v>5692821.9744139034</v>
      </c>
      <c r="AI88" s="169">
        <v>3500000</v>
      </c>
      <c r="AJ88" s="202">
        <f t="shared" si="61"/>
        <v>0.62652056411825807</v>
      </c>
      <c r="AK88" s="70">
        <f t="shared" si="62"/>
        <v>6.9613396013139789E-2</v>
      </c>
      <c r="AL88" s="211">
        <f t="shared" si="68"/>
        <v>7400668.5667380746</v>
      </c>
      <c r="AM88" s="201">
        <f t="shared" si="69"/>
        <v>1.1144767333537358</v>
      </c>
      <c r="AN88" s="201">
        <f t="shared" si="70"/>
        <v>7.9605480953838265E-2</v>
      </c>
    </row>
    <row r="89" spans="1:41">
      <c r="A89" t="s">
        <v>925</v>
      </c>
      <c r="B89" s="210" t="s">
        <v>10696</v>
      </c>
      <c r="C89">
        <v>15</v>
      </c>
      <c r="D89" s="5">
        <v>48761</v>
      </c>
      <c r="F89" t="s">
        <v>10681</v>
      </c>
      <c r="G89">
        <v>24511656</v>
      </c>
      <c r="I89" s="69">
        <f t="shared" si="63"/>
        <v>4543280.9559317175</v>
      </c>
      <c r="J89" s="29"/>
      <c r="K89" s="68">
        <v>1.35E-2</v>
      </c>
      <c r="L89" s="69">
        <f t="shared" si="55"/>
        <v>61334.29290507819</v>
      </c>
      <c r="M89" s="169">
        <f t="shared" si="56"/>
        <v>4604615.2488367958</v>
      </c>
      <c r="N89" s="169">
        <v>2800000</v>
      </c>
      <c r="O89" s="202">
        <f t="shared" si="57"/>
        <v>0.64450544601314141</v>
      </c>
      <c r="P89" s="70">
        <f t="shared" si="58"/>
        <v>6.4450544601314136E-2</v>
      </c>
      <c r="Q89" s="211">
        <f t="shared" si="65"/>
        <v>5985999.823487835</v>
      </c>
      <c r="R89" s="201">
        <f t="shared" si="66"/>
        <v>1.1378570798170839</v>
      </c>
      <c r="S89" s="201">
        <f t="shared" si="67"/>
        <v>7.5857138654472259E-2</v>
      </c>
      <c r="V89" t="s">
        <v>926</v>
      </c>
      <c r="W89" s="210" t="s">
        <v>10696</v>
      </c>
      <c r="X89">
        <v>15</v>
      </c>
      <c r="Y89" s="5">
        <v>48761</v>
      </c>
      <c r="AA89" t="s">
        <v>10681</v>
      </c>
      <c r="AB89">
        <v>24511656</v>
      </c>
      <c r="AD89" s="69">
        <f t="shared" si="64"/>
        <v>5692821.9744139034</v>
      </c>
      <c r="AE89" s="29"/>
      <c r="AF89" s="68">
        <v>1.35E-2</v>
      </c>
      <c r="AG89" s="69">
        <f t="shared" si="59"/>
        <v>76853.096654587702</v>
      </c>
      <c r="AH89" s="169">
        <f t="shared" si="60"/>
        <v>5769675.0710684909</v>
      </c>
      <c r="AI89" s="169">
        <v>3500000</v>
      </c>
      <c r="AJ89" s="202">
        <f t="shared" si="61"/>
        <v>0.64847859173385447</v>
      </c>
      <c r="AK89" s="70">
        <f t="shared" si="62"/>
        <v>6.4847859173385453E-2</v>
      </c>
      <c r="AL89" s="211">
        <f t="shared" si="68"/>
        <v>7500577.5923890388</v>
      </c>
      <c r="AM89" s="201">
        <f t="shared" si="69"/>
        <v>1.143022169254011</v>
      </c>
      <c r="AN89" s="201">
        <f t="shared" si="70"/>
        <v>7.6201477950267396E-2</v>
      </c>
    </row>
    <row r="90" spans="1:41">
      <c r="A90" t="s">
        <v>925</v>
      </c>
      <c r="S90" s="201"/>
      <c r="V90" t="s">
        <v>926</v>
      </c>
    </row>
    <row r="91" spans="1:41">
      <c r="A91" t="s">
        <v>925</v>
      </c>
      <c r="C91">
        <v>15</v>
      </c>
      <c r="F91" t="s">
        <v>952</v>
      </c>
      <c r="K91" t="s">
        <v>10700</v>
      </c>
      <c r="N91" s="224">
        <f>N52+N71+N89</f>
        <v>6400000</v>
      </c>
      <c r="Q91" s="224">
        <f>Q52+Q71+Q89</f>
        <v>12610307.75765634</v>
      </c>
      <c r="R91" s="201">
        <f>Q91/N91-100%</f>
        <v>0.97036058713380302</v>
      </c>
      <c r="S91" s="201">
        <f>R91/C91</f>
        <v>6.4690705808920196E-2</v>
      </c>
      <c r="T91" s="279">
        <f>S91*100/70</f>
        <v>9.2415294012743135E-2</v>
      </c>
      <c r="V91" t="s">
        <v>926</v>
      </c>
      <c r="X91">
        <v>15</v>
      </c>
      <c r="AA91" t="s">
        <v>952</v>
      </c>
      <c r="AF91" t="s">
        <v>10700</v>
      </c>
      <c r="AI91" s="224">
        <f>AI52+AI71+AI89</f>
        <v>7100000</v>
      </c>
      <c r="AJ91" s="202"/>
      <c r="AK91" s="70"/>
      <c r="AL91" s="224">
        <f>AL52+AL71+AL89</f>
        <v>14157518.787475571</v>
      </c>
      <c r="AM91" s="201">
        <f>AL91/AI91-100%</f>
        <v>0.99401673063036222</v>
      </c>
      <c r="AN91" s="201">
        <f>AM91/X91</f>
        <v>6.6267782042024145E-2</v>
      </c>
      <c r="AO91" s="279">
        <f>AN91*100/70</f>
        <v>9.4668260060034495E-2</v>
      </c>
    </row>
    <row r="92" spans="1:41">
      <c r="S92" s="29" t="s">
        <v>10701</v>
      </c>
      <c r="AN92" s="29" t="s">
        <v>10701</v>
      </c>
    </row>
  </sheetData>
  <hyperlinks>
    <hyperlink ref="F7" r:id="rId1" xr:uid="{00000000-0004-0000-1000-000000000000}"/>
    <hyperlink ref="F24" r:id="rId2" xr:uid="{00000000-0004-0000-1000-000001000000}"/>
  </hyperlinks>
  <pageMargins left="0.7" right="0.7" top="0.75" bottom="0.75" header="0.3" footer="0.3"/>
  <pageSetup paperSize="9" orientation="portrait" r:id="rId3"/>
  <legacyDrawing r:id="rId4"/>
</worksheet>
</file>

<file path=xl/worksheets/sheet2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100-000000000000}">
  <dimension ref="A1:AT37"/>
  <sheetViews>
    <sheetView topLeftCell="S1" workbookViewId="0">
      <selection activeCell="AL2" sqref="AL2"/>
    </sheetView>
  </sheetViews>
  <sheetFormatPr defaultRowHeight="15"/>
  <cols>
    <col min="1" max="1" width="4.42578125" bestFit="1" customWidth="1"/>
    <col min="2" max="2" width="4.5703125" bestFit="1" customWidth="1"/>
    <col min="3" max="4" width="2.7109375" bestFit="1" customWidth="1"/>
    <col min="5" max="5" width="5.7109375" bestFit="1" customWidth="1"/>
    <col min="6" max="6" width="8.7109375" bestFit="1" customWidth="1"/>
    <col min="7" max="7" width="17" bestFit="1" customWidth="1"/>
    <col min="8" max="8" width="22.7109375" hidden="1" customWidth="1"/>
    <col min="9" max="9" width="29.28515625" hidden="1" customWidth="1"/>
    <col min="10" max="10" width="8.5703125" hidden="1" customWidth="1"/>
    <col min="11" max="11" width="14.42578125" bestFit="1" customWidth="1"/>
    <col min="12" max="12" width="20.7109375" hidden="1" customWidth="1"/>
    <col min="13" max="13" width="13.7109375" hidden="1" customWidth="1"/>
    <col min="14" max="14" width="8.5703125" hidden="1" customWidth="1"/>
    <col min="15" max="15" width="14.42578125" bestFit="1" customWidth="1"/>
    <col min="16" max="16" width="13.7109375" bestFit="1" customWidth="1"/>
    <col min="17" max="17" width="25.7109375" bestFit="1" customWidth="1"/>
    <col min="18" max="18" width="17" bestFit="1" customWidth="1"/>
    <col min="19" max="19" width="14.42578125" bestFit="1" customWidth="1"/>
    <col min="20" max="20" width="7.7109375" bestFit="1" customWidth="1"/>
    <col min="21" max="21" width="8" bestFit="1" customWidth="1"/>
    <col min="22" max="22" width="16.7109375" bestFit="1" customWidth="1"/>
    <col min="23" max="25" width="0" hidden="1" customWidth="1"/>
    <col min="26" max="26" width="13.140625" bestFit="1" customWidth="1"/>
    <col min="27" max="29" width="0" hidden="1" customWidth="1"/>
    <col min="30" max="30" width="13.140625" bestFit="1" customWidth="1"/>
    <col min="32" max="32" width="21.28515625" bestFit="1" customWidth="1"/>
    <col min="33" max="33" width="32.28515625" bestFit="1" customWidth="1"/>
    <col min="34" max="34" width="11.7109375" bestFit="1" customWidth="1"/>
    <col min="35" max="35" width="3.5703125" customWidth="1"/>
  </cols>
  <sheetData>
    <row r="1" spans="1:44" ht="34.5">
      <c r="G1" s="71" t="s">
        <v>10683</v>
      </c>
      <c r="K1" s="71" t="s">
        <v>10665</v>
      </c>
      <c r="V1" t="s">
        <v>926</v>
      </c>
      <c r="Z1" t="s">
        <v>926</v>
      </c>
      <c r="AA1" t="s">
        <v>926</v>
      </c>
      <c r="AB1" t="s">
        <v>926</v>
      </c>
      <c r="AC1" t="s">
        <v>926</v>
      </c>
      <c r="AD1" t="s">
        <v>926</v>
      </c>
    </row>
    <row r="2" spans="1:44">
      <c r="E2" t="s">
        <v>10452</v>
      </c>
      <c r="F2" t="s">
        <v>952</v>
      </c>
      <c r="G2" t="s">
        <v>10471</v>
      </c>
      <c r="H2" t="s">
        <v>10702</v>
      </c>
      <c r="I2" t="s">
        <v>10703</v>
      </c>
      <c r="K2" t="s">
        <v>10472</v>
      </c>
      <c r="L2" t="s">
        <v>10702</v>
      </c>
      <c r="M2" t="s">
        <v>10703</v>
      </c>
      <c r="O2" t="s">
        <v>10472</v>
      </c>
      <c r="P2" t="s">
        <v>10498</v>
      </c>
      <c r="S2" t="s">
        <v>10704</v>
      </c>
      <c r="U2" t="s">
        <v>952</v>
      </c>
      <c r="V2" t="s">
        <v>10471</v>
      </c>
      <c r="W2" t="s">
        <v>10702</v>
      </c>
      <c r="X2" t="s">
        <v>10703</v>
      </c>
      <c r="Z2" t="s">
        <v>10472</v>
      </c>
      <c r="AA2" t="s">
        <v>10702</v>
      </c>
      <c r="AB2" t="s">
        <v>10703</v>
      </c>
      <c r="AD2" t="s">
        <v>10472</v>
      </c>
      <c r="AF2" t="s">
        <v>10471</v>
      </c>
      <c r="AG2" t="s">
        <v>10472</v>
      </c>
      <c r="AL2">
        <f>15+21+28</f>
        <v>64</v>
      </c>
      <c r="AM2" s="8">
        <f>AL2*1.5</f>
        <v>96</v>
      </c>
      <c r="AP2">
        <f>15+21+35</f>
        <v>71</v>
      </c>
      <c r="AQ2" s="8">
        <f>AP2*1.5</f>
        <v>106.5</v>
      </c>
    </row>
    <row r="3" spans="1:44">
      <c r="A3" t="s">
        <v>1020</v>
      </c>
      <c r="B3" t="s">
        <v>1022</v>
      </c>
      <c r="E3" t="s">
        <v>10694</v>
      </c>
      <c r="G3" s="67">
        <v>42675</v>
      </c>
      <c r="H3" s="67"/>
      <c r="I3" s="67"/>
      <c r="J3" s="67"/>
      <c r="K3" s="67">
        <v>42917</v>
      </c>
      <c r="L3" s="67"/>
      <c r="M3" s="67"/>
      <c r="N3" s="67"/>
      <c r="O3" s="67">
        <v>43252</v>
      </c>
      <c r="S3" s="67">
        <v>42887</v>
      </c>
      <c r="V3" s="67">
        <v>42675</v>
      </c>
      <c r="W3" s="67"/>
      <c r="X3" s="67"/>
      <c r="Y3" s="67"/>
      <c r="Z3" s="67">
        <v>42887</v>
      </c>
      <c r="AA3" s="67"/>
      <c r="AB3" s="67"/>
      <c r="AC3" s="67"/>
      <c r="AD3" s="67">
        <v>43282</v>
      </c>
      <c r="AF3" t="s">
        <v>10705</v>
      </c>
      <c r="AG3" t="s">
        <v>10705</v>
      </c>
      <c r="AH3" t="s">
        <v>10706</v>
      </c>
      <c r="AJ3" t="s">
        <v>10707</v>
      </c>
      <c r="AK3" t="s">
        <v>1022</v>
      </c>
      <c r="AL3" t="s">
        <v>10708</v>
      </c>
      <c r="AM3" t="s">
        <v>10709</v>
      </c>
      <c r="AN3" t="s">
        <v>10710</v>
      </c>
      <c r="AP3" t="s">
        <v>10708</v>
      </c>
      <c r="AQ3" t="s">
        <v>10709</v>
      </c>
      <c r="AR3" t="s">
        <v>10711</v>
      </c>
    </row>
    <row r="4" spans="1:44">
      <c r="A4">
        <v>38</v>
      </c>
      <c r="B4">
        <v>1</v>
      </c>
      <c r="E4">
        <v>2016</v>
      </c>
      <c r="F4">
        <f>G4</f>
        <v>300000</v>
      </c>
      <c r="G4">
        <v>300000</v>
      </c>
      <c r="U4">
        <f>V4</f>
        <v>300000</v>
      </c>
      <c r="V4">
        <v>300000</v>
      </c>
      <c r="AF4" t="s">
        <v>10712</v>
      </c>
      <c r="AG4" t="s">
        <v>10712</v>
      </c>
      <c r="AJ4">
        <v>1</v>
      </c>
      <c r="AK4">
        <v>2016</v>
      </c>
      <c r="AL4">
        <v>1</v>
      </c>
      <c r="AP4">
        <v>1</v>
      </c>
    </row>
    <row r="5" spans="1:44">
      <c r="A5">
        <v>39</v>
      </c>
      <c r="B5">
        <v>2</v>
      </c>
      <c r="C5">
        <v>1</v>
      </c>
      <c r="E5">
        <v>2017</v>
      </c>
      <c r="F5">
        <f>G5+K5</f>
        <v>600000</v>
      </c>
      <c r="G5">
        <v>300000</v>
      </c>
      <c r="K5">
        <v>300000</v>
      </c>
      <c r="S5">
        <v>500000</v>
      </c>
      <c r="U5">
        <f>V5+Z5</f>
        <v>800000</v>
      </c>
      <c r="V5">
        <v>300000</v>
      </c>
      <c r="Z5">
        <v>500000</v>
      </c>
      <c r="AF5" t="s">
        <v>10713</v>
      </c>
      <c r="AG5" t="s">
        <v>10713</v>
      </c>
      <c r="AJ5">
        <v>2</v>
      </c>
      <c r="AK5">
        <f>AK4+1</f>
        <v>2017</v>
      </c>
      <c r="AL5">
        <v>2</v>
      </c>
      <c r="AM5">
        <v>1</v>
      </c>
      <c r="AP5">
        <v>2</v>
      </c>
      <c r="AQ5">
        <v>1</v>
      </c>
    </row>
    <row r="6" spans="1:44">
      <c r="A6">
        <v>40</v>
      </c>
      <c r="B6">
        <v>3</v>
      </c>
      <c r="C6">
        <v>2</v>
      </c>
      <c r="D6">
        <v>1</v>
      </c>
      <c r="E6">
        <v>2018</v>
      </c>
      <c r="F6">
        <f>G6+K6+O6</f>
        <v>1000000</v>
      </c>
      <c r="G6">
        <v>300000</v>
      </c>
      <c r="K6">
        <v>300000</v>
      </c>
      <c r="O6">
        <v>400000</v>
      </c>
      <c r="S6">
        <v>500000</v>
      </c>
      <c r="U6">
        <f>V6+Z6+AD6</f>
        <v>1100000</v>
      </c>
      <c r="V6">
        <v>300000</v>
      </c>
      <c r="Z6">
        <v>500000</v>
      </c>
      <c r="AD6">
        <v>300000</v>
      </c>
      <c r="AF6" t="s">
        <v>10714</v>
      </c>
      <c r="AG6" t="s">
        <v>10714</v>
      </c>
      <c r="AJ6">
        <v>3</v>
      </c>
      <c r="AK6">
        <f t="shared" ref="AK6:AK27" si="0">AK5+1</f>
        <v>2018</v>
      </c>
      <c r="AL6">
        <v>3</v>
      </c>
      <c r="AM6">
        <v>2</v>
      </c>
      <c r="AN6">
        <v>1</v>
      </c>
      <c r="AP6">
        <v>3</v>
      </c>
      <c r="AQ6">
        <v>2</v>
      </c>
      <c r="AR6">
        <v>1</v>
      </c>
    </row>
    <row r="7" spans="1:44">
      <c r="A7">
        <v>41</v>
      </c>
      <c r="B7">
        <v>4</v>
      </c>
      <c r="C7">
        <v>3</v>
      </c>
      <c r="D7">
        <v>2</v>
      </c>
      <c r="E7">
        <v>2019</v>
      </c>
      <c r="F7">
        <f>G7+K7+O7</f>
        <v>1000000</v>
      </c>
      <c r="G7">
        <v>300000</v>
      </c>
      <c r="K7">
        <v>300000</v>
      </c>
      <c r="O7">
        <v>400000</v>
      </c>
      <c r="P7">
        <v>117005</v>
      </c>
      <c r="S7">
        <v>500000</v>
      </c>
      <c r="U7">
        <f>V7+Z7+AD7+AE7</f>
        <v>1100000</v>
      </c>
      <c r="V7">
        <v>300000</v>
      </c>
      <c r="Z7">
        <v>500000</v>
      </c>
      <c r="AD7">
        <v>300000</v>
      </c>
      <c r="AF7" t="s">
        <v>10715</v>
      </c>
      <c r="AG7" t="s">
        <v>10715</v>
      </c>
      <c r="AJ7">
        <v>4</v>
      </c>
      <c r="AK7">
        <f t="shared" si="0"/>
        <v>2019</v>
      </c>
      <c r="AL7">
        <v>4</v>
      </c>
      <c r="AM7">
        <v>3</v>
      </c>
      <c r="AN7">
        <v>2</v>
      </c>
      <c r="AP7">
        <v>4</v>
      </c>
      <c r="AQ7">
        <v>3</v>
      </c>
      <c r="AR7">
        <v>2</v>
      </c>
    </row>
    <row r="8" spans="1:44">
      <c r="A8">
        <v>42</v>
      </c>
      <c r="B8">
        <v>5</v>
      </c>
      <c r="C8">
        <v>4</v>
      </c>
      <c r="D8">
        <v>3</v>
      </c>
      <c r="E8">
        <v>2020</v>
      </c>
      <c r="F8">
        <f>G8+K8+O8</f>
        <v>1000000</v>
      </c>
      <c r="G8">
        <v>300000</v>
      </c>
      <c r="K8">
        <v>300000</v>
      </c>
      <c r="O8">
        <v>400000</v>
      </c>
      <c r="P8">
        <v>117005</v>
      </c>
      <c r="Q8" s="8" t="s">
        <v>10716</v>
      </c>
      <c r="R8" t="s">
        <v>10717</v>
      </c>
      <c r="S8">
        <v>500000</v>
      </c>
      <c r="U8" s="8">
        <f>V8+Z8+AD8+AE8</f>
        <v>1100000</v>
      </c>
      <c r="V8">
        <v>300000</v>
      </c>
      <c r="Z8">
        <v>500000</v>
      </c>
      <c r="AD8">
        <v>300000</v>
      </c>
      <c r="AF8" t="s">
        <v>10718</v>
      </c>
      <c r="AG8" t="s">
        <v>10718</v>
      </c>
      <c r="AJ8">
        <v>5</v>
      </c>
      <c r="AK8">
        <f t="shared" si="0"/>
        <v>2020</v>
      </c>
      <c r="AL8" s="8">
        <v>5</v>
      </c>
      <c r="AM8">
        <v>4</v>
      </c>
      <c r="AN8">
        <v>3</v>
      </c>
      <c r="AP8" s="8">
        <v>5</v>
      </c>
      <c r="AQ8">
        <v>4</v>
      </c>
      <c r="AR8">
        <v>3</v>
      </c>
    </row>
    <row r="9" spans="1:44">
      <c r="A9">
        <v>43</v>
      </c>
      <c r="B9">
        <v>6</v>
      </c>
      <c r="C9">
        <v>5</v>
      </c>
      <c r="D9">
        <v>4</v>
      </c>
      <c r="E9">
        <v>2021</v>
      </c>
      <c r="F9">
        <f>K9+O9</f>
        <v>700000</v>
      </c>
      <c r="G9" s="8" t="s">
        <v>10719</v>
      </c>
      <c r="H9" s="68" t="s">
        <v>10720</v>
      </c>
      <c r="I9" s="68" t="s">
        <v>10721</v>
      </c>
      <c r="J9" s="69">
        <f>$G$14*0.3%</f>
        <v>4500</v>
      </c>
      <c r="K9">
        <v>300000</v>
      </c>
      <c r="M9" s="68"/>
      <c r="N9" s="69"/>
      <c r="O9">
        <v>400000</v>
      </c>
      <c r="P9">
        <v>117005</v>
      </c>
      <c r="Q9" t="s">
        <v>10722</v>
      </c>
      <c r="R9" t="s">
        <v>10723</v>
      </c>
      <c r="S9">
        <v>500000</v>
      </c>
      <c r="U9">
        <f>+Z9+AD9+AE9</f>
        <v>800000</v>
      </c>
      <c r="V9" s="8" t="s">
        <v>10719</v>
      </c>
      <c r="W9" s="68" t="s">
        <v>10720</v>
      </c>
      <c r="X9" s="68" t="s">
        <v>10721</v>
      </c>
      <c r="Y9" s="69">
        <f>$G$14*0.3%</f>
        <v>4500</v>
      </c>
      <c r="Z9">
        <v>500000</v>
      </c>
      <c r="AB9" s="68"/>
      <c r="AC9" s="69"/>
      <c r="AD9">
        <v>300000</v>
      </c>
      <c r="AF9" t="s">
        <v>10724</v>
      </c>
      <c r="AG9" t="s">
        <v>10724</v>
      </c>
      <c r="AH9" t="s">
        <v>10725</v>
      </c>
      <c r="AJ9">
        <v>6</v>
      </c>
      <c r="AK9">
        <f t="shared" si="0"/>
        <v>2021</v>
      </c>
      <c r="AM9">
        <v>5</v>
      </c>
      <c r="AN9">
        <v>4</v>
      </c>
      <c r="AQ9">
        <v>5</v>
      </c>
      <c r="AR9">
        <v>4</v>
      </c>
    </row>
    <row r="10" spans="1:44">
      <c r="A10">
        <v>44</v>
      </c>
      <c r="B10">
        <v>7</v>
      </c>
      <c r="C10">
        <v>6</v>
      </c>
      <c r="D10">
        <v>5</v>
      </c>
      <c r="E10">
        <v>2022</v>
      </c>
      <c r="F10">
        <f>G10+K10+O10</f>
        <v>700000</v>
      </c>
      <c r="H10" s="68" t="s">
        <v>10720</v>
      </c>
      <c r="I10" s="68" t="s">
        <v>10721</v>
      </c>
      <c r="J10" s="69">
        <f>$G$14*0.3%</f>
        <v>4500</v>
      </c>
      <c r="K10">
        <v>300000</v>
      </c>
      <c r="L10" s="68" t="s">
        <v>10726</v>
      </c>
      <c r="M10" s="69">
        <f>$K$15*0.1%</f>
        <v>2100</v>
      </c>
      <c r="N10" s="69"/>
      <c r="O10">
        <v>400000</v>
      </c>
      <c r="P10">
        <v>117005</v>
      </c>
      <c r="Q10" s="8">
        <f>SUM(F9:F11)</f>
        <v>2100000</v>
      </c>
      <c r="U10">
        <f>V10+Z10+AD10+AE10</f>
        <v>800000</v>
      </c>
      <c r="W10" s="68" t="s">
        <v>10720</v>
      </c>
      <c r="X10" s="68" t="s">
        <v>10721</v>
      </c>
      <c r="Y10" s="69">
        <f>$G$14*0.3%</f>
        <v>4500</v>
      </c>
      <c r="Z10">
        <v>500000</v>
      </c>
      <c r="AA10" s="68" t="s">
        <v>10726</v>
      </c>
      <c r="AB10" s="69">
        <f>$K$15*0.1%</f>
        <v>2100</v>
      </c>
      <c r="AC10" s="69"/>
      <c r="AD10">
        <v>300000</v>
      </c>
      <c r="AG10" t="s">
        <v>10727</v>
      </c>
      <c r="AJ10">
        <v>7</v>
      </c>
      <c r="AK10">
        <f t="shared" si="0"/>
        <v>2022</v>
      </c>
      <c r="AL10" t="s">
        <v>10728</v>
      </c>
      <c r="AM10">
        <v>6</v>
      </c>
      <c r="AN10">
        <v>5</v>
      </c>
      <c r="AP10" t="s">
        <v>10728</v>
      </c>
      <c r="AQ10">
        <v>6</v>
      </c>
      <c r="AR10">
        <v>5</v>
      </c>
    </row>
    <row r="11" spans="1:44">
      <c r="A11">
        <v>45</v>
      </c>
      <c r="B11">
        <v>8</v>
      </c>
      <c r="C11">
        <v>7</v>
      </c>
      <c r="D11">
        <v>6</v>
      </c>
      <c r="E11">
        <v>2023</v>
      </c>
      <c r="F11">
        <f>G11+K11+O11</f>
        <v>700000</v>
      </c>
      <c r="H11" s="68" t="s">
        <v>10720</v>
      </c>
      <c r="I11" s="68" t="s">
        <v>10721</v>
      </c>
      <c r="J11" s="69">
        <f>$G$14*0.3%</f>
        <v>4500</v>
      </c>
      <c r="K11">
        <v>300000</v>
      </c>
      <c r="L11" s="68" t="s">
        <v>10726</v>
      </c>
      <c r="M11" s="69">
        <f>$K$15*0.1%</f>
        <v>2100</v>
      </c>
      <c r="N11" s="69"/>
      <c r="O11">
        <v>400000</v>
      </c>
      <c r="P11">
        <v>117005</v>
      </c>
      <c r="Q11" t="s">
        <v>10729</v>
      </c>
      <c r="U11">
        <f>V11+Z11+AD11+AE11</f>
        <v>800000</v>
      </c>
      <c r="W11" s="68" t="s">
        <v>10720</v>
      </c>
      <c r="X11" s="68" t="s">
        <v>10721</v>
      </c>
      <c r="Y11" s="69">
        <f>$G$14*0.3%</f>
        <v>4500</v>
      </c>
      <c r="Z11">
        <v>500000</v>
      </c>
      <c r="AA11" s="68" t="s">
        <v>10726</v>
      </c>
      <c r="AB11" s="69">
        <f>$K$15*0.1%</f>
        <v>2100</v>
      </c>
      <c r="AC11" s="69"/>
      <c r="AD11">
        <v>300000</v>
      </c>
      <c r="AG11" t="s">
        <v>10730</v>
      </c>
      <c r="AJ11">
        <v>8</v>
      </c>
      <c r="AK11">
        <f t="shared" si="0"/>
        <v>2023</v>
      </c>
      <c r="AM11" s="8">
        <v>7</v>
      </c>
      <c r="AN11">
        <v>6</v>
      </c>
      <c r="AQ11" s="8">
        <v>7</v>
      </c>
      <c r="AR11">
        <v>6</v>
      </c>
    </row>
    <row r="12" spans="1:44">
      <c r="A12">
        <v>46</v>
      </c>
      <c r="B12">
        <v>9</v>
      </c>
      <c r="C12">
        <v>8</v>
      </c>
      <c r="D12">
        <v>7</v>
      </c>
      <c r="E12">
        <v>2024</v>
      </c>
      <c r="F12">
        <f>G12+K12+O12</f>
        <v>400000</v>
      </c>
      <c r="H12" s="68" t="s">
        <v>10720</v>
      </c>
      <c r="I12" s="68" t="s">
        <v>10721</v>
      </c>
      <c r="J12" s="69">
        <f>$G$14*0.3%</f>
        <v>4500</v>
      </c>
      <c r="L12" s="68" t="s">
        <v>10726</v>
      </c>
      <c r="M12" s="69">
        <f>$K$15*0.1%</f>
        <v>2100</v>
      </c>
      <c r="N12" s="69"/>
      <c r="O12">
        <v>400000</v>
      </c>
      <c r="R12" t="s">
        <v>10731</v>
      </c>
      <c r="W12" s="68" t="s">
        <v>10720</v>
      </c>
      <c r="X12" s="68" t="s">
        <v>10721</v>
      </c>
      <c r="Y12" s="69">
        <f>$G$14*0.3%</f>
        <v>4500</v>
      </c>
      <c r="AA12" s="68" t="s">
        <v>10726</v>
      </c>
      <c r="AB12" s="69">
        <f>$K$15*0.1%</f>
        <v>2100</v>
      </c>
      <c r="AC12" s="69"/>
      <c r="AD12">
        <v>300000</v>
      </c>
      <c r="AG12" t="s">
        <v>10732</v>
      </c>
      <c r="AJ12">
        <v>9</v>
      </c>
      <c r="AK12">
        <f t="shared" si="0"/>
        <v>2024</v>
      </c>
      <c r="AN12" s="8">
        <v>7</v>
      </c>
      <c r="AR12" s="8">
        <v>7</v>
      </c>
    </row>
    <row r="13" spans="1:44">
      <c r="A13">
        <v>47</v>
      </c>
      <c r="B13">
        <v>10</v>
      </c>
      <c r="C13">
        <v>9</v>
      </c>
      <c r="D13">
        <v>8</v>
      </c>
      <c r="E13">
        <v>2025</v>
      </c>
      <c r="H13" s="68" t="s">
        <v>10733</v>
      </c>
      <c r="J13" s="69">
        <f>$G$14*0.8%</f>
        <v>12000</v>
      </c>
      <c r="L13" s="68" t="s">
        <v>10734</v>
      </c>
      <c r="M13" s="69">
        <f>$K$15*1.1%</f>
        <v>23100.000000000004</v>
      </c>
      <c r="N13" s="69"/>
      <c r="Q13" t="s">
        <v>10735</v>
      </c>
      <c r="R13" t="s">
        <v>10736</v>
      </c>
      <c r="W13" s="68" t="s">
        <v>10733</v>
      </c>
      <c r="Y13" s="69">
        <f>$G$14*0.8%</f>
        <v>12000</v>
      </c>
      <c r="AA13" s="68" t="s">
        <v>10734</v>
      </c>
      <c r="AB13" s="69">
        <f>$K$15*1.1%</f>
        <v>23100.000000000004</v>
      </c>
      <c r="AC13" s="69"/>
      <c r="AG13" t="s">
        <v>10737</v>
      </c>
      <c r="AJ13">
        <v>10</v>
      </c>
      <c r="AK13">
        <f t="shared" si="0"/>
        <v>2025</v>
      </c>
      <c r="AM13" t="s">
        <v>10728</v>
      </c>
      <c r="AQ13" t="s">
        <v>10728</v>
      </c>
    </row>
    <row r="14" spans="1:44">
      <c r="A14">
        <v>48</v>
      </c>
      <c r="C14">
        <v>10</v>
      </c>
      <c r="D14">
        <v>9</v>
      </c>
      <c r="E14">
        <v>2026</v>
      </c>
      <c r="G14" s="8">
        <f>SUM(G4:G13)</f>
        <v>1500000</v>
      </c>
      <c r="L14" s="68"/>
      <c r="Q14">
        <f>500000+300000+300000</f>
        <v>1100000</v>
      </c>
      <c r="V14" s="8">
        <f>SUM(V4:V13)</f>
        <v>1500000</v>
      </c>
      <c r="AA14" s="68"/>
      <c r="AG14" t="s">
        <v>10738</v>
      </c>
      <c r="AJ14">
        <v>11</v>
      </c>
      <c r="AK14">
        <f t="shared" si="0"/>
        <v>2026</v>
      </c>
      <c r="AN14" t="s">
        <v>10728</v>
      </c>
      <c r="AR14" t="s">
        <v>10728</v>
      </c>
    </row>
    <row r="15" spans="1:44">
      <c r="A15">
        <v>49</v>
      </c>
      <c r="D15">
        <v>10</v>
      </c>
      <c r="E15">
        <v>2027</v>
      </c>
      <c r="K15">
        <f>SUM(K4:K13)</f>
        <v>2100000</v>
      </c>
      <c r="S15">
        <f>SUM(S4:S13)</f>
        <v>2500000</v>
      </c>
      <c r="Z15">
        <f>SUM(Z4:Z13)</f>
        <v>3500000</v>
      </c>
      <c r="AG15" t="s">
        <v>10739</v>
      </c>
      <c r="AJ15">
        <v>12</v>
      </c>
      <c r="AK15">
        <f t="shared" si="0"/>
        <v>2027</v>
      </c>
      <c r="AL15">
        <f>12</f>
        <v>12</v>
      </c>
    </row>
    <row r="16" spans="1:44">
      <c r="A16">
        <v>50</v>
      </c>
      <c r="E16">
        <v>2028</v>
      </c>
      <c r="H16" s="68">
        <v>5.0000000000000001E-3</v>
      </c>
      <c r="I16" s="68" t="s">
        <v>10740</v>
      </c>
      <c r="J16" s="68"/>
      <c r="L16" s="68"/>
      <c r="M16" s="68"/>
      <c r="N16" s="68"/>
      <c r="O16">
        <f>SUM(O4:O13)</f>
        <v>2800000</v>
      </c>
      <c r="W16" s="68">
        <v>5.0000000000000001E-3</v>
      </c>
      <c r="X16" s="68" t="s">
        <v>10740</v>
      </c>
      <c r="Y16" s="68"/>
      <c r="AA16" s="68"/>
      <c r="AB16" s="68"/>
      <c r="AC16" s="68"/>
      <c r="AD16">
        <f>SUM(AD4:AD13)</f>
        <v>2100000</v>
      </c>
      <c r="AJ16">
        <v>13</v>
      </c>
      <c r="AK16">
        <f t="shared" si="0"/>
        <v>2028</v>
      </c>
      <c r="AL16">
        <v>12</v>
      </c>
    </row>
    <row r="17" spans="1:46">
      <c r="I17" t="s">
        <v>10741</v>
      </c>
      <c r="AJ17">
        <v>14</v>
      </c>
      <c r="AK17">
        <f t="shared" si="0"/>
        <v>2029</v>
      </c>
      <c r="AS17" t="s">
        <v>10497</v>
      </c>
      <c r="AT17">
        <v>18</v>
      </c>
    </row>
    <row r="18" spans="1:46">
      <c r="A18" t="s">
        <v>10742</v>
      </c>
      <c r="G18">
        <f>3%*G4</f>
        <v>9000</v>
      </c>
      <c r="I18" t="s">
        <v>10743</v>
      </c>
      <c r="K18">
        <f>5%*K5</f>
        <v>15000</v>
      </c>
      <c r="O18">
        <f>5%*O6</f>
        <v>20000</v>
      </c>
      <c r="S18">
        <f>5%*S5</f>
        <v>25000</v>
      </c>
      <c r="AJ18">
        <v>15</v>
      </c>
      <c r="AK18">
        <f t="shared" si="0"/>
        <v>2030</v>
      </c>
      <c r="AL18">
        <v>12</v>
      </c>
    </row>
    <row r="19" spans="1:46">
      <c r="A19" t="s">
        <v>10744</v>
      </c>
      <c r="G19">
        <f>1.35%*G4 *4</f>
        <v>16200.000000000002</v>
      </c>
      <c r="K19">
        <f>1.35%*K5*4</f>
        <v>16200.000000000002</v>
      </c>
      <c r="O19">
        <f>1.35%*O6*4</f>
        <v>21600.000000000004</v>
      </c>
      <c r="S19">
        <f>1.35%*S5*4</f>
        <v>27000.000000000004</v>
      </c>
      <c r="AJ19">
        <v>16</v>
      </c>
      <c r="AK19">
        <f t="shared" si="0"/>
        <v>2031</v>
      </c>
      <c r="AL19" s="8">
        <v>12</v>
      </c>
      <c r="AP19" s="8" t="s">
        <v>10696</v>
      </c>
    </row>
    <row r="20" spans="1:46">
      <c r="A20" t="s">
        <v>10745</v>
      </c>
      <c r="G20">
        <v>4800</v>
      </c>
      <c r="K20">
        <v>4200</v>
      </c>
      <c r="O20">
        <v>4200</v>
      </c>
      <c r="S20">
        <v>4200</v>
      </c>
      <c r="AJ20">
        <v>17</v>
      </c>
      <c r="AK20">
        <f t="shared" si="0"/>
        <v>2032</v>
      </c>
      <c r="AL20">
        <v>12</v>
      </c>
      <c r="AM20" s="8" t="s">
        <v>10696</v>
      </c>
      <c r="AQ20" s="8" t="s">
        <v>10696</v>
      </c>
    </row>
    <row r="21" spans="1:46">
      <c r="A21" t="s">
        <v>10746</v>
      </c>
      <c r="G21">
        <f>1.12*1000*4</f>
        <v>4480</v>
      </c>
      <c r="K21">
        <f>1.81*1000*4</f>
        <v>7240</v>
      </c>
      <c r="O21">
        <f>1.81*1000*3</f>
        <v>5430</v>
      </c>
      <c r="S21">
        <f>1.55*1000*5</f>
        <v>7750</v>
      </c>
      <c r="AJ21">
        <v>18</v>
      </c>
      <c r="AK21">
        <f t="shared" si="0"/>
        <v>2033</v>
      </c>
      <c r="AL21">
        <v>9</v>
      </c>
      <c r="AN21" s="8" t="s">
        <v>10696</v>
      </c>
      <c r="AP21">
        <v>12</v>
      </c>
      <c r="AR21" s="8" t="s">
        <v>10696</v>
      </c>
    </row>
    <row r="22" spans="1:46">
      <c r="A22" t="s">
        <v>10747</v>
      </c>
      <c r="G22">
        <f>SUM(G18:G21)</f>
        <v>34480</v>
      </c>
      <c r="H22">
        <f t="shared" ref="H22:O22" si="1">SUM(H18:H21)</f>
        <v>0</v>
      </c>
      <c r="I22">
        <f t="shared" si="1"/>
        <v>0</v>
      </c>
      <c r="J22">
        <f t="shared" si="1"/>
        <v>0</v>
      </c>
      <c r="K22">
        <f t="shared" si="1"/>
        <v>42640</v>
      </c>
      <c r="L22">
        <f t="shared" si="1"/>
        <v>0</v>
      </c>
      <c r="M22">
        <f t="shared" si="1"/>
        <v>0</v>
      </c>
      <c r="N22">
        <f t="shared" si="1"/>
        <v>0</v>
      </c>
      <c r="O22">
        <f t="shared" si="1"/>
        <v>51230</v>
      </c>
      <c r="P22">
        <f>G22+K22+O22</f>
        <v>128350</v>
      </c>
      <c r="Q22" t="s">
        <v>10748</v>
      </c>
      <c r="S22">
        <f>SUM(S18:S21)</f>
        <v>63950</v>
      </c>
      <c r="T22">
        <f>S22+G22+O22</f>
        <v>149660</v>
      </c>
      <c r="U22" t="s">
        <v>10748</v>
      </c>
      <c r="AJ22">
        <v>19</v>
      </c>
      <c r="AK22">
        <f t="shared" si="0"/>
        <v>2034</v>
      </c>
      <c r="AP22">
        <v>12</v>
      </c>
    </row>
    <row r="23" spans="1:46">
      <c r="P23">
        <f>P22*5</f>
        <v>641750</v>
      </c>
      <c r="Q23" t="s">
        <v>10749</v>
      </c>
      <c r="T23">
        <f>T22*5</f>
        <v>748300</v>
      </c>
      <c r="U23" t="s">
        <v>10749</v>
      </c>
      <c r="AJ23">
        <v>20</v>
      </c>
      <c r="AK23">
        <f t="shared" si="0"/>
        <v>2035</v>
      </c>
      <c r="AP23">
        <v>12</v>
      </c>
    </row>
    <row r="24" spans="1:46">
      <c r="A24" t="s">
        <v>10750</v>
      </c>
      <c r="G24" s="70">
        <f>G22/G4</f>
        <v>0.11493333333333333</v>
      </c>
      <c r="K24" s="70">
        <f>K22/K5</f>
        <v>0.14213333333333333</v>
      </c>
      <c r="O24" s="70">
        <f>O22/O6</f>
        <v>0.12807499999999999</v>
      </c>
      <c r="S24" s="70">
        <f>S22/S5</f>
        <v>0.12790000000000001</v>
      </c>
      <c r="AJ24">
        <v>21</v>
      </c>
      <c r="AK24">
        <f t="shared" si="0"/>
        <v>2036</v>
      </c>
      <c r="AP24">
        <v>12</v>
      </c>
    </row>
    <row r="25" spans="1:46">
      <c r="AJ25">
        <v>22</v>
      </c>
      <c r="AK25">
        <f t="shared" si="0"/>
        <v>2037</v>
      </c>
      <c r="AP25">
        <v>12</v>
      </c>
    </row>
    <row r="26" spans="1:46">
      <c r="A26" t="s">
        <v>10751</v>
      </c>
      <c r="G26">
        <f>4*G22</f>
        <v>137920</v>
      </c>
      <c r="K26">
        <f>3*K22</f>
        <v>127920</v>
      </c>
      <c r="O26">
        <f>2*O22</f>
        <v>102460</v>
      </c>
      <c r="P26">
        <f>G26+K26+O26</f>
        <v>368300</v>
      </c>
      <c r="Q26" t="s">
        <v>10752</v>
      </c>
      <c r="S26">
        <f>3*S22</f>
        <v>191850</v>
      </c>
      <c r="AJ26">
        <v>23</v>
      </c>
      <c r="AK26">
        <f t="shared" si="0"/>
        <v>2038</v>
      </c>
      <c r="AP26">
        <v>12</v>
      </c>
    </row>
    <row r="27" spans="1:46">
      <c r="G27">
        <f>G26</f>
        <v>137920</v>
      </c>
      <c r="K27">
        <f>S26</f>
        <v>191850</v>
      </c>
      <c r="O27">
        <f>O26</f>
        <v>102460</v>
      </c>
      <c r="P27">
        <f>G27+K27+O27</f>
        <v>432230</v>
      </c>
      <c r="Q27" t="s">
        <v>10753</v>
      </c>
      <c r="AJ27">
        <v>24</v>
      </c>
      <c r="AK27">
        <f t="shared" si="0"/>
        <v>2039</v>
      </c>
      <c r="AP27">
        <v>5</v>
      </c>
    </row>
    <row r="29" spans="1:46">
      <c r="A29" t="s">
        <v>10754</v>
      </c>
      <c r="G29">
        <f>4*G4</f>
        <v>1200000</v>
      </c>
      <c r="K29">
        <f>3*K5</f>
        <v>900000</v>
      </c>
      <c r="O29">
        <f>2*O6</f>
        <v>800000</v>
      </c>
      <c r="P29">
        <f>G29+K29+O29</f>
        <v>2900000</v>
      </c>
      <c r="Q29" t="s">
        <v>10752</v>
      </c>
    </row>
    <row r="30" spans="1:46">
      <c r="G30">
        <f>G29</f>
        <v>1200000</v>
      </c>
      <c r="K30">
        <f>3*S5</f>
        <v>1500000</v>
      </c>
      <c r="O30">
        <f>O29</f>
        <v>800000</v>
      </c>
      <c r="P30">
        <f>G30+K30+O30</f>
        <v>3500000</v>
      </c>
      <c r="Q30" t="s">
        <v>10753</v>
      </c>
    </row>
    <row r="32" spans="1:46">
      <c r="A32" t="s">
        <v>10755</v>
      </c>
      <c r="P32" s="70">
        <f>P26/P29</f>
        <v>0.127</v>
      </c>
      <c r="Q32" t="s">
        <v>10752</v>
      </c>
    </row>
    <row r="33" spans="1:17">
      <c r="P33" s="70">
        <f>P27/P30</f>
        <v>0.12349428571428571</v>
      </c>
      <c r="Q33" t="s">
        <v>10753</v>
      </c>
    </row>
    <row r="35" spans="1:17">
      <c r="P35">
        <v>5000000</v>
      </c>
      <c r="Q35" t="s">
        <v>10756</v>
      </c>
    </row>
    <row r="36" spans="1:17">
      <c r="P36">
        <v>5500000</v>
      </c>
      <c r="Q36" t="s">
        <v>10757</v>
      </c>
    </row>
    <row r="37" spans="1:17">
      <c r="A37" t="s">
        <v>10758</v>
      </c>
      <c r="G37" s="70">
        <f>7013/(7013+155847)</f>
        <v>4.3061525236399362E-2</v>
      </c>
    </row>
  </sheetData>
  <hyperlinks>
    <hyperlink ref="G1" r:id="rId1" xr:uid="{00000000-0004-0000-1100-000000000000}"/>
    <hyperlink ref="K1" r:id="rId2" xr:uid="{00000000-0004-0000-1100-000001000000}"/>
  </hyperlinks>
  <pageMargins left="0.7" right="0.7" top="0.75" bottom="0.75" header="0.3" footer="0.3"/>
  <pageSetup paperSize="9" orientation="portrait" r:id="rId3"/>
  <legacyDrawing r:id="rId4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200-000000000000}">
  <sheetPr>
    <tabColor rgb="FFFFC000"/>
  </sheetPr>
  <dimension ref="A1:W8"/>
  <sheetViews>
    <sheetView workbookViewId="0">
      <selection activeCell="O1" sqref="O1"/>
    </sheetView>
  </sheetViews>
  <sheetFormatPr defaultRowHeight="15"/>
  <cols>
    <col min="1" max="1" width="9.7109375" bestFit="1" customWidth="1"/>
    <col min="4" max="4" width="14.42578125" bestFit="1" customWidth="1"/>
    <col min="15" max="15" width="9.5703125" bestFit="1" customWidth="1"/>
    <col min="23" max="23" width="13.28515625" bestFit="1" customWidth="1"/>
  </cols>
  <sheetData>
    <row r="1" spans="1:23">
      <c r="B1" s="29" t="s">
        <v>13631</v>
      </c>
      <c r="H1" s="29" t="s">
        <v>13632</v>
      </c>
      <c r="O1" s="29" t="s">
        <v>14043</v>
      </c>
      <c r="Q1" t="s">
        <v>13634</v>
      </c>
      <c r="V1" s="29" t="s">
        <v>14050</v>
      </c>
      <c r="W1" t="s">
        <v>14049</v>
      </c>
    </row>
    <row r="2" spans="1:23">
      <c r="A2" t="s">
        <v>10759</v>
      </c>
      <c r="B2" t="s">
        <v>10759</v>
      </c>
      <c r="C2" t="s">
        <v>10759</v>
      </c>
      <c r="G2" t="s">
        <v>10760</v>
      </c>
      <c r="H2" t="s">
        <v>10760</v>
      </c>
      <c r="I2" t="s">
        <v>10760</v>
      </c>
      <c r="K2" t="s">
        <v>10761</v>
      </c>
      <c r="O2" t="s">
        <v>13633</v>
      </c>
      <c r="P2" t="s">
        <v>13633</v>
      </c>
      <c r="Q2" t="s">
        <v>13891</v>
      </c>
      <c r="V2" s="29" t="s">
        <v>14050</v>
      </c>
      <c r="W2" t="s">
        <v>14052</v>
      </c>
    </row>
    <row r="3" spans="1:23">
      <c r="A3" t="s">
        <v>924</v>
      </c>
      <c r="B3" t="s">
        <v>10762</v>
      </c>
      <c r="C3" t="s">
        <v>10763</v>
      </c>
      <c r="G3" t="s">
        <v>924</v>
      </c>
      <c r="H3" t="s">
        <v>10762</v>
      </c>
      <c r="I3" t="s">
        <v>10763</v>
      </c>
      <c r="O3" t="s">
        <v>924</v>
      </c>
      <c r="P3" t="s">
        <v>10762</v>
      </c>
      <c r="Q3" t="s">
        <v>10763</v>
      </c>
      <c r="R3" t="s">
        <v>14044</v>
      </c>
      <c r="V3" s="29" t="s">
        <v>14053</v>
      </c>
      <c r="W3" t="s">
        <v>14051</v>
      </c>
    </row>
    <row r="4" spans="1:23">
      <c r="A4" s="5">
        <v>43831</v>
      </c>
      <c r="B4">
        <v>21000</v>
      </c>
      <c r="C4">
        <v>6600</v>
      </c>
      <c r="D4" t="s">
        <v>10764</v>
      </c>
      <c r="G4" s="5">
        <v>44501</v>
      </c>
      <c r="H4">
        <v>16600</v>
      </c>
      <c r="I4">
        <v>6200</v>
      </c>
      <c r="K4" t="s">
        <v>10765</v>
      </c>
      <c r="O4" s="105">
        <v>45383</v>
      </c>
      <c r="P4">
        <v>0</v>
      </c>
      <c r="Q4" t="s">
        <v>13892</v>
      </c>
      <c r="R4" t="s">
        <v>14045</v>
      </c>
    </row>
    <row r="5" spans="1:23">
      <c r="A5" s="5">
        <v>44197</v>
      </c>
      <c r="B5">
        <v>24000</v>
      </c>
      <c r="C5">
        <v>11636</v>
      </c>
      <c r="G5" s="5">
        <v>44652</v>
      </c>
      <c r="I5">
        <v>6906</v>
      </c>
      <c r="J5" t="s">
        <v>10766</v>
      </c>
      <c r="R5" t="s">
        <v>14046</v>
      </c>
    </row>
    <row r="6" spans="1:23">
      <c r="A6" s="5">
        <v>44958</v>
      </c>
      <c r="D6" t="s">
        <v>10767</v>
      </c>
      <c r="G6" s="5">
        <v>44896</v>
      </c>
      <c r="H6">
        <v>20610</v>
      </c>
      <c r="I6">
        <v>8000</v>
      </c>
      <c r="J6" t="s">
        <v>10768</v>
      </c>
    </row>
    <row r="7" spans="1:23">
      <c r="A7" s="5">
        <v>45200</v>
      </c>
      <c r="D7" t="s">
        <v>10767</v>
      </c>
      <c r="I7">
        <v>4200</v>
      </c>
      <c r="J7" t="s">
        <v>10769</v>
      </c>
    </row>
    <row r="8" spans="1:23">
      <c r="A8" s="105">
        <v>45333</v>
      </c>
      <c r="B8" t="s">
        <v>13630</v>
      </c>
      <c r="G8" s="67">
        <v>45444</v>
      </c>
      <c r="H8">
        <v>25000</v>
      </c>
      <c r="I8">
        <v>7000</v>
      </c>
    </row>
  </sheetData>
  <pageMargins left="0.7" right="0.7" top="0.75" bottom="0.75" header="0.3" footer="0.3"/>
  <pageSetup paperSize="9" orientation="portrait" r:id="rId1"/>
</worksheet>
</file>

<file path=xl/worksheets/sheet2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500-000000000000}">
  <dimension ref="A1:S20"/>
  <sheetViews>
    <sheetView topLeftCell="B1" workbookViewId="0">
      <selection activeCell="Q20" sqref="Q20"/>
    </sheetView>
  </sheetViews>
  <sheetFormatPr defaultRowHeight="15"/>
  <cols>
    <col min="1" max="1" width="17" bestFit="1" customWidth="1"/>
    <col min="2" max="2" width="11.28515625" bestFit="1" customWidth="1"/>
    <col min="3" max="3" width="4.42578125" customWidth="1"/>
    <col min="4" max="4" width="16.7109375" customWidth="1"/>
    <col min="6" max="6" width="4.42578125" customWidth="1"/>
    <col min="7" max="7" width="14.5703125" bestFit="1" customWidth="1"/>
    <col min="8" max="8" width="13.28515625" bestFit="1" customWidth="1"/>
    <col min="13" max="13" width="17" bestFit="1" customWidth="1"/>
    <col min="14" max="14" width="11.28515625" bestFit="1" customWidth="1"/>
    <col min="17" max="17" width="17" bestFit="1" customWidth="1"/>
    <col min="18" max="18" width="11.28515625" bestFit="1" customWidth="1"/>
    <col min="19" max="19" width="8.85546875"/>
  </cols>
  <sheetData>
    <row r="1" spans="1:19">
      <c r="A1" s="29" t="s">
        <v>10461</v>
      </c>
      <c r="D1" s="29" t="s">
        <v>10777</v>
      </c>
      <c r="G1" s="29" t="s">
        <v>10777</v>
      </c>
      <c r="M1" s="29" t="s">
        <v>10778</v>
      </c>
      <c r="Q1" s="29" t="s">
        <v>10779</v>
      </c>
    </row>
    <row r="2" spans="1:19">
      <c r="A2" t="s">
        <v>10780</v>
      </c>
      <c r="B2">
        <v>4500</v>
      </c>
      <c r="D2" t="s">
        <v>10781</v>
      </c>
      <c r="E2">
        <v>300000</v>
      </c>
      <c r="G2" t="s">
        <v>1380</v>
      </c>
      <c r="H2">
        <v>4500000</v>
      </c>
      <c r="M2" t="s">
        <v>10780</v>
      </c>
      <c r="N2">
        <v>3500</v>
      </c>
      <c r="Q2" t="s">
        <v>10780</v>
      </c>
      <c r="R2">
        <v>3500</v>
      </c>
    </row>
    <row r="3" spans="1:19" ht="30">
      <c r="A3" t="s">
        <v>10782</v>
      </c>
      <c r="B3">
        <v>10000</v>
      </c>
      <c r="D3" s="20" t="s">
        <v>10783</v>
      </c>
      <c r="E3">
        <v>700000</v>
      </c>
      <c r="G3" t="s">
        <v>10784</v>
      </c>
      <c r="H3">
        <f>H2*30%</f>
        <v>1350000</v>
      </c>
      <c r="M3" t="s">
        <v>10782</v>
      </c>
      <c r="N3">
        <v>10000</v>
      </c>
      <c r="Q3" t="s">
        <v>10782</v>
      </c>
      <c r="R3">
        <v>10000</v>
      </c>
    </row>
    <row r="4" spans="1:19">
      <c r="A4" t="s">
        <v>10785</v>
      </c>
      <c r="B4">
        <v>1000</v>
      </c>
      <c r="D4" s="29" t="s">
        <v>10777</v>
      </c>
      <c r="E4" s="29">
        <f>B19*12</f>
        <v>1093200</v>
      </c>
      <c r="G4" s="30" t="s">
        <v>10786</v>
      </c>
      <c r="H4" s="30">
        <f>H2-H3</f>
        <v>3150000</v>
      </c>
      <c r="M4" t="s">
        <v>10785</v>
      </c>
      <c r="N4">
        <v>1600</v>
      </c>
      <c r="Q4" t="s">
        <v>10785</v>
      </c>
      <c r="R4">
        <v>1600</v>
      </c>
    </row>
    <row r="5" spans="1:19">
      <c r="A5" t="s">
        <v>10787</v>
      </c>
      <c r="B5">
        <v>700</v>
      </c>
      <c r="D5" s="30" t="s">
        <v>952</v>
      </c>
      <c r="E5" s="30">
        <f>SUM(E2:E4)</f>
        <v>2093200</v>
      </c>
      <c r="M5" t="s">
        <v>10787</v>
      </c>
      <c r="N5">
        <v>2000</v>
      </c>
      <c r="Q5" t="s">
        <v>10787</v>
      </c>
      <c r="R5">
        <v>2000</v>
      </c>
    </row>
    <row r="6" spans="1:19">
      <c r="A6" t="s">
        <v>10788</v>
      </c>
      <c r="B6">
        <v>3000</v>
      </c>
      <c r="G6" s="30" t="s">
        <v>10789</v>
      </c>
      <c r="H6" s="31">
        <f>H4-E5</f>
        <v>1056800</v>
      </c>
      <c r="M6" t="s">
        <v>10788</v>
      </c>
      <c r="N6">
        <v>1500</v>
      </c>
      <c r="Q6" t="s">
        <v>10788</v>
      </c>
      <c r="R6">
        <v>1500</v>
      </c>
    </row>
    <row r="7" spans="1:19">
      <c r="A7" t="s">
        <v>10790</v>
      </c>
      <c r="B7">
        <v>600</v>
      </c>
      <c r="G7" s="32" t="s">
        <v>10791</v>
      </c>
      <c r="H7" s="32">
        <f>H6+H4</f>
        <v>4206800</v>
      </c>
      <c r="M7" t="s">
        <v>10790</v>
      </c>
      <c r="N7">
        <v>800</v>
      </c>
      <c r="Q7" t="s">
        <v>10790</v>
      </c>
      <c r="R7">
        <v>800</v>
      </c>
    </row>
    <row r="8" spans="1:19">
      <c r="A8" t="s">
        <v>10792</v>
      </c>
      <c r="B8">
        <v>300</v>
      </c>
      <c r="D8" s="29" t="s">
        <v>10793</v>
      </c>
      <c r="M8" t="s">
        <v>10794</v>
      </c>
      <c r="N8">
        <v>3000</v>
      </c>
      <c r="Q8" t="s">
        <v>10794</v>
      </c>
    </row>
    <row r="9" spans="1:19">
      <c r="A9" t="s">
        <v>10795</v>
      </c>
      <c r="B9">
        <v>2500</v>
      </c>
      <c r="M9" t="s">
        <v>10796</v>
      </c>
      <c r="N9">
        <v>5000</v>
      </c>
      <c r="Q9" t="s">
        <v>10796</v>
      </c>
      <c r="R9">
        <v>5000</v>
      </c>
    </row>
    <row r="10" spans="1:19">
      <c r="A10" t="s">
        <v>10794</v>
      </c>
      <c r="B10">
        <v>12000</v>
      </c>
      <c r="D10" s="29" t="s">
        <v>10777</v>
      </c>
      <c r="E10" s="29">
        <f>B20*12</f>
        <v>874560</v>
      </c>
      <c r="M10" t="s">
        <v>10797</v>
      </c>
      <c r="N10">
        <v>40000</v>
      </c>
      <c r="Q10" t="s">
        <v>10797</v>
      </c>
      <c r="R10">
        <v>40000</v>
      </c>
    </row>
    <row r="11" spans="1:19">
      <c r="A11" t="s">
        <v>10798</v>
      </c>
      <c r="B11">
        <v>1000</v>
      </c>
      <c r="D11" s="33" t="s">
        <v>952</v>
      </c>
      <c r="E11" s="33">
        <f>SUM(E2:E3,E10)</f>
        <v>1874560</v>
      </c>
      <c r="G11" s="33" t="s">
        <v>10789</v>
      </c>
      <c r="H11" s="34">
        <f>H4-E11</f>
        <v>1275440</v>
      </c>
      <c r="M11" t="s">
        <v>10799</v>
      </c>
      <c r="N11">
        <v>2000</v>
      </c>
      <c r="Q11" t="s">
        <v>10799</v>
      </c>
      <c r="R11">
        <v>2000</v>
      </c>
    </row>
    <row r="12" spans="1:19">
      <c r="A12" t="s">
        <v>10796</v>
      </c>
      <c r="B12">
        <v>5000</v>
      </c>
      <c r="G12" s="35" t="s">
        <v>10791</v>
      </c>
      <c r="H12" s="32">
        <f>H11+H4</f>
        <v>4425440</v>
      </c>
      <c r="M12" t="s">
        <v>10800</v>
      </c>
      <c r="N12">
        <v>5000</v>
      </c>
      <c r="Q12" t="s">
        <v>10800</v>
      </c>
      <c r="R12">
        <v>5000</v>
      </c>
    </row>
    <row r="13" spans="1:19">
      <c r="A13" t="s">
        <v>10797</v>
      </c>
      <c r="B13">
        <v>15000</v>
      </c>
      <c r="M13" t="s">
        <v>10801</v>
      </c>
      <c r="N13">
        <v>25000</v>
      </c>
      <c r="O13">
        <f>N13*12</f>
        <v>300000</v>
      </c>
      <c r="Q13" t="s">
        <v>10801</v>
      </c>
      <c r="S13">
        <f>R13*12</f>
        <v>0</v>
      </c>
    </row>
    <row r="14" spans="1:19">
      <c r="A14" t="s">
        <v>10799</v>
      </c>
      <c r="B14">
        <v>500</v>
      </c>
      <c r="M14" t="s">
        <v>10802</v>
      </c>
      <c r="N14">
        <v>5000</v>
      </c>
      <c r="Q14" t="s">
        <v>10802</v>
      </c>
      <c r="R14">
        <v>5000</v>
      </c>
    </row>
    <row r="15" spans="1:19">
      <c r="A15" t="s">
        <v>10800</v>
      </c>
      <c r="B15">
        <v>5000</v>
      </c>
      <c r="M15" t="s">
        <v>10803</v>
      </c>
      <c r="N15">
        <f>30000/12</f>
        <v>2500</v>
      </c>
      <c r="Q15" t="s">
        <v>10803</v>
      </c>
      <c r="R15">
        <f>30000/12</f>
        <v>2500</v>
      </c>
    </row>
    <row r="16" spans="1:19">
      <c r="A16" t="s">
        <v>10801</v>
      </c>
      <c r="B16">
        <v>15000</v>
      </c>
      <c r="M16" t="s">
        <v>10804</v>
      </c>
      <c r="Q16" t="s">
        <v>10804</v>
      </c>
    </row>
    <row r="17" spans="1:19">
      <c r="A17" t="s">
        <v>10802</v>
      </c>
      <c r="B17">
        <v>5000</v>
      </c>
      <c r="M17" t="s">
        <v>10805</v>
      </c>
      <c r="N17">
        <v>75000</v>
      </c>
      <c r="O17">
        <f>N17*12</f>
        <v>900000</v>
      </c>
      <c r="Q17" t="s">
        <v>10805</v>
      </c>
      <c r="R17">
        <v>75000</v>
      </c>
      <c r="S17">
        <f>R17*12</f>
        <v>900000</v>
      </c>
    </row>
    <row r="18" spans="1:19">
      <c r="A18" t="s">
        <v>10806</v>
      </c>
      <c r="B18">
        <v>10000</v>
      </c>
      <c r="M18" s="30" t="s">
        <v>10807</v>
      </c>
      <c r="N18" s="30">
        <f>SUM(N1:N17)</f>
        <v>181900</v>
      </c>
      <c r="O18">
        <f>N18*12</f>
        <v>2182800</v>
      </c>
      <c r="Q18" s="30" t="s">
        <v>10807</v>
      </c>
      <c r="R18" s="30">
        <f>SUM(R1:R17)</f>
        <v>153900</v>
      </c>
      <c r="S18">
        <f>R18*12</f>
        <v>1846800</v>
      </c>
    </row>
    <row r="19" spans="1:19">
      <c r="A19" s="30" t="s">
        <v>10807</v>
      </c>
      <c r="B19" s="30">
        <f>SUM(B2:B18)</f>
        <v>91100</v>
      </c>
    </row>
    <row r="20" spans="1:19">
      <c r="A20" s="33" t="s">
        <v>10793</v>
      </c>
      <c r="B20" s="36">
        <f>B19-20%*B19</f>
        <v>72880</v>
      </c>
    </row>
  </sheetData>
  <pageMargins left="0.7" right="0.7" top="0.75" bottom="0.75" header="0.3" footer="0.3"/>
  <pageSetup orientation="portrait" horizontalDpi="200" verticalDpi="200" r:id="rId1"/>
  <legacyDrawing r:id="rId2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600-000000000000}">
  <dimension ref="A1:F16"/>
  <sheetViews>
    <sheetView workbookViewId="0">
      <selection activeCell="A4" sqref="A4"/>
    </sheetView>
  </sheetViews>
  <sheetFormatPr defaultRowHeight="15"/>
  <cols>
    <col min="2" max="2" width="70" bestFit="1" customWidth="1"/>
    <col min="3" max="3" width="12" bestFit="1" customWidth="1"/>
    <col min="4" max="4" width="13.28515625" bestFit="1" customWidth="1"/>
  </cols>
  <sheetData>
    <row r="1" spans="1:6">
      <c r="B1" t="s">
        <v>10452</v>
      </c>
      <c r="C1" t="s">
        <v>10808</v>
      </c>
    </row>
    <row r="2" spans="1:6">
      <c r="B2" t="s">
        <v>10809</v>
      </c>
      <c r="C2" s="52">
        <v>43055</v>
      </c>
      <c r="D2" t="s">
        <v>10810</v>
      </c>
      <c r="E2">
        <v>300000</v>
      </c>
    </row>
    <row r="3" spans="1:6">
      <c r="B3" t="s">
        <v>10811</v>
      </c>
      <c r="C3" s="52">
        <v>39029</v>
      </c>
      <c r="D3" t="s">
        <v>10812</v>
      </c>
      <c r="E3">
        <v>250000</v>
      </c>
      <c r="F3" t="s">
        <v>10813</v>
      </c>
    </row>
    <row r="4" spans="1:6">
      <c r="A4" t="s">
        <v>10814</v>
      </c>
      <c r="B4" t="s">
        <v>10815</v>
      </c>
      <c r="C4" s="52">
        <v>36423</v>
      </c>
      <c r="D4" t="s">
        <v>10812</v>
      </c>
      <c r="E4">
        <v>1200000</v>
      </c>
    </row>
    <row r="5" spans="1:6">
      <c r="B5" t="s">
        <v>10816</v>
      </c>
      <c r="C5" s="52">
        <v>36423</v>
      </c>
      <c r="D5" t="s">
        <v>10812</v>
      </c>
      <c r="E5">
        <v>5237.7700000000004</v>
      </c>
      <c r="F5" t="s">
        <v>10813</v>
      </c>
    </row>
    <row r="6" spans="1:6">
      <c r="B6" t="s">
        <v>10817</v>
      </c>
      <c r="C6" s="52">
        <v>35950</v>
      </c>
      <c r="D6" t="s">
        <v>10812</v>
      </c>
      <c r="E6">
        <v>1070000</v>
      </c>
    </row>
    <row r="7" spans="1:6">
      <c r="B7" t="s">
        <v>10818</v>
      </c>
      <c r="C7" s="52">
        <v>43364</v>
      </c>
      <c r="D7" t="s">
        <v>10812</v>
      </c>
      <c r="E7">
        <v>300000</v>
      </c>
    </row>
    <row r="8" spans="1:6">
      <c r="B8" t="s">
        <v>10819</v>
      </c>
      <c r="C8" s="52">
        <v>43276</v>
      </c>
      <c r="D8" t="s">
        <v>10812</v>
      </c>
      <c r="E8">
        <v>300000</v>
      </c>
    </row>
    <row r="9" spans="1:6">
      <c r="B9" t="s">
        <v>10820</v>
      </c>
      <c r="C9" s="52">
        <v>42821</v>
      </c>
      <c r="D9" t="s">
        <v>10810</v>
      </c>
      <c r="E9">
        <v>300000</v>
      </c>
    </row>
    <row r="10" spans="1:6">
      <c r="B10" t="s">
        <v>10821</v>
      </c>
      <c r="C10" s="52">
        <v>42940</v>
      </c>
      <c r="D10" t="s">
        <v>10810</v>
      </c>
      <c r="E10">
        <v>400000</v>
      </c>
    </row>
    <row r="11" spans="1:6">
      <c r="B11" t="s">
        <v>10822</v>
      </c>
      <c r="C11" s="52">
        <v>41899</v>
      </c>
      <c r="D11" t="s">
        <v>10812</v>
      </c>
      <c r="E11">
        <v>300000</v>
      </c>
    </row>
    <row r="12" spans="1:6">
      <c r="B12" t="s">
        <v>10823</v>
      </c>
      <c r="C12" s="52">
        <v>42590</v>
      </c>
      <c r="D12" t="s">
        <v>10812</v>
      </c>
      <c r="E12">
        <v>300000</v>
      </c>
    </row>
    <row r="13" spans="1:6">
      <c r="B13" t="s">
        <v>10824</v>
      </c>
      <c r="C13" s="52">
        <v>38124</v>
      </c>
      <c r="D13" t="s">
        <v>10812</v>
      </c>
      <c r="E13">
        <v>500000</v>
      </c>
    </row>
    <row r="14" spans="1:6">
      <c r="B14" t="s">
        <v>10825</v>
      </c>
      <c r="C14" s="52">
        <v>43420</v>
      </c>
      <c r="D14" t="s">
        <v>10810</v>
      </c>
      <c r="E14">
        <v>500000</v>
      </c>
    </row>
    <row r="15" spans="1:6">
      <c r="B15" t="s">
        <v>10826</v>
      </c>
      <c r="C15" s="52">
        <v>42835</v>
      </c>
      <c r="D15" t="s">
        <v>10810</v>
      </c>
      <c r="E15">
        <v>200000</v>
      </c>
    </row>
    <row r="16" spans="1:6">
      <c r="B16" t="s">
        <v>10827</v>
      </c>
      <c r="C16" s="52">
        <v>42759</v>
      </c>
      <c r="D16" t="s">
        <v>10810</v>
      </c>
      <c r="E16">
        <v>200000</v>
      </c>
    </row>
  </sheetData>
  <pageMargins left="0.7" right="0.7" top="0.75" bottom="0.75" header="0.3" footer="0.3"/>
  <pageSetup orientation="portrait" horizontalDpi="200" verticalDpi="200" r:id="rId1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B393415-BCC7-41D6-939C-5DC0A4765548}">
  <sheetPr>
    <tabColor rgb="FF92D050"/>
  </sheetPr>
  <dimension ref="A1:G191"/>
  <sheetViews>
    <sheetView workbookViewId="0"/>
  </sheetViews>
  <sheetFormatPr defaultRowHeight="12.75"/>
  <cols>
    <col min="1" max="2" width="10.140625" style="172" bestFit="1" customWidth="1"/>
    <col min="3" max="3" width="44.7109375" style="172" bestFit="1" customWidth="1"/>
    <col min="4" max="4" width="41" style="172" bestFit="1" customWidth="1"/>
    <col min="5" max="6" width="10.7109375" style="172" bestFit="1" customWidth="1"/>
    <col min="7" max="7" width="12.5703125" style="172" bestFit="1" customWidth="1"/>
    <col min="8" max="16384" width="9.140625" style="172"/>
  </cols>
  <sheetData>
    <row r="1" spans="1:7">
      <c r="A1" s="171">
        <v>37090</v>
      </c>
      <c r="C1" s="172" t="s">
        <v>1394</v>
      </c>
      <c r="E1" s="172" t="s">
        <v>10828</v>
      </c>
      <c r="F1" s="172" t="s">
        <v>10829</v>
      </c>
      <c r="G1" s="172">
        <v>0</v>
      </c>
    </row>
    <row r="2" spans="1:7">
      <c r="A2" s="171">
        <v>37093</v>
      </c>
      <c r="B2" s="173">
        <v>37093</v>
      </c>
      <c r="C2" s="172" t="s">
        <v>3792</v>
      </c>
      <c r="E2" s="174">
        <v>9940</v>
      </c>
      <c r="G2" s="172" t="s">
        <v>3793</v>
      </c>
    </row>
    <row r="3" spans="1:7">
      <c r="A3" s="171">
        <v>37127</v>
      </c>
      <c r="B3" s="173">
        <v>37127</v>
      </c>
      <c r="C3" s="172" t="s">
        <v>3794</v>
      </c>
      <c r="E3" s="174">
        <v>10625</v>
      </c>
      <c r="G3" s="172" t="s">
        <v>3795</v>
      </c>
    </row>
    <row r="4" spans="1:7">
      <c r="A4" s="171">
        <v>37127</v>
      </c>
      <c r="B4" s="173">
        <v>37127</v>
      </c>
      <c r="C4" s="172" t="s">
        <v>3796</v>
      </c>
      <c r="F4" s="174">
        <v>10000</v>
      </c>
      <c r="G4" s="172" t="s">
        <v>3797</v>
      </c>
    </row>
    <row r="5" spans="1:7">
      <c r="A5" s="171">
        <v>37142</v>
      </c>
      <c r="B5" s="173">
        <v>37134</v>
      </c>
      <c r="C5" s="172" t="s">
        <v>3798</v>
      </c>
      <c r="E5" s="172">
        <v>33</v>
      </c>
      <c r="G5" s="172" t="s">
        <v>3799</v>
      </c>
    </row>
    <row r="6" spans="1:7">
      <c r="A6" s="171">
        <v>37156</v>
      </c>
      <c r="B6" s="173">
        <v>37156</v>
      </c>
      <c r="C6" s="172" t="s">
        <v>3800</v>
      </c>
      <c r="F6" s="174">
        <v>3000</v>
      </c>
      <c r="G6" s="172" t="s">
        <v>3801</v>
      </c>
    </row>
    <row r="7" spans="1:7">
      <c r="A7" s="171">
        <v>37159</v>
      </c>
      <c r="B7" s="173">
        <v>37159</v>
      </c>
      <c r="C7" s="172" t="s">
        <v>3802</v>
      </c>
      <c r="E7" s="174">
        <v>10455</v>
      </c>
      <c r="G7" s="172" t="s">
        <v>3803</v>
      </c>
    </row>
    <row r="8" spans="1:7">
      <c r="A8" s="171">
        <v>37159</v>
      </c>
      <c r="B8" s="173">
        <v>37159</v>
      </c>
      <c r="C8" s="172" t="s">
        <v>3804</v>
      </c>
      <c r="F8" s="174">
        <v>5000</v>
      </c>
      <c r="G8" s="172" t="s">
        <v>3805</v>
      </c>
    </row>
    <row r="9" spans="1:7">
      <c r="A9" s="171">
        <v>37188</v>
      </c>
      <c r="B9" s="173">
        <v>37188</v>
      </c>
      <c r="C9" s="172" t="s">
        <v>3806</v>
      </c>
      <c r="E9" s="174">
        <v>10455</v>
      </c>
      <c r="G9" s="172" t="s">
        <v>3807</v>
      </c>
    </row>
    <row r="10" spans="1:7">
      <c r="A10" s="171">
        <v>37188</v>
      </c>
      <c r="B10" s="173">
        <v>37188</v>
      </c>
      <c r="C10" s="172" t="s">
        <v>3808</v>
      </c>
      <c r="F10" s="174">
        <v>10000</v>
      </c>
      <c r="G10" s="172" t="s">
        <v>3809</v>
      </c>
    </row>
    <row r="11" spans="1:7">
      <c r="A11" s="171">
        <v>37216</v>
      </c>
      <c r="B11" s="173">
        <v>37216</v>
      </c>
      <c r="C11" s="172" t="s">
        <v>3810</v>
      </c>
      <c r="E11" s="172">
        <v>100</v>
      </c>
      <c r="G11" s="172" t="s">
        <v>3811</v>
      </c>
    </row>
    <row r="12" spans="1:7">
      <c r="A12" s="171">
        <v>37218</v>
      </c>
      <c r="B12" s="173">
        <v>37218</v>
      </c>
      <c r="C12" s="172" t="s">
        <v>3812</v>
      </c>
      <c r="E12" s="174">
        <v>10455</v>
      </c>
      <c r="G12" s="172" t="s">
        <v>3813</v>
      </c>
    </row>
    <row r="13" spans="1:7">
      <c r="A13" s="171">
        <v>37218</v>
      </c>
      <c r="B13" s="173">
        <v>37218</v>
      </c>
      <c r="C13" s="172" t="s">
        <v>3814</v>
      </c>
      <c r="F13" s="174">
        <v>10000</v>
      </c>
      <c r="G13" s="172" t="s">
        <v>3815</v>
      </c>
    </row>
    <row r="14" spans="1:7">
      <c r="A14" s="171">
        <v>37226</v>
      </c>
      <c r="B14" s="173">
        <v>37225</v>
      </c>
      <c r="C14" s="172" t="s">
        <v>3816</v>
      </c>
      <c r="E14" s="172">
        <v>114</v>
      </c>
      <c r="G14" s="172" t="s">
        <v>3817</v>
      </c>
    </row>
    <row r="15" spans="1:7">
      <c r="A15" s="171">
        <v>37252</v>
      </c>
      <c r="B15" s="173">
        <v>37252</v>
      </c>
      <c r="C15" s="172" t="s">
        <v>3818</v>
      </c>
      <c r="E15" s="174">
        <v>10375</v>
      </c>
      <c r="G15" s="172" t="s">
        <v>3819</v>
      </c>
    </row>
    <row r="16" spans="1:7">
      <c r="A16" s="171">
        <v>37252</v>
      </c>
      <c r="B16" s="173">
        <v>37252</v>
      </c>
      <c r="C16" s="172" t="s">
        <v>3820</v>
      </c>
      <c r="F16" s="174">
        <v>10000</v>
      </c>
      <c r="G16" s="172" t="s">
        <v>3821</v>
      </c>
    </row>
    <row r="17" spans="1:7">
      <c r="A17" s="171">
        <v>37267</v>
      </c>
      <c r="B17" s="173">
        <v>37267</v>
      </c>
      <c r="C17" s="172" t="s">
        <v>3822</v>
      </c>
      <c r="F17" s="174">
        <v>8000</v>
      </c>
      <c r="G17" s="172" t="s">
        <v>3823</v>
      </c>
    </row>
    <row r="18" spans="1:7">
      <c r="A18" s="171">
        <v>37272</v>
      </c>
      <c r="B18" s="173">
        <v>37272</v>
      </c>
      <c r="C18" s="172" t="s">
        <v>3824</v>
      </c>
      <c r="F18" s="174">
        <v>5000</v>
      </c>
      <c r="G18" s="172" t="s">
        <v>3825</v>
      </c>
    </row>
    <row r="19" spans="1:7">
      <c r="A19" s="171">
        <v>37278</v>
      </c>
      <c r="B19" s="173">
        <v>37278</v>
      </c>
      <c r="C19" s="172" t="s">
        <v>3826</v>
      </c>
      <c r="F19" s="174">
        <v>5000</v>
      </c>
      <c r="G19" s="172" t="s">
        <v>3827</v>
      </c>
    </row>
    <row r="20" spans="1:7">
      <c r="A20" s="171">
        <v>37278</v>
      </c>
      <c r="B20" s="173">
        <v>37278</v>
      </c>
      <c r="C20" s="172" t="s">
        <v>3828</v>
      </c>
      <c r="E20" s="174">
        <v>9032</v>
      </c>
      <c r="G20" s="172" t="s">
        <v>3829</v>
      </c>
    </row>
    <row r="21" spans="1:7">
      <c r="A21" s="171">
        <v>37287</v>
      </c>
      <c r="B21" s="173">
        <v>37287</v>
      </c>
      <c r="C21" s="172" t="s">
        <v>3830</v>
      </c>
      <c r="F21" s="174">
        <v>6331</v>
      </c>
      <c r="G21" s="172" t="s">
        <v>3831</v>
      </c>
    </row>
    <row r="22" spans="1:7">
      <c r="A22" s="171">
        <v>37287</v>
      </c>
      <c r="B22" s="173">
        <v>37287</v>
      </c>
      <c r="C22" s="172" t="s">
        <v>3832</v>
      </c>
      <c r="E22" s="174">
        <v>11680</v>
      </c>
      <c r="G22" s="172" t="s">
        <v>3833</v>
      </c>
    </row>
    <row r="23" spans="1:7">
      <c r="A23" s="171">
        <v>37292</v>
      </c>
      <c r="B23" s="173">
        <v>37292</v>
      </c>
      <c r="C23" s="172" t="s">
        <v>3834</v>
      </c>
      <c r="E23" s="172">
        <v>50</v>
      </c>
      <c r="G23" s="172" t="s">
        <v>3835</v>
      </c>
    </row>
    <row r="24" spans="1:7">
      <c r="A24" s="171">
        <v>37313</v>
      </c>
      <c r="B24" s="173">
        <v>37313</v>
      </c>
      <c r="C24" s="172" t="s">
        <v>3836</v>
      </c>
      <c r="E24" s="174">
        <v>11680</v>
      </c>
      <c r="G24" s="172" t="s">
        <v>3837</v>
      </c>
    </row>
    <row r="25" spans="1:7">
      <c r="A25" s="171">
        <v>37313</v>
      </c>
      <c r="B25" s="173">
        <v>37313</v>
      </c>
      <c r="C25" s="172" t="s">
        <v>3838</v>
      </c>
      <c r="F25" s="174">
        <v>10000</v>
      </c>
      <c r="G25" s="172" t="s">
        <v>3839</v>
      </c>
    </row>
    <row r="26" spans="1:7">
      <c r="A26" s="171">
        <v>37319</v>
      </c>
      <c r="B26" s="173">
        <v>37315</v>
      </c>
      <c r="C26" s="172" t="s">
        <v>3840</v>
      </c>
      <c r="E26" s="172">
        <v>89</v>
      </c>
      <c r="G26" s="172" t="s">
        <v>3841</v>
      </c>
    </row>
    <row r="27" spans="1:7">
      <c r="A27" s="171">
        <v>37341</v>
      </c>
      <c r="B27" s="173">
        <v>37341</v>
      </c>
      <c r="C27" s="172" t="s">
        <v>3842</v>
      </c>
      <c r="E27" s="174">
        <v>11585</v>
      </c>
      <c r="G27" s="172" t="s">
        <v>3843</v>
      </c>
    </row>
    <row r="28" spans="1:7">
      <c r="A28" s="171">
        <v>37341</v>
      </c>
      <c r="B28" s="173">
        <v>37341</v>
      </c>
      <c r="C28" s="172" t="s">
        <v>3844</v>
      </c>
      <c r="F28" s="174">
        <v>10000</v>
      </c>
      <c r="G28" s="172" t="s">
        <v>3845</v>
      </c>
    </row>
    <row r="29" spans="1:7">
      <c r="A29" s="171">
        <v>37343</v>
      </c>
      <c r="B29" s="173">
        <v>37343</v>
      </c>
      <c r="C29" s="172" t="s">
        <v>3846</v>
      </c>
      <c r="E29" s="172">
        <v>150</v>
      </c>
      <c r="G29" s="172" t="s">
        <v>3847</v>
      </c>
    </row>
    <row r="30" spans="1:7">
      <c r="A30" s="171">
        <v>37126</v>
      </c>
      <c r="C30" s="172" t="s">
        <v>1394</v>
      </c>
      <c r="G30" s="172">
        <v>0</v>
      </c>
    </row>
    <row r="31" spans="1:7">
      <c r="A31" s="171">
        <v>37127</v>
      </c>
      <c r="B31" s="173">
        <v>37127</v>
      </c>
      <c r="C31" s="172" t="s">
        <v>3848</v>
      </c>
      <c r="E31" s="174">
        <v>10000</v>
      </c>
      <c r="G31" s="172" t="s">
        <v>3849</v>
      </c>
    </row>
    <row r="32" spans="1:7">
      <c r="A32" s="171">
        <v>37345</v>
      </c>
      <c r="B32" s="173">
        <v>37345</v>
      </c>
      <c r="C32" s="172" t="s">
        <v>3850</v>
      </c>
      <c r="E32" s="172">
        <v>491</v>
      </c>
      <c r="G32" s="172" t="s">
        <v>3851</v>
      </c>
    </row>
    <row r="33" spans="1:7">
      <c r="A33" s="171">
        <v>37347</v>
      </c>
      <c r="C33" s="172" t="s">
        <v>1394</v>
      </c>
      <c r="G33" s="172" t="s">
        <v>3847</v>
      </c>
    </row>
    <row r="34" spans="1:7">
      <c r="A34" s="171">
        <v>37369</v>
      </c>
      <c r="B34" s="173">
        <v>37369</v>
      </c>
      <c r="C34" s="172" t="s">
        <v>3852</v>
      </c>
      <c r="E34" s="174">
        <v>11685</v>
      </c>
      <c r="G34" s="172" t="s">
        <v>3853</v>
      </c>
    </row>
    <row r="35" spans="1:7">
      <c r="A35" s="171">
        <v>37369</v>
      </c>
      <c r="B35" s="173">
        <v>37369</v>
      </c>
      <c r="C35" s="172" t="s">
        <v>3854</v>
      </c>
      <c r="F35" s="174">
        <v>15000</v>
      </c>
      <c r="G35" s="172" t="s">
        <v>3855</v>
      </c>
    </row>
    <row r="36" spans="1:7">
      <c r="A36" s="171">
        <v>37376</v>
      </c>
      <c r="B36" s="173">
        <v>37376</v>
      </c>
      <c r="C36" s="172" t="s">
        <v>3856</v>
      </c>
      <c r="E36" s="174">
        <v>14730</v>
      </c>
      <c r="G36" s="172" t="s">
        <v>3857</v>
      </c>
    </row>
    <row r="37" spans="1:7">
      <c r="A37" s="171">
        <v>37376</v>
      </c>
      <c r="B37" s="173">
        <v>37376</v>
      </c>
      <c r="C37" s="172" t="s">
        <v>3858</v>
      </c>
      <c r="E37" s="172">
        <v>100</v>
      </c>
      <c r="G37" s="172" t="s">
        <v>3859</v>
      </c>
    </row>
    <row r="38" spans="1:7">
      <c r="A38" s="171">
        <v>37376</v>
      </c>
      <c r="B38" s="173">
        <v>37376</v>
      </c>
      <c r="C38" s="172" t="s">
        <v>3860</v>
      </c>
      <c r="F38" s="174">
        <v>15000</v>
      </c>
      <c r="G38" s="172" t="s">
        <v>3861</v>
      </c>
    </row>
    <row r="39" spans="1:7">
      <c r="A39" s="171">
        <v>37380</v>
      </c>
      <c r="B39" s="173">
        <v>37380</v>
      </c>
      <c r="C39" s="172" t="s">
        <v>3862</v>
      </c>
      <c r="F39" s="174">
        <v>6331</v>
      </c>
      <c r="G39" s="172" t="s">
        <v>3863</v>
      </c>
    </row>
    <row r="40" spans="1:7">
      <c r="A40" s="171">
        <v>37400</v>
      </c>
      <c r="B40" s="173">
        <v>37400</v>
      </c>
      <c r="C40" s="172" t="s">
        <v>3864</v>
      </c>
      <c r="E40" s="174">
        <v>11685</v>
      </c>
      <c r="G40" s="172" t="s">
        <v>3865</v>
      </c>
    </row>
    <row r="41" spans="1:7">
      <c r="A41" s="171">
        <v>37400</v>
      </c>
      <c r="B41" s="173">
        <v>37400</v>
      </c>
      <c r="C41" s="172" t="s">
        <v>3866</v>
      </c>
      <c r="F41" s="174">
        <v>5000</v>
      </c>
      <c r="G41" s="172" t="s">
        <v>3867</v>
      </c>
    </row>
    <row r="42" spans="1:7">
      <c r="A42" s="171">
        <v>37434</v>
      </c>
      <c r="B42" s="173">
        <v>37434</v>
      </c>
      <c r="C42" s="172" t="s">
        <v>3868</v>
      </c>
      <c r="E42" s="174">
        <v>11345</v>
      </c>
      <c r="G42" s="172" t="s">
        <v>3869</v>
      </c>
    </row>
    <row r="43" spans="1:7">
      <c r="A43" s="171">
        <v>37434</v>
      </c>
      <c r="B43" s="173">
        <v>37434</v>
      </c>
      <c r="C43" s="172" t="s">
        <v>3870</v>
      </c>
      <c r="F43" s="174">
        <v>10000</v>
      </c>
      <c r="G43" s="172" t="s">
        <v>3871</v>
      </c>
    </row>
    <row r="44" spans="1:7">
      <c r="A44" s="171">
        <v>37442</v>
      </c>
      <c r="B44" s="173">
        <v>37442</v>
      </c>
      <c r="C44" s="172" t="s">
        <v>3872</v>
      </c>
      <c r="E44" s="172">
        <v>120</v>
      </c>
      <c r="G44" s="172" t="s">
        <v>3873</v>
      </c>
    </row>
    <row r="45" spans="1:7">
      <c r="A45" s="171">
        <v>37460</v>
      </c>
      <c r="B45" s="173">
        <v>37460</v>
      </c>
      <c r="C45" s="172" t="s">
        <v>3874</v>
      </c>
      <c r="E45" s="174">
        <v>23325</v>
      </c>
      <c r="G45" s="172" t="s">
        <v>3875</v>
      </c>
    </row>
    <row r="46" spans="1:7">
      <c r="A46" s="171">
        <v>37460</v>
      </c>
      <c r="B46" s="173">
        <v>37460</v>
      </c>
      <c r="C46" s="172" t="s">
        <v>3876</v>
      </c>
      <c r="F46" s="174">
        <v>25000</v>
      </c>
      <c r="G46" s="172" t="s">
        <v>3877</v>
      </c>
    </row>
    <row r="47" spans="1:7">
      <c r="A47" s="171">
        <v>37470</v>
      </c>
      <c r="B47" s="173">
        <v>37470</v>
      </c>
      <c r="C47" s="172" t="s">
        <v>3878</v>
      </c>
      <c r="F47" s="174">
        <v>10000</v>
      </c>
      <c r="G47" s="172" t="s">
        <v>3879</v>
      </c>
    </row>
    <row r="48" spans="1:7">
      <c r="A48" s="171">
        <v>37474</v>
      </c>
      <c r="B48" s="173">
        <v>37474</v>
      </c>
      <c r="C48" s="172" t="s">
        <v>3880</v>
      </c>
      <c r="F48" s="174">
        <v>6331</v>
      </c>
      <c r="G48" s="172" t="s">
        <v>3881</v>
      </c>
    </row>
    <row r="49" spans="1:7">
      <c r="A49" s="171">
        <v>37474</v>
      </c>
      <c r="B49" s="173">
        <v>37474</v>
      </c>
      <c r="C49" s="172" t="s">
        <v>3882</v>
      </c>
      <c r="E49" s="174">
        <v>11000</v>
      </c>
      <c r="G49" s="172" t="s">
        <v>3883</v>
      </c>
    </row>
    <row r="50" spans="1:7">
      <c r="A50" s="171">
        <v>37489</v>
      </c>
      <c r="B50" s="173">
        <v>37489</v>
      </c>
      <c r="C50" s="172" t="s">
        <v>3884</v>
      </c>
      <c r="E50" s="172">
        <v>240</v>
      </c>
      <c r="G50" s="172" t="s">
        <v>3885</v>
      </c>
    </row>
    <row r="51" spans="1:7">
      <c r="A51" s="171">
        <v>37491</v>
      </c>
      <c r="B51" s="173">
        <v>37491</v>
      </c>
      <c r="C51" s="172" t="s">
        <v>3886</v>
      </c>
      <c r="E51" s="174">
        <v>13570</v>
      </c>
      <c r="G51" s="172" t="s">
        <v>3887</v>
      </c>
    </row>
    <row r="52" spans="1:7">
      <c r="A52" s="171">
        <v>37491</v>
      </c>
      <c r="B52" s="173">
        <v>37491</v>
      </c>
      <c r="C52" s="172" t="s">
        <v>3888</v>
      </c>
      <c r="F52" s="174">
        <v>5000</v>
      </c>
      <c r="G52" s="172" t="s">
        <v>3889</v>
      </c>
    </row>
    <row r="53" spans="1:7">
      <c r="A53" s="171">
        <v>37499</v>
      </c>
      <c r="B53" s="173">
        <v>37499</v>
      </c>
      <c r="C53" s="172" t="s">
        <v>3890</v>
      </c>
      <c r="E53" s="172">
        <v>189</v>
      </c>
      <c r="G53" s="172" t="s">
        <v>3891</v>
      </c>
    </row>
    <row r="54" spans="1:7">
      <c r="A54" s="171">
        <v>37522</v>
      </c>
      <c r="B54" s="173">
        <v>37522</v>
      </c>
      <c r="C54" s="172" t="s">
        <v>3892</v>
      </c>
      <c r="E54" s="174">
        <v>13085</v>
      </c>
      <c r="G54" s="172" t="s">
        <v>3893</v>
      </c>
    </row>
    <row r="55" spans="1:7">
      <c r="A55" s="171">
        <v>37522</v>
      </c>
      <c r="B55" s="173">
        <v>37522</v>
      </c>
      <c r="C55" s="172" t="s">
        <v>3894</v>
      </c>
      <c r="F55" s="174">
        <v>15000</v>
      </c>
      <c r="G55" s="172" t="s">
        <v>3895</v>
      </c>
    </row>
    <row r="56" spans="1:7">
      <c r="A56" s="171">
        <v>37540</v>
      </c>
      <c r="B56" s="173">
        <v>37540</v>
      </c>
      <c r="C56" s="172" t="s">
        <v>3896</v>
      </c>
      <c r="E56" s="172">
        <v>240</v>
      </c>
      <c r="G56" s="172" t="s">
        <v>3897</v>
      </c>
    </row>
    <row r="57" spans="1:7">
      <c r="A57" s="171">
        <v>37546</v>
      </c>
      <c r="B57" s="173">
        <v>37546</v>
      </c>
      <c r="C57" s="172" t="s">
        <v>3898</v>
      </c>
      <c r="F57" s="174">
        <v>3000</v>
      </c>
      <c r="G57" s="172" t="s">
        <v>3899</v>
      </c>
    </row>
    <row r="58" spans="1:7">
      <c r="A58" s="171">
        <v>37552</v>
      </c>
      <c r="B58" s="173">
        <v>37552</v>
      </c>
      <c r="C58" s="172" t="s">
        <v>3900</v>
      </c>
      <c r="E58" s="174">
        <v>13755</v>
      </c>
      <c r="G58" s="172" t="s">
        <v>3901</v>
      </c>
    </row>
    <row r="59" spans="1:7">
      <c r="A59" s="171">
        <v>37552</v>
      </c>
      <c r="B59" s="173">
        <v>37552</v>
      </c>
      <c r="C59" s="172" t="s">
        <v>3902</v>
      </c>
      <c r="F59" s="174">
        <v>10000</v>
      </c>
      <c r="G59" s="172" t="s">
        <v>3903</v>
      </c>
    </row>
    <row r="60" spans="1:7">
      <c r="A60" s="171">
        <v>37566</v>
      </c>
      <c r="B60" s="173">
        <v>37566</v>
      </c>
      <c r="C60" s="172" t="s">
        <v>3904</v>
      </c>
      <c r="F60" s="174">
        <v>6331</v>
      </c>
      <c r="G60" s="172" t="s">
        <v>3905</v>
      </c>
    </row>
    <row r="61" spans="1:7">
      <c r="A61" s="171">
        <v>37582</v>
      </c>
      <c r="B61" s="173">
        <v>37582</v>
      </c>
      <c r="C61" s="172" t="s">
        <v>3906</v>
      </c>
      <c r="E61" s="174">
        <v>12480</v>
      </c>
      <c r="G61" s="172" t="s">
        <v>3907</v>
      </c>
    </row>
    <row r="62" spans="1:7">
      <c r="A62" s="171">
        <v>37582</v>
      </c>
      <c r="B62" s="173">
        <v>37582</v>
      </c>
      <c r="C62" s="172" t="s">
        <v>3908</v>
      </c>
      <c r="F62" s="174">
        <v>10000</v>
      </c>
      <c r="G62" s="172" t="s">
        <v>3909</v>
      </c>
    </row>
    <row r="63" spans="1:7">
      <c r="A63" s="171">
        <v>37588</v>
      </c>
      <c r="B63" s="173">
        <v>37588</v>
      </c>
      <c r="C63" s="172" t="s">
        <v>3910</v>
      </c>
      <c r="F63" s="174">
        <v>3000</v>
      </c>
      <c r="G63" s="172" t="s">
        <v>3911</v>
      </c>
    </row>
    <row r="64" spans="1:7">
      <c r="A64" s="171">
        <v>37588</v>
      </c>
      <c r="B64" s="173">
        <v>37588</v>
      </c>
      <c r="C64" s="172" t="s">
        <v>3912</v>
      </c>
      <c r="F64" s="174">
        <v>7000</v>
      </c>
      <c r="G64" s="172" t="s">
        <v>3913</v>
      </c>
    </row>
    <row r="65" spans="1:7">
      <c r="A65" s="171">
        <v>37599</v>
      </c>
      <c r="B65" s="173">
        <v>37599</v>
      </c>
      <c r="C65" s="172" t="s">
        <v>3914</v>
      </c>
      <c r="F65" s="174">
        <v>3000</v>
      </c>
      <c r="G65" s="172" t="s">
        <v>3915</v>
      </c>
    </row>
    <row r="66" spans="1:7">
      <c r="A66" s="171">
        <v>37599</v>
      </c>
      <c r="B66" s="173">
        <v>37599</v>
      </c>
      <c r="C66" s="172" t="s">
        <v>3916</v>
      </c>
      <c r="E66" s="174">
        <v>8011</v>
      </c>
      <c r="G66" s="172" t="s">
        <v>3917</v>
      </c>
    </row>
    <row r="67" spans="1:7">
      <c r="A67" s="171">
        <v>37616</v>
      </c>
      <c r="B67" s="173">
        <v>37616</v>
      </c>
      <c r="C67" s="172" t="s">
        <v>3918</v>
      </c>
      <c r="E67" s="174">
        <v>11840</v>
      </c>
      <c r="G67" s="172" t="s">
        <v>3919</v>
      </c>
    </row>
    <row r="68" spans="1:7">
      <c r="A68" s="171">
        <v>37616</v>
      </c>
      <c r="B68" s="173">
        <v>37616</v>
      </c>
      <c r="C68" s="172" t="s">
        <v>3920</v>
      </c>
      <c r="F68" s="174">
        <v>5000</v>
      </c>
      <c r="G68" s="172" t="s">
        <v>3921</v>
      </c>
    </row>
    <row r="69" spans="1:7">
      <c r="A69" s="171">
        <v>37645</v>
      </c>
      <c r="B69" s="173">
        <v>37645</v>
      </c>
      <c r="C69" s="172" t="s">
        <v>3922</v>
      </c>
      <c r="E69" s="174">
        <v>11840</v>
      </c>
      <c r="G69" s="172" t="s">
        <v>3923</v>
      </c>
    </row>
    <row r="70" spans="1:7">
      <c r="A70" s="171">
        <v>37645</v>
      </c>
      <c r="B70" s="173">
        <v>37645</v>
      </c>
      <c r="C70" s="172" t="s">
        <v>3924</v>
      </c>
      <c r="F70" s="174">
        <v>10000</v>
      </c>
      <c r="G70" s="172" t="s">
        <v>3925</v>
      </c>
    </row>
    <row r="71" spans="1:7">
      <c r="A71" s="171">
        <v>37649</v>
      </c>
      <c r="B71" s="173">
        <v>37649</v>
      </c>
      <c r="C71" s="172" t="s">
        <v>3926</v>
      </c>
      <c r="F71" s="174">
        <v>25000</v>
      </c>
      <c r="G71" s="172" t="s">
        <v>3927</v>
      </c>
    </row>
    <row r="72" spans="1:7">
      <c r="A72" s="171">
        <v>37649</v>
      </c>
      <c r="B72" s="173">
        <v>37649</v>
      </c>
      <c r="C72" s="172" t="s">
        <v>3928</v>
      </c>
      <c r="E72" s="174">
        <v>10000</v>
      </c>
      <c r="G72" s="172" t="s">
        <v>3929</v>
      </c>
    </row>
    <row r="73" spans="1:7">
      <c r="A73" s="171">
        <v>37649</v>
      </c>
      <c r="B73" s="173">
        <v>37649</v>
      </c>
      <c r="C73" s="172" t="s">
        <v>3930</v>
      </c>
      <c r="E73" s="174">
        <v>1091</v>
      </c>
      <c r="G73" s="172" t="s">
        <v>3931</v>
      </c>
    </row>
    <row r="74" spans="1:7">
      <c r="A74" s="171">
        <v>37649</v>
      </c>
      <c r="B74" s="173">
        <v>37649</v>
      </c>
      <c r="C74" s="172" t="s">
        <v>3932</v>
      </c>
      <c r="E74" s="174">
        <v>5016</v>
      </c>
      <c r="G74" s="172" t="s">
        <v>3933</v>
      </c>
    </row>
    <row r="75" spans="1:7">
      <c r="A75" s="171">
        <v>37649</v>
      </c>
      <c r="B75" s="173">
        <v>37649</v>
      </c>
      <c r="C75" s="172" t="s">
        <v>3916</v>
      </c>
      <c r="E75" s="174">
        <v>1008</v>
      </c>
      <c r="G75" s="172" t="s">
        <v>3934</v>
      </c>
    </row>
    <row r="76" spans="1:7">
      <c r="A76" s="171">
        <v>37655</v>
      </c>
      <c r="B76" s="173">
        <v>37655</v>
      </c>
      <c r="C76" s="172" t="s">
        <v>3935</v>
      </c>
      <c r="F76" s="174">
        <v>5623</v>
      </c>
      <c r="G76" s="172" t="s">
        <v>3936</v>
      </c>
    </row>
    <row r="77" spans="1:7">
      <c r="A77" s="171">
        <v>37656</v>
      </c>
      <c r="B77" s="173">
        <v>37656</v>
      </c>
      <c r="C77" s="172" t="s">
        <v>3937</v>
      </c>
      <c r="F77" s="174">
        <v>6331</v>
      </c>
      <c r="G77" s="172" t="s">
        <v>3938</v>
      </c>
    </row>
    <row r="78" spans="1:7">
      <c r="A78" s="171">
        <v>37656</v>
      </c>
      <c r="B78" s="173">
        <v>37656</v>
      </c>
      <c r="C78" s="172" t="s">
        <v>3939</v>
      </c>
      <c r="E78" s="174">
        <v>1893</v>
      </c>
      <c r="G78" s="172" t="s">
        <v>3940</v>
      </c>
    </row>
    <row r="79" spans="1:7">
      <c r="A79" s="171">
        <v>37656</v>
      </c>
      <c r="B79" s="173">
        <v>37656</v>
      </c>
      <c r="C79" s="172" t="s">
        <v>3941</v>
      </c>
      <c r="E79" s="174">
        <v>10086</v>
      </c>
      <c r="G79" s="172" t="s">
        <v>3942</v>
      </c>
    </row>
    <row r="80" spans="1:7">
      <c r="A80" s="171">
        <v>37659</v>
      </c>
      <c r="B80" s="173">
        <v>37659</v>
      </c>
      <c r="C80" s="172" t="s">
        <v>3943</v>
      </c>
      <c r="F80" s="174">
        <v>10000</v>
      </c>
      <c r="G80" s="172" t="s">
        <v>3944</v>
      </c>
    </row>
    <row r="81" spans="1:7">
      <c r="A81" s="171">
        <v>37659</v>
      </c>
      <c r="B81" s="173">
        <v>37659</v>
      </c>
      <c r="C81" s="172" t="s">
        <v>3945</v>
      </c>
      <c r="E81" s="174">
        <v>10174</v>
      </c>
      <c r="G81" s="172" t="s">
        <v>3946</v>
      </c>
    </row>
    <row r="82" spans="1:7">
      <c r="A82" s="171">
        <v>37678</v>
      </c>
      <c r="B82" s="173">
        <v>37678</v>
      </c>
      <c r="C82" s="172" t="s">
        <v>3947</v>
      </c>
      <c r="E82" s="174">
        <v>11440</v>
      </c>
      <c r="G82" s="172" t="s">
        <v>3948</v>
      </c>
    </row>
    <row r="83" spans="1:7">
      <c r="A83" s="171">
        <v>37678</v>
      </c>
      <c r="B83" s="173">
        <v>37678</v>
      </c>
      <c r="C83" s="172" t="s">
        <v>3949</v>
      </c>
      <c r="F83" s="174">
        <v>5000</v>
      </c>
      <c r="G83" s="172" t="s">
        <v>3950</v>
      </c>
    </row>
    <row r="84" spans="1:7">
      <c r="A84" s="171">
        <v>37681</v>
      </c>
      <c r="B84" s="173">
        <v>37681</v>
      </c>
      <c r="C84" s="172" t="s">
        <v>3951</v>
      </c>
      <c r="E84" s="172">
        <v>477</v>
      </c>
      <c r="G84" s="172" t="s">
        <v>3952</v>
      </c>
    </row>
    <row r="85" spans="1:7">
      <c r="A85" s="171">
        <v>37681</v>
      </c>
      <c r="B85" s="173">
        <v>37681</v>
      </c>
      <c r="C85" s="172" t="s">
        <v>3953</v>
      </c>
      <c r="E85" s="172">
        <v>480</v>
      </c>
      <c r="G85" s="172" t="s">
        <v>3954</v>
      </c>
    </row>
    <row r="86" spans="1:7">
      <c r="A86" s="171">
        <v>37683</v>
      </c>
      <c r="B86" s="173">
        <v>37683</v>
      </c>
      <c r="C86" s="172" t="s">
        <v>3955</v>
      </c>
      <c r="E86" s="172">
        <v>133</v>
      </c>
      <c r="G86" s="172" t="s">
        <v>3956</v>
      </c>
    </row>
    <row r="87" spans="1:7">
      <c r="A87" s="171">
        <v>37708</v>
      </c>
      <c r="B87" s="173">
        <v>37708</v>
      </c>
      <c r="C87" s="172" t="s">
        <v>3957</v>
      </c>
      <c r="E87" s="174">
        <v>11535</v>
      </c>
      <c r="G87" s="172" t="s">
        <v>3958</v>
      </c>
    </row>
    <row r="88" spans="1:7">
      <c r="A88" s="171">
        <v>37708</v>
      </c>
      <c r="B88" s="173">
        <v>37708</v>
      </c>
      <c r="C88" s="172" t="s">
        <v>3959</v>
      </c>
      <c r="F88" s="174">
        <v>15000</v>
      </c>
      <c r="G88" s="172" t="s">
        <v>3960</v>
      </c>
    </row>
    <row r="89" spans="1:7">
      <c r="A89" s="175">
        <v>4</v>
      </c>
      <c r="B89" s="173">
        <v>37712</v>
      </c>
      <c r="C89" s="172" t="s">
        <v>1394</v>
      </c>
      <c r="G89" s="172" t="s">
        <v>3960</v>
      </c>
    </row>
    <row r="90" spans="1:7">
      <c r="A90" s="175">
        <v>4</v>
      </c>
      <c r="B90" s="173">
        <v>37721</v>
      </c>
      <c r="C90" s="172" t="s">
        <v>3257</v>
      </c>
      <c r="D90" s="172">
        <v>563137</v>
      </c>
      <c r="F90" s="174">
        <v>14832</v>
      </c>
      <c r="G90" s="172" t="s">
        <v>3961</v>
      </c>
    </row>
    <row r="91" spans="1:7">
      <c r="A91" s="175">
        <v>4</v>
      </c>
      <c r="B91" s="173">
        <v>37721</v>
      </c>
      <c r="C91" s="172" t="s">
        <v>3962</v>
      </c>
      <c r="E91" s="174">
        <v>9999</v>
      </c>
      <c r="G91" s="172" t="s">
        <v>3963</v>
      </c>
    </row>
    <row r="92" spans="1:7">
      <c r="A92" s="175">
        <v>4</v>
      </c>
      <c r="B92" s="173">
        <v>37736</v>
      </c>
      <c r="C92" s="172" t="s">
        <v>3964</v>
      </c>
      <c r="E92" s="174">
        <v>51435</v>
      </c>
      <c r="G92" s="172" t="s">
        <v>3965</v>
      </c>
    </row>
    <row r="93" spans="1:7">
      <c r="A93" s="175">
        <v>4</v>
      </c>
      <c r="B93" s="173">
        <v>37736</v>
      </c>
      <c r="C93" s="172" t="s">
        <v>3966</v>
      </c>
      <c r="F93" s="174">
        <v>45000</v>
      </c>
      <c r="G93" s="172" t="s">
        <v>3967</v>
      </c>
    </row>
    <row r="94" spans="1:7">
      <c r="A94" s="175">
        <v>4</v>
      </c>
      <c r="B94" s="173">
        <v>37744</v>
      </c>
      <c r="C94" s="172" t="s">
        <v>3257</v>
      </c>
      <c r="D94" s="172">
        <v>563138</v>
      </c>
      <c r="F94" s="174">
        <v>14832</v>
      </c>
      <c r="G94" s="172" t="s">
        <v>3968</v>
      </c>
    </row>
    <row r="95" spans="1:7">
      <c r="A95" s="175">
        <v>4</v>
      </c>
      <c r="B95" s="173">
        <v>37744</v>
      </c>
      <c r="C95" s="172" t="s">
        <v>3969</v>
      </c>
      <c r="E95" s="174">
        <v>9000</v>
      </c>
      <c r="G95" s="172" t="s">
        <v>3970</v>
      </c>
    </row>
    <row r="96" spans="1:7">
      <c r="A96" s="175">
        <v>4</v>
      </c>
      <c r="B96" s="173">
        <v>37749</v>
      </c>
      <c r="C96" s="172" t="s">
        <v>959</v>
      </c>
      <c r="D96" s="172">
        <v>24126</v>
      </c>
      <c r="F96" s="174">
        <v>6331</v>
      </c>
      <c r="G96" s="172" t="s">
        <v>3971</v>
      </c>
    </row>
    <row r="97" spans="1:7">
      <c r="A97" s="175">
        <v>4</v>
      </c>
      <c r="B97" s="173">
        <v>37749</v>
      </c>
      <c r="C97" s="172" t="s">
        <v>3969</v>
      </c>
      <c r="E97" s="174">
        <v>6000</v>
      </c>
      <c r="G97" s="172" t="s">
        <v>3972</v>
      </c>
    </row>
    <row r="98" spans="1:7">
      <c r="A98" s="175">
        <v>4</v>
      </c>
      <c r="B98" s="173">
        <v>37768</v>
      </c>
      <c r="C98" s="172" t="s">
        <v>3973</v>
      </c>
      <c r="E98" s="174">
        <v>13715</v>
      </c>
      <c r="G98" s="172" t="s">
        <v>3974</v>
      </c>
    </row>
    <row r="99" spans="1:7">
      <c r="A99" s="175">
        <v>4</v>
      </c>
      <c r="B99" s="173">
        <v>37768</v>
      </c>
      <c r="C99" s="172" t="s">
        <v>3975</v>
      </c>
      <c r="F99" s="174">
        <v>5000</v>
      </c>
      <c r="G99" s="172" t="s">
        <v>3976</v>
      </c>
    </row>
    <row r="100" spans="1:7">
      <c r="A100" s="175">
        <v>4</v>
      </c>
      <c r="B100" s="173">
        <v>37781</v>
      </c>
      <c r="C100" s="172" t="s">
        <v>3977</v>
      </c>
      <c r="D100" s="172">
        <v>563139</v>
      </c>
      <c r="F100" s="174">
        <v>14832</v>
      </c>
      <c r="G100" s="172" t="s">
        <v>3978</v>
      </c>
    </row>
    <row r="101" spans="1:7">
      <c r="A101" s="175">
        <v>4</v>
      </c>
      <c r="B101" s="173">
        <v>37781</v>
      </c>
      <c r="C101" s="172" t="s">
        <v>3979</v>
      </c>
      <c r="E101" s="174">
        <v>5000</v>
      </c>
      <c r="G101" s="172" t="s">
        <v>3980</v>
      </c>
    </row>
    <row r="102" spans="1:7">
      <c r="A102" s="175">
        <v>4</v>
      </c>
      <c r="B102" s="173">
        <v>37781</v>
      </c>
      <c r="C102" s="172" t="s">
        <v>3981</v>
      </c>
      <c r="E102" s="174">
        <v>1001</v>
      </c>
      <c r="G102" s="172" t="s">
        <v>3982</v>
      </c>
    </row>
    <row r="103" spans="1:7">
      <c r="A103" s="175">
        <v>4</v>
      </c>
      <c r="B103" s="173">
        <v>37799</v>
      </c>
      <c r="C103" s="172" t="s">
        <v>3983</v>
      </c>
      <c r="E103" s="174">
        <v>13355</v>
      </c>
      <c r="G103" s="172" t="s">
        <v>3984</v>
      </c>
    </row>
    <row r="104" spans="1:7">
      <c r="A104" s="175">
        <v>4</v>
      </c>
      <c r="B104" s="173">
        <v>37799</v>
      </c>
      <c r="C104" s="172" t="s">
        <v>3985</v>
      </c>
      <c r="F104" s="174">
        <v>5000</v>
      </c>
      <c r="G104" s="172" t="s">
        <v>3986</v>
      </c>
    </row>
    <row r="105" spans="1:7">
      <c r="A105" s="175">
        <v>4</v>
      </c>
      <c r="B105" s="173">
        <v>37712</v>
      </c>
      <c r="C105" s="172" t="s">
        <v>1394</v>
      </c>
      <c r="G105" s="172" t="s">
        <v>3987</v>
      </c>
    </row>
    <row r="106" spans="1:7">
      <c r="A106" s="175">
        <v>4</v>
      </c>
      <c r="B106" s="173">
        <v>37734</v>
      </c>
      <c r="C106" s="172" t="s">
        <v>3988</v>
      </c>
      <c r="E106" s="172">
        <v>73</v>
      </c>
      <c r="G106" s="172" t="s">
        <v>3989</v>
      </c>
    </row>
    <row r="107" spans="1:7">
      <c r="A107" s="175">
        <v>4</v>
      </c>
      <c r="B107" s="173">
        <v>37734</v>
      </c>
      <c r="C107" s="172" t="s">
        <v>3990</v>
      </c>
      <c r="F107" s="174">
        <v>15729</v>
      </c>
      <c r="G107" s="172">
        <v>0</v>
      </c>
    </row>
    <row r="108" spans="1:7">
      <c r="A108" s="175">
        <v>4</v>
      </c>
      <c r="B108" s="173">
        <v>37895</v>
      </c>
      <c r="C108" s="172" t="s">
        <v>1394</v>
      </c>
      <c r="G108" s="172" t="s">
        <v>3991</v>
      </c>
    </row>
    <row r="109" spans="1:7">
      <c r="A109" s="175">
        <v>4</v>
      </c>
      <c r="B109" s="173">
        <v>37902</v>
      </c>
      <c r="C109" s="172" t="s">
        <v>3992</v>
      </c>
      <c r="D109" s="172">
        <v>563146</v>
      </c>
      <c r="F109" s="174">
        <v>14832</v>
      </c>
      <c r="G109" s="172" t="s">
        <v>3993</v>
      </c>
    </row>
    <row r="110" spans="1:7">
      <c r="A110" s="175">
        <v>4</v>
      </c>
      <c r="B110" s="173">
        <v>37902</v>
      </c>
      <c r="C110" s="172" t="s">
        <v>3994</v>
      </c>
      <c r="E110" s="174">
        <v>5000</v>
      </c>
      <c r="G110" s="172" t="s">
        <v>3995</v>
      </c>
    </row>
    <row r="111" spans="1:7">
      <c r="A111" s="175">
        <v>4</v>
      </c>
      <c r="B111" s="173">
        <v>37902</v>
      </c>
      <c r="C111" s="172" t="s">
        <v>3996</v>
      </c>
      <c r="E111" s="174">
        <v>5779</v>
      </c>
      <c r="G111" s="172" t="s">
        <v>3997</v>
      </c>
    </row>
    <row r="112" spans="1:7">
      <c r="A112" s="175">
        <v>103</v>
      </c>
      <c r="B112" s="173">
        <v>37915</v>
      </c>
      <c r="C112" s="172" t="s">
        <v>3998</v>
      </c>
      <c r="E112" s="174">
        <v>13360</v>
      </c>
      <c r="G112" s="172" t="s">
        <v>3999</v>
      </c>
    </row>
    <row r="113" spans="1:7">
      <c r="A113" s="175">
        <v>4</v>
      </c>
      <c r="B113" s="173">
        <v>37921</v>
      </c>
      <c r="C113" s="172" t="s">
        <v>4000</v>
      </c>
      <c r="F113" s="174">
        <v>10000</v>
      </c>
      <c r="G113" s="172" t="s">
        <v>4001</v>
      </c>
    </row>
    <row r="114" spans="1:7">
      <c r="A114" s="175">
        <v>4</v>
      </c>
      <c r="B114" s="173">
        <v>37928</v>
      </c>
      <c r="C114" s="172" t="s">
        <v>959</v>
      </c>
      <c r="D114" s="172">
        <v>24128</v>
      </c>
      <c r="F114" s="174">
        <v>6331</v>
      </c>
      <c r="G114" s="172" t="s">
        <v>4002</v>
      </c>
    </row>
    <row r="115" spans="1:7">
      <c r="A115" s="175">
        <v>4</v>
      </c>
      <c r="B115" s="173">
        <v>37928</v>
      </c>
      <c r="C115" s="172" t="s">
        <v>4003</v>
      </c>
      <c r="E115" s="174">
        <v>5000</v>
      </c>
      <c r="G115" s="172" t="s">
        <v>4004</v>
      </c>
    </row>
    <row r="116" spans="1:7">
      <c r="A116" s="175">
        <v>4</v>
      </c>
      <c r="B116" s="173">
        <v>37930</v>
      </c>
      <c r="C116" s="172" t="s">
        <v>3221</v>
      </c>
      <c r="D116" s="172">
        <v>563143</v>
      </c>
      <c r="F116" s="174">
        <v>14832</v>
      </c>
      <c r="G116" s="172" t="s">
        <v>4005</v>
      </c>
    </row>
    <row r="117" spans="1:7">
      <c r="A117" s="175">
        <v>4</v>
      </c>
      <c r="B117" s="173">
        <v>37930</v>
      </c>
      <c r="C117" s="172" t="s">
        <v>4003</v>
      </c>
      <c r="E117" s="174">
        <v>5000</v>
      </c>
      <c r="G117" s="172" t="s">
        <v>4006</v>
      </c>
    </row>
    <row r="118" spans="1:7">
      <c r="A118" s="175">
        <v>4</v>
      </c>
      <c r="B118" s="173">
        <v>37930</v>
      </c>
      <c r="C118" s="172" t="s">
        <v>4007</v>
      </c>
      <c r="E118" s="172">
        <v>938</v>
      </c>
      <c r="G118" s="172" t="s">
        <v>4008</v>
      </c>
    </row>
    <row r="119" spans="1:7">
      <c r="A119" s="175">
        <v>4</v>
      </c>
      <c r="B119" s="173">
        <v>37930</v>
      </c>
      <c r="C119" s="172" t="s">
        <v>4009</v>
      </c>
      <c r="E119" s="174">
        <v>10000</v>
      </c>
      <c r="G119" s="172" t="s">
        <v>4010</v>
      </c>
    </row>
    <row r="120" spans="1:7">
      <c r="A120" s="175">
        <v>103</v>
      </c>
      <c r="B120" s="173">
        <v>37950</v>
      </c>
      <c r="C120" s="172" t="s">
        <v>4011</v>
      </c>
      <c r="E120" s="174">
        <v>13355</v>
      </c>
      <c r="G120" s="172" t="s">
        <v>4012</v>
      </c>
    </row>
    <row r="121" spans="1:7">
      <c r="A121" s="175">
        <v>35</v>
      </c>
      <c r="B121" s="173">
        <v>37952</v>
      </c>
      <c r="C121" s="172" t="s">
        <v>4013</v>
      </c>
      <c r="E121" s="174">
        <v>227500</v>
      </c>
      <c r="G121" s="172" t="s">
        <v>4014</v>
      </c>
    </row>
    <row r="122" spans="1:7">
      <c r="A122" s="175">
        <v>4</v>
      </c>
      <c r="B122" s="173">
        <v>37954</v>
      </c>
      <c r="C122" s="172" t="s">
        <v>4015</v>
      </c>
      <c r="F122" s="174">
        <v>240000</v>
      </c>
      <c r="G122" s="172" t="s">
        <v>4016</v>
      </c>
    </row>
    <row r="123" spans="1:7">
      <c r="A123" s="175">
        <v>4</v>
      </c>
      <c r="B123" s="173">
        <v>37959</v>
      </c>
      <c r="C123" s="172" t="s">
        <v>3992</v>
      </c>
      <c r="D123" s="172">
        <v>563144</v>
      </c>
      <c r="F123" s="174">
        <v>14832</v>
      </c>
      <c r="G123" s="172" t="s">
        <v>4017</v>
      </c>
    </row>
    <row r="124" spans="1:7">
      <c r="A124" s="175">
        <v>4</v>
      </c>
      <c r="B124" s="173">
        <v>37959</v>
      </c>
      <c r="C124" s="172" t="s">
        <v>4018</v>
      </c>
      <c r="E124" s="174">
        <v>15000</v>
      </c>
      <c r="G124" s="172" t="s">
        <v>4019</v>
      </c>
    </row>
    <row r="125" spans="1:7">
      <c r="A125" s="175">
        <v>35</v>
      </c>
      <c r="B125" s="173">
        <v>37959</v>
      </c>
      <c r="C125" s="172" t="s">
        <v>4020</v>
      </c>
      <c r="E125" s="174">
        <v>271800</v>
      </c>
      <c r="G125" s="172" t="s">
        <v>4021</v>
      </c>
    </row>
    <row r="126" spans="1:7">
      <c r="A126" s="175">
        <v>4</v>
      </c>
      <c r="B126" s="173">
        <v>37961</v>
      </c>
      <c r="C126" s="172" t="s">
        <v>4022</v>
      </c>
      <c r="F126" s="174">
        <v>275000</v>
      </c>
      <c r="G126" s="172" t="s">
        <v>4023</v>
      </c>
    </row>
    <row r="127" spans="1:7">
      <c r="A127" s="175">
        <v>103</v>
      </c>
      <c r="B127" s="173">
        <v>37979</v>
      </c>
      <c r="C127" s="172" t="s">
        <v>4024</v>
      </c>
      <c r="E127" s="174">
        <v>13360</v>
      </c>
      <c r="G127" s="172" t="s">
        <v>4025</v>
      </c>
    </row>
    <row r="128" spans="1:7">
      <c r="A128" s="175">
        <v>4</v>
      </c>
      <c r="B128" s="173">
        <v>37982</v>
      </c>
      <c r="C128" s="172" t="s">
        <v>4026</v>
      </c>
      <c r="F128" s="174">
        <v>10000</v>
      </c>
      <c r="G128" s="172" t="s">
        <v>4027</v>
      </c>
    </row>
    <row r="129" spans="1:7">
      <c r="A129" s="175">
        <v>4</v>
      </c>
      <c r="B129" s="173">
        <v>37985</v>
      </c>
      <c r="C129" s="172" t="s">
        <v>4028</v>
      </c>
      <c r="D129" s="172">
        <v>24129</v>
      </c>
      <c r="F129" s="174">
        <v>14000</v>
      </c>
      <c r="G129" s="172" t="s">
        <v>4029</v>
      </c>
    </row>
    <row r="130" spans="1:7">
      <c r="A130" s="175">
        <v>4</v>
      </c>
      <c r="B130" s="173">
        <v>37985</v>
      </c>
      <c r="C130" s="172" t="s">
        <v>4030</v>
      </c>
      <c r="E130" s="174">
        <v>10000</v>
      </c>
      <c r="G130" s="172" t="s">
        <v>4031</v>
      </c>
    </row>
    <row r="131" spans="1:7">
      <c r="A131" s="175">
        <v>4</v>
      </c>
      <c r="B131" s="173">
        <v>37895</v>
      </c>
      <c r="C131" s="172" t="s">
        <v>1394</v>
      </c>
      <c r="G131" s="172" t="s">
        <v>4032</v>
      </c>
    </row>
    <row r="132" spans="1:7">
      <c r="A132" s="175">
        <v>4</v>
      </c>
      <c r="B132" s="173">
        <v>37917</v>
      </c>
      <c r="C132" s="172" t="s">
        <v>4033</v>
      </c>
      <c r="E132" s="172">
        <v>406</v>
      </c>
      <c r="G132" s="172" t="s">
        <v>4034</v>
      </c>
    </row>
    <row r="133" spans="1:7">
      <c r="A133" s="175">
        <v>4</v>
      </c>
      <c r="B133" s="173">
        <v>37917</v>
      </c>
      <c r="C133" s="172" t="s">
        <v>4035</v>
      </c>
      <c r="F133" s="174">
        <v>10684</v>
      </c>
      <c r="G133" s="172">
        <v>0</v>
      </c>
    </row>
    <row r="134" spans="1:7">
      <c r="A134" s="175">
        <v>4</v>
      </c>
      <c r="B134" s="173">
        <v>37987</v>
      </c>
      <c r="C134" s="172" t="s">
        <v>1394</v>
      </c>
      <c r="G134" s="172" t="s">
        <v>4031</v>
      </c>
    </row>
    <row r="135" spans="1:7">
      <c r="A135" s="175">
        <v>4</v>
      </c>
      <c r="B135" s="173">
        <v>37987</v>
      </c>
      <c r="C135" s="172" t="s">
        <v>3257</v>
      </c>
      <c r="D135" s="172">
        <v>563145</v>
      </c>
      <c r="F135" s="174">
        <v>14832</v>
      </c>
      <c r="G135" s="172" t="s">
        <v>4036</v>
      </c>
    </row>
    <row r="136" spans="1:7">
      <c r="A136" s="175">
        <v>4</v>
      </c>
      <c r="B136" s="173">
        <v>37987</v>
      </c>
      <c r="C136" s="172" t="s">
        <v>4037</v>
      </c>
      <c r="E136" s="174">
        <v>15032</v>
      </c>
      <c r="G136" s="172" t="s">
        <v>4038</v>
      </c>
    </row>
    <row r="137" spans="1:7">
      <c r="A137" s="175">
        <v>4</v>
      </c>
      <c r="B137" s="173">
        <v>37988</v>
      </c>
      <c r="C137" s="172" t="s">
        <v>4039</v>
      </c>
      <c r="D137" s="172">
        <v>24131</v>
      </c>
      <c r="F137" s="174">
        <v>29000</v>
      </c>
      <c r="G137" s="172" t="s">
        <v>4040</v>
      </c>
    </row>
    <row r="138" spans="1:7">
      <c r="A138" s="175">
        <v>4</v>
      </c>
      <c r="B138" s="173">
        <v>37988</v>
      </c>
      <c r="C138" s="172" t="s">
        <v>4037</v>
      </c>
      <c r="E138" s="174">
        <v>30067</v>
      </c>
      <c r="G138" s="172" t="s">
        <v>4041</v>
      </c>
    </row>
    <row r="139" spans="1:7">
      <c r="A139" s="175">
        <v>4</v>
      </c>
      <c r="B139" s="173">
        <v>37989</v>
      </c>
      <c r="C139" s="172" t="s">
        <v>4042</v>
      </c>
      <c r="F139" s="174">
        <v>12000</v>
      </c>
      <c r="G139" s="172" t="s">
        <v>4043</v>
      </c>
    </row>
    <row r="140" spans="1:7">
      <c r="A140" s="175">
        <v>4</v>
      </c>
      <c r="B140" s="173">
        <v>37989</v>
      </c>
      <c r="C140" s="172" t="s">
        <v>4037</v>
      </c>
      <c r="E140" s="174">
        <v>15035</v>
      </c>
      <c r="G140" s="172" t="s">
        <v>4044</v>
      </c>
    </row>
    <row r="141" spans="1:7">
      <c r="A141" s="175">
        <v>4</v>
      </c>
      <c r="B141" s="173">
        <v>37991</v>
      </c>
      <c r="C141" s="172" t="s">
        <v>959</v>
      </c>
      <c r="D141" s="172">
        <v>24130</v>
      </c>
      <c r="F141" s="174">
        <v>6331</v>
      </c>
      <c r="G141" s="172" t="s">
        <v>4045</v>
      </c>
    </row>
    <row r="142" spans="1:7">
      <c r="A142" s="175">
        <v>4</v>
      </c>
      <c r="B142" s="173">
        <v>37991</v>
      </c>
      <c r="C142" s="172" t="s">
        <v>4046</v>
      </c>
      <c r="E142" s="174">
        <v>5012</v>
      </c>
      <c r="G142" s="172" t="s">
        <v>4047</v>
      </c>
    </row>
    <row r="143" spans="1:7">
      <c r="A143" s="175">
        <v>4</v>
      </c>
      <c r="B143" s="173">
        <v>37999</v>
      </c>
      <c r="C143" s="172" t="s">
        <v>4048</v>
      </c>
      <c r="F143" s="174">
        <v>7000</v>
      </c>
      <c r="G143" s="172" t="s">
        <v>4049</v>
      </c>
    </row>
    <row r="144" spans="1:7">
      <c r="A144" s="175">
        <v>4</v>
      </c>
      <c r="B144" s="173">
        <v>37999</v>
      </c>
      <c r="C144" s="172" t="s">
        <v>4046</v>
      </c>
      <c r="E144" s="174">
        <v>5016</v>
      </c>
      <c r="G144" s="172" t="s">
        <v>4050</v>
      </c>
    </row>
    <row r="145" spans="1:7">
      <c r="A145" s="175">
        <v>4</v>
      </c>
      <c r="B145" s="173">
        <v>38007</v>
      </c>
      <c r="C145" s="172" t="s">
        <v>4051</v>
      </c>
      <c r="D145" s="172">
        <v>24133</v>
      </c>
      <c r="F145" s="174">
        <v>14912</v>
      </c>
      <c r="G145" s="172" t="s">
        <v>4052</v>
      </c>
    </row>
    <row r="146" spans="1:7">
      <c r="A146" s="175">
        <v>4</v>
      </c>
      <c r="B146" s="173">
        <v>38007</v>
      </c>
      <c r="C146" s="172" t="s">
        <v>4037</v>
      </c>
      <c r="E146" s="174">
        <v>15057</v>
      </c>
      <c r="G146" s="172" t="s">
        <v>4053</v>
      </c>
    </row>
    <row r="147" spans="1:7">
      <c r="A147" s="175">
        <v>4</v>
      </c>
      <c r="B147" s="173">
        <v>38007</v>
      </c>
      <c r="C147" s="172" t="s">
        <v>4054</v>
      </c>
      <c r="F147" s="174">
        <v>10000</v>
      </c>
      <c r="G147" s="172" t="s">
        <v>4055</v>
      </c>
    </row>
    <row r="148" spans="1:7">
      <c r="A148" s="175">
        <v>4</v>
      </c>
      <c r="B148" s="173">
        <v>38007</v>
      </c>
      <c r="C148" s="172" t="s">
        <v>4046</v>
      </c>
      <c r="E148" s="174">
        <v>10038</v>
      </c>
      <c r="G148" s="172" t="s">
        <v>4056</v>
      </c>
    </row>
    <row r="149" spans="1:7">
      <c r="A149" s="175">
        <v>4</v>
      </c>
      <c r="B149" s="173">
        <v>38010</v>
      </c>
      <c r="C149" s="172" t="s">
        <v>4057</v>
      </c>
      <c r="D149" s="172">
        <v>24134</v>
      </c>
      <c r="F149" s="174">
        <v>30000</v>
      </c>
      <c r="G149" s="172" t="s">
        <v>4058</v>
      </c>
    </row>
    <row r="150" spans="1:7">
      <c r="A150" s="175">
        <v>4</v>
      </c>
      <c r="B150" s="173">
        <v>38010</v>
      </c>
      <c r="C150" s="172" t="s">
        <v>4037</v>
      </c>
      <c r="E150" s="174">
        <v>30121</v>
      </c>
      <c r="G150" s="172" t="s">
        <v>4059</v>
      </c>
    </row>
    <row r="151" spans="1:7">
      <c r="A151" s="175">
        <v>4</v>
      </c>
      <c r="B151" s="173">
        <v>38013</v>
      </c>
      <c r="C151" s="172" t="s">
        <v>4060</v>
      </c>
      <c r="E151" s="174">
        <v>13355</v>
      </c>
      <c r="G151" s="172" t="s">
        <v>4061</v>
      </c>
    </row>
    <row r="152" spans="1:7">
      <c r="A152" s="175">
        <v>4</v>
      </c>
      <c r="B152" s="173">
        <v>38017</v>
      </c>
      <c r="C152" s="172" t="s">
        <v>4062</v>
      </c>
      <c r="F152" s="174">
        <v>15000</v>
      </c>
      <c r="G152" s="172" t="s">
        <v>4063</v>
      </c>
    </row>
    <row r="153" spans="1:7">
      <c r="A153" s="175">
        <v>4</v>
      </c>
      <c r="B153" s="173">
        <v>38021</v>
      </c>
      <c r="C153" s="172" t="s">
        <v>4064</v>
      </c>
      <c r="D153" s="172">
        <v>24137</v>
      </c>
      <c r="F153" s="174">
        <v>10000</v>
      </c>
      <c r="G153" s="172" t="s">
        <v>4065</v>
      </c>
    </row>
    <row r="154" spans="1:7">
      <c r="A154" s="175">
        <v>4</v>
      </c>
      <c r="B154" s="173">
        <v>38021</v>
      </c>
      <c r="C154" s="172" t="s">
        <v>959</v>
      </c>
      <c r="D154" s="172">
        <v>24136</v>
      </c>
      <c r="F154" s="174">
        <v>3731</v>
      </c>
      <c r="G154" s="172" t="s">
        <v>4066</v>
      </c>
    </row>
    <row r="155" spans="1:7">
      <c r="A155" s="175">
        <v>4</v>
      </c>
      <c r="B155" s="173">
        <v>38021</v>
      </c>
      <c r="C155" s="172" t="s">
        <v>959</v>
      </c>
      <c r="D155" s="172">
        <v>24135</v>
      </c>
      <c r="F155" s="174">
        <v>1891</v>
      </c>
      <c r="G155" s="172" t="s">
        <v>4067</v>
      </c>
    </row>
    <row r="156" spans="1:7">
      <c r="A156" s="175">
        <v>4</v>
      </c>
      <c r="B156" s="173">
        <v>38021</v>
      </c>
      <c r="C156" s="172" t="s">
        <v>3221</v>
      </c>
      <c r="D156" s="172">
        <v>24138</v>
      </c>
      <c r="F156" s="174">
        <v>14832</v>
      </c>
      <c r="G156" s="172" t="s">
        <v>4068</v>
      </c>
    </row>
    <row r="157" spans="1:7">
      <c r="A157" s="175">
        <v>4</v>
      </c>
      <c r="B157" s="173">
        <v>38021</v>
      </c>
      <c r="C157" s="172" t="s">
        <v>4069</v>
      </c>
      <c r="E157" s="174">
        <v>15000</v>
      </c>
      <c r="G157" s="172" t="s">
        <v>4070</v>
      </c>
    </row>
    <row r="158" spans="1:7">
      <c r="A158" s="175">
        <v>4</v>
      </c>
      <c r="B158" s="173">
        <v>38021</v>
      </c>
      <c r="C158" s="172" t="s">
        <v>4071</v>
      </c>
      <c r="E158" s="174">
        <v>20000</v>
      </c>
      <c r="G158" s="172" t="s">
        <v>4072</v>
      </c>
    </row>
    <row r="159" spans="1:7">
      <c r="A159" s="175">
        <v>4</v>
      </c>
      <c r="B159" s="173">
        <v>38021</v>
      </c>
      <c r="C159" s="172" t="s">
        <v>4037</v>
      </c>
      <c r="E159" s="172">
        <v>99</v>
      </c>
      <c r="G159" s="172" t="s">
        <v>4073</v>
      </c>
    </row>
    <row r="160" spans="1:7">
      <c r="A160" s="175">
        <v>4</v>
      </c>
      <c r="B160" s="173">
        <v>38026</v>
      </c>
      <c r="C160" s="172" t="s">
        <v>4074</v>
      </c>
      <c r="F160" s="174">
        <v>10000</v>
      </c>
      <c r="G160" s="172" t="s">
        <v>4075</v>
      </c>
    </row>
    <row r="161" spans="1:7">
      <c r="A161" s="175">
        <v>4</v>
      </c>
      <c r="B161" s="173">
        <v>38026</v>
      </c>
      <c r="C161" s="172" t="s">
        <v>4071</v>
      </c>
      <c r="E161" s="174">
        <v>10000</v>
      </c>
      <c r="G161" s="172" t="s">
        <v>4073</v>
      </c>
    </row>
    <row r="162" spans="1:7">
      <c r="A162" s="175">
        <v>4</v>
      </c>
      <c r="B162" s="173">
        <v>38029</v>
      </c>
      <c r="C162" s="172" t="s">
        <v>4076</v>
      </c>
      <c r="D162" s="172">
        <v>24139</v>
      </c>
      <c r="F162" s="174">
        <v>55000</v>
      </c>
      <c r="G162" s="172" t="s">
        <v>4077</v>
      </c>
    </row>
    <row r="163" spans="1:7">
      <c r="A163" s="175">
        <v>4</v>
      </c>
      <c r="B163" s="173">
        <v>38029</v>
      </c>
      <c r="C163" s="172" t="s">
        <v>4071</v>
      </c>
      <c r="E163" s="174">
        <v>55000</v>
      </c>
      <c r="G163" s="172" t="s">
        <v>4073</v>
      </c>
    </row>
    <row r="164" spans="1:7">
      <c r="A164" s="175">
        <v>4</v>
      </c>
      <c r="B164" s="173">
        <v>38034</v>
      </c>
      <c r="C164" s="172" t="s">
        <v>4078</v>
      </c>
      <c r="D164" s="172">
        <v>24140</v>
      </c>
      <c r="F164" s="174">
        <v>2150</v>
      </c>
      <c r="G164" s="172" t="s">
        <v>4079</v>
      </c>
    </row>
    <row r="165" spans="1:7">
      <c r="A165" s="175">
        <v>4</v>
      </c>
      <c r="B165" s="173">
        <v>38036</v>
      </c>
      <c r="C165" s="172" t="s">
        <v>4037</v>
      </c>
      <c r="E165" s="172">
        <v>62</v>
      </c>
      <c r="G165" s="172" t="s">
        <v>4080</v>
      </c>
    </row>
    <row r="166" spans="1:7">
      <c r="A166" s="175">
        <v>4</v>
      </c>
      <c r="B166" s="173">
        <v>38036</v>
      </c>
      <c r="C166" s="172" t="s">
        <v>4037</v>
      </c>
      <c r="E166" s="172">
        <v>358</v>
      </c>
      <c r="G166" s="172" t="s">
        <v>4081</v>
      </c>
    </row>
    <row r="167" spans="1:7">
      <c r="A167" s="175">
        <v>4</v>
      </c>
      <c r="B167" s="173">
        <v>38041</v>
      </c>
      <c r="C167" s="172" t="s">
        <v>4082</v>
      </c>
      <c r="E167" s="174">
        <v>14025</v>
      </c>
      <c r="G167" s="172" t="s">
        <v>4083</v>
      </c>
    </row>
    <row r="168" spans="1:7">
      <c r="A168" s="175">
        <v>103</v>
      </c>
      <c r="B168" s="173">
        <v>38045</v>
      </c>
      <c r="C168" s="172" t="s">
        <v>4084</v>
      </c>
      <c r="E168" s="172">
        <v>450</v>
      </c>
      <c r="G168" s="172" t="s">
        <v>4085</v>
      </c>
    </row>
    <row r="169" spans="1:7">
      <c r="A169" s="175">
        <v>103</v>
      </c>
      <c r="B169" s="173">
        <v>38045</v>
      </c>
      <c r="C169" s="172" t="s">
        <v>4086</v>
      </c>
      <c r="E169" s="172">
        <v>450</v>
      </c>
      <c r="G169" s="172" t="s">
        <v>4087</v>
      </c>
    </row>
    <row r="170" spans="1:7">
      <c r="A170" s="175">
        <v>11</v>
      </c>
      <c r="B170" s="173">
        <v>38045</v>
      </c>
      <c r="C170" s="172" t="s">
        <v>4088</v>
      </c>
      <c r="E170" s="174">
        <v>1764</v>
      </c>
      <c r="G170" s="172" t="s">
        <v>4089</v>
      </c>
    </row>
    <row r="171" spans="1:7">
      <c r="A171" s="175">
        <v>4</v>
      </c>
      <c r="B171" s="173">
        <v>38045</v>
      </c>
      <c r="C171" s="172" t="s">
        <v>4090</v>
      </c>
      <c r="E171" s="172">
        <v>181</v>
      </c>
      <c r="G171" s="172" t="s">
        <v>4091</v>
      </c>
    </row>
    <row r="172" spans="1:7">
      <c r="A172" s="175">
        <v>4</v>
      </c>
      <c r="B172" s="173">
        <v>38045</v>
      </c>
      <c r="C172" s="172" t="s">
        <v>4092</v>
      </c>
      <c r="F172" s="174">
        <v>15000</v>
      </c>
      <c r="G172" s="172" t="s">
        <v>4093</v>
      </c>
    </row>
    <row r="173" spans="1:7">
      <c r="A173" s="175">
        <v>4</v>
      </c>
      <c r="B173" s="173">
        <v>38049</v>
      </c>
      <c r="C173" s="172" t="s">
        <v>4076</v>
      </c>
      <c r="D173" s="172">
        <v>24141</v>
      </c>
      <c r="F173" s="174">
        <v>2550</v>
      </c>
      <c r="G173" s="172" t="s">
        <v>4094</v>
      </c>
    </row>
    <row r="174" spans="1:7">
      <c r="A174" s="175">
        <v>4</v>
      </c>
      <c r="B174" s="173">
        <v>38050</v>
      </c>
      <c r="C174" s="172" t="s">
        <v>3257</v>
      </c>
      <c r="D174" s="172">
        <v>24142</v>
      </c>
      <c r="F174" s="174">
        <v>14832</v>
      </c>
      <c r="G174" s="172" t="s">
        <v>4095</v>
      </c>
    </row>
    <row r="175" spans="1:7">
      <c r="A175" s="175">
        <v>4</v>
      </c>
      <c r="B175" s="173">
        <v>38050</v>
      </c>
      <c r="C175" s="172" t="s">
        <v>4096</v>
      </c>
      <c r="E175" s="174">
        <v>15000</v>
      </c>
      <c r="G175" s="172" t="s">
        <v>4097</v>
      </c>
    </row>
    <row r="176" spans="1:7">
      <c r="A176" s="175">
        <v>103</v>
      </c>
      <c r="B176" s="173">
        <v>38051</v>
      </c>
      <c r="C176" s="172" t="s">
        <v>4098</v>
      </c>
      <c r="E176" s="172">
        <v>752</v>
      </c>
      <c r="G176" s="172" t="s">
        <v>4099</v>
      </c>
    </row>
    <row r="177" spans="1:7">
      <c r="A177" s="175">
        <v>4</v>
      </c>
      <c r="B177" s="173">
        <v>38058</v>
      </c>
      <c r="C177" s="172" t="s">
        <v>4100</v>
      </c>
      <c r="F177" s="174">
        <v>10000</v>
      </c>
      <c r="G177" s="172" t="s">
        <v>4101</v>
      </c>
    </row>
    <row r="178" spans="1:7">
      <c r="A178" s="175">
        <v>4</v>
      </c>
      <c r="B178" s="173">
        <v>38058</v>
      </c>
      <c r="C178" s="172" t="s">
        <v>4102</v>
      </c>
      <c r="E178" s="174">
        <v>5291</v>
      </c>
      <c r="G178" s="172" t="s">
        <v>4103</v>
      </c>
    </row>
    <row r="179" spans="1:7">
      <c r="A179" s="175">
        <v>4</v>
      </c>
      <c r="B179" s="173">
        <v>38058</v>
      </c>
      <c r="C179" s="172" t="s">
        <v>4104</v>
      </c>
      <c r="E179" s="174">
        <v>5000</v>
      </c>
      <c r="G179" s="172" t="s">
        <v>4105</v>
      </c>
    </row>
    <row r="180" spans="1:7">
      <c r="A180" s="175">
        <v>4</v>
      </c>
      <c r="B180" s="173">
        <v>38058</v>
      </c>
      <c r="C180" s="172" t="s">
        <v>4106</v>
      </c>
      <c r="E180" s="172">
        <v>6</v>
      </c>
      <c r="G180" s="172" t="s">
        <v>4107</v>
      </c>
    </row>
    <row r="181" spans="1:7">
      <c r="A181" s="175">
        <v>4</v>
      </c>
      <c r="B181" s="173">
        <v>38058</v>
      </c>
      <c r="C181" s="172" t="s">
        <v>4108</v>
      </c>
      <c r="E181" s="172">
        <v>7</v>
      </c>
      <c r="G181" s="172" t="s">
        <v>4109</v>
      </c>
    </row>
    <row r="182" spans="1:7">
      <c r="A182" s="175">
        <v>4</v>
      </c>
      <c r="B182" s="173">
        <v>38069</v>
      </c>
      <c r="C182" s="172" t="s">
        <v>4110</v>
      </c>
      <c r="D182" s="172">
        <v>24143</v>
      </c>
      <c r="F182" s="174">
        <v>13250</v>
      </c>
      <c r="G182" s="172" t="s">
        <v>4111</v>
      </c>
    </row>
    <row r="183" spans="1:7">
      <c r="A183" s="175">
        <v>4</v>
      </c>
      <c r="B183" s="173">
        <v>38069</v>
      </c>
      <c r="C183" s="172" t="s">
        <v>4104</v>
      </c>
      <c r="E183" s="174">
        <v>6509</v>
      </c>
      <c r="G183" s="172" t="s">
        <v>4112</v>
      </c>
    </row>
    <row r="184" spans="1:7">
      <c r="A184" s="175">
        <v>4</v>
      </c>
      <c r="B184" s="173">
        <v>38069</v>
      </c>
      <c r="C184" s="172" t="s">
        <v>4071</v>
      </c>
      <c r="E184" s="174">
        <v>5000</v>
      </c>
      <c r="G184" s="172" t="s">
        <v>4113</v>
      </c>
    </row>
    <row r="185" spans="1:7">
      <c r="A185" s="175">
        <v>4</v>
      </c>
      <c r="B185" s="173">
        <v>38069</v>
      </c>
      <c r="C185" s="172" t="s">
        <v>4106</v>
      </c>
      <c r="E185" s="172">
        <v>14</v>
      </c>
      <c r="G185" s="172" t="s">
        <v>4114</v>
      </c>
    </row>
    <row r="186" spans="1:7">
      <c r="A186" s="175">
        <v>4</v>
      </c>
      <c r="B186" s="173">
        <v>38069</v>
      </c>
      <c r="C186" s="172" t="s">
        <v>4037</v>
      </c>
      <c r="E186" s="172">
        <v>67</v>
      </c>
      <c r="G186" s="172" t="s">
        <v>4115</v>
      </c>
    </row>
    <row r="187" spans="1:7">
      <c r="A187" s="175">
        <v>4</v>
      </c>
      <c r="B187" s="173">
        <v>38071</v>
      </c>
      <c r="C187" s="172" t="s">
        <v>4116</v>
      </c>
      <c r="D187" s="172">
        <v>24144</v>
      </c>
      <c r="F187" s="174">
        <v>4000</v>
      </c>
      <c r="G187" s="172" t="s">
        <v>4117</v>
      </c>
    </row>
    <row r="188" spans="1:7">
      <c r="A188" s="175">
        <v>4</v>
      </c>
      <c r="B188" s="173">
        <v>38071</v>
      </c>
      <c r="C188" s="172" t="s">
        <v>4071</v>
      </c>
      <c r="E188" s="174">
        <v>5000</v>
      </c>
      <c r="G188" s="172" t="s">
        <v>4118</v>
      </c>
    </row>
    <row r="189" spans="1:7">
      <c r="A189" s="175">
        <v>4</v>
      </c>
      <c r="B189" s="173">
        <v>38071</v>
      </c>
      <c r="C189" s="172" t="s">
        <v>4037</v>
      </c>
      <c r="E189" s="172">
        <v>68</v>
      </c>
      <c r="G189" s="172" t="s">
        <v>4119</v>
      </c>
    </row>
    <row r="190" spans="1:7">
      <c r="A190" s="175">
        <v>103</v>
      </c>
      <c r="B190" s="173">
        <v>38075</v>
      </c>
      <c r="C190" s="172" t="s">
        <v>4120</v>
      </c>
      <c r="E190" s="174">
        <v>14120</v>
      </c>
      <c r="G190" s="172" t="s">
        <v>4121</v>
      </c>
    </row>
    <row r="191" spans="1:7">
      <c r="A191" s="175">
        <v>4</v>
      </c>
      <c r="B191" s="173">
        <v>38077</v>
      </c>
      <c r="C191" s="172" t="s">
        <v>4122</v>
      </c>
      <c r="F191" s="174">
        <v>5000</v>
      </c>
      <c r="G191" s="172" t="s">
        <v>4123</v>
      </c>
    </row>
  </sheetData>
  <pageMargins left="0.7" right="0.7" top="0.75" bottom="0.75" header="0.3" footer="0.3"/>
  <pageSetup orientation="portrait" r:id="rId1"/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A874508-2446-4833-BE01-FE962280069B}">
  <sheetPr>
    <tabColor rgb="FF92D050"/>
  </sheetPr>
  <dimension ref="A1:N375"/>
  <sheetViews>
    <sheetView topLeftCell="F1" workbookViewId="0">
      <selection activeCell="K17" sqref="K17"/>
    </sheetView>
  </sheetViews>
  <sheetFormatPr defaultRowHeight="15"/>
  <cols>
    <col min="1" max="1" width="17.42578125" style="172" customWidth="1"/>
    <col min="2" max="2" width="60.42578125" style="172" customWidth="1"/>
    <col min="3" max="3" width="9.140625" style="172"/>
    <col min="4" max="4" width="18.7109375" style="172" customWidth="1"/>
    <col min="5" max="5" width="18.5703125" style="172" customWidth="1"/>
    <col min="6" max="6" width="12.7109375" style="172" customWidth="1"/>
    <col min="7" max="7" width="16" style="172" customWidth="1"/>
    <col min="8" max="8" width="34" style="172" customWidth="1"/>
    <col min="9" max="9" width="10.140625" style="173" bestFit="1" customWidth="1"/>
    <col min="10" max="10" width="9.140625" style="172"/>
    <col min="11" max="11" width="46" style="172" bestFit="1" customWidth="1"/>
    <col min="12" max="13" width="9.5703125" bestFit="1" customWidth="1"/>
    <col min="14" max="14" width="12.5703125" style="172" bestFit="1" customWidth="1"/>
    <col min="15" max="16384" width="9.140625" style="172"/>
  </cols>
  <sheetData>
    <row r="1" spans="1:14">
      <c r="A1" s="176" t="s">
        <v>924</v>
      </c>
      <c r="B1" s="176" t="s">
        <v>10830</v>
      </c>
      <c r="C1" s="176" t="s">
        <v>10831</v>
      </c>
      <c r="D1" s="176" t="s">
        <v>10829</v>
      </c>
      <c r="E1" s="176" t="s">
        <v>10828</v>
      </c>
      <c r="F1" s="176" t="s">
        <v>10832</v>
      </c>
      <c r="G1" s="176" t="s">
        <v>10833</v>
      </c>
      <c r="H1" s="176" t="s">
        <v>10834</v>
      </c>
      <c r="I1" s="173" t="s">
        <v>924</v>
      </c>
      <c r="J1" s="172" t="s">
        <v>10835</v>
      </c>
      <c r="K1" s="172" t="s">
        <v>10830</v>
      </c>
      <c r="L1" t="s">
        <v>10828</v>
      </c>
      <c r="M1" t="s">
        <v>10829</v>
      </c>
      <c r="N1" s="172" t="s">
        <v>10836</v>
      </c>
    </row>
    <row r="2" spans="1:14">
      <c r="A2" s="177">
        <v>38720</v>
      </c>
      <c r="B2" s="178" t="s">
        <v>1394</v>
      </c>
      <c r="C2" s="179" t="s">
        <v>3219</v>
      </c>
      <c r="D2" s="180" t="s">
        <v>3219</v>
      </c>
      <c r="E2" s="180" t="s">
        <v>3219</v>
      </c>
      <c r="F2" s="180" t="s">
        <v>3219</v>
      </c>
      <c r="G2" s="180" t="s">
        <v>3219</v>
      </c>
      <c r="H2" s="181" t="s">
        <v>3220</v>
      </c>
      <c r="I2" s="173">
        <f>A2</f>
        <v>38720</v>
      </c>
      <c r="J2" s="172" t="str">
        <f>C2</f>
        <v>.</v>
      </c>
      <c r="K2" s="172" t="str">
        <f>B2</f>
        <v>B/F</v>
      </c>
      <c r="L2" t="str">
        <f>E2</f>
        <v>.</v>
      </c>
      <c r="M2" t="str">
        <f>D2</f>
        <v>.</v>
      </c>
      <c r="N2" s="172" t="str">
        <f>H2</f>
        <v>3,70,186.22Cr</v>
      </c>
    </row>
    <row r="3" spans="1:14">
      <c r="A3" s="182">
        <v>38720</v>
      </c>
      <c r="B3" s="183" t="s">
        <v>3221</v>
      </c>
      <c r="C3" s="183">
        <v>710485</v>
      </c>
      <c r="D3" s="184">
        <v>14030</v>
      </c>
      <c r="E3" s="185" t="s">
        <v>3219</v>
      </c>
      <c r="F3" s="185" t="s">
        <v>3219</v>
      </c>
      <c r="G3" s="185" t="s">
        <v>3219</v>
      </c>
      <c r="H3" s="186" t="s">
        <v>3222</v>
      </c>
      <c r="I3" s="173">
        <f t="shared" ref="I3:I66" si="0">A3</f>
        <v>38720</v>
      </c>
      <c r="J3" s="172">
        <f t="shared" ref="J3:J66" si="1">C3</f>
        <v>710485</v>
      </c>
      <c r="K3" s="172" t="str">
        <f t="shared" ref="K3:K66" si="2">B3</f>
        <v>GRUH FINANCE LTD</v>
      </c>
      <c r="L3" t="str">
        <f t="shared" ref="L3:L66" si="3">E3</f>
        <v>.</v>
      </c>
      <c r="M3">
        <f t="shared" ref="M3:M66" si="4">D3</f>
        <v>14030</v>
      </c>
      <c r="N3" s="172" t="str">
        <f t="shared" ref="N3:N66" si="5">H3</f>
        <v>3,56,156.22Cr</v>
      </c>
    </row>
    <row r="4" spans="1:14">
      <c r="A4" s="177">
        <v>38751</v>
      </c>
      <c r="B4" s="178" t="s">
        <v>3223</v>
      </c>
      <c r="C4" s="178">
        <v>710484</v>
      </c>
      <c r="D4" s="187">
        <v>11588</v>
      </c>
      <c r="E4" s="180" t="s">
        <v>3219</v>
      </c>
      <c r="F4" s="180" t="s">
        <v>3219</v>
      </c>
      <c r="G4" s="180" t="s">
        <v>3219</v>
      </c>
      <c r="H4" s="181" t="s">
        <v>3224</v>
      </c>
      <c r="I4" s="173">
        <f t="shared" si="0"/>
        <v>38751</v>
      </c>
      <c r="J4" s="172">
        <f t="shared" si="1"/>
        <v>710484</v>
      </c>
      <c r="K4" s="172" t="str">
        <f t="shared" si="2"/>
        <v>LOK HOUSING &amp; CONST LTD</v>
      </c>
      <c r="L4" t="str">
        <f t="shared" si="3"/>
        <v>.</v>
      </c>
      <c r="M4">
        <f t="shared" si="4"/>
        <v>11588</v>
      </c>
      <c r="N4" s="172" t="str">
        <f t="shared" si="5"/>
        <v>3,44,568.22Cr</v>
      </c>
    </row>
    <row r="5" spans="1:14">
      <c r="A5" s="182">
        <v>38751</v>
      </c>
      <c r="B5" s="183" t="s">
        <v>3225</v>
      </c>
      <c r="C5" s="183">
        <v>710486</v>
      </c>
      <c r="D5" s="184">
        <v>1900</v>
      </c>
      <c r="E5" s="185" t="s">
        <v>3219</v>
      </c>
      <c r="F5" s="185" t="s">
        <v>3219</v>
      </c>
      <c r="G5" s="185" t="s">
        <v>3219</v>
      </c>
      <c r="H5" s="186" t="s">
        <v>3226</v>
      </c>
      <c r="I5" s="173">
        <f t="shared" si="0"/>
        <v>38751</v>
      </c>
      <c r="J5" s="172">
        <f t="shared" si="1"/>
        <v>710486</v>
      </c>
      <c r="K5" s="172" t="str">
        <f t="shared" si="2"/>
        <v>GODREJ</v>
      </c>
      <c r="L5" t="str">
        <f t="shared" si="3"/>
        <v>.</v>
      </c>
      <c r="M5">
        <f t="shared" si="4"/>
        <v>1900</v>
      </c>
      <c r="N5" s="172" t="str">
        <f t="shared" si="5"/>
        <v>3,42,668.22Cr</v>
      </c>
    </row>
    <row r="6" spans="1:14">
      <c r="A6" s="177">
        <v>38810</v>
      </c>
      <c r="B6" s="178" t="s">
        <v>3227</v>
      </c>
      <c r="C6" s="179" t="s">
        <v>3219</v>
      </c>
      <c r="D6" s="180" t="s">
        <v>3219</v>
      </c>
      <c r="E6" s="187">
        <v>1251</v>
      </c>
      <c r="F6" s="180" t="s">
        <v>3219</v>
      </c>
      <c r="G6" s="180" t="s">
        <v>3219</v>
      </c>
      <c r="H6" s="181" t="s">
        <v>3228</v>
      </c>
      <c r="I6" s="173">
        <f t="shared" si="0"/>
        <v>38810</v>
      </c>
      <c r="J6" s="172" t="str">
        <f t="shared" si="1"/>
        <v>.</v>
      </c>
      <c r="K6" s="172" t="str">
        <f t="shared" si="2"/>
        <v>000401043279:Int.Pd:01-09-2005 to 28-02-2006</v>
      </c>
      <c r="L6">
        <f t="shared" si="3"/>
        <v>1251</v>
      </c>
      <c r="M6" t="str">
        <f t="shared" si="4"/>
        <v>.</v>
      </c>
      <c r="N6" s="172" t="str">
        <f t="shared" si="5"/>
        <v>3,43,919.22Cr</v>
      </c>
    </row>
    <row r="7" spans="1:14">
      <c r="A7" s="182">
        <v>38871</v>
      </c>
      <c r="B7" s="183" t="s">
        <v>3229</v>
      </c>
      <c r="C7" s="183">
        <v>710487</v>
      </c>
      <c r="D7" s="186">
        <v>559</v>
      </c>
      <c r="E7" s="185" t="s">
        <v>3219</v>
      </c>
      <c r="F7" s="185" t="s">
        <v>3219</v>
      </c>
      <c r="G7" s="185" t="s">
        <v>3219</v>
      </c>
      <c r="H7" s="186" t="s">
        <v>3230</v>
      </c>
      <c r="I7" s="173">
        <f t="shared" si="0"/>
        <v>38871</v>
      </c>
      <c r="J7" s="172">
        <f t="shared" si="1"/>
        <v>710487</v>
      </c>
      <c r="K7" s="172" t="str">
        <f t="shared" si="2"/>
        <v>TTML</v>
      </c>
      <c r="L7" t="str">
        <f t="shared" si="3"/>
        <v>.</v>
      </c>
      <c r="M7">
        <f t="shared" si="4"/>
        <v>559</v>
      </c>
      <c r="N7" s="172" t="str">
        <f t="shared" si="5"/>
        <v>3,43,360.22Cr</v>
      </c>
    </row>
    <row r="8" spans="1:14">
      <c r="A8" s="177">
        <v>38932</v>
      </c>
      <c r="B8" s="178" t="s">
        <v>3231</v>
      </c>
      <c r="C8" s="179" t="s">
        <v>3219</v>
      </c>
      <c r="D8" s="180" t="s">
        <v>3219</v>
      </c>
      <c r="E8" s="187">
        <v>10725</v>
      </c>
      <c r="F8" s="180" t="s">
        <v>3219</v>
      </c>
      <c r="G8" s="180" t="s">
        <v>3219</v>
      </c>
      <c r="H8" s="181" t="s">
        <v>3232</v>
      </c>
      <c r="I8" s="173">
        <f t="shared" si="0"/>
        <v>38932</v>
      </c>
      <c r="J8" s="172" t="str">
        <f t="shared" si="1"/>
        <v>.</v>
      </c>
      <c r="K8" s="172" t="str">
        <f t="shared" si="2"/>
        <v>048032/IDBI BANK LTD.</v>
      </c>
      <c r="L8">
        <f t="shared" si="3"/>
        <v>10725</v>
      </c>
      <c r="M8" t="str">
        <f t="shared" si="4"/>
        <v>.</v>
      </c>
      <c r="N8" s="172" t="str">
        <f t="shared" si="5"/>
        <v>3,54,085.22Cr</v>
      </c>
    </row>
    <row r="9" spans="1:14">
      <c r="A9" s="182">
        <v>38932</v>
      </c>
      <c r="B9" s="183" t="s">
        <v>3233</v>
      </c>
      <c r="C9" s="188" t="s">
        <v>3219</v>
      </c>
      <c r="D9" s="185" t="s">
        <v>3219</v>
      </c>
      <c r="E9" s="184">
        <v>1650</v>
      </c>
      <c r="F9" s="185" t="s">
        <v>3219</v>
      </c>
      <c r="G9" s="185" t="s">
        <v>3219</v>
      </c>
      <c r="H9" s="186" t="s">
        <v>3234</v>
      </c>
      <c r="I9" s="173">
        <f t="shared" si="0"/>
        <v>38932</v>
      </c>
      <c r="J9" s="172" t="str">
        <f t="shared" si="1"/>
        <v>.</v>
      </c>
      <c r="K9" s="172" t="str">
        <f t="shared" si="2"/>
        <v>063223/IDBI BANK LTD.</v>
      </c>
      <c r="L9">
        <f t="shared" si="3"/>
        <v>1650</v>
      </c>
      <c r="M9" t="str">
        <f t="shared" si="4"/>
        <v>.</v>
      </c>
      <c r="N9" s="172" t="str">
        <f t="shared" si="5"/>
        <v>3,55,735.22Cr</v>
      </c>
    </row>
    <row r="10" spans="1:14">
      <c r="A10" s="177">
        <v>38932</v>
      </c>
      <c r="B10" s="178" t="s">
        <v>3235</v>
      </c>
      <c r="C10" s="179" t="s">
        <v>3219</v>
      </c>
      <c r="D10" s="180" t="s">
        <v>3219</v>
      </c>
      <c r="E10" s="181">
        <v>550</v>
      </c>
      <c r="F10" s="180" t="s">
        <v>3219</v>
      </c>
      <c r="G10" s="180" t="s">
        <v>3219</v>
      </c>
      <c r="H10" s="181" t="s">
        <v>3236</v>
      </c>
      <c r="I10" s="173">
        <f t="shared" si="0"/>
        <v>38932</v>
      </c>
      <c r="J10" s="172" t="str">
        <f t="shared" si="1"/>
        <v>.</v>
      </c>
      <c r="K10" s="172" t="str">
        <f t="shared" si="2"/>
        <v>063275/IDBI BANK LTD.</v>
      </c>
      <c r="L10">
        <f t="shared" si="3"/>
        <v>550</v>
      </c>
      <c r="M10" t="str">
        <f t="shared" si="4"/>
        <v>.</v>
      </c>
      <c r="N10" s="172" t="str">
        <f t="shared" si="5"/>
        <v>3,56,285.22Cr</v>
      </c>
    </row>
    <row r="11" spans="1:14">
      <c r="A11" s="182">
        <v>38932</v>
      </c>
      <c r="B11" s="183" t="s">
        <v>3237</v>
      </c>
      <c r="C11" s="188" t="s">
        <v>3219</v>
      </c>
      <c r="D11" s="185" t="s">
        <v>3219</v>
      </c>
      <c r="E11" s="184">
        <v>12247</v>
      </c>
      <c r="F11" s="185" t="s">
        <v>3219</v>
      </c>
      <c r="G11" s="185" t="s">
        <v>3219</v>
      </c>
      <c r="H11" s="186" t="s">
        <v>3238</v>
      </c>
      <c r="I11" s="173">
        <f t="shared" si="0"/>
        <v>38932</v>
      </c>
      <c r="J11" s="172" t="str">
        <f t="shared" si="1"/>
        <v>.</v>
      </c>
      <c r="K11" s="172" t="str">
        <f t="shared" si="2"/>
        <v>REIMBURSEMENT OF EXPENSES 06 0</v>
      </c>
      <c r="L11">
        <f t="shared" si="3"/>
        <v>12247</v>
      </c>
      <c r="M11" t="str">
        <f t="shared" si="4"/>
        <v>.</v>
      </c>
      <c r="N11" s="172" t="str">
        <f t="shared" si="5"/>
        <v>3,68,532.22Cr</v>
      </c>
    </row>
    <row r="12" spans="1:14">
      <c r="A12" s="177">
        <v>38993</v>
      </c>
      <c r="B12" s="178" t="s">
        <v>3239</v>
      </c>
      <c r="C12" s="179" t="s">
        <v>3219</v>
      </c>
      <c r="D12" s="187">
        <v>4000</v>
      </c>
      <c r="E12" s="180" t="s">
        <v>3219</v>
      </c>
      <c r="F12" s="180" t="s">
        <v>3219</v>
      </c>
      <c r="G12" s="180" t="s">
        <v>3219</v>
      </c>
      <c r="H12" s="181" t="s">
        <v>3240</v>
      </c>
      <c r="I12" s="173">
        <f t="shared" si="0"/>
        <v>38993</v>
      </c>
      <c r="J12" s="172" t="str">
        <f t="shared" si="1"/>
        <v>.</v>
      </c>
      <c r="K12" s="172" t="str">
        <f t="shared" si="2"/>
        <v>ATM/CASH WDL/20060310182219/0</v>
      </c>
      <c r="L12" t="str">
        <f t="shared" si="3"/>
        <v>.</v>
      </c>
      <c r="M12">
        <f t="shared" si="4"/>
        <v>4000</v>
      </c>
      <c r="N12" s="172" t="str">
        <f t="shared" si="5"/>
        <v>3,64,532.22Cr</v>
      </c>
    </row>
    <row r="13" spans="1:14">
      <c r="A13" s="183" t="s">
        <v>10837</v>
      </c>
      <c r="B13" s="183" t="s">
        <v>3241</v>
      </c>
      <c r="C13" s="188" t="s">
        <v>3219</v>
      </c>
      <c r="D13" s="185" t="s">
        <v>3219</v>
      </c>
      <c r="E13" s="184">
        <v>2123</v>
      </c>
      <c r="F13" s="185" t="s">
        <v>3219</v>
      </c>
      <c r="G13" s="185" t="s">
        <v>3219</v>
      </c>
      <c r="H13" s="186" t="s">
        <v>3242</v>
      </c>
      <c r="I13" s="173" t="str">
        <f t="shared" si="0"/>
        <v>16-03-2006</v>
      </c>
      <c r="J13" s="172" t="str">
        <f t="shared" si="1"/>
        <v>.</v>
      </c>
      <c r="K13" s="172" t="str">
        <f t="shared" si="2"/>
        <v>INT. ON ICICI BONDS 5016291914</v>
      </c>
      <c r="L13">
        <f t="shared" si="3"/>
        <v>2123</v>
      </c>
      <c r="M13" t="str">
        <f t="shared" si="4"/>
        <v>.</v>
      </c>
      <c r="N13" s="172" t="str">
        <f t="shared" si="5"/>
        <v>3,66,655.22Cr</v>
      </c>
    </row>
    <row r="14" spans="1:14">
      <c r="A14" s="178" t="s">
        <v>10838</v>
      </c>
      <c r="B14" s="178" t="s">
        <v>3243</v>
      </c>
      <c r="C14" s="179" t="s">
        <v>3219</v>
      </c>
      <c r="D14" s="187">
        <v>3000</v>
      </c>
      <c r="E14" s="180" t="s">
        <v>3219</v>
      </c>
      <c r="F14" s="180" t="s">
        <v>3219</v>
      </c>
      <c r="G14" s="180" t="s">
        <v>3219</v>
      </c>
      <c r="H14" s="181" t="s">
        <v>3244</v>
      </c>
      <c r="I14" s="173" t="str">
        <f t="shared" si="0"/>
        <v>18-03-2006</v>
      </c>
      <c r="J14" s="172" t="str">
        <f t="shared" si="1"/>
        <v>.</v>
      </c>
      <c r="K14" s="172" t="str">
        <f t="shared" si="2"/>
        <v>ATM/CASH WDL/20060318195416/0</v>
      </c>
      <c r="L14" t="str">
        <f t="shared" si="3"/>
        <v>.</v>
      </c>
      <c r="M14">
        <f t="shared" si="4"/>
        <v>3000</v>
      </c>
      <c r="N14" s="172" t="str">
        <f t="shared" si="5"/>
        <v>3,63,655.22Cr</v>
      </c>
    </row>
    <row r="15" spans="1:14">
      <c r="A15" s="183" t="s">
        <v>10839</v>
      </c>
      <c r="B15" s="183" t="s">
        <v>3245</v>
      </c>
      <c r="C15" s="188" t="s">
        <v>3219</v>
      </c>
      <c r="D15" s="184">
        <v>2000</v>
      </c>
      <c r="E15" s="185" t="s">
        <v>3219</v>
      </c>
      <c r="F15" s="185" t="s">
        <v>3219</v>
      </c>
      <c r="G15" s="185" t="s">
        <v>3219</v>
      </c>
      <c r="H15" s="186" t="s">
        <v>3246</v>
      </c>
      <c r="I15" s="173" t="str">
        <f t="shared" si="0"/>
        <v>24-03-2006</v>
      </c>
      <c r="J15" s="172" t="str">
        <f t="shared" si="1"/>
        <v>.</v>
      </c>
      <c r="K15" s="172" t="str">
        <f t="shared" si="2"/>
        <v>ATM/CASH WDL/20060324081123/0</v>
      </c>
      <c r="L15" t="str">
        <f t="shared" si="3"/>
        <v>.</v>
      </c>
      <c r="M15">
        <f t="shared" si="4"/>
        <v>2000</v>
      </c>
      <c r="N15" s="172" t="str">
        <f t="shared" si="5"/>
        <v>3,61,655.22Cr</v>
      </c>
    </row>
    <row r="16" spans="1:14">
      <c r="A16" s="178" t="s">
        <v>10839</v>
      </c>
      <c r="B16" s="178" t="s">
        <v>3247</v>
      </c>
      <c r="C16" s="179" t="s">
        <v>3219</v>
      </c>
      <c r="D16" s="180" t="s">
        <v>3219</v>
      </c>
      <c r="E16" s="187">
        <v>36007</v>
      </c>
      <c r="F16" s="180" t="s">
        <v>3219</v>
      </c>
      <c r="G16" s="180" t="s">
        <v>3219</v>
      </c>
      <c r="H16" s="181" t="s">
        <v>3248</v>
      </c>
      <c r="I16" s="173" t="str">
        <f t="shared" si="0"/>
        <v>24-03-2006</v>
      </c>
      <c r="J16" s="172" t="str">
        <f t="shared" si="1"/>
        <v>.</v>
      </c>
      <c r="K16" s="172" t="str">
        <f t="shared" si="2"/>
        <v>NET SALARY MARCH 2006</v>
      </c>
      <c r="L16">
        <f t="shared" si="3"/>
        <v>36007</v>
      </c>
      <c r="M16" t="str">
        <f t="shared" si="4"/>
        <v>.</v>
      </c>
      <c r="N16" s="172" t="str">
        <f t="shared" si="5"/>
        <v>3,97,662.22Cr</v>
      </c>
    </row>
    <row r="17" spans="1:14">
      <c r="A17" s="183" t="s">
        <v>10840</v>
      </c>
      <c r="B17" s="183" t="s">
        <v>3249</v>
      </c>
      <c r="C17" s="183">
        <v>710491</v>
      </c>
      <c r="D17" s="184">
        <v>18000</v>
      </c>
      <c r="E17" s="185" t="s">
        <v>3219</v>
      </c>
      <c r="F17" s="185" t="s">
        <v>3219</v>
      </c>
      <c r="G17" s="185" t="s">
        <v>3219</v>
      </c>
      <c r="H17" s="186" t="s">
        <v>3250</v>
      </c>
      <c r="I17" s="173" t="str">
        <f t="shared" si="0"/>
        <v>27-03-2006</v>
      </c>
      <c r="J17" s="172">
        <f t="shared" si="1"/>
        <v>710491</v>
      </c>
      <c r="K17" s="172" t="str">
        <f t="shared" si="2"/>
        <v>BIRLA SUNLIFE B INDIA FUND</v>
      </c>
      <c r="L17" t="str">
        <f t="shared" si="3"/>
        <v>.</v>
      </c>
      <c r="M17">
        <f t="shared" si="4"/>
        <v>18000</v>
      </c>
      <c r="N17" s="172" t="str">
        <f t="shared" si="5"/>
        <v>3,79,662.22Cr</v>
      </c>
    </row>
    <row r="18" spans="1:14">
      <c r="A18" s="178" t="s">
        <v>10841</v>
      </c>
      <c r="B18" s="178" t="s">
        <v>3251</v>
      </c>
      <c r="C18" s="178">
        <v>710488</v>
      </c>
      <c r="D18" s="187">
        <v>25000</v>
      </c>
      <c r="E18" s="180" t="s">
        <v>3219</v>
      </c>
      <c r="F18" s="180" t="s">
        <v>3219</v>
      </c>
      <c r="G18" s="180" t="s">
        <v>3219</v>
      </c>
      <c r="H18" s="181" t="s">
        <v>3252</v>
      </c>
      <c r="I18" s="173" t="str">
        <f t="shared" si="0"/>
        <v>28-03-2006</v>
      </c>
      <c r="J18" s="172">
        <f t="shared" si="1"/>
        <v>710488</v>
      </c>
      <c r="K18" s="172" t="str">
        <f t="shared" si="2"/>
        <v>SR POST MASTER DADAR HPO</v>
      </c>
      <c r="L18" t="str">
        <f t="shared" si="3"/>
        <v>.</v>
      </c>
      <c r="M18">
        <f t="shared" si="4"/>
        <v>25000</v>
      </c>
      <c r="N18" s="172" t="str">
        <f t="shared" si="5"/>
        <v>3,54,662.22Cr</v>
      </c>
    </row>
    <row r="19" spans="1:14">
      <c r="A19" s="183" t="s">
        <v>10842</v>
      </c>
      <c r="B19" s="183" t="s">
        <v>3253</v>
      </c>
      <c r="C19" s="183">
        <v>710489</v>
      </c>
      <c r="D19" s="184">
        <v>25000</v>
      </c>
      <c r="E19" s="185" t="s">
        <v>3219</v>
      </c>
      <c r="F19" s="185" t="s">
        <v>3219</v>
      </c>
      <c r="G19" s="185" t="s">
        <v>3219</v>
      </c>
      <c r="H19" s="186" t="s">
        <v>3254</v>
      </c>
      <c r="I19" s="173" t="str">
        <f t="shared" si="0"/>
        <v>29-03-2006</v>
      </c>
      <c r="J19" s="172">
        <f t="shared" si="1"/>
        <v>710489</v>
      </c>
      <c r="K19" s="172" t="str">
        <f t="shared" si="2"/>
        <v>ABN AMRO FUTURE LEADER FUND</v>
      </c>
      <c r="L19" t="str">
        <f t="shared" si="3"/>
        <v>.</v>
      </c>
      <c r="M19">
        <f t="shared" si="4"/>
        <v>25000</v>
      </c>
      <c r="N19" s="172" t="str">
        <f t="shared" si="5"/>
        <v>3,29,662.22C</v>
      </c>
    </row>
    <row r="20" spans="1:14">
      <c r="A20" s="177">
        <v>38721</v>
      </c>
      <c r="B20" s="178" t="s">
        <v>1394</v>
      </c>
      <c r="C20" s="179" t="s">
        <v>3219</v>
      </c>
      <c r="D20" s="180" t="s">
        <v>3219</v>
      </c>
      <c r="E20" s="180" t="s">
        <v>3219</v>
      </c>
      <c r="F20" s="180" t="s">
        <v>3219</v>
      </c>
      <c r="G20" s="180" t="s">
        <v>3219</v>
      </c>
      <c r="H20" s="181" t="s">
        <v>3255</v>
      </c>
      <c r="I20" s="173">
        <f t="shared" si="0"/>
        <v>38721</v>
      </c>
      <c r="J20" s="172" t="str">
        <f t="shared" si="1"/>
        <v>.</v>
      </c>
      <c r="K20" s="172" t="str">
        <f t="shared" si="2"/>
        <v>B/F</v>
      </c>
      <c r="L20" t="str">
        <f t="shared" si="3"/>
        <v>.</v>
      </c>
      <c r="M20" t="str">
        <f t="shared" si="4"/>
        <v>.</v>
      </c>
      <c r="N20" s="172" t="str">
        <f t="shared" si="5"/>
        <v>3,29,662.22Cr</v>
      </c>
    </row>
    <row r="21" spans="1:14">
      <c r="A21" s="182">
        <v>38902</v>
      </c>
      <c r="B21" s="183" t="s">
        <v>3229</v>
      </c>
      <c r="C21" s="183">
        <v>710493</v>
      </c>
      <c r="D21" s="186">
        <v>619</v>
      </c>
      <c r="E21" s="185" t="s">
        <v>3219</v>
      </c>
      <c r="F21" s="185" t="s">
        <v>3219</v>
      </c>
      <c r="G21" s="185" t="s">
        <v>3219</v>
      </c>
      <c r="H21" s="186" t="s">
        <v>3256</v>
      </c>
      <c r="I21" s="173">
        <f t="shared" si="0"/>
        <v>38902</v>
      </c>
      <c r="J21" s="172">
        <f t="shared" si="1"/>
        <v>710493</v>
      </c>
      <c r="K21" s="172" t="str">
        <f t="shared" si="2"/>
        <v>TTML</v>
      </c>
      <c r="L21" t="str">
        <f t="shared" si="3"/>
        <v>.</v>
      </c>
      <c r="M21">
        <f t="shared" si="4"/>
        <v>619</v>
      </c>
      <c r="N21" s="172" t="str">
        <f t="shared" si="5"/>
        <v>3,29,043.22Cr</v>
      </c>
    </row>
    <row r="22" spans="1:14">
      <c r="A22" s="177">
        <v>38902</v>
      </c>
      <c r="B22" s="178" t="s">
        <v>3257</v>
      </c>
      <c r="C22" s="178">
        <v>710492</v>
      </c>
      <c r="D22" s="187">
        <v>14545</v>
      </c>
      <c r="E22" s="180" t="s">
        <v>3219</v>
      </c>
      <c r="F22" s="180" t="s">
        <v>3219</v>
      </c>
      <c r="G22" s="180" t="s">
        <v>3219</v>
      </c>
      <c r="H22" s="181" t="s">
        <v>3258</v>
      </c>
      <c r="I22" s="173">
        <f t="shared" si="0"/>
        <v>38902</v>
      </c>
      <c r="J22" s="172">
        <f t="shared" si="1"/>
        <v>710492</v>
      </c>
      <c r="K22" s="172" t="str">
        <f t="shared" si="2"/>
        <v>GRUH FIN LTD</v>
      </c>
      <c r="L22" t="str">
        <f t="shared" si="3"/>
        <v>.</v>
      </c>
      <c r="M22">
        <f t="shared" si="4"/>
        <v>14545</v>
      </c>
      <c r="N22" s="172" t="str">
        <f t="shared" si="5"/>
        <v>3,14,498.22Cr</v>
      </c>
    </row>
    <row r="23" spans="1:14">
      <c r="A23" s="182">
        <v>38994</v>
      </c>
      <c r="B23" s="183" t="s">
        <v>3259</v>
      </c>
      <c r="C23" s="188" t="s">
        <v>3219</v>
      </c>
      <c r="D23" s="184">
        <v>4000</v>
      </c>
      <c r="E23" s="185" t="s">
        <v>3219</v>
      </c>
      <c r="F23" s="185" t="s">
        <v>3219</v>
      </c>
      <c r="G23" s="185" t="s">
        <v>3219</v>
      </c>
      <c r="H23" s="186" t="s">
        <v>3260</v>
      </c>
      <c r="I23" s="173">
        <f t="shared" si="0"/>
        <v>38994</v>
      </c>
      <c r="J23" s="172" t="str">
        <f t="shared" si="1"/>
        <v>.</v>
      </c>
      <c r="K23" s="172" t="str">
        <f t="shared" si="2"/>
        <v>ATM/CASH WDL/20060409110348/0</v>
      </c>
      <c r="L23" t="str">
        <f t="shared" si="3"/>
        <v>.</v>
      </c>
      <c r="M23">
        <f t="shared" si="4"/>
        <v>4000</v>
      </c>
      <c r="N23" s="172" t="str">
        <f t="shared" si="5"/>
        <v>3,10,498.22Cr</v>
      </c>
    </row>
    <row r="24" spans="1:14">
      <c r="A24" s="177">
        <v>38994</v>
      </c>
      <c r="B24" s="178" t="s">
        <v>3261</v>
      </c>
      <c r="C24" s="179" t="s">
        <v>3219</v>
      </c>
      <c r="D24" s="180" t="s">
        <v>3219</v>
      </c>
      <c r="E24" s="187">
        <v>5306.6</v>
      </c>
      <c r="F24" s="180" t="s">
        <v>3219</v>
      </c>
      <c r="G24" s="180" t="s">
        <v>3219</v>
      </c>
      <c r="H24" s="181" t="s">
        <v>3262</v>
      </c>
      <c r="I24" s="173">
        <f t="shared" si="0"/>
        <v>38994</v>
      </c>
      <c r="J24" s="172" t="str">
        <f t="shared" si="1"/>
        <v>.</v>
      </c>
      <c r="K24" s="172" t="str">
        <f t="shared" si="2"/>
        <v>BSBuyIF - Dividend</v>
      </c>
      <c r="L24">
        <f t="shared" si="3"/>
        <v>5306.6</v>
      </c>
      <c r="M24" t="str">
        <f t="shared" si="4"/>
        <v>.</v>
      </c>
      <c r="N24" s="172" t="str">
        <f t="shared" si="5"/>
        <v>3,15,804.82Cr</v>
      </c>
    </row>
    <row r="25" spans="1:14">
      <c r="A25" s="182">
        <v>38994</v>
      </c>
      <c r="B25" s="183" t="s">
        <v>3263</v>
      </c>
      <c r="C25" s="188" t="s">
        <v>3219</v>
      </c>
      <c r="D25" s="184">
        <v>10000</v>
      </c>
      <c r="E25" s="185" t="s">
        <v>3219</v>
      </c>
      <c r="F25" s="185" t="s">
        <v>3219</v>
      </c>
      <c r="G25" s="185" t="s">
        <v>3219</v>
      </c>
      <c r="H25" s="186" t="s">
        <v>3264</v>
      </c>
      <c r="I25" s="173">
        <f t="shared" si="0"/>
        <v>38994</v>
      </c>
      <c r="J25" s="172" t="str">
        <f t="shared" si="1"/>
        <v>.</v>
      </c>
      <c r="K25" s="172" t="str">
        <f t="shared" si="2"/>
        <v>ATM/CASH WDL/20060410210231/0</v>
      </c>
      <c r="L25" t="str">
        <f t="shared" si="3"/>
        <v>.</v>
      </c>
      <c r="M25">
        <f t="shared" si="4"/>
        <v>10000</v>
      </c>
      <c r="N25" s="172" t="str">
        <f t="shared" si="5"/>
        <v>3,05,804.82Cr</v>
      </c>
    </row>
    <row r="26" spans="1:14">
      <c r="A26" s="178" t="s">
        <v>10024</v>
      </c>
      <c r="B26" s="178" t="s">
        <v>3265</v>
      </c>
      <c r="C26" s="178">
        <v>710490</v>
      </c>
      <c r="D26" s="187">
        <v>2000</v>
      </c>
      <c r="E26" s="180" t="s">
        <v>3219</v>
      </c>
      <c r="F26" s="180" t="s">
        <v>3219</v>
      </c>
      <c r="G26" s="180" t="s">
        <v>3219</v>
      </c>
      <c r="H26" s="181" t="s">
        <v>3266</v>
      </c>
      <c r="I26" s="173" t="str">
        <f t="shared" si="0"/>
        <v>17-04-2006</v>
      </c>
      <c r="J26" s="172">
        <f t="shared" si="1"/>
        <v>710490</v>
      </c>
      <c r="K26" s="172" t="str">
        <f t="shared" si="2"/>
        <v>ARAIYA ENTERPRIES</v>
      </c>
      <c r="L26" t="str">
        <f t="shared" si="3"/>
        <v>.</v>
      </c>
      <c r="M26">
        <f t="shared" si="4"/>
        <v>2000</v>
      </c>
      <c r="N26" s="172" t="str">
        <f t="shared" si="5"/>
        <v>3,03,804.82Cr</v>
      </c>
    </row>
    <row r="27" spans="1:14">
      <c r="A27" s="183" t="s">
        <v>10025</v>
      </c>
      <c r="B27" s="183" t="s">
        <v>3267</v>
      </c>
      <c r="C27" s="188" t="s">
        <v>3219</v>
      </c>
      <c r="D27" s="184">
        <v>3000</v>
      </c>
      <c r="E27" s="185" t="s">
        <v>3219</v>
      </c>
      <c r="F27" s="185" t="s">
        <v>3219</v>
      </c>
      <c r="G27" s="185" t="s">
        <v>3219</v>
      </c>
      <c r="H27" s="186" t="s">
        <v>3268</v>
      </c>
      <c r="I27" s="173" t="str">
        <f t="shared" si="0"/>
        <v>19-04-2006</v>
      </c>
      <c r="J27" s="172" t="str">
        <f t="shared" si="1"/>
        <v>.</v>
      </c>
      <c r="K27" s="172" t="str">
        <f t="shared" si="2"/>
        <v>ATM/CASH WDL/20060419080158/0</v>
      </c>
      <c r="L27" t="str">
        <f t="shared" si="3"/>
        <v>.</v>
      </c>
      <c r="M27">
        <f t="shared" si="4"/>
        <v>3000</v>
      </c>
      <c r="N27" s="172" t="str">
        <f t="shared" si="5"/>
        <v>3,00,804.82Cr</v>
      </c>
    </row>
    <row r="28" spans="1:14">
      <c r="A28" s="178" t="s">
        <v>10026</v>
      </c>
      <c r="B28" s="178" t="s">
        <v>3269</v>
      </c>
      <c r="C28" s="179" t="s">
        <v>3219</v>
      </c>
      <c r="D28" s="187">
        <v>3000</v>
      </c>
      <c r="E28" s="180" t="s">
        <v>3219</v>
      </c>
      <c r="F28" s="180" t="s">
        <v>3219</v>
      </c>
      <c r="G28" s="180" t="s">
        <v>3219</v>
      </c>
      <c r="H28" s="181" t="s">
        <v>3270</v>
      </c>
      <c r="I28" s="173" t="str">
        <f t="shared" si="0"/>
        <v>20-04-2006</v>
      </c>
      <c r="J28" s="172" t="str">
        <f t="shared" si="1"/>
        <v>.</v>
      </c>
      <c r="K28" s="172" t="str">
        <f t="shared" si="2"/>
        <v>ATM/CASH WDL/20060420080219/0</v>
      </c>
      <c r="L28" t="str">
        <f t="shared" si="3"/>
        <v>.</v>
      </c>
      <c r="M28">
        <f t="shared" si="4"/>
        <v>3000</v>
      </c>
      <c r="N28" s="172" t="str">
        <f t="shared" si="5"/>
        <v>2,97,804.82Cr</v>
      </c>
    </row>
    <row r="29" spans="1:14">
      <c r="A29" s="183" t="s">
        <v>10027</v>
      </c>
      <c r="B29" s="183" t="s">
        <v>3271</v>
      </c>
      <c r="C29" s="183">
        <v>710496</v>
      </c>
      <c r="D29" s="184">
        <v>97452</v>
      </c>
      <c r="E29" s="185" t="s">
        <v>3219</v>
      </c>
      <c r="F29" s="185" t="s">
        <v>3219</v>
      </c>
      <c r="G29" s="185" t="s">
        <v>3219</v>
      </c>
      <c r="H29" s="186" t="s">
        <v>3272</v>
      </c>
      <c r="I29" s="173" t="str">
        <f t="shared" si="0"/>
        <v>29-04-2006</v>
      </c>
      <c r="J29" s="172">
        <f t="shared" si="1"/>
        <v>710496</v>
      </c>
      <c r="K29" s="172" t="str">
        <f t="shared" si="2"/>
        <v>CARLSON TRAVEL</v>
      </c>
      <c r="L29" t="str">
        <f t="shared" si="3"/>
        <v>.</v>
      </c>
      <c r="M29">
        <f t="shared" si="4"/>
        <v>97452</v>
      </c>
      <c r="N29" s="172" t="str">
        <f t="shared" si="5"/>
        <v>2,00,352.82Cr</v>
      </c>
    </row>
    <row r="30" spans="1:14">
      <c r="A30" s="178" t="s">
        <v>10027</v>
      </c>
      <c r="B30" s="178" t="s">
        <v>3273</v>
      </c>
      <c r="C30" s="179" t="s">
        <v>3219</v>
      </c>
      <c r="D30" s="180" t="s">
        <v>3219</v>
      </c>
      <c r="E30" s="181" t="s">
        <v>10843</v>
      </c>
      <c r="F30" s="180" t="s">
        <v>3219</v>
      </c>
      <c r="G30" s="180" t="s">
        <v>3219</v>
      </c>
      <c r="H30" s="181" t="s">
        <v>3274</v>
      </c>
      <c r="I30" s="173" t="str">
        <f t="shared" si="0"/>
        <v>29-04-2006</v>
      </c>
      <c r="J30" s="172" t="str">
        <f t="shared" si="1"/>
        <v>.</v>
      </c>
      <c r="K30" s="172" t="str">
        <f t="shared" si="2"/>
        <v>NET SALARY APRIL 2006</v>
      </c>
      <c r="L30" t="str">
        <f t="shared" si="3"/>
        <v>1,00,914.00</v>
      </c>
      <c r="M30" t="str">
        <f t="shared" si="4"/>
        <v>.</v>
      </c>
      <c r="N30" s="172" t="str">
        <f t="shared" si="5"/>
        <v>3,01,266.82C</v>
      </c>
    </row>
    <row r="31" spans="1:14">
      <c r="A31" s="177">
        <v>38722</v>
      </c>
      <c r="B31" s="178" t="s">
        <v>1394</v>
      </c>
      <c r="C31" s="179" t="s">
        <v>3219</v>
      </c>
      <c r="D31" s="180" t="s">
        <v>3219</v>
      </c>
      <c r="E31" s="180" t="s">
        <v>3219</v>
      </c>
      <c r="F31" s="180" t="s">
        <v>3219</v>
      </c>
      <c r="G31" s="180" t="s">
        <v>3219</v>
      </c>
      <c r="H31" s="181" t="s">
        <v>3275</v>
      </c>
      <c r="I31" s="173">
        <f t="shared" si="0"/>
        <v>38722</v>
      </c>
      <c r="J31" s="172" t="str">
        <f t="shared" si="1"/>
        <v>.</v>
      </c>
      <c r="K31" s="172" t="str">
        <f t="shared" si="2"/>
        <v>B/F</v>
      </c>
      <c r="L31" t="str">
        <f t="shared" si="3"/>
        <v>.</v>
      </c>
      <c r="M31" t="str">
        <f t="shared" si="4"/>
        <v>.</v>
      </c>
      <c r="N31" s="172" t="str">
        <f t="shared" si="5"/>
        <v>3,01,266.82Cr</v>
      </c>
    </row>
    <row r="32" spans="1:14">
      <c r="A32" s="182">
        <v>38753</v>
      </c>
      <c r="B32" s="183" t="s">
        <v>1473</v>
      </c>
      <c r="C32" s="183">
        <v>710494</v>
      </c>
      <c r="D32" s="184">
        <v>6331</v>
      </c>
      <c r="E32" s="185" t="s">
        <v>3219</v>
      </c>
      <c r="F32" s="185" t="s">
        <v>3219</v>
      </c>
      <c r="G32" s="185" t="s">
        <v>3219</v>
      </c>
      <c r="H32" s="186" t="s">
        <v>3276</v>
      </c>
      <c r="I32" s="173">
        <f t="shared" si="0"/>
        <v>38753</v>
      </c>
      <c r="J32" s="172">
        <f t="shared" si="1"/>
        <v>710494</v>
      </c>
      <c r="K32" s="172" t="str">
        <f t="shared" si="2"/>
        <v>LIC OF INDIA</v>
      </c>
      <c r="L32" t="str">
        <f t="shared" si="3"/>
        <v>.</v>
      </c>
      <c r="M32">
        <f t="shared" si="4"/>
        <v>6331</v>
      </c>
      <c r="N32" s="172" t="str">
        <f t="shared" si="5"/>
        <v>2,94,935.82Cr</v>
      </c>
    </row>
    <row r="33" spans="1:14">
      <c r="A33" s="177">
        <v>38781</v>
      </c>
      <c r="B33" s="178" t="s">
        <v>3277</v>
      </c>
      <c r="C33" s="179" t="s">
        <v>3219</v>
      </c>
      <c r="D33" s="187">
        <v>1000</v>
      </c>
      <c r="E33" s="180" t="s">
        <v>3219</v>
      </c>
      <c r="F33" s="180" t="s">
        <v>3219</v>
      </c>
      <c r="G33" s="180" t="s">
        <v>3219</v>
      </c>
      <c r="H33" s="181" t="s">
        <v>3278</v>
      </c>
      <c r="I33" s="173">
        <f t="shared" si="0"/>
        <v>38781</v>
      </c>
      <c r="J33" s="172" t="str">
        <f t="shared" si="1"/>
        <v>.</v>
      </c>
      <c r="K33" s="172" t="str">
        <f t="shared" si="2"/>
        <v>ATM/CASH WDL/20060503181519/0</v>
      </c>
      <c r="L33" t="str">
        <f t="shared" si="3"/>
        <v>.</v>
      </c>
      <c r="M33">
        <f t="shared" si="4"/>
        <v>1000</v>
      </c>
      <c r="N33" s="172" t="str">
        <f t="shared" si="5"/>
        <v>2,93,935.82Cr</v>
      </c>
    </row>
    <row r="34" spans="1:14">
      <c r="A34" s="182">
        <v>38812</v>
      </c>
      <c r="B34" s="183" t="s">
        <v>3257</v>
      </c>
      <c r="C34" s="183">
        <v>710495</v>
      </c>
      <c r="D34" s="184">
        <v>14545</v>
      </c>
      <c r="E34" s="185" t="s">
        <v>3219</v>
      </c>
      <c r="F34" s="185" t="s">
        <v>3219</v>
      </c>
      <c r="G34" s="185" t="s">
        <v>3219</v>
      </c>
      <c r="H34" s="186" t="s">
        <v>3279</v>
      </c>
      <c r="I34" s="173">
        <f t="shared" si="0"/>
        <v>38812</v>
      </c>
      <c r="J34" s="172">
        <f t="shared" si="1"/>
        <v>710495</v>
      </c>
      <c r="K34" s="172" t="str">
        <f t="shared" si="2"/>
        <v>GRUH FIN LTD</v>
      </c>
      <c r="L34" t="str">
        <f t="shared" si="3"/>
        <v>.</v>
      </c>
      <c r="M34">
        <f t="shared" si="4"/>
        <v>14545</v>
      </c>
      <c r="N34" s="172" t="str">
        <f t="shared" si="5"/>
        <v>2,79,390.82Cr</v>
      </c>
    </row>
    <row r="35" spans="1:14">
      <c r="A35" s="177">
        <v>38873</v>
      </c>
      <c r="B35" s="178" t="s">
        <v>3280</v>
      </c>
      <c r="C35" s="178">
        <v>710497</v>
      </c>
      <c r="D35" s="187">
        <v>7260</v>
      </c>
      <c r="E35" s="180" t="s">
        <v>3219</v>
      </c>
      <c r="F35" s="180" t="s">
        <v>3219</v>
      </c>
      <c r="G35" s="180" t="s">
        <v>3219</v>
      </c>
      <c r="H35" s="181" t="s">
        <v>3281</v>
      </c>
      <c r="I35" s="173">
        <f t="shared" si="0"/>
        <v>38873</v>
      </c>
      <c r="J35" s="172">
        <f t="shared" si="1"/>
        <v>710497</v>
      </c>
      <c r="K35" s="172" t="str">
        <f t="shared" si="2"/>
        <v>MSEDC LTD</v>
      </c>
      <c r="L35" t="str">
        <f t="shared" si="3"/>
        <v>.</v>
      </c>
      <c r="M35">
        <f t="shared" si="4"/>
        <v>7260</v>
      </c>
      <c r="N35" s="172" t="str">
        <f t="shared" si="5"/>
        <v>2,72,130.82Cr</v>
      </c>
    </row>
    <row r="36" spans="1:14">
      <c r="A36" s="182">
        <v>38965</v>
      </c>
      <c r="B36" s="183" t="s">
        <v>3282</v>
      </c>
      <c r="C36" s="188" t="s">
        <v>3219</v>
      </c>
      <c r="D36" s="184">
        <v>1500</v>
      </c>
      <c r="E36" s="185" t="s">
        <v>3219</v>
      </c>
      <c r="F36" s="185" t="s">
        <v>3219</v>
      </c>
      <c r="G36" s="185" t="s">
        <v>3219</v>
      </c>
      <c r="H36" s="186" t="s">
        <v>3283</v>
      </c>
      <c r="I36" s="173">
        <f t="shared" si="0"/>
        <v>38965</v>
      </c>
      <c r="J36" s="172" t="str">
        <f t="shared" si="1"/>
        <v>.</v>
      </c>
      <c r="K36" s="172" t="str">
        <f t="shared" si="2"/>
        <v>ATM/CASH WDL/20060509120820/0</v>
      </c>
      <c r="L36" t="str">
        <f t="shared" si="3"/>
        <v>.</v>
      </c>
      <c r="M36">
        <f t="shared" si="4"/>
        <v>1500</v>
      </c>
      <c r="N36" s="172" t="str">
        <f t="shared" si="5"/>
        <v>2,70,630.82Cr</v>
      </c>
    </row>
    <row r="37" spans="1:14">
      <c r="A37" s="177">
        <v>39026</v>
      </c>
      <c r="B37" s="178" t="s">
        <v>3284</v>
      </c>
      <c r="C37" s="179" t="s">
        <v>3219</v>
      </c>
      <c r="D37" s="187">
        <v>2000</v>
      </c>
      <c r="E37" s="180" t="s">
        <v>3219</v>
      </c>
      <c r="F37" s="180" t="s">
        <v>3219</v>
      </c>
      <c r="G37" s="180" t="s">
        <v>3219</v>
      </c>
      <c r="H37" s="181" t="s">
        <v>3285</v>
      </c>
      <c r="I37" s="173">
        <f t="shared" si="0"/>
        <v>39026</v>
      </c>
      <c r="J37" s="172" t="str">
        <f t="shared" si="1"/>
        <v>.</v>
      </c>
      <c r="K37" s="172" t="str">
        <f t="shared" si="2"/>
        <v>ATM/CASH WDL/20060511075632/0</v>
      </c>
      <c r="L37" t="str">
        <f t="shared" si="3"/>
        <v>.</v>
      </c>
      <c r="M37">
        <f t="shared" si="4"/>
        <v>2000</v>
      </c>
      <c r="N37" s="172" t="str">
        <f t="shared" si="5"/>
        <v>2,68,630.82Cr</v>
      </c>
    </row>
    <row r="38" spans="1:14">
      <c r="A38" s="182">
        <v>39056</v>
      </c>
      <c r="B38" s="183" t="s">
        <v>3286</v>
      </c>
      <c r="C38" s="188" t="s">
        <v>3219</v>
      </c>
      <c r="D38" s="186">
        <v>800</v>
      </c>
      <c r="E38" s="185" t="s">
        <v>3219</v>
      </c>
      <c r="F38" s="185" t="s">
        <v>3219</v>
      </c>
      <c r="G38" s="185" t="s">
        <v>3219</v>
      </c>
      <c r="H38" s="186" t="s">
        <v>3287</v>
      </c>
      <c r="I38" s="173">
        <f t="shared" si="0"/>
        <v>39056</v>
      </c>
      <c r="J38" s="172" t="str">
        <f t="shared" si="1"/>
        <v>.</v>
      </c>
      <c r="K38" s="172" t="str">
        <f t="shared" si="2"/>
        <v>ATM/CASH WDL/20060512080920/0</v>
      </c>
      <c r="L38" t="str">
        <f t="shared" si="3"/>
        <v>.</v>
      </c>
      <c r="M38">
        <f t="shared" si="4"/>
        <v>800</v>
      </c>
      <c r="N38" s="172" t="str">
        <f t="shared" si="5"/>
        <v>2,67,830.82Cr</v>
      </c>
    </row>
    <row r="39" spans="1:14">
      <c r="A39" s="178" t="s">
        <v>10028</v>
      </c>
      <c r="B39" s="178" t="s">
        <v>3288</v>
      </c>
      <c r="C39" s="179" t="s">
        <v>3219</v>
      </c>
      <c r="D39" s="187">
        <v>1000</v>
      </c>
      <c r="E39" s="180" t="s">
        <v>3219</v>
      </c>
      <c r="F39" s="180" t="s">
        <v>3219</v>
      </c>
      <c r="G39" s="180" t="s">
        <v>3219</v>
      </c>
      <c r="H39" s="181" t="s">
        <v>3289</v>
      </c>
      <c r="I39" s="173" t="str">
        <f t="shared" si="0"/>
        <v>25-05-2006</v>
      </c>
      <c r="J39" s="172" t="str">
        <f t="shared" si="1"/>
        <v>.</v>
      </c>
      <c r="K39" s="172" t="str">
        <f t="shared" si="2"/>
        <v>ATM/CASH WDL/20060525200749/0</v>
      </c>
      <c r="L39" t="str">
        <f t="shared" si="3"/>
        <v>.</v>
      </c>
      <c r="M39">
        <f t="shared" si="4"/>
        <v>1000</v>
      </c>
      <c r="N39" s="172" t="str">
        <f t="shared" si="5"/>
        <v>2,66,830.82Cr</v>
      </c>
    </row>
    <row r="40" spans="1:14">
      <c r="A40" s="183" t="s">
        <v>10029</v>
      </c>
      <c r="B40" s="183" t="s">
        <v>3290</v>
      </c>
      <c r="C40" s="188" t="s">
        <v>3219</v>
      </c>
      <c r="D40" s="185" t="s">
        <v>3219</v>
      </c>
      <c r="E40" s="184">
        <v>35516</v>
      </c>
      <c r="F40" s="185" t="s">
        <v>3219</v>
      </c>
      <c r="G40" s="185" t="s">
        <v>3219</v>
      </c>
      <c r="H40" s="186" t="s">
        <v>3291</v>
      </c>
      <c r="I40" s="173" t="str">
        <f t="shared" si="0"/>
        <v>26-05-2006</v>
      </c>
      <c r="J40" s="172" t="str">
        <f t="shared" si="1"/>
        <v>.</v>
      </c>
      <c r="K40" s="172" t="str">
        <f t="shared" si="2"/>
        <v>NET SALARY MAY 2006</v>
      </c>
      <c r="L40">
        <f t="shared" si="3"/>
        <v>35516</v>
      </c>
      <c r="M40" t="str">
        <f t="shared" si="4"/>
        <v>.</v>
      </c>
      <c r="N40" s="172" t="str">
        <f t="shared" si="5"/>
        <v>3,02,346.82Cr</v>
      </c>
    </row>
    <row r="41" spans="1:14">
      <c r="A41" s="178" t="s">
        <v>10030</v>
      </c>
      <c r="B41" s="178" t="s">
        <v>3292</v>
      </c>
      <c r="C41" s="179" t="s">
        <v>3219</v>
      </c>
      <c r="D41" s="181">
        <v>600</v>
      </c>
      <c r="E41" s="180" t="s">
        <v>3219</v>
      </c>
      <c r="F41" s="180" t="s">
        <v>3219</v>
      </c>
      <c r="G41" s="180" t="s">
        <v>3219</v>
      </c>
      <c r="H41" s="181" t="s">
        <v>3293</v>
      </c>
      <c r="I41" s="173" t="str">
        <f t="shared" si="0"/>
        <v>30-05-2006</v>
      </c>
      <c r="J41" s="172" t="str">
        <f t="shared" si="1"/>
        <v>.</v>
      </c>
      <c r="K41" s="172" t="str">
        <f t="shared" si="2"/>
        <v>ATM/CASH WDL/20060530172344/0</v>
      </c>
      <c r="L41" t="str">
        <f t="shared" si="3"/>
        <v>.</v>
      </c>
      <c r="M41">
        <f t="shared" si="4"/>
        <v>600</v>
      </c>
      <c r="N41" s="172" t="str">
        <f t="shared" si="5"/>
        <v>3,01,746.82Cr</v>
      </c>
    </row>
    <row r="42" spans="1:14">
      <c r="A42" s="177">
        <v>38723</v>
      </c>
      <c r="B42" s="178" t="s">
        <v>1394</v>
      </c>
      <c r="C42" s="179" t="s">
        <v>3219</v>
      </c>
      <c r="D42" s="180" t="s">
        <v>3219</v>
      </c>
      <c r="E42" s="180" t="s">
        <v>3219</v>
      </c>
      <c r="F42" s="180" t="s">
        <v>3219</v>
      </c>
      <c r="G42" s="180" t="s">
        <v>3219</v>
      </c>
      <c r="H42" s="181" t="s">
        <v>3293</v>
      </c>
      <c r="I42" s="173">
        <f t="shared" si="0"/>
        <v>38723</v>
      </c>
      <c r="J42" s="172" t="str">
        <f t="shared" si="1"/>
        <v>.</v>
      </c>
      <c r="K42" s="172" t="str">
        <f t="shared" si="2"/>
        <v>B/F</v>
      </c>
      <c r="L42" t="str">
        <f t="shared" si="3"/>
        <v>.</v>
      </c>
      <c r="M42" t="str">
        <f t="shared" si="4"/>
        <v>.</v>
      </c>
      <c r="N42" s="172" t="str">
        <f t="shared" si="5"/>
        <v>3,01,746.82Cr</v>
      </c>
    </row>
    <row r="43" spans="1:14">
      <c r="A43" s="182">
        <v>38723</v>
      </c>
      <c r="B43" s="183" t="s">
        <v>3221</v>
      </c>
      <c r="C43" s="183">
        <v>710499</v>
      </c>
      <c r="D43" s="184">
        <v>14545</v>
      </c>
      <c r="E43" s="185" t="s">
        <v>3219</v>
      </c>
      <c r="F43" s="185" t="s">
        <v>3219</v>
      </c>
      <c r="G43" s="185" t="s">
        <v>3219</v>
      </c>
      <c r="H43" s="186" t="s">
        <v>3294</v>
      </c>
      <c r="I43" s="173">
        <f t="shared" si="0"/>
        <v>38723</v>
      </c>
      <c r="J43" s="172">
        <f t="shared" si="1"/>
        <v>710499</v>
      </c>
      <c r="K43" s="172" t="str">
        <f t="shared" si="2"/>
        <v>GRUH FINANCE LTD</v>
      </c>
      <c r="L43" t="str">
        <f t="shared" si="3"/>
        <v>.</v>
      </c>
      <c r="M43">
        <f t="shared" si="4"/>
        <v>14545</v>
      </c>
      <c r="N43" s="172" t="str">
        <f t="shared" si="5"/>
        <v>2,87,201.82Cr</v>
      </c>
    </row>
    <row r="44" spans="1:14">
      <c r="A44" s="177">
        <v>38935</v>
      </c>
      <c r="B44" s="178" t="s">
        <v>3295</v>
      </c>
      <c r="C44" s="178">
        <v>710500</v>
      </c>
      <c r="D44" s="187">
        <v>1190</v>
      </c>
      <c r="E44" s="180" t="s">
        <v>3219</v>
      </c>
      <c r="F44" s="180" t="s">
        <v>3219</v>
      </c>
      <c r="G44" s="180" t="s">
        <v>3219</v>
      </c>
      <c r="H44" s="181" t="s">
        <v>3296</v>
      </c>
      <c r="I44" s="173">
        <f t="shared" si="0"/>
        <v>38935</v>
      </c>
      <c r="J44" s="172">
        <f t="shared" si="1"/>
        <v>710500</v>
      </c>
      <c r="K44" s="172" t="str">
        <f t="shared" si="2"/>
        <v>CGRF VIDYUT BHAVAN MSEDC LTD</v>
      </c>
      <c r="L44" t="str">
        <f t="shared" si="3"/>
        <v>.</v>
      </c>
      <c r="M44">
        <f t="shared" si="4"/>
        <v>1190</v>
      </c>
      <c r="N44" s="172" t="str">
        <f t="shared" si="5"/>
        <v>2,86,011.82Cr</v>
      </c>
    </row>
    <row r="45" spans="1:14">
      <c r="A45" s="182">
        <v>38996</v>
      </c>
      <c r="B45" s="183" t="s">
        <v>3297</v>
      </c>
      <c r="C45" s="183">
        <v>469226</v>
      </c>
      <c r="D45" s="184">
        <v>20000</v>
      </c>
      <c r="E45" s="185" t="s">
        <v>3219</v>
      </c>
      <c r="F45" s="185" t="s">
        <v>3219</v>
      </c>
      <c r="G45" s="185" t="s">
        <v>3219</v>
      </c>
      <c r="H45" s="186" t="s">
        <v>3298</v>
      </c>
      <c r="I45" s="173">
        <f t="shared" si="0"/>
        <v>38996</v>
      </c>
      <c r="J45" s="172">
        <f t="shared" si="1"/>
        <v>469226</v>
      </c>
      <c r="K45" s="172" t="str">
        <f t="shared" si="2"/>
        <v>RELIANCE EQUITY FUND</v>
      </c>
      <c r="L45" t="str">
        <f t="shared" si="3"/>
        <v>.</v>
      </c>
      <c r="M45">
        <f t="shared" si="4"/>
        <v>20000</v>
      </c>
      <c r="N45" s="172" t="str">
        <f t="shared" si="5"/>
        <v>2,66,011.82Cr</v>
      </c>
    </row>
    <row r="46" spans="1:14">
      <c r="A46" s="178" t="s">
        <v>10031</v>
      </c>
      <c r="B46" s="178" t="s">
        <v>3299</v>
      </c>
      <c r="C46" s="179" t="s">
        <v>3219</v>
      </c>
      <c r="D46" s="187">
        <v>5000</v>
      </c>
      <c r="E46" s="180" t="s">
        <v>3219</v>
      </c>
      <c r="F46" s="180" t="s">
        <v>3219</v>
      </c>
      <c r="G46" s="180" t="s">
        <v>3219</v>
      </c>
      <c r="H46" s="181" t="s">
        <v>3300</v>
      </c>
      <c r="I46" s="173" t="str">
        <f t="shared" si="0"/>
        <v>26-06-2006</v>
      </c>
      <c r="J46" s="172" t="str">
        <f t="shared" si="1"/>
        <v>.</v>
      </c>
      <c r="K46" s="172" t="str">
        <f t="shared" si="2"/>
        <v>ATM/CASH WDL/20060625143310/0</v>
      </c>
      <c r="L46" t="str">
        <f t="shared" si="3"/>
        <v>.</v>
      </c>
      <c r="M46">
        <f t="shared" si="4"/>
        <v>5000</v>
      </c>
      <c r="N46" s="172" t="str">
        <f t="shared" si="5"/>
        <v>2,61,011.82Cr</v>
      </c>
    </row>
    <row r="47" spans="1:14">
      <c r="A47" s="183" t="s">
        <v>10032</v>
      </c>
      <c r="B47" s="183" t="s">
        <v>3301</v>
      </c>
      <c r="C47" s="188" t="s">
        <v>3219</v>
      </c>
      <c r="D47" s="185" t="s">
        <v>3219</v>
      </c>
      <c r="E47" s="184">
        <v>40302</v>
      </c>
      <c r="F47" s="185" t="s">
        <v>3219</v>
      </c>
      <c r="G47" s="185" t="s">
        <v>3219</v>
      </c>
      <c r="H47" s="186" t="s">
        <v>3302</v>
      </c>
      <c r="I47" s="173" t="str">
        <f t="shared" si="0"/>
        <v>27-06-2006</v>
      </c>
      <c r="J47" s="172" t="str">
        <f t="shared" si="1"/>
        <v>.</v>
      </c>
      <c r="K47" s="172" t="str">
        <f t="shared" si="2"/>
        <v>NET SALARY JUNE 2006</v>
      </c>
      <c r="L47">
        <f t="shared" si="3"/>
        <v>40302</v>
      </c>
      <c r="M47" t="str">
        <f t="shared" si="4"/>
        <v>.</v>
      </c>
      <c r="N47" s="172" t="str">
        <f t="shared" si="5"/>
        <v>3,01,313.82Cr</v>
      </c>
    </row>
    <row r="48" spans="1:14">
      <c r="A48" s="178" t="s">
        <v>10033</v>
      </c>
      <c r="B48" s="178" t="s">
        <v>3303</v>
      </c>
      <c r="C48" s="178">
        <v>469251</v>
      </c>
      <c r="D48" s="187">
        <v>1220</v>
      </c>
      <c r="E48" s="180" t="s">
        <v>3219</v>
      </c>
      <c r="F48" s="180" t="s">
        <v>3219</v>
      </c>
      <c r="G48" s="180" t="s">
        <v>3219</v>
      </c>
      <c r="H48" s="181" t="s">
        <v>3304</v>
      </c>
      <c r="I48" s="173" t="str">
        <f t="shared" si="0"/>
        <v>29-06-2006</v>
      </c>
      <c r="J48" s="172">
        <f t="shared" si="1"/>
        <v>469251</v>
      </c>
      <c r="K48" s="172" t="str">
        <f t="shared" si="2"/>
        <v>CGRF VIDYUT BHAVAN MSEDCL</v>
      </c>
      <c r="L48" t="str">
        <f t="shared" si="3"/>
        <v>.</v>
      </c>
      <c r="M48">
        <f t="shared" si="4"/>
        <v>1220</v>
      </c>
      <c r="N48" s="172" t="str">
        <f t="shared" si="5"/>
        <v>3,00,093.82Cr</v>
      </c>
    </row>
    <row r="49" spans="1:14">
      <c r="A49" s="177">
        <v>38724</v>
      </c>
      <c r="B49" s="178" t="s">
        <v>1394</v>
      </c>
      <c r="C49" s="179" t="s">
        <v>3219</v>
      </c>
      <c r="D49" s="180" t="s">
        <v>3219</v>
      </c>
      <c r="E49" s="180" t="s">
        <v>3219</v>
      </c>
      <c r="F49" s="180" t="s">
        <v>3219</v>
      </c>
      <c r="G49" s="180" t="s">
        <v>3219</v>
      </c>
      <c r="H49" s="181" t="s">
        <v>3304</v>
      </c>
      <c r="I49" s="173">
        <f t="shared" si="0"/>
        <v>38724</v>
      </c>
      <c r="J49" s="172" t="str">
        <f t="shared" si="1"/>
        <v>.</v>
      </c>
      <c r="K49" s="172" t="str">
        <f t="shared" si="2"/>
        <v>B/F</v>
      </c>
      <c r="L49" t="str">
        <f t="shared" si="3"/>
        <v>.</v>
      </c>
      <c r="M49" t="str">
        <f t="shared" si="4"/>
        <v>.</v>
      </c>
      <c r="N49" s="172" t="str">
        <f t="shared" si="5"/>
        <v>3,00,093.82Cr</v>
      </c>
    </row>
    <row r="50" spans="1:14">
      <c r="A50" s="182">
        <v>38814</v>
      </c>
      <c r="B50" s="183" t="s">
        <v>1473</v>
      </c>
      <c r="C50" s="183">
        <v>469253</v>
      </c>
      <c r="D50" s="184">
        <v>6331</v>
      </c>
      <c r="E50" s="185" t="s">
        <v>3219</v>
      </c>
      <c r="F50" s="185" t="s">
        <v>3219</v>
      </c>
      <c r="G50" s="185" t="s">
        <v>3219</v>
      </c>
      <c r="H50" s="186" t="s">
        <v>3305</v>
      </c>
      <c r="I50" s="173">
        <f t="shared" si="0"/>
        <v>38814</v>
      </c>
      <c r="J50" s="172">
        <f t="shared" si="1"/>
        <v>469253</v>
      </c>
      <c r="K50" s="172" t="str">
        <f t="shared" si="2"/>
        <v>LIC OF INDIA</v>
      </c>
      <c r="L50" t="str">
        <f t="shared" si="3"/>
        <v>.</v>
      </c>
      <c r="M50">
        <f t="shared" si="4"/>
        <v>6331</v>
      </c>
      <c r="N50" s="172" t="str">
        <f t="shared" si="5"/>
        <v>2,93,762.82Cr</v>
      </c>
    </row>
    <row r="51" spans="1:14">
      <c r="A51" s="177">
        <v>38814</v>
      </c>
      <c r="B51" s="178" t="s">
        <v>3221</v>
      </c>
      <c r="C51" s="178">
        <v>469252</v>
      </c>
      <c r="D51" s="187">
        <v>14890</v>
      </c>
      <c r="E51" s="180" t="s">
        <v>3219</v>
      </c>
      <c r="F51" s="180" t="s">
        <v>3219</v>
      </c>
      <c r="G51" s="180" t="s">
        <v>3219</v>
      </c>
      <c r="H51" s="181" t="s">
        <v>3306</v>
      </c>
      <c r="I51" s="173">
        <f t="shared" si="0"/>
        <v>38814</v>
      </c>
      <c r="J51" s="172">
        <f t="shared" si="1"/>
        <v>469252</v>
      </c>
      <c r="K51" s="172" t="str">
        <f t="shared" si="2"/>
        <v>GRUH FINANCE LTD</v>
      </c>
      <c r="L51" t="str">
        <f t="shared" si="3"/>
        <v>.</v>
      </c>
      <c r="M51">
        <f t="shared" si="4"/>
        <v>14890</v>
      </c>
      <c r="N51" s="172" t="str">
        <f t="shared" si="5"/>
        <v>2,78,872.82Cr</v>
      </c>
    </row>
    <row r="52" spans="1:14">
      <c r="A52" s="183" t="s">
        <v>10034</v>
      </c>
      <c r="B52" s="183" t="s">
        <v>3307</v>
      </c>
      <c r="C52" s="188" t="s">
        <v>3219</v>
      </c>
      <c r="D52" s="184">
        <v>3000</v>
      </c>
      <c r="E52" s="185" t="s">
        <v>3219</v>
      </c>
      <c r="F52" s="185" t="s">
        <v>3219</v>
      </c>
      <c r="G52" s="185" t="s">
        <v>3219</v>
      </c>
      <c r="H52" s="186" t="s">
        <v>3308</v>
      </c>
      <c r="I52" s="173" t="str">
        <f t="shared" si="0"/>
        <v>15-07-2006</v>
      </c>
      <c r="J52" s="172" t="str">
        <f t="shared" si="1"/>
        <v>.</v>
      </c>
      <c r="K52" s="172" t="str">
        <f t="shared" si="2"/>
        <v>ATM/CASH WDL/20060715131040/0</v>
      </c>
      <c r="L52" t="str">
        <f t="shared" si="3"/>
        <v>.</v>
      </c>
      <c r="M52">
        <f t="shared" si="4"/>
        <v>3000</v>
      </c>
      <c r="N52" s="172" t="str">
        <f t="shared" si="5"/>
        <v>2,75,872.82Cr</v>
      </c>
    </row>
    <row r="53" spans="1:14">
      <c r="A53" s="178" t="s">
        <v>10035</v>
      </c>
      <c r="B53" s="178" t="s">
        <v>3309</v>
      </c>
      <c r="C53" s="178">
        <v>469227</v>
      </c>
      <c r="D53" s="187">
        <v>40000</v>
      </c>
      <c r="E53" s="180" t="s">
        <v>3219</v>
      </c>
      <c r="F53" s="180" t="s">
        <v>3219</v>
      </c>
      <c r="G53" s="180" t="s">
        <v>3219</v>
      </c>
      <c r="H53" s="181" t="s">
        <v>3310</v>
      </c>
      <c r="I53" s="173" t="str">
        <f t="shared" si="0"/>
        <v>18-07-2006</v>
      </c>
      <c r="J53" s="172">
        <f t="shared" si="1"/>
        <v>469227</v>
      </c>
      <c r="K53" s="172" t="str">
        <f t="shared" si="2"/>
        <v>WELINGKAR INST OF MGMT</v>
      </c>
      <c r="L53" t="str">
        <f t="shared" si="3"/>
        <v>.</v>
      </c>
      <c r="M53">
        <f t="shared" si="4"/>
        <v>40000</v>
      </c>
      <c r="N53" s="172" t="str">
        <f t="shared" si="5"/>
        <v>2,35,872.82Cr</v>
      </c>
    </row>
    <row r="54" spans="1:14">
      <c r="A54" s="183" t="s">
        <v>10036</v>
      </c>
      <c r="B54" s="183" t="s">
        <v>3311</v>
      </c>
      <c r="C54" s="188" t="s">
        <v>3219</v>
      </c>
      <c r="D54" s="186">
        <v>300</v>
      </c>
      <c r="E54" s="185" t="s">
        <v>3219</v>
      </c>
      <c r="F54" s="185" t="s">
        <v>3219</v>
      </c>
      <c r="G54" s="185" t="s">
        <v>3219</v>
      </c>
      <c r="H54" s="186" t="s">
        <v>3312</v>
      </c>
      <c r="I54" s="173" t="str">
        <f t="shared" si="0"/>
        <v>20-07-2006</v>
      </c>
      <c r="J54" s="172" t="str">
        <f t="shared" si="1"/>
        <v>.</v>
      </c>
      <c r="K54" s="172" t="str">
        <f t="shared" si="2"/>
        <v>ATM/CASH WDL/20060720191144/0</v>
      </c>
      <c r="L54" t="str">
        <f t="shared" si="3"/>
        <v>.</v>
      </c>
      <c r="M54">
        <f t="shared" si="4"/>
        <v>300</v>
      </c>
      <c r="N54" s="172" t="str">
        <f t="shared" si="5"/>
        <v>2,35,572.82Cr</v>
      </c>
    </row>
    <row r="55" spans="1:14">
      <c r="A55" s="178" t="s">
        <v>10037</v>
      </c>
      <c r="B55" s="178" t="s">
        <v>3313</v>
      </c>
      <c r="C55" s="179" t="s">
        <v>3219</v>
      </c>
      <c r="D55" s="180" t="s">
        <v>3219</v>
      </c>
      <c r="E55" s="187">
        <v>35516</v>
      </c>
      <c r="F55" s="180" t="s">
        <v>3219</v>
      </c>
      <c r="G55" s="180" t="s">
        <v>3219</v>
      </c>
      <c r="H55" s="181" t="s">
        <v>3314</v>
      </c>
      <c r="I55" s="173" t="str">
        <f t="shared" si="0"/>
        <v>27-07-2006</v>
      </c>
      <c r="J55" s="172" t="str">
        <f t="shared" si="1"/>
        <v>.</v>
      </c>
      <c r="K55" s="172" t="str">
        <f t="shared" si="2"/>
        <v>NET SALARY JULY 2006</v>
      </c>
      <c r="L55">
        <f t="shared" si="3"/>
        <v>35516</v>
      </c>
      <c r="M55" t="str">
        <f t="shared" si="4"/>
        <v>.</v>
      </c>
      <c r="N55" s="172" t="str">
        <f t="shared" si="5"/>
        <v>2,71,088.82Cr</v>
      </c>
    </row>
    <row r="56" spans="1:14">
      <c r="A56" s="177">
        <v>38725</v>
      </c>
      <c r="B56" s="178" t="s">
        <v>1394</v>
      </c>
      <c r="C56" s="179" t="s">
        <v>3219</v>
      </c>
      <c r="D56" s="180" t="s">
        <v>3219</v>
      </c>
      <c r="E56" s="180" t="s">
        <v>3219</v>
      </c>
      <c r="F56" s="180" t="s">
        <v>3219</v>
      </c>
      <c r="G56" s="180" t="s">
        <v>3219</v>
      </c>
      <c r="H56" s="181" t="s">
        <v>3314</v>
      </c>
      <c r="I56" s="173">
        <f t="shared" si="0"/>
        <v>38725</v>
      </c>
      <c r="J56" s="172" t="str">
        <f t="shared" si="1"/>
        <v>.</v>
      </c>
      <c r="K56" s="172" t="str">
        <f t="shared" si="2"/>
        <v>B/F</v>
      </c>
      <c r="L56" t="str">
        <f t="shared" si="3"/>
        <v>.</v>
      </c>
      <c r="M56" t="str">
        <f t="shared" si="4"/>
        <v>.</v>
      </c>
      <c r="N56" s="172" t="str">
        <f t="shared" si="5"/>
        <v>2,71,088.82Cr</v>
      </c>
    </row>
    <row r="57" spans="1:14">
      <c r="A57" s="182">
        <v>38725</v>
      </c>
      <c r="B57" s="183" t="s">
        <v>3221</v>
      </c>
      <c r="C57" s="183">
        <v>469254</v>
      </c>
      <c r="D57" s="184">
        <v>14908</v>
      </c>
      <c r="E57" s="185" t="s">
        <v>3219</v>
      </c>
      <c r="F57" s="185" t="s">
        <v>3219</v>
      </c>
      <c r="G57" s="185" t="s">
        <v>3219</v>
      </c>
      <c r="H57" s="186" t="s">
        <v>3315</v>
      </c>
      <c r="I57" s="173">
        <f t="shared" si="0"/>
        <v>38725</v>
      </c>
      <c r="J57" s="172">
        <f t="shared" si="1"/>
        <v>469254</v>
      </c>
      <c r="K57" s="172" t="str">
        <f t="shared" si="2"/>
        <v>GRUH FINANCE LTD</v>
      </c>
      <c r="L57" t="str">
        <f t="shared" si="3"/>
        <v>.</v>
      </c>
      <c r="M57">
        <f t="shared" si="4"/>
        <v>14908</v>
      </c>
      <c r="N57" s="172" t="str">
        <f t="shared" si="5"/>
        <v>2,56,180.82Cr</v>
      </c>
    </row>
    <row r="58" spans="1:14">
      <c r="A58" s="177">
        <v>38756</v>
      </c>
      <c r="B58" s="178" t="s">
        <v>3316</v>
      </c>
      <c r="C58" s="178">
        <v>469256</v>
      </c>
      <c r="D58" s="187">
        <v>2414</v>
      </c>
      <c r="E58" s="180" t="s">
        <v>3219</v>
      </c>
      <c r="F58" s="180" t="s">
        <v>3219</v>
      </c>
      <c r="G58" s="180" t="s">
        <v>3219</v>
      </c>
      <c r="H58" s="181" t="s">
        <v>3317</v>
      </c>
      <c r="I58" s="173">
        <f t="shared" si="0"/>
        <v>38756</v>
      </c>
      <c r="J58" s="172">
        <f t="shared" si="1"/>
        <v>469256</v>
      </c>
      <c r="K58" s="172" t="str">
        <f t="shared" si="2"/>
        <v>SHARP &amp; TANNAN</v>
      </c>
      <c r="L58" t="str">
        <f t="shared" si="3"/>
        <v>.</v>
      </c>
      <c r="M58">
        <f t="shared" si="4"/>
        <v>2414</v>
      </c>
      <c r="N58" s="172" t="str">
        <f t="shared" si="5"/>
        <v>2,53,766.82Cr</v>
      </c>
    </row>
    <row r="59" spans="1:14">
      <c r="A59" s="182">
        <v>38756</v>
      </c>
      <c r="B59" s="183" t="s">
        <v>3318</v>
      </c>
      <c r="C59" s="183">
        <v>469255</v>
      </c>
      <c r="D59" s="186">
        <v>780</v>
      </c>
      <c r="E59" s="185" t="s">
        <v>3219</v>
      </c>
      <c r="F59" s="185" t="s">
        <v>3219</v>
      </c>
      <c r="G59" s="185" t="s">
        <v>3219</v>
      </c>
      <c r="H59" s="186" t="s">
        <v>3319</v>
      </c>
      <c r="I59" s="173">
        <f t="shared" si="0"/>
        <v>38756</v>
      </c>
      <c r="J59" s="172">
        <f t="shared" si="1"/>
        <v>469255</v>
      </c>
      <c r="K59" s="172" t="str">
        <f t="shared" si="2"/>
        <v>CGRF VIDYUT BHAVAN MSEDC</v>
      </c>
      <c r="L59" t="str">
        <f t="shared" si="3"/>
        <v>.</v>
      </c>
      <c r="M59">
        <f t="shared" si="4"/>
        <v>780</v>
      </c>
      <c r="N59" s="172" t="str">
        <f t="shared" si="5"/>
        <v>2,52,986.82Cr</v>
      </c>
    </row>
    <row r="60" spans="1:14">
      <c r="A60" s="178" t="s">
        <v>10038</v>
      </c>
      <c r="B60" s="178" t="s">
        <v>3320</v>
      </c>
      <c r="C60" s="179" t="s">
        <v>3219</v>
      </c>
      <c r="D60" s="181">
        <v>600</v>
      </c>
      <c r="E60" s="180" t="s">
        <v>3219</v>
      </c>
      <c r="F60" s="180" t="s">
        <v>3219</v>
      </c>
      <c r="G60" s="180" t="s">
        <v>3219</v>
      </c>
      <c r="H60" s="181" t="s">
        <v>3321</v>
      </c>
      <c r="I60" s="173" t="str">
        <f t="shared" si="0"/>
        <v>23-08-2006</v>
      </c>
      <c r="J60" s="172" t="str">
        <f t="shared" si="1"/>
        <v>.</v>
      </c>
      <c r="K60" s="172" t="str">
        <f t="shared" si="2"/>
        <v>ATM/CASH WDL/20060823201425/0</v>
      </c>
      <c r="L60" t="str">
        <f t="shared" si="3"/>
        <v>.</v>
      </c>
      <c r="M60">
        <f t="shared" si="4"/>
        <v>600</v>
      </c>
      <c r="N60" s="172" t="str">
        <f t="shared" si="5"/>
        <v>2,52,386.82Cr</v>
      </c>
    </row>
    <row r="61" spans="1:14">
      <c r="A61" s="183" t="s">
        <v>10039</v>
      </c>
      <c r="B61" s="183" t="s">
        <v>3322</v>
      </c>
      <c r="C61" s="183">
        <v>469257</v>
      </c>
      <c r="D61" s="184">
        <v>3862</v>
      </c>
      <c r="E61" s="185" t="s">
        <v>3219</v>
      </c>
      <c r="F61" s="185" t="s">
        <v>3219</v>
      </c>
      <c r="G61" s="185" t="s">
        <v>3219</v>
      </c>
      <c r="H61" s="186" t="s">
        <v>3323</v>
      </c>
      <c r="I61" s="173" t="str">
        <f t="shared" si="0"/>
        <v>24-08-2006</v>
      </c>
      <c r="J61" s="172">
        <f t="shared" si="1"/>
        <v>469257</v>
      </c>
      <c r="K61" s="172" t="str">
        <f t="shared" si="2"/>
        <v>LOK HOUSING &amp; CONSTRUCTIONS LT</v>
      </c>
      <c r="L61" t="str">
        <f t="shared" si="3"/>
        <v>.</v>
      </c>
      <c r="M61">
        <f t="shared" si="4"/>
        <v>3862</v>
      </c>
      <c r="N61" s="172" t="str">
        <f t="shared" si="5"/>
        <v>2,48,524.82Cr</v>
      </c>
    </row>
    <row r="62" spans="1:14">
      <c r="A62" s="178" t="s">
        <v>10040</v>
      </c>
      <c r="B62" s="178" t="s">
        <v>3324</v>
      </c>
      <c r="C62" s="179" t="s">
        <v>3219</v>
      </c>
      <c r="D62" s="187">
        <v>2000</v>
      </c>
      <c r="E62" s="180" t="s">
        <v>3219</v>
      </c>
      <c r="F62" s="180" t="s">
        <v>3219</v>
      </c>
      <c r="G62" s="180" t="s">
        <v>3219</v>
      </c>
      <c r="H62" s="181" t="s">
        <v>3325</v>
      </c>
      <c r="I62" s="173" t="str">
        <f t="shared" si="0"/>
        <v>25-08-2006</v>
      </c>
      <c r="J62" s="172" t="str">
        <f t="shared" si="1"/>
        <v>.</v>
      </c>
      <c r="K62" s="172" t="str">
        <f t="shared" si="2"/>
        <v>ATM/CASH WDL/20060825162244/0</v>
      </c>
      <c r="L62" t="str">
        <f t="shared" si="3"/>
        <v>.</v>
      </c>
      <c r="M62">
        <f t="shared" si="4"/>
        <v>2000</v>
      </c>
      <c r="N62" s="172" t="str">
        <f t="shared" si="5"/>
        <v>2,46,524.82Cr</v>
      </c>
    </row>
    <row r="63" spans="1:14">
      <c r="A63" s="183" t="s">
        <v>10041</v>
      </c>
      <c r="B63" s="183" t="s">
        <v>3326</v>
      </c>
      <c r="C63" s="188" t="s">
        <v>3219</v>
      </c>
      <c r="D63" s="185" t="s">
        <v>3219</v>
      </c>
      <c r="E63" s="184">
        <v>35515</v>
      </c>
      <c r="F63" s="185" t="s">
        <v>3219</v>
      </c>
      <c r="G63" s="185" t="s">
        <v>3219</v>
      </c>
      <c r="H63" s="186" t="s">
        <v>3327</v>
      </c>
      <c r="I63" s="173" t="str">
        <f t="shared" si="0"/>
        <v>26-08-2006</v>
      </c>
      <c r="J63" s="172" t="str">
        <f t="shared" si="1"/>
        <v>.</v>
      </c>
      <c r="K63" s="172" t="str">
        <f t="shared" si="2"/>
        <v>NET SALARY AUGUST 2006</v>
      </c>
      <c r="L63">
        <f t="shared" si="3"/>
        <v>35515</v>
      </c>
      <c r="M63" t="str">
        <f t="shared" si="4"/>
        <v>.</v>
      </c>
      <c r="N63" s="172" t="str">
        <f t="shared" si="5"/>
        <v>2,82,039.82Cr</v>
      </c>
    </row>
    <row r="64" spans="1:14">
      <c r="A64" s="177">
        <v>38726</v>
      </c>
      <c r="B64" s="178" t="s">
        <v>1394</v>
      </c>
      <c r="C64" s="179" t="s">
        <v>3219</v>
      </c>
      <c r="D64" s="180" t="s">
        <v>3219</v>
      </c>
      <c r="E64" s="180" t="s">
        <v>3219</v>
      </c>
      <c r="F64" s="180" t="s">
        <v>3219</v>
      </c>
      <c r="G64" s="180" t="s">
        <v>3219</v>
      </c>
      <c r="H64" s="181" t="s">
        <v>3327</v>
      </c>
      <c r="I64" s="173">
        <f t="shared" si="0"/>
        <v>38726</v>
      </c>
      <c r="J64" s="172" t="str">
        <f t="shared" si="1"/>
        <v>.</v>
      </c>
      <c r="K64" s="172" t="str">
        <f t="shared" si="2"/>
        <v>B/F</v>
      </c>
      <c r="L64" t="str">
        <f t="shared" si="3"/>
        <v>.</v>
      </c>
      <c r="M64" t="str">
        <f t="shared" si="4"/>
        <v>.</v>
      </c>
      <c r="N64" s="172" t="str">
        <f t="shared" si="5"/>
        <v>2,82,039.82Cr</v>
      </c>
    </row>
    <row r="65" spans="1:14">
      <c r="A65" s="182">
        <v>38726</v>
      </c>
      <c r="B65" s="183" t="s">
        <v>3221</v>
      </c>
      <c r="C65" s="183">
        <v>469258</v>
      </c>
      <c r="D65" s="184">
        <v>14890</v>
      </c>
      <c r="E65" s="185" t="s">
        <v>3219</v>
      </c>
      <c r="F65" s="185" t="s">
        <v>3219</v>
      </c>
      <c r="G65" s="185" t="s">
        <v>3219</v>
      </c>
      <c r="H65" s="186" t="s">
        <v>3328</v>
      </c>
      <c r="I65" s="173">
        <f t="shared" si="0"/>
        <v>38726</v>
      </c>
      <c r="J65" s="172">
        <f t="shared" si="1"/>
        <v>469258</v>
      </c>
      <c r="K65" s="172" t="str">
        <f t="shared" si="2"/>
        <v>GRUH FINANCE LTD</v>
      </c>
      <c r="L65" t="str">
        <f t="shared" si="3"/>
        <v>.</v>
      </c>
      <c r="M65">
        <f t="shared" si="4"/>
        <v>14890</v>
      </c>
      <c r="N65" s="172" t="str">
        <f t="shared" si="5"/>
        <v>2,67,149.82Cr</v>
      </c>
    </row>
    <row r="66" spans="1:14">
      <c r="A66" s="177">
        <v>38757</v>
      </c>
      <c r="B66" s="178" t="s">
        <v>3329</v>
      </c>
      <c r="C66" s="179" t="s">
        <v>3219</v>
      </c>
      <c r="D66" s="180" t="s">
        <v>3219</v>
      </c>
      <c r="E66" s="187">
        <v>4776</v>
      </c>
      <c r="F66" s="180" t="s">
        <v>3219</v>
      </c>
      <c r="G66" s="180" t="s">
        <v>3219</v>
      </c>
      <c r="H66" s="181" t="s">
        <v>3330</v>
      </c>
      <c r="I66" s="173">
        <f t="shared" si="0"/>
        <v>38757</v>
      </c>
      <c r="J66" s="172" t="str">
        <f t="shared" si="1"/>
        <v>.</v>
      </c>
      <c r="K66" s="172" t="str">
        <f t="shared" si="2"/>
        <v>000401043279:Int.Pd:01-03-2006 to 31-08-2006</v>
      </c>
      <c r="L66">
        <f t="shared" si="3"/>
        <v>4776</v>
      </c>
      <c r="M66" t="str">
        <f t="shared" si="4"/>
        <v>.</v>
      </c>
      <c r="N66" s="172" t="str">
        <f t="shared" si="5"/>
        <v>2,71,925.82Cr</v>
      </c>
    </row>
    <row r="67" spans="1:14">
      <c r="A67" s="182">
        <v>38938</v>
      </c>
      <c r="B67" s="183" t="s">
        <v>3303</v>
      </c>
      <c r="C67" s="183">
        <v>469259</v>
      </c>
      <c r="D67" s="186">
        <v>540</v>
      </c>
      <c r="E67" s="185" t="s">
        <v>3219</v>
      </c>
      <c r="F67" s="185" t="s">
        <v>3219</v>
      </c>
      <c r="G67" s="185" t="s">
        <v>3219</v>
      </c>
      <c r="H67" s="186" t="s">
        <v>3331</v>
      </c>
      <c r="I67" s="173">
        <f t="shared" ref="I67:I130" si="6">A67</f>
        <v>38938</v>
      </c>
      <c r="J67" s="172">
        <f t="shared" ref="J67:J130" si="7">C67</f>
        <v>469259</v>
      </c>
      <c r="K67" s="172" t="str">
        <f t="shared" ref="K67:K130" si="8">B67</f>
        <v>CGRF VIDYUT BHAVAN MSEDCL</v>
      </c>
      <c r="L67" t="str">
        <f t="shared" ref="L67:L130" si="9">E67</f>
        <v>.</v>
      </c>
      <c r="M67">
        <f t="shared" ref="M67:M130" si="10">D67</f>
        <v>540</v>
      </c>
      <c r="N67" s="172" t="str">
        <f t="shared" ref="N67:N130" si="11">H67</f>
        <v>2,71,385.82Cr</v>
      </c>
    </row>
    <row r="68" spans="1:14">
      <c r="A68" s="177">
        <v>39030</v>
      </c>
      <c r="B68" s="178" t="s">
        <v>3332</v>
      </c>
      <c r="C68" s="179" t="s">
        <v>3219</v>
      </c>
      <c r="D68" s="187">
        <v>3000</v>
      </c>
      <c r="E68" s="180" t="s">
        <v>3219</v>
      </c>
      <c r="F68" s="180" t="s">
        <v>3219</v>
      </c>
      <c r="G68" s="180" t="s">
        <v>3219</v>
      </c>
      <c r="H68" s="181" t="s">
        <v>3333</v>
      </c>
      <c r="I68" s="173">
        <f t="shared" si="6"/>
        <v>39030</v>
      </c>
      <c r="J68" s="172" t="str">
        <f t="shared" si="7"/>
        <v>.</v>
      </c>
      <c r="K68" s="172" t="str">
        <f t="shared" si="8"/>
        <v>ATM/CASH WDL/20060910091023/0</v>
      </c>
      <c r="L68" t="str">
        <f t="shared" si="9"/>
        <v>.</v>
      </c>
      <c r="M68">
        <f t="shared" si="10"/>
        <v>3000</v>
      </c>
      <c r="N68" s="172" t="str">
        <f t="shared" si="11"/>
        <v>2,68,385.82Cr</v>
      </c>
    </row>
    <row r="69" spans="1:14">
      <c r="A69" s="182">
        <v>39060</v>
      </c>
      <c r="B69" s="183" t="s">
        <v>3334</v>
      </c>
      <c r="C69" s="188" t="s">
        <v>3219</v>
      </c>
      <c r="D69" s="185" t="s">
        <v>3219</v>
      </c>
      <c r="E69" s="184">
        <v>26959</v>
      </c>
      <c r="F69" s="185" t="s">
        <v>3219</v>
      </c>
      <c r="G69" s="185" t="s">
        <v>3219</v>
      </c>
      <c r="H69" s="186" t="s">
        <v>3335</v>
      </c>
      <c r="I69" s="173">
        <f t="shared" si="6"/>
        <v>39060</v>
      </c>
      <c r="J69" s="172" t="str">
        <f t="shared" si="7"/>
        <v>.</v>
      </c>
      <c r="K69" s="172" t="str">
        <f t="shared" si="8"/>
        <v>000439/STATE BANK O/N.A.</v>
      </c>
      <c r="L69">
        <f t="shared" si="9"/>
        <v>26959</v>
      </c>
      <c r="M69" t="str">
        <f t="shared" si="10"/>
        <v>.</v>
      </c>
      <c r="N69" s="172" t="str">
        <f t="shared" si="11"/>
        <v>2,95,344.82Cr</v>
      </c>
    </row>
    <row r="70" spans="1:14">
      <c r="A70" s="177">
        <v>39060</v>
      </c>
      <c r="B70" s="178" t="s">
        <v>3336</v>
      </c>
      <c r="C70" s="179" t="s">
        <v>3219</v>
      </c>
      <c r="D70" s="181">
        <v>200</v>
      </c>
      <c r="E70" s="180" t="s">
        <v>3219</v>
      </c>
      <c r="F70" s="180" t="s">
        <v>3219</v>
      </c>
      <c r="G70" s="180" t="s">
        <v>3219</v>
      </c>
      <c r="H70" s="181" t="s">
        <v>3337</v>
      </c>
      <c r="I70" s="173">
        <f t="shared" si="6"/>
        <v>39060</v>
      </c>
      <c r="J70" s="172" t="str">
        <f t="shared" si="7"/>
        <v>.</v>
      </c>
      <c r="K70" s="172" t="str">
        <f t="shared" si="8"/>
        <v>ATM/CASH WDL/20060912210719/0</v>
      </c>
      <c r="L70" t="str">
        <f t="shared" si="9"/>
        <v>.</v>
      </c>
      <c r="M70">
        <f t="shared" si="10"/>
        <v>200</v>
      </c>
      <c r="N70" s="172" t="str">
        <f t="shared" si="11"/>
        <v>2,95,144.82Cr</v>
      </c>
    </row>
    <row r="71" spans="1:14">
      <c r="A71" s="183" t="s">
        <v>10844</v>
      </c>
      <c r="B71" s="183" t="s">
        <v>3338</v>
      </c>
      <c r="C71" s="188" t="s">
        <v>3219</v>
      </c>
      <c r="D71" s="185" t="s">
        <v>3219</v>
      </c>
      <c r="E71" s="184">
        <v>35516</v>
      </c>
      <c r="F71" s="185" t="s">
        <v>3219</v>
      </c>
      <c r="G71" s="185" t="s">
        <v>3219</v>
      </c>
      <c r="H71" s="186" t="s">
        <v>3339</v>
      </c>
      <c r="I71" s="173" t="str">
        <f t="shared" si="6"/>
        <v>27-09-2006</v>
      </c>
      <c r="J71" s="172" t="str">
        <f t="shared" si="7"/>
        <v>.</v>
      </c>
      <c r="K71" s="172" t="str">
        <f t="shared" si="8"/>
        <v>NET SALARY SEPTEMBER 2006</v>
      </c>
      <c r="L71">
        <f t="shared" si="9"/>
        <v>35516</v>
      </c>
      <c r="M71" t="str">
        <f t="shared" si="10"/>
        <v>.</v>
      </c>
      <c r="N71" s="172" t="str">
        <f t="shared" si="11"/>
        <v>3,30,660.82Cr</v>
      </c>
    </row>
    <row r="72" spans="1:14">
      <c r="A72" s="178" t="s">
        <v>10845</v>
      </c>
      <c r="B72" s="178" t="s">
        <v>959</v>
      </c>
      <c r="C72" s="178">
        <v>469260</v>
      </c>
      <c r="D72" s="187">
        <v>6331</v>
      </c>
      <c r="E72" s="180" t="s">
        <v>3219</v>
      </c>
      <c r="F72" s="180" t="s">
        <v>3219</v>
      </c>
      <c r="G72" s="180" t="s">
        <v>3219</v>
      </c>
      <c r="H72" s="181" t="s">
        <v>3340</v>
      </c>
      <c r="I72" s="173" t="str">
        <f t="shared" si="6"/>
        <v>29-09-2006</v>
      </c>
      <c r="J72" s="172">
        <f t="shared" si="7"/>
        <v>469260</v>
      </c>
      <c r="K72" s="172" t="str">
        <f t="shared" si="8"/>
        <v>LIC</v>
      </c>
      <c r="L72" t="str">
        <f t="shared" si="9"/>
        <v>.</v>
      </c>
      <c r="M72">
        <f t="shared" si="10"/>
        <v>6331</v>
      </c>
      <c r="N72" s="172" t="str">
        <f t="shared" si="11"/>
        <v>3,24,329.82Cr</v>
      </c>
    </row>
    <row r="73" spans="1:14">
      <c r="A73" s="177">
        <v>38727</v>
      </c>
      <c r="B73" s="178" t="s">
        <v>1394</v>
      </c>
      <c r="C73" s="179" t="s">
        <v>3219</v>
      </c>
      <c r="D73" s="180" t="s">
        <v>3219</v>
      </c>
      <c r="E73" s="180" t="s">
        <v>3219</v>
      </c>
      <c r="F73" s="180" t="s">
        <v>3219</v>
      </c>
      <c r="G73" s="180" t="s">
        <v>3219</v>
      </c>
      <c r="H73" s="181" t="s">
        <v>3340</v>
      </c>
      <c r="I73" s="173">
        <f t="shared" si="6"/>
        <v>38727</v>
      </c>
      <c r="J73" s="172" t="str">
        <f t="shared" si="7"/>
        <v>.</v>
      </c>
      <c r="K73" s="172" t="str">
        <f t="shared" si="8"/>
        <v>B/F</v>
      </c>
      <c r="L73" t="str">
        <f t="shared" si="9"/>
        <v>.</v>
      </c>
      <c r="M73" t="str">
        <f t="shared" si="10"/>
        <v>.</v>
      </c>
      <c r="N73" s="172" t="str">
        <f t="shared" si="11"/>
        <v>3,24,329.82Cr</v>
      </c>
    </row>
    <row r="74" spans="1:14">
      <c r="A74" s="182">
        <v>38847</v>
      </c>
      <c r="B74" s="183" t="s">
        <v>3221</v>
      </c>
      <c r="C74" s="183">
        <v>469261</v>
      </c>
      <c r="D74" s="184">
        <v>15232</v>
      </c>
      <c r="E74" s="185" t="s">
        <v>3219</v>
      </c>
      <c r="F74" s="185" t="s">
        <v>3219</v>
      </c>
      <c r="G74" s="185" t="s">
        <v>3219</v>
      </c>
      <c r="H74" s="186" t="s">
        <v>3341</v>
      </c>
      <c r="I74" s="173">
        <f t="shared" si="6"/>
        <v>38847</v>
      </c>
      <c r="J74" s="172">
        <f t="shared" si="7"/>
        <v>469261</v>
      </c>
      <c r="K74" s="172" t="str">
        <f t="shared" si="8"/>
        <v>GRUH FINANCE LTD</v>
      </c>
      <c r="L74" t="str">
        <f t="shared" si="9"/>
        <v>.</v>
      </c>
      <c r="M74">
        <f t="shared" si="10"/>
        <v>15232</v>
      </c>
      <c r="N74" s="172" t="str">
        <f t="shared" si="11"/>
        <v>3,09,097.82Cr</v>
      </c>
    </row>
    <row r="75" spans="1:14">
      <c r="A75" s="178" t="s">
        <v>10042</v>
      </c>
      <c r="B75" s="178" t="s">
        <v>3295</v>
      </c>
      <c r="C75" s="178">
        <v>469262</v>
      </c>
      <c r="D75" s="181">
        <v>690</v>
      </c>
      <c r="E75" s="180" t="s">
        <v>3219</v>
      </c>
      <c r="F75" s="180" t="s">
        <v>3219</v>
      </c>
      <c r="G75" s="180" t="s">
        <v>3219</v>
      </c>
      <c r="H75" s="181" t="s">
        <v>3342</v>
      </c>
      <c r="I75" s="173" t="str">
        <f t="shared" si="6"/>
        <v>13-10-2006</v>
      </c>
      <c r="J75" s="172">
        <f t="shared" si="7"/>
        <v>469262</v>
      </c>
      <c r="K75" s="172" t="str">
        <f t="shared" si="8"/>
        <v>CGRF VIDYUT BHAVAN MSEDC LTD</v>
      </c>
      <c r="L75" t="str">
        <f t="shared" si="9"/>
        <v>.</v>
      </c>
      <c r="M75">
        <f t="shared" si="10"/>
        <v>690</v>
      </c>
      <c r="N75" s="172" t="str">
        <f t="shared" si="11"/>
        <v>3,08,407.82Cr</v>
      </c>
    </row>
    <row r="76" spans="1:14">
      <c r="A76" s="183" t="s">
        <v>10043</v>
      </c>
      <c r="B76" s="183" t="s">
        <v>3343</v>
      </c>
      <c r="C76" s="188" t="s">
        <v>3219</v>
      </c>
      <c r="D76" s="184">
        <v>5000</v>
      </c>
      <c r="E76" s="185" t="s">
        <v>3219</v>
      </c>
      <c r="F76" s="185" t="s">
        <v>3219</v>
      </c>
      <c r="G76" s="185" t="s">
        <v>3219</v>
      </c>
      <c r="H76" s="186" t="s">
        <v>3344</v>
      </c>
      <c r="I76" s="173" t="str">
        <f t="shared" si="6"/>
        <v>16-10-2006</v>
      </c>
      <c r="J76" s="172" t="str">
        <f t="shared" si="7"/>
        <v>.</v>
      </c>
      <c r="K76" s="172" t="str">
        <f t="shared" si="8"/>
        <v>ATM/CASH WDL/20061015171405/0</v>
      </c>
      <c r="L76" t="str">
        <f t="shared" si="9"/>
        <v>.</v>
      </c>
      <c r="M76">
        <f t="shared" si="10"/>
        <v>5000</v>
      </c>
      <c r="N76" s="172" t="str">
        <f t="shared" si="11"/>
        <v>3,03,407.82Cr</v>
      </c>
    </row>
    <row r="77" spans="1:14">
      <c r="A77" s="178" t="s">
        <v>10044</v>
      </c>
      <c r="B77" s="178" t="s">
        <v>3345</v>
      </c>
      <c r="C77" s="179" t="s">
        <v>3219</v>
      </c>
      <c r="D77" s="180" t="s">
        <v>3219</v>
      </c>
      <c r="E77" s="187">
        <v>35515</v>
      </c>
      <c r="F77" s="180" t="s">
        <v>3219</v>
      </c>
      <c r="G77" s="180" t="s">
        <v>3219</v>
      </c>
      <c r="H77" s="181" t="s">
        <v>3346</v>
      </c>
      <c r="I77" s="173" t="str">
        <f t="shared" si="6"/>
        <v>20-10-2006</v>
      </c>
      <c r="J77" s="172" t="str">
        <f t="shared" si="7"/>
        <v>.</v>
      </c>
      <c r="K77" s="172" t="str">
        <f t="shared" si="8"/>
        <v>NET SALARY OCTOBER 2006</v>
      </c>
      <c r="L77">
        <f t="shared" si="9"/>
        <v>35515</v>
      </c>
      <c r="M77" t="str">
        <f t="shared" si="10"/>
        <v>.</v>
      </c>
      <c r="N77" s="172" t="str">
        <f t="shared" si="11"/>
        <v>3,38,922.82Cr</v>
      </c>
    </row>
    <row r="78" spans="1:14">
      <c r="A78" s="183" t="s">
        <v>10045</v>
      </c>
      <c r="B78" s="183" t="s">
        <v>3347</v>
      </c>
      <c r="C78" s="188" t="s">
        <v>3219</v>
      </c>
      <c r="D78" s="184">
        <v>5000</v>
      </c>
      <c r="E78" s="185" t="s">
        <v>3219</v>
      </c>
      <c r="F78" s="185" t="s">
        <v>3219</v>
      </c>
      <c r="G78" s="185" t="s">
        <v>3219</v>
      </c>
      <c r="H78" s="186" t="s">
        <v>3348</v>
      </c>
      <c r="I78" s="173" t="str">
        <f t="shared" si="6"/>
        <v>21-10-2006</v>
      </c>
      <c r="J78" s="172" t="str">
        <f t="shared" si="7"/>
        <v>.</v>
      </c>
      <c r="K78" s="172" t="str">
        <f t="shared" si="8"/>
        <v>ATM/CASH WDL/20061021105143/0</v>
      </c>
      <c r="L78" t="str">
        <f t="shared" si="9"/>
        <v>.</v>
      </c>
      <c r="M78">
        <f t="shared" si="10"/>
        <v>5000</v>
      </c>
      <c r="N78" s="172" t="str">
        <f t="shared" si="11"/>
        <v>3,33,922.82Cr</v>
      </c>
    </row>
    <row r="79" spans="1:14">
      <c r="A79" s="178" t="s">
        <v>10045</v>
      </c>
      <c r="B79" s="178" t="s">
        <v>3349</v>
      </c>
      <c r="C79" s="179" t="s">
        <v>3219</v>
      </c>
      <c r="D79" s="187">
        <v>3000</v>
      </c>
      <c r="E79" s="180" t="s">
        <v>3219</v>
      </c>
      <c r="F79" s="180" t="s">
        <v>3219</v>
      </c>
      <c r="G79" s="180" t="s">
        <v>3219</v>
      </c>
      <c r="H79" s="181" t="s">
        <v>3350</v>
      </c>
      <c r="I79" s="173" t="str">
        <f t="shared" si="6"/>
        <v>21-10-2006</v>
      </c>
      <c r="J79" s="172" t="str">
        <f t="shared" si="7"/>
        <v>.</v>
      </c>
      <c r="K79" s="172" t="str">
        <f t="shared" si="8"/>
        <v>ATM/CASH WDL/20061021105238/0</v>
      </c>
      <c r="L79" t="str">
        <f t="shared" si="9"/>
        <v>.</v>
      </c>
      <c r="M79">
        <f t="shared" si="10"/>
        <v>3000</v>
      </c>
      <c r="N79" s="172" t="str">
        <f t="shared" si="11"/>
        <v>3,30,922.82Cr</v>
      </c>
    </row>
    <row r="80" spans="1:14">
      <c r="A80" s="183" t="s">
        <v>10046</v>
      </c>
      <c r="B80" s="183" t="s">
        <v>3351</v>
      </c>
      <c r="C80" s="188" t="s">
        <v>3219</v>
      </c>
      <c r="D80" s="184">
        <v>3000</v>
      </c>
      <c r="E80" s="185" t="s">
        <v>3219</v>
      </c>
      <c r="F80" s="185" t="s">
        <v>3219</v>
      </c>
      <c r="G80" s="185" t="s">
        <v>3219</v>
      </c>
      <c r="H80" s="186" t="s">
        <v>3352</v>
      </c>
      <c r="I80" s="173" t="str">
        <f t="shared" si="6"/>
        <v>31-10-2006</v>
      </c>
      <c r="J80" s="172" t="str">
        <f t="shared" si="7"/>
        <v>.</v>
      </c>
      <c r="K80" s="172" t="str">
        <f t="shared" si="8"/>
        <v>ATM/CASH WDL/20061031112830/0</v>
      </c>
      <c r="L80" t="str">
        <f t="shared" si="9"/>
        <v>.</v>
      </c>
      <c r="M80">
        <f t="shared" si="10"/>
        <v>3000</v>
      </c>
      <c r="N80" s="172" t="str">
        <f t="shared" si="11"/>
        <v>3,27,922.82Cr</v>
      </c>
    </row>
    <row r="81" spans="1:14">
      <c r="A81" s="178" t="s">
        <v>10046</v>
      </c>
      <c r="B81" s="178" t="s">
        <v>3353</v>
      </c>
      <c r="C81" s="178">
        <v>469263</v>
      </c>
      <c r="D81" s="187">
        <v>2245</v>
      </c>
      <c r="E81" s="180" t="s">
        <v>3219</v>
      </c>
      <c r="F81" s="180" t="s">
        <v>3219</v>
      </c>
      <c r="G81" s="180" t="s">
        <v>3219</v>
      </c>
      <c r="H81" s="181" t="s">
        <v>3354</v>
      </c>
      <c r="I81" s="173" t="str">
        <f t="shared" si="6"/>
        <v>31-10-2006</v>
      </c>
      <c r="J81" s="172">
        <f t="shared" si="7"/>
        <v>469263</v>
      </c>
      <c r="K81" s="172" t="str">
        <f t="shared" si="8"/>
        <v>HATHWAY INTERNET</v>
      </c>
      <c r="L81" t="str">
        <f t="shared" si="9"/>
        <v>.</v>
      </c>
      <c r="M81">
        <f t="shared" si="10"/>
        <v>2245</v>
      </c>
      <c r="N81" s="172" t="str">
        <f t="shared" si="11"/>
        <v>3,25,677.82Cr</v>
      </c>
    </row>
    <row r="82" spans="1:14">
      <c r="A82" s="183" t="s">
        <v>10046</v>
      </c>
      <c r="B82" s="183" t="s">
        <v>3221</v>
      </c>
      <c r="C82" s="183">
        <v>469264</v>
      </c>
      <c r="D82" s="184">
        <v>15232</v>
      </c>
      <c r="E82" s="185" t="s">
        <v>3219</v>
      </c>
      <c r="F82" s="185" t="s">
        <v>3219</v>
      </c>
      <c r="G82" s="185" t="s">
        <v>3219</v>
      </c>
      <c r="H82" s="186" t="s">
        <v>3355</v>
      </c>
      <c r="I82" s="173" t="str">
        <f t="shared" si="6"/>
        <v>31-10-2006</v>
      </c>
      <c r="J82" s="172">
        <f t="shared" si="7"/>
        <v>469264</v>
      </c>
      <c r="K82" s="172" t="str">
        <f t="shared" si="8"/>
        <v>GRUH FINANCE LTD</v>
      </c>
      <c r="L82" t="str">
        <f t="shared" si="9"/>
        <v>.</v>
      </c>
      <c r="M82">
        <f t="shared" si="10"/>
        <v>15232</v>
      </c>
      <c r="N82" s="172" t="str">
        <f t="shared" si="11"/>
        <v>3,10,445.82Cr</v>
      </c>
    </row>
    <row r="83" spans="1:14">
      <c r="A83" s="178" t="s">
        <v>10046</v>
      </c>
      <c r="B83" s="178" t="s">
        <v>3356</v>
      </c>
      <c r="C83" s="179" t="s">
        <v>3219</v>
      </c>
      <c r="D83" s="180" t="s">
        <v>3219</v>
      </c>
      <c r="E83" s="187">
        <v>56442</v>
      </c>
      <c r="F83" s="180" t="s">
        <v>3219</v>
      </c>
      <c r="G83" s="180" t="s">
        <v>3219</v>
      </c>
      <c r="H83" s="181" t="s">
        <v>3357</v>
      </c>
      <c r="I83" s="173" t="str">
        <f t="shared" si="6"/>
        <v>31-10-2006</v>
      </c>
      <c r="J83" s="172" t="str">
        <f t="shared" si="7"/>
        <v>.</v>
      </c>
      <c r="K83" s="172" t="str">
        <f t="shared" si="8"/>
        <v>SPECIAL PAYMENT OCT 2006</v>
      </c>
      <c r="L83">
        <f t="shared" si="9"/>
        <v>56442</v>
      </c>
      <c r="M83" t="str">
        <f t="shared" si="10"/>
        <v>.</v>
      </c>
      <c r="N83" s="172" t="str">
        <f t="shared" si="11"/>
        <v>3,66,887.82Cr</v>
      </c>
    </row>
    <row r="84" spans="1:14">
      <c r="A84" s="177">
        <v>38728</v>
      </c>
      <c r="B84" s="178" t="s">
        <v>1394</v>
      </c>
      <c r="C84" s="179" t="s">
        <v>3219</v>
      </c>
      <c r="D84" s="180" t="s">
        <v>3219</v>
      </c>
      <c r="E84" s="180" t="s">
        <v>3219</v>
      </c>
      <c r="F84" s="180" t="s">
        <v>3219</v>
      </c>
      <c r="G84" s="180" t="s">
        <v>3219</v>
      </c>
      <c r="H84" s="181" t="s">
        <v>3357</v>
      </c>
      <c r="I84" s="173">
        <f t="shared" si="6"/>
        <v>38728</v>
      </c>
      <c r="J84" s="172" t="str">
        <f t="shared" si="7"/>
        <v>.</v>
      </c>
      <c r="K84" s="172" t="str">
        <f t="shared" si="8"/>
        <v>B/F</v>
      </c>
      <c r="L84" t="str">
        <f t="shared" si="9"/>
        <v>.</v>
      </c>
      <c r="M84" t="str">
        <f t="shared" si="10"/>
        <v>.</v>
      </c>
      <c r="N84" s="172" t="str">
        <f t="shared" si="11"/>
        <v>3,66,887.82Cr</v>
      </c>
    </row>
    <row r="85" spans="1:14">
      <c r="A85" s="182">
        <v>38818</v>
      </c>
      <c r="B85" s="183" t="s">
        <v>3295</v>
      </c>
      <c r="C85" s="183">
        <v>469265</v>
      </c>
      <c r="D85" s="186">
        <v>620</v>
      </c>
      <c r="E85" s="185" t="s">
        <v>3219</v>
      </c>
      <c r="F85" s="185" t="s">
        <v>3219</v>
      </c>
      <c r="G85" s="185" t="s">
        <v>3219</v>
      </c>
      <c r="H85" s="186" t="s">
        <v>3358</v>
      </c>
      <c r="I85" s="173">
        <f t="shared" si="6"/>
        <v>38818</v>
      </c>
      <c r="J85" s="172">
        <f t="shared" si="7"/>
        <v>469265</v>
      </c>
      <c r="K85" s="172" t="str">
        <f t="shared" si="8"/>
        <v>CGRF VIDYUT BHAVAN MSEDC LTD</v>
      </c>
      <c r="L85" t="str">
        <f t="shared" si="9"/>
        <v>.</v>
      </c>
      <c r="M85">
        <f t="shared" si="10"/>
        <v>620</v>
      </c>
      <c r="N85" s="172" t="str">
        <f t="shared" si="11"/>
        <v>3,66,267.82Cr</v>
      </c>
    </row>
    <row r="86" spans="1:14">
      <c r="A86" s="178" t="s">
        <v>10047</v>
      </c>
      <c r="B86" s="178" t="s">
        <v>3359</v>
      </c>
      <c r="C86" s="179" t="s">
        <v>3219</v>
      </c>
      <c r="D86" s="187">
        <v>3000</v>
      </c>
      <c r="E86" s="180" t="s">
        <v>3219</v>
      </c>
      <c r="F86" s="180" t="s">
        <v>3219</v>
      </c>
      <c r="G86" s="180" t="s">
        <v>3219</v>
      </c>
      <c r="H86" s="181" t="s">
        <v>3360</v>
      </c>
      <c r="I86" s="173" t="str">
        <f t="shared" si="6"/>
        <v>16-11-2006</v>
      </c>
      <c r="J86" s="172" t="str">
        <f t="shared" si="7"/>
        <v>.</v>
      </c>
      <c r="K86" s="172" t="str">
        <f t="shared" si="8"/>
        <v>ATM/CASH WDL/20061116200945/0</v>
      </c>
      <c r="L86" t="str">
        <f t="shared" si="9"/>
        <v>.</v>
      </c>
      <c r="M86">
        <f t="shared" si="10"/>
        <v>3000</v>
      </c>
      <c r="N86" s="172" t="str">
        <f t="shared" si="11"/>
        <v>3,63,267.82Cr</v>
      </c>
    </row>
    <row r="87" spans="1:14">
      <c r="A87" s="183" t="s">
        <v>10048</v>
      </c>
      <c r="B87" s="183" t="s">
        <v>3361</v>
      </c>
      <c r="C87" s="188" t="s">
        <v>3219</v>
      </c>
      <c r="D87" s="185" t="s">
        <v>3219</v>
      </c>
      <c r="E87" s="184">
        <v>35515</v>
      </c>
      <c r="F87" s="185" t="s">
        <v>3219</v>
      </c>
      <c r="G87" s="185" t="s">
        <v>3219</v>
      </c>
      <c r="H87" s="186" t="s">
        <v>3362</v>
      </c>
      <c r="I87" s="173" t="str">
        <f t="shared" si="6"/>
        <v>27-11-2006</v>
      </c>
      <c r="J87" s="172" t="str">
        <f t="shared" si="7"/>
        <v>.</v>
      </c>
      <c r="K87" s="172" t="str">
        <f t="shared" si="8"/>
        <v>NET SALARY NOVEMBER 2006</v>
      </c>
      <c r="L87">
        <f t="shared" si="9"/>
        <v>35515</v>
      </c>
      <c r="M87" t="str">
        <f t="shared" si="10"/>
        <v>.</v>
      </c>
      <c r="N87" s="172" t="str">
        <f t="shared" si="11"/>
        <v>3,98,782.82Cr</v>
      </c>
    </row>
    <row r="88" spans="1:14">
      <c r="A88" s="178" t="s">
        <v>10049</v>
      </c>
      <c r="B88" s="178" t="s">
        <v>3363</v>
      </c>
      <c r="C88" s="179" t="s">
        <v>3219</v>
      </c>
      <c r="D88" s="187">
        <v>5000</v>
      </c>
      <c r="E88" s="180" t="s">
        <v>3219</v>
      </c>
      <c r="F88" s="180" t="s">
        <v>3219</v>
      </c>
      <c r="G88" s="180" t="s">
        <v>3219</v>
      </c>
      <c r="H88" s="181" t="s">
        <v>3364</v>
      </c>
      <c r="I88" s="173" t="str">
        <f t="shared" si="6"/>
        <v>29-11-2006</v>
      </c>
      <c r="J88" s="172" t="str">
        <f t="shared" si="7"/>
        <v>.</v>
      </c>
      <c r="K88" s="172" t="str">
        <f t="shared" si="8"/>
        <v>ATM/CASH WDL/20061129203248/0</v>
      </c>
      <c r="L88" t="str">
        <f t="shared" si="9"/>
        <v>.</v>
      </c>
      <c r="M88">
        <f t="shared" si="10"/>
        <v>5000</v>
      </c>
      <c r="N88" s="172" t="str">
        <f t="shared" si="11"/>
        <v>3,93,782.82Cr</v>
      </c>
    </row>
    <row r="89" spans="1:14">
      <c r="A89" s="177">
        <v>38729</v>
      </c>
      <c r="B89" s="178" t="s">
        <v>1394</v>
      </c>
      <c r="C89" s="179" t="s">
        <v>3219</v>
      </c>
      <c r="D89" s="180" t="s">
        <v>3219</v>
      </c>
      <c r="E89" s="180" t="s">
        <v>3219</v>
      </c>
      <c r="F89" s="180" t="s">
        <v>3219</v>
      </c>
      <c r="G89" s="180" t="s">
        <v>3219</v>
      </c>
      <c r="H89" s="181" t="s">
        <v>3364</v>
      </c>
      <c r="I89" s="173">
        <f t="shared" si="6"/>
        <v>38729</v>
      </c>
      <c r="J89" s="172" t="str">
        <f t="shared" si="7"/>
        <v>.</v>
      </c>
      <c r="K89" s="172" t="str">
        <f t="shared" si="8"/>
        <v>B/F</v>
      </c>
      <c r="L89" t="str">
        <f t="shared" si="9"/>
        <v>.</v>
      </c>
      <c r="M89" t="str">
        <f t="shared" si="10"/>
        <v>.</v>
      </c>
      <c r="N89" s="172" t="str">
        <f t="shared" si="11"/>
        <v>3,93,782.82Cr</v>
      </c>
    </row>
    <row r="90" spans="1:14">
      <c r="A90" s="182">
        <v>38729</v>
      </c>
      <c r="B90" s="183" t="s">
        <v>3365</v>
      </c>
      <c r="C90" s="183">
        <v>469266</v>
      </c>
      <c r="D90" s="184">
        <v>1170</v>
      </c>
      <c r="E90" s="185" t="s">
        <v>3219</v>
      </c>
      <c r="F90" s="185" t="s">
        <v>3219</v>
      </c>
      <c r="G90" s="185" t="s">
        <v>3219</v>
      </c>
      <c r="H90" s="186" t="s">
        <v>3366</v>
      </c>
      <c r="I90" s="173">
        <f t="shared" si="6"/>
        <v>38729</v>
      </c>
      <c r="J90" s="172">
        <f t="shared" si="7"/>
        <v>469266</v>
      </c>
      <c r="K90" s="172" t="str">
        <f t="shared" si="8"/>
        <v>INWARD CLEARING ZONE-7</v>
      </c>
      <c r="L90" t="str">
        <f t="shared" si="9"/>
        <v>.</v>
      </c>
      <c r="M90">
        <f t="shared" si="10"/>
        <v>1170</v>
      </c>
      <c r="N90" s="172" t="str">
        <f t="shared" si="11"/>
        <v>3,92,612.82Cr</v>
      </c>
    </row>
    <row r="91" spans="1:14">
      <c r="A91" s="177">
        <v>38760</v>
      </c>
      <c r="B91" s="178" t="s">
        <v>3221</v>
      </c>
      <c r="C91" s="178">
        <v>469267</v>
      </c>
      <c r="D91" s="187">
        <v>15232</v>
      </c>
      <c r="E91" s="180" t="s">
        <v>3219</v>
      </c>
      <c r="F91" s="180" t="s">
        <v>3219</v>
      </c>
      <c r="G91" s="180" t="s">
        <v>3219</v>
      </c>
      <c r="H91" s="181" t="s">
        <v>3367</v>
      </c>
      <c r="I91" s="173">
        <f t="shared" si="6"/>
        <v>38760</v>
      </c>
      <c r="J91" s="172">
        <f t="shared" si="7"/>
        <v>469267</v>
      </c>
      <c r="K91" s="172" t="str">
        <f t="shared" si="8"/>
        <v>GRUH FINANCE LTD</v>
      </c>
      <c r="L91" t="str">
        <f t="shared" si="9"/>
        <v>.</v>
      </c>
      <c r="M91">
        <f t="shared" si="10"/>
        <v>15232</v>
      </c>
      <c r="N91" s="172" t="str">
        <f t="shared" si="11"/>
        <v>3,77,380.82Cr</v>
      </c>
    </row>
    <row r="92" spans="1:14">
      <c r="A92" s="182">
        <v>38819</v>
      </c>
      <c r="B92" s="183" t="s">
        <v>3368</v>
      </c>
      <c r="C92" s="188" t="s">
        <v>3219</v>
      </c>
      <c r="D92" s="184">
        <v>3000</v>
      </c>
      <c r="E92" s="185" t="s">
        <v>3219</v>
      </c>
      <c r="F92" s="185" t="s">
        <v>3219</v>
      </c>
      <c r="G92" s="185" t="s">
        <v>3219</v>
      </c>
      <c r="H92" s="186" t="s">
        <v>3369</v>
      </c>
      <c r="I92" s="173">
        <f t="shared" si="6"/>
        <v>38819</v>
      </c>
      <c r="J92" s="172" t="str">
        <f t="shared" si="7"/>
        <v>.</v>
      </c>
      <c r="K92" s="172" t="str">
        <f t="shared" si="8"/>
        <v>ATM/CASH WDL/20061203172626/0</v>
      </c>
      <c r="L92" t="str">
        <f t="shared" si="9"/>
        <v>.</v>
      </c>
      <c r="M92">
        <f t="shared" si="10"/>
        <v>3000</v>
      </c>
      <c r="N92" s="172" t="str">
        <f t="shared" si="11"/>
        <v>3,74,380.82Cr</v>
      </c>
    </row>
    <row r="93" spans="1:14">
      <c r="A93" s="177">
        <v>38819</v>
      </c>
      <c r="B93" s="178" t="s">
        <v>3370</v>
      </c>
      <c r="C93" s="179" t="s">
        <v>3219</v>
      </c>
      <c r="D93" s="187">
        <v>5000</v>
      </c>
      <c r="E93" s="180" t="s">
        <v>3219</v>
      </c>
      <c r="F93" s="180" t="s">
        <v>3219</v>
      </c>
      <c r="G93" s="180" t="s">
        <v>3219</v>
      </c>
      <c r="H93" s="181" t="s">
        <v>3371</v>
      </c>
      <c r="I93" s="173">
        <f t="shared" si="6"/>
        <v>38819</v>
      </c>
      <c r="J93" s="172" t="str">
        <f t="shared" si="7"/>
        <v>.</v>
      </c>
      <c r="K93" s="172" t="str">
        <f t="shared" si="8"/>
        <v>ATM/CASH WDL/20061204201733/0</v>
      </c>
      <c r="L93" t="str">
        <f t="shared" si="9"/>
        <v>.</v>
      </c>
      <c r="M93">
        <f t="shared" si="10"/>
        <v>5000</v>
      </c>
      <c r="N93" s="172" t="str">
        <f t="shared" si="11"/>
        <v>3,69,380.82Cr</v>
      </c>
    </row>
    <row r="94" spans="1:14">
      <c r="A94" s="182">
        <v>38972</v>
      </c>
      <c r="B94" s="183" t="s">
        <v>3372</v>
      </c>
      <c r="C94" s="188" t="s">
        <v>3219</v>
      </c>
      <c r="D94" s="184">
        <v>10000</v>
      </c>
      <c r="E94" s="185" t="s">
        <v>3219</v>
      </c>
      <c r="F94" s="185" t="s">
        <v>3219</v>
      </c>
      <c r="G94" s="185" t="s">
        <v>3219</v>
      </c>
      <c r="H94" s="186" t="s">
        <v>3373</v>
      </c>
      <c r="I94" s="173">
        <f t="shared" si="6"/>
        <v>38972</v>
      </c>
      <c r="J94" s="172" t="str">
        <f t="shared" si="7"/>
        <v>.</v>
      </c>
      <c r="K94" s="172" t="str">
        <f t="shared" si="8"/>
        <v>ATM/CASH WDL/20061209085753/0</v>
      </c>
      <c r="L94" t="str">
        <f t="shared" si="9"/>
        <v>.</v>
      </c>
      <c r="M94">
        <f t="shared" si="10"/>
        <v>10000</v>
      </c>
      <c r="N94" s="172" t="str">
        <f t="shared" si="11"/>
        <v>3,59,380.82Cr</v>
      </c>
    </row>
    <row r="95" spans="1:14">
      <c r="A95" s="177">
        <v>38972</v>
      </c>
      <c r="B95" s="178" t="s">
        <v>3374</v>
      </c>
      <c r="C95" s="178">
        <v>469268</v>
      </c>
      <c r="D95" s="181">
        <v>800</v>
      </c>
      <c r="E95" s="180" t="s">
        <v>3219</v>
      </c>
      <c r="F95" s="180" t="s">
        <v>3219</v>
      </c>
      <c r="G95" s="180" t="s">
        <v>3219</v>
      </c>
      <c r="H95" s="181" t="s">
        <v>3375</v>
      </c>
      <c r="I95" s="173">
        <f t="shared" si="6"/>
        <v>38972</v>
      </c>
      <c r="J95" s="172">
        <f t="shared" si="7"/>
        <v>469268</v>
      </c>
      <c r="K95" s="172" t="str">
        <f t="shared" si="8"/>
        <v>TTML 600782972</v>
      </c>
      <c r="L95" t="str">
        <f t="shared" si="9"/>
        <v>.</v>
      </c>
      <c r="M95">
        <f t="shared" si="10"/>
        <v>800</v>
      </c>
      <c r="N95" s="172" t="str">
        <f t="shared" si="11"/>
        <v>3,58,580.82Cr</v>
      </c>
    </row>
    <row r="96" spans="1:14">
      <c r="A96" s="183" t="s">
        <v>10050</v>
      </c>
      <c r="B96" s="183" t="s">
        <v>3376</v>
      </c>
      <c r="C96" s="188" t="s">
        <v>3219</v>
      </c>
      <c r="D96" s="184">
        <v>3000</v>
      </c>
      <c r="E96" s="185" t="s">
        <v>3219</v>
      </c>
      <c r="F96" s="185" t="s">
        <v>3219</v>
      </c>
      <c r="G96" s="185" t="s">
        <v>3219</v>
      </c>
      <c r="H96" s="186" t="s">
        <v>3377</v>
      </c>
      <c r="I96" s="173" t="str">
        <f t="shared" si="6"/>
        <v>18-12-2006</v>
      </c>
      <c r="J96" s="172" t="str">
        <f t="shared" si="7"/>
        <v>.</v>
      </c>
      <c r="K96" s="172" t="str">
        <f t="shared" si="8"/>
        <v>ATM/CASH WDL/20061217181417/0</v>
      </c>
      <c r="L96" t="str">
        <f t="shared" si="9"/>
        <v>.</v>
      </c>
      <c r="M96">
        <f t="shared" si="10"/>
        <v>3000</v>
      </c>
      <c r="N96" s="172" t="str">
        <f t="shared" si="11"/>
        <v>3,55,580.82Cr</v>
      </c>
    </row>
    <row r="97" spans="1:14">
      <c r="A97" s="178" t="s">
        <v>10051</v>
      </c>
      <c r="B97" s="178" t="s">
        <v>3378</v>
      </c>
      <c r="C97" s="179" t="s">
        <v>3219</v>
      </c>
      <c r="D97" s="187">
        <v>5000</v>
      </c>
      <c r="E97" s="180" t="s">
        <v>3219</v>
      </c>
      <c r="F97" s="180" t="s">
        <v>3219</v>
      </c>
      <c r="G97" s="180" t="s">
        <v>3219</v>
      </c>
      <c r="H97" s="181" t="s">
        <v>3379</v>
      </c>
      <c r="I97" s="173" t="str">
        <f t="shared" si="6"/>
        <v>23-12-2006</v>
      </c>
      <c r="J97" s="172" t="str">
        <f t="shared" si="7"/>
        <v>.</v>
      </c>
      <c r="K97" s="172" t="str">
        <f t="shared" si="8"/>
        <v>ATM/CASH WDL/20061223104930/0</v>
      </c>
      <c r="L97" t="str">
        <f t="shared" si="9"/>
        <v>.</v>
      </c>
      <c r="M97">
        <f t="shared" si="10"/>
        <v>5000</v>
      </c>
      <c r="N97" s="172" t="str">
        <f t="shared" si="11"/>
        <v>3,50,580.82Cr</v>
      </c>
    </row>
    <row r="98" spans="1:14">
      <c r="A98" s="183" t="s">
        <v>10052</v>
      </c>
      <c r="B98" s="183" t="s">
        <v>3380</v>
      </c>
      <c r="C98" s="188" t="s">
        <v>3219</v>
      </c>
      <c r="D98" s="185" t="s">
        <v>3219</v>
      </c>
      <c r="E98" s="184">
        <v>35515</v>
      </c>
      <c r="F98" s="185" t="s">
        <v>3219</v>
      </c>
      <c r="G98" s="185" t="s">
        <v>3219</v>
      </c>
      <c r="H98" s="186" t="s">
        <v>3381</v>
      </c>
      <c r="I98" s="173" t="str">
        <f t="shared" si="6"/>
        <v>27-12-2006</v>
      </c>
      <c r="J98" s="172" t="str">
        <f t="shared" si="7"/>
        <v>.</v>
      </c>
      <c r="K98" s="172" t="str">
        <f t="shared" si="8"/>
        <v>NET SALARY DECEMBER 2006</v>
      </c>
      <c r="L98">
        <f t="shared" si="9"/>
        <v>35515</v>
      </c>
      <c r="M98" t="str">
        <f t="shared" si="10"/>
        <v>.</v>
      </c>
      <c r="N98" s="172" t="str">
        <f t="shared" si="11"/>
        <v>3,86,095.82Cr</v>
      </c>
    </row>
    <row r="99" spans="1:14">
      <c r="A99" s="177">
        <v>39083</v>
      </c>
      <c r="B99" s="178" t="s">
        <v>1394</v>
      </c>
      <c r="C99" s="179" t="s">
        <v>3219</v>
      </c>
      <c r="D99" s="180" t="s">
        <v>3219</v>
      </c>
      <c r="E99" s="180" t="s">
        <v>3219</v>
      </c>
      <c r="F99" s="180" t="s">
        <v>3219</v>
      </c>
      <c r="G99" s="180" t="s">
        <v>3219</v>
      </c>
      <c r="H99" s="181" t="s">
        <v>3381</v>
      </c>
      <c r="I99" s="173">
        <f t="shared" si="6"/>
        <v>39083</v>
      </c>
      <c r="J99" s="172" t="str">
        <f t="shared" si="7"/>
        <v>.</v>
      </c>
      <c r="K99" s="172" t="str">
        <f t="shared" si="8"/>
        <v>B/F</v>
      </c>
      <c r="L99" t="str">
        <f t="shared" si="9"/>
        <v>.</v>
      </c>
      <c r="M99" t="str">
        <f t="shared" si="10"/>
        <v>.</v>
      </c>
      <c r="N99" s="172" t="str">
        <f t="shared" si="11"/>
        <v>3,86,095.82Cr</v>
      </c>
    </row>
    <row r="100" spans="1:14">
      <c r="A100" s="182">
        <v>39142</v>
      </c>
      <c r="B100" s="183" t="s">
        <v>3221</v>
      </c>
      <c r="C100" s="183">
        <v>469269</v>
      </c>
      <c r="D100" s="184">
        <v>15232</v>
      </c>
      <c r="E100" s="185" t="s">
        <v>3219</v>
      </c>
      <c r="F100" s="185" t="s">
        <v>3219</v>
      </c>
      <c r="G100" s="185" t="s">
        <v>3219</v>
      </c>
      <c r="H100" s="186" t="s">
        <v>3382</v>
      </c>
      <c r="I100" s="173">
        <f t="shared" si="6"/>
        <v>39142</v>
      </c>
      <c r="J100" s="172">
        <f t="shared" si="7"/>
        <v>469269</v>
      </c>
      <c r="K100" s="172" t="str">
        <f t="shared" si="8"/>
        <v>GRUH FINANCE LTD</v>
      </c>
      <c r="L100" t="str">
        <f t="shared" si="9"/>
        <v>.</v>
      </c>
      <c r="M100">
        <f t="shared" si="10"/>
        <v>15232</v>
      </c>
      <c r="N100" s="172" t="str">
        <f t="shared" si="11"/>
        <v>3,70,863.82Cr</v>
      </c>
    </row>
    <row r="101" spans="1:14">
      <c r="A101" s="177">
        <v>39173</v>
      </c>
      <c r="B101" s="178" t="s">
        <v>3383</v>
      </c>
      <c r="C101" s="178">
        <v>469271</v>
      </c>
      <c r="D101" s="181">
        <v>768</v>
      </c>
      <c r="E101" s="180" t="s">
        <v>3219</v>
      </c>
      <c r="F101" s="180" t="s">
        <v>3219</v>
      </c>
      <c r="G101" s="180" t="s">
        <v>3219</v>
      </c>
      <c r="H101" s="181" t="s">
        <v>3384</v>
      </c>
      <c r="I101" s="173">
        <f t="shared" si="6"/>
        <v>39173</v>
      </c>
      <c r="J101" s="172">
        <f t="shared" si="7"/>
        <v>469271</v>
      </c>
      <c r="K101" s="172" t="str">
        <f t="shared" si="8"/>
        <v>TTML A/C 600782972</v>
      </c>
      <c r="L101" t="str">
        <f t="shared" si="9"/>
        <v>.</v>
      </c>
      <c r="M101">
        <f t="shared" si="10"/>
        <v>768</v>
      </c>
      <c r="N101" s="172" t="str">
        <f t="shared" si="11"/>
        <v>3,70,095.82Cr</v>
      </c>
    </row>
    <row r="102" spans="1:14">
      <c r="A102" s="182">
        <v>39173</v>
      </c>
      <c r="B102" s="183" t="s">
        <v>3385</v>
      </c>
      <c r="C102" s="183">
        <v>469270</v>
      </c>
      <c r="D102" s="186">
        <v>800</v>
      </c>
      <c r="E102" s="185" t="s">
        <v>3219</v>
      </c>
      <c r="F102" s="185" t="s">
        <v>3219</v>
      </c>
      <c r="G102" s="185" t="s">
        <v>3219</v>
      </c>
      <c r="H102" s="186" t="s">
        <v>3386</v>
      </c>
      <c r="I102" s="173">
        <f t="shared" si="6"/>
        <v>39173</v>
      </c>
      <c r="J102" s="172">
        <f t="shared" si="7"/>
        <v>469270</v>
      </c>
      <c r="K102" s="172" t="str">
        <f t="shared" si="8"/>
        <v>MSED CO LTD</v>
      </c>
      <c r="L102" t="str">
        <f t="shared" si="9"/>
        <v>.</v>
      </c>
      <c r="M102">
        <f t="shared" si="10"/>
        <v>800</v>
      </c>
      <c r="N102" s="172" t="str">
        <f t="shared" si="11"/>
        <v>3,69,295.82Cr</v>
      </c>
    </row>
    <row r="103" spans="1:14">
      <c r="A103" s="177">
        <v>39295</v>
      </c>
      <c r="B103" s="178" t="s">
        <v>3387</v>
      </c>
      <c r="C103" s="179" t="s">
        <v>3219</v>
      </c>
      <c r="D103" s="187">
        <v>3000</v>
      </c>
      <c r="E103" s="180" t="s">
        <v>3219</v>
      </c>
      <c r="F103" s="180" t="s">
        <v>3219</v>
      </c>
      <c r="G103" s="180" t="s">
        <v>3219</v>
      </c>
      <c r="H103" s="181" t="s">
        <v>3388</v>
      </c>
      <c r="I103" s="173">
        <f t="shared" si="6"/>
        <v>39295</v>
      </c>
      <c r="J103" s="172" t="str">
        <f t="shared" si="7"/>
        <v>.</v>
      </c>
      <c r="K103" s="172" t="str">
        <f t="shared" si="8"/>
        <v>ATM/CASH WDL/20070107184224/0</v>
      </c>
      <c r="L103" t="str">
        <f t="shared" si="9"/>
        <v>.</v>
      </c>
      <c r="M103">
        <f t="shared" si="10"/>
        <v>3000</v>
      </c>
      <c r="N103" s="172" t="str">
        <f t="shared" si="11"/>
        <v>3,66,295.82Cr</v>
      </c>
    </row>
    <row r="104" spans="1:14">
      <c r="A104" s="182">
        <v>39387</v>
      </c>
      <c r="B104" s="183" t="s">
        <v>3389</v>
      </c>
      <c r="C104" s="183">
        <v>469274</v>
      </c>
      <c r="D104" s="184">
        <v>35000</v>
      </c>
      <c r="E104" s="185" t="s">
        <v>3219</v>
      </c>
      <c r="F104" s="185" t="s">
        <v>3219</v>
      </c>
      <c r="G104" s="185" t="s">
        <v>3219</v>
      </c>
      <c r="H104" s="186" t="s">
        <v>3390</v>
      </c>
      <c r="I104" s="173">
        <f t="shared" si="6"/>
        <v>39387</v>
      </c>
      <c r="J104" s="172">
        <f t="shared" si="7"/>
        <v>469274</v>
      </c>
      <c r="K104" s="172" t="str">
        <f t="shared" si="8"/>
        <v>RAGINI AGASHE</v>
      </c>
      <c r="L104" t="str">
        <f t="shared" si="9"/>
        <v>.</v>
      </c>
      <c r="M104">
        <f t="shared" si="10"/>
        <v>35000</v>
      </c>
      <c r="N104" s="172" t="str">
        <f t="shared" si="11"/>
        <v>3,31,295.82Cr</v>
      </c>
    </row>
    <row r="105" spans="1:14">
      <c r="A105" s="177">
        <v>39387</v>
      </c>
      <c r="B105" s="178" t="s">
        <v>3391</v>
      </c>
      <c r="C105" s="178">
        <v>469272</v>
      </c>
      <c r="D105" s="187">
        <v>30000</v>
      </c>
      <c r="E105" s="180" t="s">
        <v>3219</v>
      </c>
      <c r="F105" s="180" t="s">
        <v>3219</v>
      </c>
      <c r="G105" s="180" t="s">
        <v>3219</v>
      </c>
      <c r="H105" s="181" t="s">
        <v>3392</v>
      </c>
      <c r="I105" s="173">
        <f t="shared" si="6"/>
        <v>39387</v>
      </c>
      <c r="J105" s="172">
        <f t="shared" si="7"/>
        <v>469272</v>
      </c>
      <c r="K105" s="172" t="str">
        <f t="shared" si="8"/>
        <v>BIRLA SUNLIFE TAX RELIEF 96</v>
      </c>
      <c r="L105" t="str">
        <f t="shared" si="9"/>
        <v>.</v>
      </c>
      <c r="M105">
        <f t="shared" si="10"/>
        <v>30000</v>
      </c>
      <c r="N105" s="172" t="str">
        <f t="shared" si="11"/>
        <v>3,01,295.82Cr</v>
      </c>
    </row>
    <row r="106" spans="1:14">
      <c r="A106" s="182">
        <v>39387</v>
      </c>
      <c r="B106" s="183" t="s">
        <v>3389</v>
      </c>
      <c r="C106" s="183">
        <v>469273</v>
      </c>
      <c r="D106" s="184">
        <v>34586</v>
      </c>
      <c r="E106" s="185" t="s">
        <v>3219</v>
      </c>
      <c r="F106" s="185" t="s">
        <v>3219</v>
      </c>
      <c r="G106" s="185" t="s">
        <v>3219</v>
      </c>
      <c r="H106" s="186" t="s">
        <v>3393</v>
      </c>
      <c r="I106" s="173">
        <f t="shared" si="6"/>
        <v>39387</v>
      </c>
      <c r="J106" s="172">
        <f t="shared" si="7"/>
        <v>469273</v>
      </c>
      <c r="K106" s="172" t="str">
        <f t="shared" si="8"/>
        <v>RAGINI AGASHE</v>
      </c>
      <c r="L106" t="str">
        <f t="shared" si="9"/>
        <v>.</v>
      </c>
      <c r="M106">
        <f t="shared" si="10"/>
        <v>34586</v>
      </c>
      <c r="N106" s="172" t="str">
        <f t="shared" si="11"/>
        <v>2,66,709.82Cr</v>
      </c>
    </row>
    <row r="107" spans="1:14">
      <c r="A107" s="178" t="s">
        <v>10053</v>
      </c>
      <c r="B107" s="178" t="s">
        <v>3394</v>
      </c>
      <c r="C107" s="179" t="s">
        <v>3219</v>
      </c>
      <c r="D107" s="181">
        <v>500</v>
      </c>
      <c r="E107" s="180" t="s">
        <v>3219</v>
      </c>
      <c r="F107" s="180" t="s">
        <v>3219</v>
      </c>
      <c r="G107" s="180" t="s">
        <v>3219</v>
      </c>
      <c r="H107" s="181" t="s">
        <v>3395</v>
      </c>
      <c r="I107" s="173" t="str">
        <f t="shared" si="6"/>
        <v>15-01-2007</v>
      </c>
      <c r="J107" s="172" t="str">
        <f t="shared" si="7"/>
        <v>.</v>
      </c>
      <c r="K107" s="172" t="str">
        <f t="shared" si="8"/>
        <v>ATM/CASH WDL/20070114091937/0</v>
      </c>
      <c r="L107" t="str">
        <f t="shared" si="9"/>
        <v>.</v>
      </c>
      <c r="M107">
        <f t="shared" si="10"/>
        <v>500</v>
      </c>
      <c r="N107" s="172" t="str">
        <f t="shared" si="11"/>
        <v>2,66,209.82Cr</v>
      </c>
    </row>
    <row r="108" spans="1:14">
      <c r="A108" s="183" t="s">
        <v>10054</v>
      </c>
      <c r="B108" s="183" t="s">
        <v>1473</v>
      </c>
      <c r="C108" s="183">
        <v>469228</v>
      </c>
      <c r="D108" s="184">
        <v>5622</v>
      </c>
      <c r="E108" s="185" t="s">
        <v>3219</v>
      </c>
      <c r="F108" s="185" t="s">
        <v>3219</v>
      </c>
      <c r="G108" s="185" t="s">
        <v>3219</v>
      </c>
      <c r="H108" s="186" t="s">
        <v>3396</v>
      </c>
      <c r="I108" s="173" t="str">
        <f t="shared" si="6"/>
        <v>24-01-2007</v>
      </c>
      <c r="J108" s="172">
        <f t="shared" si="7"/>
        <v>469228</v>
      </c>
      <c r="K108" s="172" t="str">
        <f t="shared" si="8"/>
        <v>LIC OF INDIA</v>
      </c>
      <c r="L108" t="str">
        <f t="shared" si="9"/>
        <v>.</v>
      </c>
      <c r="M108">
        <f t="shared" si="10"/>
        <v>5622</v>
      </c>
      <c r="N108" s="172" t="str">
        <f t="shared" si="11"/>
        <v>2,60,587.82Cr</v>
      </c>
    </row>
    <row r="109" spans="1:14">
      <c r="A109" s="178" t="s">
        <v>10054</v>
      </c>
      <c r="B109" s="178" t="s">
        <v>1473</v>
      </c>
      <c r="C109" s="178">
        <v>469275</v>
      </c>
      <c r="D109" s="187">
        <v>6331</v>
      </c>
      <c r="E109" s="180" t="s">
        <v>3219</v>
      </c>
      <c r="F109" s="180" t="s">
        <v>3219</v>
      </c>
      <c r="G109" s="180" t="s">
        <v>3219</v>
      </c>
      <c r="H109" s="181" t="s">
        <v>3397</v>
      </c>
      <c r="I109" s="173" t="str">
        <f t="shared" si="6"/>
        <v>24-01-2007</v>
      </c>
      <c r="J109" s="172">
        <f t="shared" si="7"/>
        <v>469275</v>
      </c>
      <c r="K109" s="172" t="str">
        <f t="shared" si="8"/>
        <v>LIC OF INDIA</v>
      </c>
      <c r="L109" t="str">
        <f t="shared" si="9"/>
        <v>.</v>
      </c>
      <c r="M109">
        <f t="shared" si="10"/>
        <v>6331</v>
      </c>
      <c r="N109" s="172" t="str">
        <f t="shared" si="11"/>
        <v>2,54,256.82Cr</v>
      </c>
    </row>
    <row r="110" spans="1:14">
      <c r="A110" s="183" t="s">
        <v>10055</v>
      </c>
      <c r="B110" s="183" t="s">
        <v>3398</v>
      </c>
      <c r="C110" s="188" t="s">
        <v>3219</v>
      </c>
      <c r="D110" s="185" t="s">
        <v>3219</v>
      </c>
      <c r="E110" s="184">
        <v>35516</v>
      </c>
      <c r="F110" s="185" t="s">
        <v>3219</v>
      </c>
      <c r="G110" s="185" t="s">
        <v>3219</v>
      </c>
      <c r="H110" s="186" t="s">
        <v>3399</v>
      </c>
      <c r="I110" s="173" t="str">
        <f t="shared" si="6"/>
        <v>25-01-2007</v>
      </c>
      <c r="J110" s="172" t="str">
        <f t="shared" si="7"/>
        <v>.</v>
      </c>
      <c r="K110" s="172" t="str">
        <f t="shared" si="8"/>
        <v>NET SALARY JANUARY 2007</v>
      </c>
      <c r="L110">
        <f t="shared" si="9"/>
        <v>35516</v>
      </c>
      <c r="M110" t="str">
        <f t="shared" si="10"/>
        <v>.</v>
      </c>
      <c r="N110" s="172" t="str">
        <f t="shared" si="11"/>
        <v>2,89,772.82Cr</v>
      </c>
    </row>
    <row r="111" spans="1:14">
      <c r="A111" s="178" t="s">
        <v>10056</v>
      </c>
      <c r="B111" s="178" t="s">
        <v>3400</v>
      </c>
      <c r="C111" s="179" t="s">
        <v>3219</v>
      </c>
      <c r="D111" s="187">
        <v>5000</v>
      </c>
      <c r="E111" s="180" t="s">
        <v>3219</v>
      </c>
      <c r="F111" s="180" t="s">
        <v>3219</v>
      </c>
      <c r="G111" s="180" t="s">
        <v>3219</v>
      </c>
      <c r="H111" s="181" t="s">
        <v>3401</v>
      </c>
      <c r="I111" s="173" t="str">
        <f t="shared" si="6"/>
        <v>27-01-2007</v>
      </c>
      <c r="J111" s="172" t="str">
        <f t="shared" si="7"/>
        <v>.</v>
      </c>
      <c r="K111" s="172" t="str">
        <f t="shared" si="8"/>
        <v>ATM/CASH WDL/20070126101623/0</v>
      </c>
      <c r="L111" t="str">
        <f t="shared" si="9"/>
        <v>.</v>
      </c>
      <c r="M111">
        <f t="shared" si="10"/>
        <v>5000</v>
      </c>
      <c r="N111" s="172" t="str">
        <f t="shared" si="11"/>
        <v>2,84,772.82Cr</v>
      </c>
    </row>
    <row r="112" spans="1:14">
      <c r="A112" s="183" t="s">
        <v>10057</v>
      </c>
      <c r="B112" s="183" t="s">
        <v>3402</v>
      </c>
      <c r="C112" s="188" t="s">
        <v>3219</v>
      </c>
      <c r="D112" s="185" t="s">
        <v>3219</v>
      </c>
      <c r="E112" s="184">
        <v>4520.96</v>
      </c>
      <c r="F112" s="185" t="s">
        <v>3219</v>
      </c>
      <c r="G112" s="185" t="s">
        <v>3219</v>
      </c>
      <c r="H112" s="186" t="s">
        <v>3403</v>
      </c>
      <c r="I112" s="173" t="str">
        <f t="shared" si="6"/>
        <v>29-01-2007</v>
      </c>
      <c r="J112" s="172" t="str">
        <f t="shared" si="7"/>
        <v>.</v>
      </c>
      <c r="K112" s="172" t="str">
        <f t="shared" si="8"/>
        <v>BSL Tax Relief 96 - Div</v>
      </c>
      <c r="L112">
        <f t="shared" si="9"/>
        <v>4520.96</v>
      </c>
      <c r="M112" t="str">
        <f t="shared" si="10"/>
        <v>.</v>
      </c>
      <c r="N112" s="172" t="str">
        <f t="shared" si="11"/>
        <v>2,89,293.78Cr</v>
      </c>
    </row>
    <row r="113" spans="1:14">
      <c r="A113" s="177">
        <v>39084</v>
      </c>
      <c r="B113" s="178" t="s">
        <v>1394</v>
      </c>
      <c r="C113" s="179" t="s">
        <v>3219</v>
      </c>
      <c r="D113" s="180" t="s">
        <v>3219</v>
      </c>
      <c r="E113" s="180" t="s">
        <v>3219</v>
      </c>
      <c r="F113" s="180" t="s">
        <v>3219</v>
      </c>
      <c r="G113" s="180" t="s">
        <v>3219</v>
      </c>
      <c r="H113" s="181" t="s">
        <v>3403</v>
      </c>
      <c r="I113" s="173">
        <f t="shared" si="6"/>
        <v>39084</v>
      </c>
      <c r="J113" s="172" t="str">
        <f t="shared" si="7"/>
        <v>.</v>
      </c>
      <c r="K113" s="172" t="str">
        <f t="shared" si="8"/>
        <v>B/F</v>
      </c>
      <c r="L113" t="str">
        <f t="shared" si="9"/>
        <v>.</v>
      </c>
      <c r="M113" t="str">
        <f t="shared" si="10"/>
        <v>.</v>
      </c>
      <c r="N113" s="172" t="str">
        <f t="shared" si="11"/>
        <v>2,89,293.78Cr</v>
      </c>
    </row>
    <row r="114" spans="1:14">
      <c r="A114" s="182">
        <v>39143</v>
      </c>
      <c r="B114" s="183" t="s">
        <v>3221</v>
      </c>
      <c r="C114" s="183">
        <v>469230</v>
      </c>
      <c r="D114" s="184">
        <v>15232</v>
      </c>
      <c r="E114" s="185" t="s">
        <v>3219</v>
      </c>
      <c r="F114" s="185" t="s">
        <v>3219</v>
      </c>
      <c r="G114" s="185" t="s">
        <v>3219</v>
      </c>
      <c r="H114" s="186" t="s">
        <v>3404</v>
      </c>
      <c r="I114" s="173">
        <f t="shared" si="6"/>
        <v>39143</v>
      </c>
      <c r="J114" s="172">
        <f t="shared" si="7"/>
        <v>469230</v>
      </c>
      <c r="K114" s="172" t="str">
        <f t="shared" si="8"/>
        <v>GRUH FINANCE LTD</v>
      </c>
      <c r="L114" t="str">
        <f t="shared" si="9"/>
        <v>.</v>
      </c>
      <c r="M114">
        <f t="shared" si="10"/>
        <v>15232</v>
      </c>
      <c r="N114" s="172" t="str">
        <f t="shared" si="11"/>
        <v>2,74,061.78Cr</v>
      </c>
    </row>
    <row r="115" spans="1:14">
      <c r="A115" s="177">
        <v>39204</v>
      </c>
      <c r="B115" s="178" t="s">
        <v>3405</v>
      </c>
      <c r="C115" s="178">
        <v>469231</v>
      </c>
      <c r="D115" s="187">
        <v>1320</v>
      </c>
      <c r="E115" s="180" t="s">
        <v>3219</v>
      </c>
      <c r="F115" s="180" t="s">
        <v>3219</v>
      </c>
      <c r="G115" s="180" t="s">
        <v>3219</v>
      </c>
      <c r="H115" s="181" t="s">
        <v>3406</v>
      </c>
      <c r="I115" s="173">
        <f t="shared" si="6"/>
        <v>39204</v>
      </c>
      <c r="J115" s="172">
        <f t="shared" si="7"/>
        <v>469231</v>
      </c>
      <c r="K115" s="172" t="str">
        <f t="shared" si="8"/>
        <v>MAHARASHTRA STATE ELECTRICITY DISTRIBUTE</v>
      </c>
      <c r="L115" t="str">
        <f t="shared" si="9"/>
        <v>.</v>
      </c>
      <c r="M115">
        <f t="shared" si="10"/>
        <v>1320</v>
      </c>
      <c r="N115" s="172" t="str">
        <f t="shared" si="11"/>
        <v>2,72,741.78Cr</v>
      </c>
    </row>
    <row r="116" spans="1:14">
      <c r="A116" s="182">
        <v>39296</v>
      </c>
      <c r="B116" s="183" t="s">
        <v>3374</v>
      </c>
      <c r="C116" s="183">
        <v>469232</v>
      </c>
      <c r="D116" s="186">
        <v>778</v>
      </c>
      <c r="E116" s="185" t="s">
        <v>3219</v>
      </c>
      <c r="F116" s="185" t="s">
        <v>3219</v>
      </c>
      <c r="G116" s="185" t="s">
        <v>3219</v>
      </c>
      <c r="H116" s="186" t="s">
        <v>3407</v>
      </c>
      <c r="I116" s="173">
        <f t="shared" si="6"/>
        <v>39296</v>
      </c>
      <c r="J116" s="172">
        <f t="shared" si="7"/>
        <v>469232</v>
      </c>
      <c r="K116" s="172" t="str">
        <f t="shared" si="8"/>
        <v>TTML 600782972</v>
      </c>
      <c r="L116" t="str">
        <f t="shared" si="9"/>
        <v>.</v>
      </c>
      <c r="M116">
        <f t="shared" si="10"/>
        <v>778</v>
      </c>
      <c r="N116" s="172" t="str">
        <f t="shared" si="11"/>
        <v>2,71,963.78Cr</v>
      </c>
    </row>
    <row r="117" spans="1:14">
      <c r="A117" s="177">
        <v>39418</v>
      </c>
      <c r="B117" s="178" t="s">
        <v>3408</v>
      </c>
      <c r="C117" s="179" t="s">
        <v>3219</v>
      </c>
      <c r="D117" s="187">
        <v>3000</v>
      </c>
      <c r="E117" s="180" t="s">
        <v>3219</v>
      </c>
      <c r="F117" s="180" t="s">
        <v>3219</v>
      </c>
      <c r="G117" s="180" t="s">
        <v>3219</v>
      </c>
      <c r="H117" s="181" t="s">
        <v>3409</v>
      </c>
      <c r="I117" s="173">
        <f t="shared" si="6"/>
        <v>39418</v>
      </c>
      <c r="J117" s="172" t="str">
        <f t="shared" si="7"/>
        <v>.</v>
      </c>
      <c r="K117" s="172" t="str">
        <f t="shared" si="8"/>
        <v>ATM/CASH WDL/20070211202105/0</v>
      </c>
      <c r="L117" t="str">
        <f t="shared" si="9"/>
        <v>.</v>
      </c>
      <c r="M117">
        <f t="shared" si="10"/>
        <v>3000</v>
      </c>
      <c r="N117" s="172" t="str">
        <f t="shared" si="11"/>
        <v>2,68,963.78Cr</v>
      </c>
    </row>
    <row r="118" spans="1:14">
      <c r="A118" s="183" t="s">
        <v>10058</v>
      </c>
      <c r="B118" s="183" t="s">
        <v>3410</v>
      </c>
      <c r="C118" s="183">
        <v>469229</v>
      </c>
      <c r="D118" s="184">
        <v>7724</v>
      </c>
      <c r="E118" s="185" t="s">
        <v>3219</v>
      </c>
      <c r="F118" s="185" t="s">
        <v>3219</v>
      </c>
      <c r="G118" s="185" t="s">
        <v>3219</v>
      </c>
      <c r="H118" s="186" t="s">
        <v>3411</v>
      </c>
      <c r="I118" s="173" t="str">
        <f t="shared" si="6"/>
        <v>13-02-2007</v>
      </c>
      <c r="J118" s="172">
        <f t="shared" si="7"/>
        <v>469229</v>
      </c>
      <c r="K118" s="172" t="str">
        <f t="shared" si="8"/>
        <v>LOK HOUSING &amp; CONSTRUCTION LT</v>
      </c>
      <c r="L118" t="str">
        <f t="shared" si="9"/>
        <v>.</v>
      </c>
      <c r="M118">
        <f t="shared" si="10"/>
        <v>7724</v>
      </c>
      <c r="N118" s="172" t="str">
        <f t="shared" si="11"/>
        <v>2,61,239.78Cr</v>
      </c>
    </row>
    <row r="119" spans="1:14">
      <c r="A119" s="178" t="s">
        <v>10059</v>
      </c>
      <c r="B119" s="178" t="s">
        <v>3412</v>
      </c>
      <c r="C119" s="178">
        <v>469233</v>
      </c>
      <c r="D119" s="187">
        <v>3000</v>
      </c>
      <c r="E119" s="180" t="s">
        <v>3219</v>
      </c>
      <c r="F119" s="180" t="s">
        <v>3219</v>
      </c>
      <c r="G119" s="180" t="s">
        <v>3219</v>
      </c>
      <c r="H119" s="181" t="s">
        <v>3413</v>
      </c>
      <c r="I119" s="173" t="str">
        <f t="shared" si="6"/>
        <v>14-02-2007</v>
      </c>
      <c r="J119" s="172">
        <f t="shared" si="7"/>
        <v>469233</v>
      </c>
      <c r="K119" s="172" t="str">
        <f t="shared" si="8"/>
        <v>STAR VISION CABLE NETWORK</v>
      </c>
      <c r="L119" t="str">
        <f t="shared" si="9"/>
        <v>.</v>
      </c>
      <c r="M119">
        <f t="shared" si="10"/>
        <v>3000</v>
      </c>
      <c r="N119" s="172" t="str">
        <f t="shared" si="11"/>
        <v>2,58,239.78Cr</v>
      </c>
    </row>
    <row r="120" spans="1:14">
      <c r="A120" s="183" t="s">
        <v>10060</v>
      </c>
      <c r="B120" s="183" t="s">
        <v>3414</v>
      </c>
      <c r="C120" s="188" t="s">
        <v>3219</v>
      </c>
      <c r="D120" s="184">
        <v>5000</v>
      </c>
      <c r="E120" s="185" t="s">
        <v>3219</v>
      </c>
      <c r="F120" s="185" t="s">
        <v>3219</v>
      </c>
      <c r="G120" s="185" t="s">
        <v>3219</v>
      </c>
      <c r="H120" s="186" t="s">
        <v>3415</v>
      </c>
      <c r="I120" s="173" t="str">
        <f t="shared" si="6"/>
        <v>22-02-2007</v>
      </c>
      <c r="J120" s="172" t="str">
        <f t="shared" si="7"/>
        <v>.</v>
      </c>
      <c r="K120" s="172" t="str">
        <f t="shared" si="8"/>
        <v>ATM/CASH WDL/20070222222135/0</v>
      </c>
      <c r="L120" t="str">
        <f t="shared" si="9"/>
        <v>.</v>
      </c>
      <c r="M120">
        <f t="shared" si="10"/>
        <v>5000</v>
      </c>
      <c r="N120" s="172" t="str">
        <f t="shared" si="11"/>
        <v>2,53,239.78Cr</v>
      </c>
    </row>
    <row r="121" spans="1:14">
      <c r="A121" s="178" t="s">
        <v>10061</v>
      </c>
      <c r="B121" s="178" t="s">
        <v>3416</v>
      </c>
      <c r="C121" s="179" t="s">
        <v>3219</v>
      </c>
      <c r="D121" s="180" t="s">
        <v>3219</v>
      </c>
      <c r="E121" s="187">
        <v>36756</v>
      </c>
      <c r="F121" s="180" t="s">
        <v>3219</v>
      </c>
      <c r="G121" s="180" t="s">
        <v>3219</v>
      </c>
      <c r="H121" s="181" t="s">
        <v>3417</v>
      </c>
      <c r="I121" s="173" t="str">
        <f t="shared" si="6"/>
        <v>26-02-2007</v>
      </c>
      <c r="J121" s="172" t="str">
        <f t="shared" si="7"/>
        <v>.</v>
      </c>
      <c r="K121" s="172" t="str">
        <f t="shared" si="8"/>
        <v>NET SALARY FEBRUARY 2007</v>
      </c>
      <c r="L121">
        <f t="shared" si="9"/>
        <v>36756</v>
      </c>
      <c r="M121" t="str">
        <f t="shared" si="10"/>
        <v>.</v>
      </c>
      <c r="N121" s="172" t="str">
        <f t="shared" si="11"/>
        <v>2,89,995.78Cr</v>
      </c>
    </row>
    <row r="122" spans="1:14">
      <c r="A122" s="177">
        <v>39085</v>
      </c>
      <c r="B122" s="178" t="s">
        <v>1394</v>
      </c>
      <c r="C122" s="179" t="s">
        <v>3219</v>
      </c>
      <c r="D122" s="180" t="s">
        <v>3219</v>
      </c>
      <c r="E122" s="180" t="s">
        <v>3219</v>
      </c>
      <c r="F122" s="180" t="s">
        <v>3219</v>
      </c>
      <c r="G122" s="180" t="s">
        <v>3219</v>
      </c>
      <c r="H122" s="181" t="s">
        <v>3417</v>
      </c>
      <c r="I122" s="173">
        <f t="shared" si="6"/>
        <v>39085</v>
      </c>
      <c r="J122" s="172" t="str">
        <f t="shared" si="7"/>
        <v>.</v>
      </c>
      <c r="K122" s="172" t="str">
        <f t="shared" si="8"/>
        <v>B/F</v>
      </c>
      <c r="L122" t="str">
        <f t="shared" si="9"/>
        <v>.</v>
      </c>
      <c r="M122" t="str">
        <f t="shared" si="10"/>
        <v>.</v>
      </c>
      <c r="N122" s="172" t="str">
        <f t="shared" si="11"/>
        <v>2,89,995.78Cr</v>
      </c>
    </row>
    <row r="123" spans="1:14">
      <c r="A123" s="182">
        <v>39116</v>
      </c>
      <c r="B123" s="183" t="s">
        <v>3221</v>
      </c>
      <c r="C123" s="183">
        <v>469234</v>
      </c>
      <c r="D123" s="184">
        <v>15232</v>
      </c>
      <c r="E123" s="185" t="s">
        <v>3219</v>
      </c>
      <c r="F123" s="185" t="s">
        <v>3219</v>
      </c>
      <c r="G123" s="185" t="s">
        <v>3219</v>
      </c>
      <c r="H123" s="186" t="s">
        <v>3418</v>
      </c>
      <c r="I123" s="173">
        <f t="shared" si="6"/>
        <v>39116</v>
      </c>
      <c r="J123" s="172">
        <f t="shared" si="7"/>
        <v>469234</v>
      </c>
      <c r="K123" s="172" t="str">
        <f t="shared" si="8"/>
        <v>GRUH FINANCE LTD</v>
      </c>
      <c r="L123" t="str">
        <f t="shared" si="9"/>
        <v>.</v>
      </c>
      <c r="M123">
        <f t="shared" si="10"/>
        <v>15232</v>
      </c>
      <c r="N123" s="172" t="str">
        <f t="shared" si="11"/>
        <v>2,74,763.78Cr</v>
      </c>
    </row>
    <row r="124" spans="1:14">
      <c r="A124" s="177">
        <v>39144</v>
      </c>
      <c r="B124" s="178" t="s">
        <v>3419</v>
      </c>
      <c r="C124" s="178">
        <v>469235</v>
      </c>
      <c r="D124" s="181">
        <v>743</v>
      </c>
      <c r="E124" s="180" t="s">
        <v>3219</v>
      </c>
      <c r="F124" s="180" t="s">
        <v>3219</v>
      </c>
      <c r="G124" s="180" t="s">
        <v>3219</v>
      </c>
      <c r="H124" s="181" t="s">
        <v>3420</v>
      </c>
      <c r="I124" s="173">
        <f t="shared" si="6"/>
        <v>39144</v>
      </c>
      <c r="J124" s="172">
        <f t="shared" si="7"/>
        <v>469235</v>
      </c>
      <c r="K124" s="172" t="str">
        <f t="shared" si="8"/>
        <v>TATA TELESERVICES MAHARASHTRA</v>
      </c>
      <c r="L124" t="str">
        <f t="shared" si="9"/>
        <v>.</v>
      </c>
      <c r="M124">
        <f t="shared" si="10"/>
        <v>743</v>
      </c>
      <c r="N124" s="172" t="str">
        <f t="shared" si="11"/>
        <v>2,74,020.78Cr</v>
      </c>
    </row>
    <row r="125" spans="1:14">
      <c r="A125" s="182">
        <v>39144</v>
      </c>
      <c r="B125" s="183" t="s">
        <v>3421</v>
      </c>
      <c r="C125" s="188" t="s">
        <v>3219</v>
      </c>
      <c r="D125" s="185" t="s">
        <v>3219</v>
      </c>
      <c r="E125" s="184">
        <v>5230</v>
      </c>
      <c r="F125" s="185" t="s">
        <v>3219</v>
      </c>
      <c r="G125" s="185" t="s">
        <v>3219</v>
      </c>
      <c r="H125" s="186" t="s">
        <v>3422</v>
      </c>
      <c r="I125" s="173">
        <f t="shared" si="6"/>
        <v>39144</v>
      </c>
      <c r="J125" s="172" t="str">
        <f t="shared" si="7"/>
        <v>.</v>
      </c>
      <c r="K125" s="172" t="str">
        <f t="shared" si="8"/>
        <v>000401043279:Int.Pd:01-09-2006 to 28-02-2007</v>
      </c>
      <c r="L125">
        <f t="shared" si="9"/>
        <v>5230</v>
      </c>
      <c r="M125" t="str">
        <f t="shared" si="10"/>
        <v>.</v>
      </c>
      <c r="N125" s="172" t="str">
        <f t="shared" si="11"/>
        <v>2,79,250.78Cr</v>
      </c>
    </row>
    <row r="126" spans="1:14">
      <c r="A126" s="177">
        <v>39236</v>
      </c>
      <c r="B126" s="178" t="s">
        <v>3221</v>
      </c>
      <c r="C126" s="178">
        <v>469236</v>
      </c>
      <c r="D126" s="187">
        <v>30674</v>
      </c>
      <c r="E126" s="180" t="s">
        <v>3219</v>
      </c>
      <c r="F126" s="180" t="s">
        <v>3219</v>
      </c>
      <c r="G126" s="180" t="s">
        <v>3219</v>
      </c>
      <c r="H126" s="181" t="s">
        <v>3423</v>
      </c>
      <c r="I126" s="173">
        <f t="shared" si="6"/>
        <v>39236</v>
      </c>
      <c r="J126" s="172">
        <f t="shared" si="7"/>
        <v>469236</v>
      </c>
      <c r="K126" s="172" t="str">
        <f t="shared" si="8"/>
        <v>GRUH FINANCE LTD</v>
      </c>
      <c r="L126" t="str">
        <f t="shared" si="9"/>
        <v>.</v>
      </c>
      <c r="M126">
        <f t="shared" si="10"/>
        <v>30674</v>
      </c>
      <c r="N126" s="172" t="str">
        <f t="shared" si="11"/>
        <v>2,48,576.78Cr</v>
      </c>
    </row>
    <row r="127" spans="1:14">
      <c r="A127" s="182">
        <v>39297</v>
      </c>
      <c r="B127" s="183" t="s">
        <v>3424</v>
      </c>
      <c r="C127" s="183">
        <v>469237</v>
      </c>
      <c r="D127" s="184">
        <v>1210</v>
      </c>
      <c r="E127" s="185" t="s">
        <v>3219</v>
      </c>
      <c r="F127" s="185" t="s">
        <v>3219</v>
      </c>
      <c r="G127" s="185" t="s">
        <v>3219</v>
      </c>
      <c r="H127" s="186" t="s">
        <v>3425</v>
      </c>
      <c r="I127" s="173">
        <f t="shared" si="6"/>
        <v>39297</v>
      </c>
      <c r="J127" s="172">
        <f t="shared" si="7"/>
        <v>469237</v>
      </c>
      <c r="K127" s="172" t="str">
        <f t="shared" si="8"/>
        <v>M S E D CO LTD</v>
      </c>
      <c r="L127" t="str">
        <f t="shared" si="9"/>
        <v>.</v>
      </c>
      <c r="M127">
        <f t="shared" si="10"/>
        <v>1210</v>
      </c>
      <c r="N127" s="172" t="str">
        <f t="shared" si="11"/>
        <v>2,47,366.78Cr</v>
      </c>
    </row>
    <row r="128" spans="1:14">
      <c r="A128" s="177">
        <v>39419</v>
      </c>
      <c r="B128" s="178" t="s">
        <v>3426</v>
      </c>
      <c r="C128" s="179" t="s">
        <v>3219</v>
      </c>
      <c r="D128" s="180" t="s">
        <v>3219</v>
      </c>
      <c r="E128" s="187">
        <v>31650</v>
      </c>
      <c r="F128" s="180" t="s">
        <v>3219</v>
      </c>
      <c r="G128" s="180" t="s">
        <v>3219</v>
      </c>
      <c r="H128" s="181" t="s">
        <v>3427</v>
      </c>
      <c r="I128" s="173">
        <f t="shared" si="6"/>
        <v>39419</v>
      </c>
      <c r="J128" s="172" t="str">
        <f t="shared" si="7"/>
        <v>.</v>
      </c>
      <c r="K128" s="172" t="str">
        <f t="shared" si="8"/>
        <v>096285 IDBI BANK LTD.</v>
      </c>
      <c r="L128">
        <f t="shared" si="9"/>
        <v>31650</v>
      </c>
      <c r="M128" t="str">
        <f t="shared" si="10"/>
        <v>.</v>
      </c>
      <c r="N128" s="172" t="str">
        <f t="shared" si="11"/>
        <v>2,79,016.78Cr</v>
      </c>
    </row>
    <row r="129" spans="1:14">
      <c r="A129" s="182">
        <v>39419</v>
      </c>
      <c r="B129" s="183" t="s">
        <v>3428</v>
      </c>
      <c r="C129" s="188" t="s">
        <v>3219</v>
      </c>
      <c r="D129" s="185" t="s">
        <v>3219</v>
      </c>
      <c r="E129" s="184">
        <v>10550</v>
      </c>
      <c r="F129" s="185" t="s">
        <v>3219</v>
      </c>
      <c r="G129" s="185" t="s">
        <v>3219</v>
      </c>
      <c r="H129" s="186" t="s">
        <v>3429</v>
      </c>
      <c r="I129" s="173">
        <f t="shared" si="6"/>
        <v>39419</v>
      </c>
      <c r="J129" s="172" t="str">
        <f t="shared" si="7"/>
        <v>.</v>
      </c>
      <c r="K129" s="172" t="str">
        <f t="shared" si="8"/>
        <v>096337 IDBI BANK LTD.</v>
      </c>
      <c r="L129">
        <f t="shared" si="9"/>
        <v>10550</v>
      </c>
      <c r="M129" t="str">
        <f t="shared" si="10"/>
        <v>.</v>
      </c>
      <c r="N129" s="172" t="str">
        <f t="shared" si="11"/>
        <v>2,89,566.78Cr</v>
      </c>
    </row>
    <row r="130" spans="1:14">
      <c r="A130" s="178" t="s">
        <v>10062</v>
      </c>
      <c r="B130" s="178" t="s">
        <v>3241</v>
      </c>
      <c r="C130" s="179" t="s">
        <v>3219</v>
      </c>
      <c r="D130" s="180" t="s">
        <v>3219</v>
      </c>
      <c r="E130" s="187">
        <v>2100</v>
      </c>
      <c r="F130" s="180" t="s">
        <v>3219</v>
      </c>
      <c r="G130" s="180" t="s">
        <v>3219</v>
      </c>
      <c r="H130" s="181" t="s">
        <v>3430</v>
      </c>
      <c r="I130" s="173" t="str">
        <f t="shared" si="6"/>
        <v>15-03-2007</v>
      </c>
      <c r="J130" s="172" t="str">
        <f t="shared" si="7"/>
        <v>.</v>
      </c>
      <c r="K130" s="172" t="str">
        <f t="shared" si="8"/>
        <v>INT. ON ICICI BONDS 5016291914</v>
      </c>
      <c r="L130">
        <f t="shared" si="9"/>
        <v>2100</v>
      </c>
      <c r="M130" t="str">
        <f t="shared" si="10"/>
        <v>.</v>
      </c>
      <c r="N130" s="172" t="str">
        <f t="shared" si="11"/>
        <v>2,91,666.78Cr</v>
      </c>
    </row>
    <row r="131" spans="1:14">
      <c r="A131" s="183" t="s">
        <v>10063</v>
      </c>
      <c r="B131" s="183" t="s">
        <v>3431</v>
      </c>
      <c r="C131" s="188" t="s">
        <v>3219</v>
      </c>
      <c r="D131" s="184">
        <v>8000</v>
      </c>
      <c r="E131" s="185" t="s">
        <v>3219</v>
      </c>
      <c r="F131" s="185" t="s">
        <v>3219</v>
      </c>
      <c r="G131" s="185" t="s">
        <v>3219</v>
      </c>
      <c r="H131" s="186" t="s">
        <v>3432</v>
      </c>
      <c r="I131" s="173" t="str">
        <f t="shared" ref="I131:I194" si="12">A131</f>
        <v>16-03-2007</v>
      </c>
      <c r="J131" s="172" t="str">
        <f t="shared" ref="J131:J194" si="13">C131</f>
        <v>.</v>
      </c>
      <c r="K131" s="172" t="str">
        <f t="shared" ref="K131:K194" si="14">B131</f>
        <v>ATM/CASH WDL/20070316094645/0</v>
      </c>
      <c r="L131" t="str">
        <f t="shared" ref="L131:L194" si="15">E131</f>
        <v>.</v>
      </c>
      <c r="M131">
        <f t="shared" ref="M131:M194" si="16">D131</f>
        <v>8000</v>
      </c>
      <c r="N131" s="172" t="str">
        <f t="shared" ref="N131:N194" si="17">H131</f>
        <v>2,83,666.78Cr</v>
      </c>
    </row>
    <row r="132" spans="1:14">
      <c r="A132" s="178" t="s">
        <v>10064</v>
      </c>
      <c r="B132" s="178" t="s">
        <v>3433</v>
      </c>
      <c r="C132" s="178">
        <v>469238</v>
      </c>
      <c r="D132" s="187">
        <v>2025</v>
      </c>
      <c r="E132" s="180" t="s">
        <v>3219</v>
      </c>
      <c r="F132" s="180" t="s">
        <v>3219</v>
      </c>
      <c r="G132" s="180" t="s">
        <v>3219</v>
      </c>
      <c r="H132" s="181" t="s">
        <v>3434</v>
      </c>
      <c r="I132" s="173" t="str">
        <f t="shared" si="12"/>
        <v>23-03-2007</v>
      </c>
      <c r="J132" s="172">
        <f t="shared" si="13"/>
        <v>469238</v>
      </c>
      <c r="K132" s="172" t="str">
        <f t="shared" si="14"/>
        <v>BULK TRANSFERS - INW CLG</v>
      </c>
      <c r="L132" t="str">
        <f t="shared" si="15"/>
        <v>.</v>
      </c>
      <c r="M132">
        <f t="shared" si="16"/>
        <v>2025</v>
      </c>
      <c r="N132" s="172" t="str">
        <f t="shared" si="17"/>
        <v>2,81,641.78Cr</v>
      </c>
    </row>
    <row r="133" spans="1:14">
      <c r="A133" s="183" t="s">
        <v>10065</v>
      </c>
      <c r="B133" s="183" t="s">
        <v>3435</v>
      </c>
      <c r="C133" s="188" t="s">
        <v>3219</v>
      </c>
      <c r="D133" s="186">
        <v>505.08</v>
      </c>
      <c r="E133" s="185" t="s">
        <v>3219</v>
      </c>
      <c r="F133" s="185" t="s">
        <v>3219</v>
      </c>
      <c r="G133" s="185" t="s">
        <v>3219</v>
      </c>
      <c r="H133" s="186" t="s">
        <v>3436</v>
      </c>
      <c r="I133" s="173" t="str">
        <f t="shared" si="12"/>
        <v>26-03-2007</v>
      </c>
      <c r="J133" s="172" t="str">
        <f t="shared" si="13"/>
        <v>.</v>
      </c>
      <c r="K133" s="172" t="str">
        <f t="shared" si="14"/>
        <v>50459203 DP CHGS TILL FEB_2007</v>
      </c>
      <c r="L133" t="str">
        <f t="shared" si="15"/>
        <v>.</v>
      </c>
      <c r="M133">
        <f t="shared" si="16"/>
        <v>505.08</v>
      </c>
      <c r="N133" s="172" t="str">
        <f t="shared" si="17"/>
        <v>2,81,136.70Cr</v>
      </c>
    </row>
    <row r="134" spans="1:14">
      <c r="A134" s="178" t="s">
        <v>10065</v>
      </c>
      <c r="B134" s="178" t="s">
        <v>3437</v>
      </c>
      <c r="C134" s="179" t="s">
        <v>3219</v>
      </c>
      <c r="D134" s="180" t="s">
        <v>3219</v>
      </c>
      <c r="E134" s="187">
        <v>91944</v>
      </c>
      <c r="F134" s="180" t="s">
        <v>3219</v>
      </c>
      <c r="G134" s="180" t="s">
        <v>3219</v>
      </c>
      <c r="H134" s="181" t="s">
        <v>3438</v>
      </c>
      <c r="I134" s="173" t="str">
        <f t="shared" si="12"/>
        <v>26-03-2007</v>
      </c>
      <c r="J134" s="172" t="str">
        <f t="shared" si="13"/>
        <v>.</v>
      </c>
      <c r="K134" s="172" t="str">
        <f t="shared" si="14"/>
        <v>NET SALARY MARCH 2007</v>
      </c>
      <c r="L134">
        <f t="shared" si="15"/>
        <v>91944</v>
      </c>
      <c r="M134" t="str">
        <f t="shared" si="16"/>
        <v>.</v>
      </c>
      <c r="N134" s="172" t="str">
        <f t="shared" si="17"/>
        <v>3,73,080.70Cr</v>
      </c>
    </row>
    <row r="135" spans="1:14">
      <c r="A135" s="183" t="s">
        <v>10066</v>
      </c>
      <c r="B135" s="183" t="s">
        <v>3439</v>
      </c>
      <c r="C135" s="188" t="s">
        <v>3219</v>
      </c>
      <c r="D135" s="185" t="s">
        <v>3219</v>
      </c>
      <c r="E135" s="184">
        <v>8694.15</v>
      </c>
      <c r="F135" s="185" t="s">
        <v>3219</v>
      </c>
      <c r="G135" s="185" t="s">
        <v>3219</v>
      </c>
      <c r="H135" s="186" t="s">
        <v>3440</v>
      </c>
      <c r="I135" s="173" t="str">
        <f t="shared" si="12"/>
        <v>30-03-2007</v>
      </c>
      <c r="J135" s="172" t="str">
        <f t="shared" si="13"/>
        <v>.</v>
      </c>
      <c r="K135" s="172" t="str">
        <f t="shared" si="14"/>
        <v>BSL Tax Relief '96 Fund - Div</v>
      </c>
      <c r="L135">
        <f t="shared" si="15"/>
        <v>8694.15</v>
      </c>
      <c r="M135" t="str">
        <f t="shared" si="16"/>
        <v>.</v>
      </c>
      <c r="N135" s="172" t="str">
        <f t="shared" si="17"/>
        <v>3,81,774.85Cr</v>
      </c>
    </row>
    <row r="136" spans="1:14">
      <c r="A136" s="178" t="s">
        <v>10067</v>
      </c>
      <c r="B136" s="178" t="s">
        <v>3221</v>
      </c>
      <c r="C136" s="178">
        <v>469239</v>
      </c>
      <c r="D136" s="187">
        <v>15169</v>
      </c>
      <c r="E136" s="180" t="s">
        <v>3219</v>
      </c>
      <c r="F136" s="180" t="s">
        <v>3219</v>
      </c>
      <c r="G136" s="180" t="s">
        <v>3219</v>
      </c>
      <c r="H136" s="181" t="s">
        <v>3441</v>
      </c>
      <c r="I136" s="173" t="str">
        <f t="shared" si="12"/>
        <v>31-03-2007</v>
      </c>
      <c r="J136" s="172">
        <f t="shared" si="13"/>
        <v>469239</v>
      </c>
      <c r="K136" s="172" t="str">
        <f t="shared" si="14"/>
        <v>GRUH FINANCE LTD</v>
      </c>
      <c r="L136" t="str">
        <f t="shared" si="15"/>
        <v>.</v>
      </c>
      <c r="M136">
        <f t="shared" si="16"/>
        <v>15169</v>
      </c>
      <c r="N136" s="172" t="str">
        <f t="shared" si="17"/>
        <v>3,66,605.85Cr</v>
      </c>
    </row>
    <row r="137" spans="1:14">
      <c r="A137" s="177">
        <v>39086</v>
      </c>
      <c r="B137" s="178" t="s">
        <v>1394</v>
      </c>
      <c r="C137" s="179" t="s">
        <v>3219</v>
      </c>
      <c r="D137" s="180" t="s">
        <v>3219</v>
      </c>
      <c r="E137" s="180" t="s">
        <v>3219</v>
      </c>
      <c r="F137" s="180" t="s">
        <v>3219</v>
      </c>
      <c r="G137" s="180" t="s">
        <v>3219</v>
      </c>
      <c r="H137" s="181" t="s">
        <v>3441</v>
      </c>
      <c r="I137" s="173">
        <f t="shared" si="12"/>
        <v>39086</v>
      </c>
      <c r="J137" s="172" t="str">
        <f t="shared" si="13"/>
        <v>.</v>
      </c>
      <c r="K137" s="172" t="str">
        <f t="shared" si="14"/>
        <v>B/F</v>
      </c>
      <c r="L137" t="str">
        <f t="shared" si="15"/>
        <v>.</v>
      </c>
      <c r="M137" t="str">
        <f t="shared" si="16"/>
        <v>.</v>
      </c>
      <c r="N137" s="172" t="str">
        <f t="shared" si="17"/>
        <v>3,66,605.85Cr</v>
      </c>
    </row>
    <row r="138" spans="1:14">
      <c r="A138" s="182">
        <v>39145</v>
      </c>
      <c r="B138" s="183" t="s">
        <v>3442</v>
      </c>
      <c r="C138" s="188" t="s">
        <v>3219</v>
      </c>
      <c r="D138" s="184">
        <v>1000</v>
      </c>
      <c r="E138" s="185" t="s">
        <v>3219</v>
      </c>
      <c r="F138" s="185" t="s">
        <v>3219</v>
      </c>
      <c r="G138" s="185" t="s">
        <v>3219</v>
      </c>
      <c r="H138" s="186" t="s">
        <v>3443</v>
      </c>
      <c r="I138" s="173">
        <f t="shared" si="12"/>
        <v>39145</v>
      </c>
      <c r="J138" s="172" t="str">
        <f t="shared" si="13"/>
        <v>.</v>
      </c>
      <c r="K138" s="172" t="str">
        <f t="shared" si="14"/>
        <v>ATM/CASH WDL/20070401132231/0</v>
      </c>
      <c r="L138" t="str">
        <f t="shared" si="15"/>
        <v>.</v>
      </c>
      <c r="M138">
        <f t="shared" si="16"/>
        <v>1000</v>
      </c>
      <c r="N138" s="172" t="str">
        <f t="shared" si="17"/>
        <v>3,65,605.85Cr</v>
      </c>
    </row>
    <row r="139" spans="1:14">
      <c r="A139" s="177">
        <v>39176</v>
      </c>
      <c r="B139" s="178" t="s">
        <v>3229</v>
      </c>
      <c r="C139" s="178">
        <v>469241</v>
      </c>
      <c r="D139" s="181">
        <v>733</v>
      </c>
      <c r="E139" s="180" t="s">
        <v>3219</v>
      </c>
      <c r="F139" s="180" t="s">
        <v>3219</v>
      </c>
      <c r="G139" s="180" t="s">
        <v>3219</v>
      </c>
      <c r="H139" s="181" t="s">
        <v>3444</v>
      </c>
      <c r="I139" s="173">
        <f t="shared" si="12"/>
        <v>39176</v>
      </c>
      <c r="J139" s="172">
        <f t="shared" si="13"/>
        <v>469241</v>
      </c>
      <c r="K139" s="172" t="str">
        <f t="shared" si="14"/>
        <v>TTML</v>
      </c>
      <c r="L139" t="str">
        <f t="shared" si="15"/>
        <v>.</v>
      </c>
      <c r="M139">
        <f t="shared" si="16"/>
        <v>733</v>
      </c>
      <c r="N139" s="172" t="str">
        <f t="shared" si="17"/>
        <v>3,64,872.85Cr</v>
      </c>
    </row>
    <row r="140" spans="1:14">
      <c r="A140" s="182">
        <v>39206</v>
      </c>
      <c r="B140" s="183" t="s">
        <v>3221</v>
      </c>
      <c r="C140" s="183">
        <v>469240</v>
      </c>
      <c r="D140" s="186" t="s">
        <v>10846</v>
      </c>
      <c r="E140" s="185" t="s">
        <v>3219</v>
      </c>
      <c r="F140" s="185" t="s">
        <v>3219</v>
      </c>
      <c r="G140" s="185" t="s">
        <v>3219</v>
      </c>
      <c r="H140" s="186" t="s">
        <v>3445</v>
      </c>
      <c r="I140" s="173">
        <f t="shared" si="12"/>
        <v>39206</v>
      </c>
      <c r="J140" s="172">
        <f t="shared" si="13"/>
        <v>469240</v>
      </c>
      <c r="K140" s="172" t="str">
        <f t="shared" si="14"/>
        <v>GRUH FINANCE LTD</v>
      </c>
      <c r="L140" t="str">
        <f t="shared" si="15"/>
        <v>.</v>
      </c>
      <c r="M140" t="str">
        <f t="shared" si="16"/>
        <v>1,02,245.00</v>
      </c>
      <c r="N140" s="172" t="str">
        <f t="shared" si="17"/>
        <v>2,62,627.85Cr</v>
      </c>
    </row>
    <row r="141" spans="1:14">
      <c r="A141" s="177">
        <v>39329</v>
      </c>
      <c r="B141" s="178" t="s">
        <v>3446</v>
      </c>
      <c r="C141" s="179" t="s">
        <v>3219</v>
      </c>
      <c r="D141" s="187">
        <v>5000</v>
      </c>
      <c r="E141" s="180" t="s">
        <v>3219</v>
      </c>
      <c r="F141" s="180" t="s">
        <v>3219</v>
      </c>
      <c r="G141" s="180" t="s">
        <v>3219</v>
      </c>
      <c r="H141" s="181" t="s">
        <v>3447</v>
      </c>
      <c r="I141" s="173">
        <f t="shared" si="12"/>
        <v>39329</v>
      </c>
      <c r="J141" s="172" t="str">
        <f t="shared" si="13"/>
        <v>.</v>
      </c>
      <c r="K141" s="172" t="str">
        <f t="shared" si="14"/>
        <v>ATM/CASH WDL/20070408175438/0</v>
      </c>
      <c r="L141" t="str">
        <f t="shared" si="15"/>
        <v>.</v>
      </c>
      <c r="M141">
        <f t="shared" si="16"/>
        <v>5000</v>
      </c>
      <c r="N141" s="172" t="str">
        <f t="shared" si="17"/>
        <v>2,57,627.85Cr</v>
      </c>
    </row>
    <row r="142" spans="1:14">
      <c r="A142" s="182">
        <v>39359</v>
      </c>
      <c r="B142" s="183" t="s">
        <v>3365</v>
      </c>
      <c r="C142" s="183">
        <v>469242</v>
      </c>
      <c r="D142" s="184">
        <v>1050</v>
      </c>
      <c r="E142" s="185" t="s">
        <v>3219</v>
      </c>
      <c r="F142" s="185" t="s">
        <v>3219</v>
      </c>
      <c r="G142" s="185" t="s">
        <v>3219</v>
      </c>
      <c r="H142" s="186" t="s">
        <v>3448</v>
      </c>
      <c r="I142" s="173">
        <f t="shared" si="12"/>
        <v>39359</v>
      </c>
      <c r="J142" s="172">
        <f t="shared" si="13"/>
        <v>469242</v>
      </c>
      <c r="K142" s="172" t="str">
        <f t="shared" si="14"/>
        <v>INWARD CLEARING ZONE-7</v>
      </c>
      <c r="L142" t="str">
        <f t="shared" si="15"/>
        <v>.</v>
      </c>
      <c r="M142">
        <f t="shared" si="16"/>
        <v>1050</v>
      </c>
      <c r="N142" s="172" t="str">
        <f t="shared" si="17"/>
        <v>2,56,577.85Cr</v>
      </c>
    </row>
    <row r="143" spans="1:14">
      <c r="A143" s="178" t="s">
        <v>10847</v>
      </c>
      <c r="B143" s="178" t="s">
        <v>3449</v>
      </c>
      <c r="C143" s="179" t="s">
        <v>3219</v>
      </c>
      <c r="D143" s="181">
        <v>400</v>
      </c>
      <c r="E143" s="180" t="s">
        <v>3219</v>
      </c>
      <c r="F143" s="180" t="s">
        <v>3219</v>
      </c>
      <c r="G143" s="180" t="s">
        <v>3219</v>
      </c>
      <c r="H143" s="181" t="s">
        <v>3450</v>
      </c>
      <c r="I143" s="173" t="str">
        <f t="shared" si="12"/>
        <v>28-04-2007</v>
      </c>
      <c r="J143" s="172" t="str">
        <f t="shared" si="13"/>
        <v>.</v>
      </c>
      <c r="K143" s="172" t="str">
        <f t="shared" si="14"/>
        <v>ATM/CASH WDL/20070428122155/0</v>
      </c>
      <c r="L143" t="str">
        <f t="shared" si="15"/>
        <v>.</v>
      </c>
      <c r="M143">
        <f t="shared" si="16"/>
        <v>400</v>
      </c>
      <c r="N143" s="172" t="str">
        <f t="shared" si="17"/>
        <v>2,56,177.85Cr</v>
      </c>
    </row>
    <row r="144" spans="1:14">
      <c r="A144" s="183" t="s">
        <v>10848</v>
      </c>
      <c r="B144" s="183" t="s">
        <v>3451</v>
      </c>
      <c r="C144" s="188" t="s">
        <v>3219</v>
      </c>
      <c r="D144" s="185" t="s">
        <v>3219</v>
      </c>
      <c r="E144" s="186" t="s">
        <v>10849</v>
      </c>
      <c r="F144" s="185" t="s">
        <v>3219</v>
      </c>
      <c r="G144" s="185" t="s">
        <v>3219</v>
      </c>
      <c r="H144" s="186" t="s">
        <v>3452</v>
      </c>
      <c r="I144" s="173" t="str">
        <f t="shared" si="12"/>
        <v>30-04-2007</v>
      </c>
      <c r="J144" s="172" t="str">
        <f t="shared" si="13"/>
        <v>.</v>
      </c>
      <c r="K144" s="172" t="str">
        <f t="shared" si="14"/>
        <v>NET SALARY APRIL 2007</v>
      </c>
      <c r="L144" t="str">
        <f t="shared" si="15"/>
        <v>2,01,763.00</v>
      </c>
      <c r="M144" t="str">
        <f t="shared" si="16"/>
        <v>.</v>
      </c>
      <c r="N144" s="172" t="str">
        <f t="shared" si="17"/>
        <v>4,57,940.85Cr</v>
      </c>
    </row>
    <row r="145" spans="1:14">
      <c r="A145" s="177">
        <v>39087</v>
      </c>
      <c r="B145" s="178" t="s">
        <v>1394</v>
      </c>
      <c r="C145" s="179" t="s">
        <v>3219</v>
      </c>
      <c r="D145" s="180" t="s">
        <v>3219</v>
      </c>
      <c r="E145" s="180" t="s">
        <v>3219</v>
      </c>
      <c r="F145" s="180" t="s">
        <v>3219</v>
      </c>
      <c r="G145" s="180" t="s">
        <v>3219</v>
      </c>
      <c r="H145" s="181" t="s">
        <v>3452</v>
      </c>
      <c r="I145" s="173">
        <f t="shared" si="12"/>
        <v>39087</v>
      </c>
      <c r="J145" s="172" t="str">
        <f t="shared" si="13"/>
        <v>.</v>
      </c>
      <c r="K145" s="172" t="str">
        <f t="shared" si="14"/>
        <v>B/F</v>
      </c>
      <c r="L145" t="str">
        <f t="shared" si="15"/>
        <v>.</v>
      </c>
      <c r="M145" t="str">
        <f t="shared" si="16"/>
        <v>.</v>
      </c>
      <c r="N145" s="172" t="str">
        <f t="shared" si="17"/>
        <v>4,57,940.85Cr</v>
      </c>
    </row>
    <row r="146" spans="1:14">
      <c r="A146" s="182">
        <v>39146</v>
      </c>
      <c r="B146" s="183" t="s">
        <v>3453</v>
      </c>
      <c r="C146" s="183">
        <v>469244</v>
      </c>
      <c r="D146" s="184">
        <v>4675.03</v>
      </c>
      <c r="E146" s="185" t="s">
        <v>3219</v>
      </c>
      <c r="F146" s="185" t="s">
        <v>3219</v>
      </c>
      <c r="G146" s="185" t="s">
        <v>3219</v>
      </c>
      <c r="H146" s="186" t="s">
        <v>3454</v>
      </c>
      <c r="I146" s="173">
        <f t="shared" si="12"/>
        <v>39146</v>
      </c>
      <c r="J146" s="172">
        <f t="shared" si="13"/>
        <v>469244</v>
      </c>
      <c r="K146" s="172" t="str">
        <f t="shared" si="14"/>
        <v>ICICI CC 4864093103226009</v>
      </c>
      <c r="L146" t="str">
        <f t="shared" si="15"/>
        <v>.</v>
      </c>
      <c r="M146">
        <f t="shared" si="16"/>
        <v>4675.03</v>
      </c>
      <c r="N146" s="172" t="str">
        <f t="shared" si="17"/>
        <v>4,53,265.82Cr</v>
      </c>
    </row>
    <row r="147" spans="1:14">
      <c r="A147" s="177">
        <v>39207</v>
      </c>
      <c r="B147" s="178" t="s">
        <v>3221</v>
      </c>
      <c r="C147" s="178">
        <v>469247</v>
      </c>
      <c r="D147" s="181" t="s">
        <v>10846</v>
      </c>
      <c r="E147" s="180" t="s">
        <v>3219</v>
      </c>
      <c r="F147" s="180" t="s">
        <v>3219</v>
      </c>
      <c r="G147" s="180" t="s">
        <v>3219</v>
      </c>
      <c r="H147" s="181" t="s">
        <v>3455</v>
      </c>
      <c r="I147" s="173">
        <f t="shared" si="12"/>
        <v>39207</v>
      </c>
      <c r="J147" s="172">
        <f t="shared" si="13"/>
        <v>469247</v>
      </c>
      <c r="K147" s="172" t="str">
        <f t="shared" si="14"/>
        <v>GRUH FINANCE LTD</v>
      </c>
      <c r="L147" t="str">
        <f t="shared" si="15"/>
        <v>.</v>
      </c>
      <c r="M147" t="str">
        <f t="shared" si="16"/>
        <v>1,02,245.00</v>
      </c>
      <c r="N147" s="172" t="str">
        <f t="shared" si="17"/>
        <v>3,51,020.82Cr</v>
      </c>
    </row>
    <row r="148" spans="1:14">
      <c r="A148" s="182">
        <v>39207</v>
      </c>
      <c r="B148" s="183" t="s">
        <v>3229</v>
      </c>
      <c r="C148" s="183">
        <v>469249</v>
      </c>
      <c r="D148" s="186">
        <v>732</v>
      </c>
      <c r="E148" s="185" t="s">
        <v>3219</v>
      </c>
      <c r="F148" s="185" t="s">
        <v>3219</v>
      </c>
      <c r="G148" s="185" t="s">
        <v>3219</v>
      </c>
      <c r="H148" s="186" t="s">
        <v>3456</v>
      </c>
      <c r="I148" s="173">
        <f t="shared" si="12"/>
        <v>39207</v>
      </c>
      <c r="J148" s="172">
        <f t="shared" si="13"/>
        <v>469249</v>
      </c>
      <c r="K148" s="172" t="str">
        <f t="shared" si="14"/>
        <v>TTML</v>
      </c>
      <c r="L148" t="str">
        <f t="shared" si="15"/>
        <v>.</v>
      </c>
      <c r="M148">
        <f t="shared" si="16"/>
        <v>732</v>
      </c>
      <c r="N148" s="172" t="str">
        <f t="shared" si="17"/>
        <v>3,50,288.82Cr</v>
      </c>
    </row>
    <row r="149" spans="1:14">
      <c r="A149" s="177">
        <v>39207</v>
      </c>
      <c r="B149" s="178" t="s">
        <v>1473</v>
      </c>
      <c r="C149" s="178">
        <v>469245</v>
      </c>
      <c r="D149" s="187">
        <v>6331</v>
      </c>
      <c r="E149" s="180" t="s">
        <v>3219</v>
      </c>
      <c r="F149" s="180" t="s">
        <v>3219</v>
      </c>
      <c r="G149" s="180" t="s">
        <v>3219</v>
      </c>
      <c r="H149" s="181" t="s">
        <v>3457</v>
      </c>
      <c r="I149" s="173">
        <f t="shared" si="12"/>
        <v>39207</v>
      </c>
      <c r="J149" s="172">
        <f t="shared" si="13"/>
        <v>469245</v>
      </c>
      <c r="K149" s="172" t="str">
        <f t="shared" si="14"/>
        <v>LIC OF INDIA</v>
      </c>
      <c r="L149" t="str">
        <f t="shared" si="15"/>
        <v>.</v>
      </c>
      <c r="M149">
        <f t="shared" si="16"/>
        <v>6331</v>
      </c>
      <c r="N149" s="172" t="str">
        <f t="shared" si="17"/>
        <v>3,43,957.82Cr</v>
      </c>
    </row>
    <row r="150" spans="1:14">
      <c r="A150" s="182">
        <v>39207</v>
      </c>
      <c r="B150" s="183" t="s">
        <v>3221</v>
      </c>
      <c r="C150" s="183">
        <v>469246</v>
      </c>
      <c r="D150" s="184">
        <v>14443</v>
      </c>
      <c r="E150" s="185" t="s">
        <v>3219</v>
      </c>
      <c r="F150" s="185" t="s">
        <v>3219</v>
      </c>
      <c r="G150" s="185" t="s">
        <v>3219</v>
      </c>
      <c r="H150" s="186" t="s">
        <v>3458</v>
      </c>
      <c r="I150" s="173">
        <f t="shared" si="12"/>
        <v>39207</v>
      </c>
      <c r="J150" s="172">
        <f t="shared" si="13"/>
        <v>469246</v>
      </c>
      <c r="K150" s="172" t="str">
        <f t="shared" si="14"/>
        <v>GRUH FINANCE LTD</v>
      </c>
      <c r="L150" t="str">
        <f t="shared" si="15"/>
        <v>.</v>
      </c>
      <c r="M150">
        <f t="shared" si="16"/>
        <v>14443</v>
      </c>
      <c r="N150" s="172" t="str">
        <f t="shared" si="17"/>
        <v>3,29,514.82Cr</v>
      </c>
    </row>
    <row r="151" spans="1:14">
      <c r="A151" s="177">
        <v>39268</v>
      </c>
      <c r="B151" s="178" t="s">
        <v>3385</v>
      </c>
      <c r="C151" s="178">
        <v>469250</v>
      </c>
      <c r="D151" s="181">
        <v>880</v>
      </c>
      <c r="E151" s="180" t="s">
        <v>3219</v>
      </c>
      <c r="F151" s="180" t="s">
        <v>3219</v>
      </c>
      <c r="G151" s="180" t="s">
        <v>3219</v>
      </c>
      <c r="H151" s="181" t="s">
        <v>3459</v>
      </c>
      <c r="I151" s="173">
        <f t="shared" si="12"/>
        <v>39268</v>
      </c>
      <c r="J151" s="172">
        <f t="shared" si="13"/>
        <v>469250</v>
      </c>
      <c r="K151" s="172" t="str">
        <f t="shared" si="14"/>
        <v>MSED CO LTD</v>
      </c>
      <c r="L151" t="str">
        <f t="shared" si="15"/>
        <v>.</v>
      </c>
      <c r="M151">
        <f t="shared" si="16"/>
        <v>880</v>
      </c>
      <c r="N151" s="172" t="str">
        <f t="shared" si="17"/>
        <v>3,28,634.82Cr</v>
      </c>
    </row>
    <row r="152" spans="1:14">
      <c r="A152" s="182">
        <v>39391</v>
      </c>
      <c r="B152" s="183" t="s">
        <v>3460</v>
      </c>
      <c r="C152" s="183">
        <v>810301</v>
      </c>
      <c r="D152" s="184">
        <v>2000</v>
      </c>
      <c r="E152" s="185" t="s">
        <v>3219</v>
      </c>
      <c r="F152" s="185" t="s">
        <v>3219</v>
      </c>
      <c r="G152" s="185" t="s">
        <v>3219</v>
      </c>
      <c r="H152" s="186" t="s">
        <v>3461</v>
      </c>
      <c r="I152" s="173">
        <f t="shared" si="12"/>
        <v>39391</v>
      </c>
      <c r="J152" s="172">
        <f t="shared" si="13"/>
        <v>810301</v>
      </c>
      <c r="K152" s="172" t="str">
        <f t="shared" si="14"/>
        <v>ARAIYA ENT</v>
      </c>
      <c r="L152" t="str">
        <f t="shared" si="15"/>
        <v>.</v>
      </c>
      <c r="M152">
        <f t="shared" si="16"/>
        <v>2000</v>
      </c>
      <c r="N152" s="172" t="str">
        <f t="shared" si="17"/>
        <v>3,26,634.82Cr</v>
      </c>
    </row>
    <row r="153" spans="1:14">
      <c r="A153" s="178" t="s">
        <v>10850</v>
      </c>
      <c r="B153" s="178" t="s">
        <v>3462</v>
      </c>
      <c r="C153" s="179" t="s">
        <v>3219</v>
      </c>
      <c r="D153" s="180" t="s">
        <v>3219</v>
      </c>
      <c r="E153" s="187">
        <v>65890</v>
      </c>
      <c r="F153" s="180" t="s">
        <v>3219</v>
      </c>
      <c r="G153" s="180" t="s">
        <v>3219</v>
      </c>
      <c r="H153" s="181" t="s">
        <v>3463</v>
      </c>
      <c r="I153" s="173" t="str">
        <f t="shared" si="12"/>
        <v>28-05-2007</v>
      </c>
      <c r="J153" s="172" t="str">
        <f t="shared" si="13"/>
        <v>.</v>
      </c>
      <c r="K153" s="172" t="str">
        <f t="shared" si="14"/>
        <v>NET SALARY MAY 2007</v>
      </c>
      <c r="L153">
        <f t="shared" si="15"/>
        <v>65890</v>
      </c>
      <c r="M153" t="str">
        <f t="shared" si="16"/>
        <v>.</v>
      </c>
      <c r="N153" s="172" t="str">
        <f t="shared" si="17"/>
        <v>3,92,524.82Cr</v>
      </c>
    </row>
    <row r="154" spans="1:14">
      <c r="A154" s="183" t="s">
        <v>10851</v>
      </c>
      <c r="B154" s="183" t="s">
        <v>3453</v>
      </c>
      <c r="C154" s="183">
        <v>810302</v>
      </c>
      <c r="D154" s="184">
        <v>1038</v>
      </c>
      <c r="E154" s="185" t="s">
        <v>3219</v>
      </c>
      <c r="F154" s="185" t="s">
        <v>3219</v>
      </c>
      <c r="G154" s="185" t="s">
        <v>3219</v>
      </c>
      <c r="H154" s="186" t="s">
        <v>3464</v>
      </c>
      <c r="I154" s="173" t="str">
        <f t="shared" si="12"/>
        <v>29-05-2007</v>
      </c>
      <c r="J154" s="172">
        <f t="shared" si="13"/>
        <v>810302</v>
      </c>
      <c r="K154" s="172" t="str">
        <f t="shared" si="14"/>
        <v>ICICI CC 4864093103226009</v>
      </c>
      <c r="L154" t="str">
        <f t="shared" si="15"/>
        <v>.</v>
      </c>
      <c r="M154">
        <f t="shared" si="16"/>
        <v>1038</v>
      </c>
      <c r="N154" s="172" t="str">
        <f t="shared" si="17"/>
        <v>3,91,486.82Cr</v>
      </c>
    </row>
    <row r="155" spans="1:14">
      <c r="A155" s="177">
        <v>39088</v>
      </c>
      <c r="B155" s="178" t="s">
        <v>1394</v>
      </c>
      <c r="C155" s="179" t="s">
        <v>3219</v>
      </c>
      <c r="D155" s="180" t="s">
        <v>3219</v>
      </c>
      <c r="E155" s="180" t="s">
        <v>3219</v>
      </c>
      <c r="F155" s="180" t="s">
        <v>3219</v>
      </c>
      <c r="G155" s="180" t="s">
        <v>3219</v>
      </c>
      <c r="H155" s="181" t="s">
        <v>3464</v>
      </c>
      <c r="I155" s="173">
        <f t="shared" si="12"/>
        <v>39088</v>
      </c>
      <c r="J155" s="172" t="str">
        <f t="shared" si="13"/>
        <v>.</v>
      </c>
      <c r="K155" s="172" t="str">
        <f t="shared" si="14"/>
        <v>B/F</v>
      </c>
      <c r="L155" t="str">
        <f t="shared" si="15"/>
        <v>.</v>
      </c>
      <c r="M155" t="str">
        <f t="shared" si="16"/>
        <v>.</v>
      </c>
      <c r="N155" s="172" t="str">
        <f t="shared" si="17"/>
        <v>3,91,486.82Cr</v>
      </c>
    </row>
    <row r="156" spans="1:14">
      <c r="A156" s="182">
        <v>39119</v>
      </c>
      <c r="B156" s="183" t="s">
        <v>3221</v>
      </c>
      <c r="C156" s="183">
        <v>810303</v>
      </c>
      <c r="D156" s="184">
        <v>13326</v>
      </c>
      <c r="E156" s="185" t="s">
        <v>3219</v>
      </c>
      <c r="F156" s="185" t="s">
        <v>3219</v>
      </c>
      <c r="G156" s="185" t="s">
        <v>3219</v>
      </c>
      <c r="H156" s="186" t="s">
        <v>3465</v>
      </c>
      <c r="I156" s="173">
        <f t="shared" si="12"/>
        <v>39119</v>
      </c>
      <c r="J156" s="172">
        <f t="shared" si="13"/>
        <v>810303</v>
      </c>
      <c r="K156" s="172" t="str">
        <f t="shared" si="14"/>
        <v>GRUH FINANCE LTD</v>
      </c>
      <c r="L156" t="str">
        <f t="shared" si="15"/>
        <v>.</v>
      </c>
      <c r="M156">
        <f t="shared" si="16"/>
        <v>13326</v>
      </c>
      <c r="N156" s="172" t="str">
        <f t="shared" si="17"/>
        <v>3,78,160.82Cr</v>
      </c>
    </row>
    <row r="157" spans="1:14">
      <c r="A157" s="177">
        <v>39178</v>
      </c>
      <c r="B157" s="178" t="s">
        <v>3229</v>
      </c>
      <c r="C157" s="178">
        <v>810304</v>
      </c>
      <c r="D157" s="181">
        <v>725</v>
      </c>
      <c r="E157" s="180" t="s">
        <v>3219</v>
      </c>
      <c r="F157" s="180" t="s">
        <v>3219</v>
      </c>
      <c r="G157" s="180" t="s">
        <v>3219</v>
      </c>
      <c r="H157" s="181" t="s">
        <v>3466</v>
      </c>
      <c r="I157" s="173">
        <f t="shared" si="12"/>
        <v>39178</v>
      </c>
      <c r="J157" s="172">
        <f t="shared" si="13"/>
        <v>810304</v>
      </c>
      <c r="K157" s="172" t="str">
        <f t="shared" si="14"/>
        <v>TTML</v>
      </c>
      <c r="L157" t="str">
        <f t="shared" si="15"/>
        <v>.</v>
      </c>
      <c r="M157">
        <f t="shared" si="16"/>
        <v>725</v>
      </c>
      <c r="N157" s="172" t="str">
        <f t="shared" si="17"/>
        <v>3,77,435.82Cr</v>
      </c>
    </row>
    <row r="158" spans="1:14">
      <c r="A158" s="182">
        <v>39269</v>
      </c>
      <c r="B158" s="183" t="s">
        <v>3280</v>
      </c>
      <c r="C158" s="183">
        <v>810305</v>
      </c>
      <c r="D158" s="186">
        <v>360</v>
      </c>
      <c r="E158" s="185" t="s">
        <v>3219</v>
      </c>
      <c r="F158" s="185" t="s">
        <v>3219</v>
      </c>
      <c r="G158" s="185" t="s">
        <v>3219</v>
      </c>
      <c r="H158" s="186" t="s">
        <v>3467</v>
      </c>
      <c r="I158" s="173">
        <f t="shared" si="12"/>
        <v>39269</v>
      </c>
      <c r="J158" s="172">
        <f t="shared" si="13"/>
        <v>810305</v>
      </c>
      <c r="K158" s="172" t="str">
        <f t="shared" si="14"/>
        <v>MSEDC LTD</v>
      </c>
      <c r="L158" t="str">
        <f t="shared" si="15"/>
        <v>.</v>
      </c>
      <c r="M158">
        <f t="shared" si="16"/>
        <v>360</v>
      </c>
      <c r="N158" s="172" t="str">
        <f t="shared" si="17"/>
        <v>3,77,075.82Cr</v>
      </c>
    </row>
    <row r="159" spans="1:14">
      <c r="A159" s="178" t="s">
        <v>10852</v>
      </c>
      <c r="B159" s="178" t="s">
        <v>3468</v>
      </c>
      <c r="C159" s="179" t="s">
        <v>3219</v>
      </c>
      <c r="D159" s="187">
        <v>5000</v>
      </c>
      <c r="E159" s="180" t="s">
        <v>3219</v>
      </c>
      <c r="F159" s="180" t="s">
        <v>3219</v>
      </c>
      <c r="G159" s="180" t="s">
        <v>3219</v>
      </c>
      <c r="H159" s="181" t="s">
        <v>3469</v>
      </c>
      <c r="I159" s="173" t="str">
        <f t="shared" si="12"/>
        <v>25-06-2007</v>
      </c>
      <c r="J159" s="172" t="str">
        <f t="shared" si="13"/>
        <v>.</v>
      </c>
      <c r="K159" s="172" t="str">
        <f t="shared" si="14"/>
        <v>ATM/CASH WDL/20070624174621/0</v>
      </c>
      <c r="L159" t="str">
        <f t="shared" si="15"/>
        <v>.</v>
      </c>
      <c r="M159">
        <f t="shared" si="16"/>
        <v>5000</v>
      </c>
      <c r="N159" s="172" t="str">
        <f t="shared" si="17"/>
        <v>3,72,075.82Cr</v>
      </c>
    </row>
    <row r="160" spans="1:14">
      <c r="A160" s="183" t="s">
        <v>10853</v>
      </c>
      <c r="B160" s="183" t="s">
        <v>3470</v>
      </c>
      <c r="C160" s="188" t="s">
        <v>3219</v>
      </c>
      <c r="D160" s="185" t="s">
        <v>3219</v>
      </c>
      <c r="E160" s="184">
        <v>58492</v>
      </c>
      <c r="F160" s="185" t="s">
        <v>3219</v>
      </c>
      <c r="G160" s="185" t="s">
        <v>3219</v>
      </c>
      <c r="H160" s="186" t="s">
        <v>3471</v>
      </c>
      <c r="I160" s="173" t="str">
        <f t="shared" si="12"/>
        <v>26-06-2007</v>
      </c>
      <c r="J160" s="172" t="str">
        <f t="shared" si="13"/>
        <v>.</v>
      </c>
      <c r="K160" s="172" t="str">
        <f t="shared" si="14"/>
        <v>NET SALARY JUNE 2007</v>
      </c>
      <c r="L160">
        <f t="shared" si="15"/>
        <v>58492</v>
      </c>
      <c r="M160" t="str">
        <f t="shared" si="16"/>
        <v>.</v>
      </c>
      <c r="N160" s="172" t="str">
        <f t="shared" si="17"/>
        <v>4,30,567.82Cr</v>
      </c>
    </row>
    <row r="161" spans="1:14">
      <c r="A161" s="177">
        <v>39089</v>
      </c>
      <c r="B161" s="178" t="s">
        <v>1394</v>
      </c>
      <c r="C161" s="179" t="s">
        <v>3219</v>
      </c>
      <c r="D161" s="180" t="s">
        <v>3219</v>
      </c>
      <c r="E161" s="180" t="s">
        <v>3219</v>
      </c>
      <c r="F161" s="180" t="s">
        <v>3219</v>
      </c>
      <c r="G161" s="180" t="s">
        <v>3219</v>
      </c>
      <c r="H161" s="181" t="s">
        <v>3471</v>
      </c>
      <c r="I161" s="173">
        <f t="shared" si="12"/>
        <v>39089</v>
      </c>
      <c r="J161" s="172" t="str">
        <f t="shared" si="13"/>
        <v>.</v>
      </c>
      <c r="K161" s="172" t="str">
        <f t="shared" si="14"/>
        <v>B/F</v>
      </c>
      <c r="L161" t="str">
        <f t="shared" si="15"/>
        <v>.</v>
      </c>
      <c r="M161" t="str">
        <f t="shared" si="16"/>
        <v>.</v>
      </c>
      <c r="N161" s="172" t="str">
        <f t="shared" si="17"/>
        <v>4,30,567.82Cr</v>
      </c>
    </row>
    <row r="162" spans="1:14">
      <c r="A162" s="182">
        <v>39148</v>
      </c>
      <c r="B162" s="183" t="s">
        <v>3221</v>
      </c>
      <c r="C162" s="183">
        <v>810306</v>
      </c>
      <c r="D162" s="184">
        <v>13326</v>
      </c>
      <c r="E162" s="185" t="s">
        <v>3219</v>
      </c>
      <c r="F162" s="185" t="s">
        <v>3219</v>
      </c>
      <c r="G162" s="185" t="s">
        <v>3219</v>
      </c>
      <c r="H162" s="186" t="s">
        <v>3472</v>
      </c>
      <c r="I162" s="173">
        <f t="shared" si="12"/>
        <v>39148</v>
      </c>
      <c r="J162" s="172">
        <f t="shared" si="13"/>
        <v>810306</v>
      </c>
      <c r="K162" s="172" t="str">
        <f t="shared" si="14"/>
        <v>GRUH FINANCE LTD</v>
      </c>
      <c r="L162" t="str">
        <f t="shared" si="15"/>
        <v>.</v>
      </c>
      <c r="M162">
        <f t="shared" si="16"/>
        <v>13326</v>
      </c>
      <c r="N162" s="172" t="str">
        <f t="shared" si="17"/>
        <v>4,17,241.82Cr</v>
      </c>
    </row>
    <row r="163" spans="1:14">
      <c r="A163" s="177">
        <v>39209</v>
      </c>
      <c r="B163" s="178" t="s">
        <v>3385</v>
      </c>
      <c r="C163" s="178">
        <v>810308</v>
      </c>
      <c r="D163" s="187">
        <v>1230</v>
      </c>
      <c r="E163" s="180" t="s">
        <v>3219</v>
      </c>
      <c r="F163" s="180" t="s">
        <v>3219</v>
      </c>
      <c r="G163" s="180" t="s">
        <v>3219</v>
      </c>
      <c r="H163" s="181" t="s">
        <v>3473</v>
      </c>
      <c r="I163" s="173">
        <f t="shared" si="12"/>
        <v>39209</v>
      </c>
      <c r="J163" s="172">
        <f t="shared" si="13"/>
        <v>810308</v>
      </c>
      <c r="K163" s="172" t="str">
        <f t="shared" si="14"/>
        <v>MSED CO LTD</v>
      </c>
      <c r="L163" t="str">
        <f t="shared" si="15"/>
        <v>.</v>
      </c>
      <c r="M163">
        <f t="shared" si="16"/>
        <v>1230</v>
      </c>
      <c r="N163" s="172" t="str">
        <f t="shared" si="17"/>
        <v>4,16,011.82Cr</v>
      </c>
    </row>
    <row r="164" spans="1:14">
      <c r="A164" s="182">
        <v>39209</v>
      </c>
      <c r="B164" s="183" t="s">
        <v>3453</v>
      </c>
      <c r="C164" s="183">
        <v>810309</v>
      </c>
      <c r="D164" s="186">
        <v>727.98</v>
      </c>
      <c r="E164" s="185" t="s">
        <v>3219</v>
      </c>
      <c r="F164" s="185" t="s">
        <v>3219</v>
      </c>
      <c r="G164" s="185" t="s">
        <v>3219</v>
      </c>
      <c r="H164" s="186" t="s">
        <v>3474</v>
      </c>
      <c r="I164" s="173">
        <f t="shared" si="12"/>
        <v>39209</v>
      </c>
      <c r="J164" s="172">
        <f t="shared" si="13"/>
        <v>810309</v>
      </c>
      <c r="K164" s="172" t="str">
        <f t="shared" si="14"/>
        <v>ICICI CC 4864093103226009</v>
      </c>
      <c r="L164" t="str">
        <f t="shared" si="15"/>
        <v>.</v>
      </c>
      <c r="M164">
        <f t="shared" si="16"/>
        <v>727.98</v>
      </c>
      <c r="N164" s="172" t="str">
        <f t="shared" si="17"/>
        <v>4,15,283.84Cr</v>
      </c>
    </row>
    <row r="165" spans="1:14">
      <c r="A165" s="177">
        <v>39240</v>
      </c>
      <c r="B165" s="178" t="s">
        <v>3229</v>
      </c>
      <c r="C165" s="178">
        <v>810307</v>
      </c>
      <c r="D165" s="181">
        <v>634</v>
      </c>
      <c r="E165" s="180" t="s">
        <v>3219</v>
      </c>
      <c r="F165" s="180" t="s">
        <v>3219</v>
      </c>
      <c r="G165" s="180" t="s">
        <v>3219</v>
      </c>
      <c r="H165" s="181" t="s">
        <v>3475</v>
      </c>
      <c r="I165" s="173">
        <f t="shared" si="12"/>
        <v>39240</v>
      </c>
      <c r="J165" s="172">
        <f t="shared" si="13"/>
        <v>810307</v>
      </c>
      <c r="K165" s="172" t="str">
        <f t="shared" si="14"/>
        <v>TTML</v>
      </c>
      <c r="L165" t="str">
        <f t="shared" si="15"/>
        <v>.</v>
      </c>
      <c r="M165">
        <f t="shared" si="16"/>
        <v>634</v>
      </c>
      <c r="N165" s="172" t="str">
        <f t="shared" si="17"/>
        <v>4,14,649.84Cr</v>
      </c>
    </row>
    <row r="166" spans="1:14">
      <c r="A166" s="183" t="s">
        <v>10854</v>
      </c>
      <c r="B166" s="183" t="s">
        <v>3476</v>
      </c>
      <c r="C166" s="188" t="s">
        <v>3219</v>
      </c>
      <c r="D166" s="184">
        <v>5000</v>
      </c>
      <c r="E166" s="185" t="s">
        <v>3219</v>
      </c>
      <c r="F166" s="185" t="s">
        <v>3219</v>
      </c>
      <c r="G166" s="185" t="s">
        <v>3219</v>
      </c>
      <c r="H166" s="186" t="s">
        <v>3477</v>
      </c>
      <c r="I166" s="173" t="str">
        <f t="shared" si="12"/>
        <v>23-07-2007</v>
      </c>
      <c r="J166" s="172" t="str">
        <f t="shared" si="13"/>
        <v>.</v>
      </c>
      <c r="K166" s="172" t="str">
        <f t="shared" si="14"/>
        <v>ATM/CASH WDL/20070722175423/0</v>
      </c>
      <c r="L166" t="str">
        <f t="shared" si="15"/>
        <v>.</v>
      </c>
      <c r="M166">
        <f t="shared" si="16"/>
        <v>5000</v>
      </c>
      <c r="N166" s="172" t="str">
        <f t="shared" si="17"/>
        <v>4,09,649.84Cr</v>
      </c>
    </row>
    <row r="167" spans="1:14">
      <c r="A167" s="178" t="s">
        <v>10855</v>
      </c>
      <c r="B167" s="178" t="s">
        <v>3453</v>
      </c>
      <c r="C167" s="178">
        <v>810312</v>
      </c>
      <c r="D167" s="187">
        <v>1816.2</v>
      </c>
      <c r="E167" s="180" t="s">
        <v>3219</v>
      </c>
      <c r="F167" s="180" t="s">
        <v>3219</v>
      </c>
      <c r="G167" s="180" t="s">
        <v>3219</v>
      </c>
      <c r="H167" s="181" t="s">
        <v>3478</v>
      </c>
      <c r="I167" s="173" t="str">
        <f t="shared" si="12"/>
        <v>31-07-2007</v>
      </c>
      <c r="J167" s="172">
        <f t="shared" si="13"/>
        <v>810312</v>
      </c>
      <c r="K167" s="172" t="str">
        <f t="shared" si="14"/>
        <v>ICICI CC 4864093103226009</v>
      </c>
      <c r="L167" t="str">
        <f t="shared" si="15"/>
        <v>.</v>
      </c>
      <c r="M167">
        <f t="shared" si="16"/>
        <v>1816.2</v>
      </c>
      <c r="N167" s="172" t="str">
        <f t="shared" si="17"/>
        <v>4,07,833.64Cr</v>
      </c>
    </row>
    <row r="168" spans="1:14">
      <c r="A168" s="177">
        <v>39090</v>
      </c>
      <c r="B168" s="178" t="s">
        <v>1394</v>
      </c>
      <c r="C168" s="179" t="s">
        <v>3219</v>
      </c>
      <c r="D168" s="180" t="s">
        <v>3219</v>
      </c>
      <c r="E168" s="180" t="s">
        <v>3219</v>
      </c>
      <c r="F168" s="180" t="s">
        <v>3219</v>
      </c>
      <c r="G168" s="180" t="s">
        <v>3219</v>
      </c>
      <c r="H168" s="181" t="s">
        <v>3478</v>
      </c>
      <c r="I168" s="173">
        <f t="shared" si="12"/>
        <v>39090</v>
      </c>
      <c r="J168" s="172" t="str">
        <f t="shared" si="13"/>
        <v>.</v>
      </c>
      <c r="K168" s="172" t="str">
        <f t="shared" si="14"/>
        <v>B/F</v>
      </c>
      <c r="L168" t="str">
        <f t="shared" si="15"/>
        <v>.</v>
      </c>
      <c r="M168" t="str">
        <f t="shared" si="16"/>
        <v>.</v>
      </c>
      <c r="N168" s="172" t="str">
        <f t="shared" si="17"/>
        <v>4,07,833.64Cr</v>
      </c>
    </row>
    <row r="169" spans="1:14">
      <c r="A169" s="182">
        <v>39090</v>
      </c>
      <c r="B169" s="183" t="s">
        <v>3479</v>
      </c>
      <c r="C169" s="183">
        <v>810310</v>
      </c>
      <c r="D169" s="184">
        <v>5292</v>
      </c>
      <c r="E169" s="185" t="s">
        <v>3219</v>
      </c>
      <c r="F169" s="185" t="s">
        <v>3219</v>
      </c>
      <c r="G169" s="185" t="s">
        <v>3219</v>
      </c>
      <c r="H169" s="186" t="s">
        <v>3480</v>
      </c>
      <c r="I169" s="173">
        <f t="shared" si="12"/>
        <v>39090</v>
      </c>
      <c r="J169" s="172">
        <f t="shared" si="13"/>
        <v>810310</v>
      </c>
      <c r="K169" s="172" t="str">
        <f t="shared" si="14"/>
        <v>SHARP &amp; T</v>
      </c>
      <c r="L169" t="str">
        <f t="shared" si="15"/>
        <v>.</v>
      </c>
      <c r="M169">
        <f t="shared" si="16"/>
        <v>5292</v>
      </c>
      <c r="N169" s="172" t="str">
        <f t="shared" si="17"/>
        <v>4,02,541.64Cr</v>
      </c>
    </row>
    <row r="170" spans="1:14">
      <c r="A170" s="177">
        <v>39090</v>
      </c>
      <c r="B170" s="178" t="s">
        <v>3481</v>
      </c>
      <c r="C170" s="179" t="s">
        <v>3219</v>
      </c>
      <c r="D170" s="180" t="s">
        <v>3219</v>
      </c>
      <c r="E170" s="181" t="s">
        <v>10856</v>
      </c>
      <c r="F170" s="180" t="s">
        <v>3219</v>
      </c>
      <c r="G170" s="180" t="s">
        <v>3219</v>
      </c>
      <c r="H170" s="181" t="s">
        <v>3482</v>
      </c>
      <c r="I170" s="173">
        <f t="shared" si="12"/>
        <v>39090</v>
      </c>
      <c r="J170" s="172" t="str">
        <f t="shared" si="13"/>
        <v>.</v>
      </c>
      <c r="K170" s="172" t="str">
        <f t="shared" si="14"/>
        <v>NET SALARY JULY 2007</v>
      </c>
      <c r="L170" t="str">
        <f t="shared" si="15"/>
        <v>3,06,499.00</v>
      </c>
      <c r="M170" t="str">
        <f t="shared" si="16"/>
        <v>.</v>
      </c>
      <c r="N170" s="172" t="str">
        <f t="shared" si="17"/>
        <v>7,09,040.64Cr</v>
      </c>
    </row>
    <row r="171" spans="1:14">
      <c r="A171" s="182">
        <v>39121</v>
      </c>
      <c r="B171" s="183" t="s">
        <v>3483</v>
      </c>
      <c r="C171" s="183">
        <v>810314</v>
      </c>
      <c r="D171" s="186" t="s">
        <v>10857</v>
      </c>
      <c r="E171" s="185" t="s">
        <v>3219</v>
      </c>
      <c r="F171" s="185" t="s">
        <v>3219</v>
      </c>
      <c r="G171" s="185" t="s">
        <v>3219</v>
      </c>
      <c r="H171" s="186" t="s">
        <v>3484</v>
      </c>
      <c r="I171" s="173">
        <f t="shared" si="12"/>
        <v>39121</v>
      </c>
      <c r="J171" s="172">
        <f t="shared" si="13"/>
        <v>810314</v>
      </c>
      <c r="K171" s="172" t="str">
        <f t="shared" si="14"/>
        <v>GRUH FINANACE LTD</v>
      </c>
      <c r="L171" t="str">
        <f t="shared" si="15"/>
        <v>.</v>
      </c>
      <c r="M171" t="str">
        <f t="shared" si="16"/>
        <v>2,00,000.00</v>
      </c>
      <c r="N171" s="172" t="str">
        <f t="shared" si="17"/>
        <v>5,09,040.64Cr</v>
      </c>
    </row>
    <row r="172" spans="1:14">
      <c r="A172" s="177">
        <v>39121</v>
      </c>
      <c r="B172" s="178" t="s">
        <v>3485</v>
      </c>
      <c r="C172" s="178">
        <v>810316</v>
      </c>
      <c r="D172" s="181">
        <v>788</v>
      </c>
      <c r="E172" s="180" t="s">
        <v>3219</v>
      </c>
      <c r="F172" s="180" t="s">
        <v>3219</v>
      </c>
      <c r="G172" s="180" t="s">
        <v>3219</v>
      </c>
      <c r="H172" s="181" t="s">
        <v>3486</v>
      </c>
      <c r="I172" s="173">
        <f t="shared" si="12"/>
        <v>39121</v>
      </c>
      <c r="J172" s="172">
        <f t="shared" si="13"/>
        <v>810316</v>
      </c>
      <c r="K172" s="172" t="str">
        <f t="shared" si="14"/>
        <v>TTML A/C</v>
      </c>
      <c r="L172" t="str">
        <f t="shared" si="15"/>
        <v>.</v>
      </c>
      <c r="M172">
        <f t="shared" si="16"/>
        <v>788</v>
      </c>
      <c r="N172" s="172" t="str">
        <f t="shared" si="17"/>
        <v>5,08,252.64Cr</v>
      </c>
    </row>
    <row r="173" spans="1:14">
      <c r="A173" s="182">
        <v>39121</v>
      </c>
      <c r="B173" s="183" t="s">
        <v>1473</v>
      </c>
      <c r="C173" s="183">
        <v>810315</v>
      </c>
      <c r="D173" s="184">
        <v>6331</v>
      </c>
      <c r="E173" s="185" t="s">
        <v>3219</v>
      </c>
      <c r="F173" s="185" t="s">
        <v>3219</v>
      </c>
      <c r="G173" s="185" t="s">
        <v>3219</v>
      </c>
      <c r="H173" s="186" t="s">
        <v>3487</v>
      </c>
      <c r="I173" s="173">
        <f t="shared" si="12"/>
        <v>39121</v>
      </c>
      <c r="J173" s="172">
        <f t="shared" si="13"/>
        <v>810315</v>
      </c>
      <c r="K173" s="172" t="str">
        <f t="shared" si="14"/>
        <v>LIC OF INDIA</v>
      </c>
      <c r="L173" t="str">
        <f t="shared" si="15"/>
        <v>.</v>
      </c>
      <c r="M173">
        <f t="shared" si="16"/>
        <v>6331</v>
      </c>
      <c r="N173" s="172" t="str">
        <f t="shared" si="17"/>
        <v>5,01,921.64Cr</v>
      </c>
    </row>
    <row r="174" spans="1:14">
      <c r="A174" s="177">
        <v>39241</v>
      </c>
      <c r="B174" s="178" t="s">
        <v>3221</v>
      </c>
      <c r="C174" s="178">
        <v>810313</v>
      </c>
      <c r="D174" s="187">
        <v>13326</v>
      </c>
      <c r="E174" s="180" t="s">
        <v>3219</v>
      </c>
      <c r="F174" s="180" t="s">
        <v>3219</v>
      </c>
      <c r="G174" s="180" t="s">
        <v>3219</v>
      </c>
      <c r="H174" s="181" t="s">
        <v>3488</v>
      </c>
      <c r="I174" s="173">
        <f t="shared" si="12"/>
        <v>39241</v>
      </c>
      <c r="J174" s="172">
        <f t="shared" si="13"/>
        <v>810313</v>
      </c>
      <c r="K174" s="172" t="str">
        <f t="shared" si="14"/>
        <v>GRUH FINANCE LTD</v>
      </c>
      <c r="L174" t="str">
        <f t="shared" si="15"/>
        <v>.</v>
      </c>
      <c r="M174">
        <f t="shared" si="16"/>
        <v>13326</v>
      </c>
      <c r="N174" s="172" t="str">
        <f t="shared" si="17"/>
        <v>4,88,595.64Cr</v>
      </c>
    </row>
    <row r="175" spans="1:14">
      <c r="A175" s="182">
        <v>39302</v>
      </c>
      <c r="B175" s="183" t="s">
        <v>3489</v>
      </c>
      <c r="C175" s="183">
        <v>810317</v>
      </c>
      <c r="D175" s="186">
        <v>960</v>
      </c>
      <c r="E175" s="185" t="s">
        <v>3219</v>
      </c>
      <c r="F175" s="185" t="s">
        <v>3219</v>
      </c>
      <c r="G175" s="185" t="s">
        <v>3219</v>
      </c>
      <c r="H175" s="186" t="s">
        <v>3490</v>
      </c>
      <c r="I175" s="173">
        <f t="shared" si="12"/>
        <v>39302</v>
      </c>
      <c r="J175" s="172">
        <f t="shared" si="13"/>
        <v>810317</v>
      </c>
      <c r="K175" s="172" t="str">
        <f t="shared" si="14"/>
        <v>MSEDCL</v>
      </c>
      <c r="L175" t="str">
        <f t="shared" si="15"/>
        <v>.</v>
      </c>
      <c r="M175">
        <f t="shared" si="16"/>
        <v>960</v>
      </c>
      <c r="N175" s="172" t="str">
        <f t="shared" si="17"/>
        <v>4,87,635.64Cr</v>
      </c>
    </row>
    <row r="176" spans="1:14">
      <c r="A176" s="177">
        <v>39302</v>
      </c>
      <c r="B176" s="178" t="s">
        <v>3491</v>
      </c>
      <c r="C176" s="179" t="s">
        <v>3219</v>
      </c>
      <c r="D176" s="187">
        <v>1500</v>
      </c>
      <c r="E176" s="180" t="s">
        <v>3219</v>
      </c>
      <c r="F176" s="180" t="s">
        <v>3219</v>
      </c>
      <c r="G176" s="180" t="s">
        <v>3219</v>
      </c>
      <c r="H176" s="181" t="s">
        <v>3492</v>
      </c>
      <c r="I176" s="173">
        <f t="shared" si="12"/>
        <v>39302</v>
      </c>
      <c r="J176" s="172" t="str">
        <f t="shared" si="13"/>
        <v>.</v>
      </c>
      <c r="K176" s="172" t="str">
        <f t="shared" si="14"/>
        <v>ATM/CASH WDL/20070808190853/0</v>
      </c>
      <c r="L176" t="str">
        <f t="shared" si="15"/>
        <v>.</v>
      </c>
      <c r="M176">
        <f t="shared" si="16"/>
        <v>1500</v>
      </c>
      <c r="N176" s="172" t="str">
        <f t="shared" si="17"/>
        <v>4,86,135.64Cr</v>
      </c>
    </row>
    <row r="177" spans="1:14">
      <c r="A177" s="182">
        <v>39363</v>
      </c>
      <c r="B177" s="183" t="s">
        <v>3493</v>
      </c>
      <c r="C177" s="183">
        <v>810311</v>
      </c>
      <c r="D177" s="184">
        <v>30000</v>
      </c>
      <c r="E177" s="185" t="s">
        <v>3219</v>
      </c>
      <c r="F177" s="185" t="s">
        <v>3219</v>
      </c>
      <c r="G177" s="185" t="s">
        <v>3219</v>
      </c>
      <c r="H177" s="186" t="s">
        <v>3494</v>
      </c>
      <c r="I177" s="173">
        <f t="shared" si="12"/>
        <v>39363</v>
      </c>
      <c r="J177" s="172">
        <f t="shared" si="13"/>
        <v>810311</v>
      </c>
      <c r="K177" s="172" t="str">
        <f t="shared" si="14"/>
        <v>RELIANCE TAX SAVER ELSS FUND</v>
      </c>
      <c r="L177" t="str">
        <f t="shared" si="15"/>
        <v>.</v>
      </c>
      <c r="M177">
        <f t="shared" si="16"/>
        <v>30000</v>
      </c>
      <c r="N177" s="172" t="str">
        <f t="shared" si="17"/>
        <v>4,56,135.64Cr</v>
      </c>
    </row>
    <row r="178" spans="1:14">
      <c r="A178" s="178" t="s">
        <v>10068</v>
      </c>
      <c r="B178" s="178" t="s">
        <v>3495</v>
      </c>
      <c r="C178" s="178">
        <v>810318</v>
      </c>
      <c r="D178" s="187">
        <v>7724</v>
      </c>
      <c r="E178" s="180" t="s">
        <v>3219</v>
      </c>
      <c r="F178" s="180" t="s">
        <v>3219</v>
      </c>
      <c r="G178" s="180" t="s">
        <v>3219</v>
      </c>
      <c r="H178" s="181" t="s">
        <v>3496</v>
      </c>
      <c r="I178" s="173" t="str">
        <f t="shared" si="12"/>
        <v>14-08-2007</v>
      </c>
      <c r="J178" s="172">
        <f t="shared" si="13"/>
        <v>810318</v>
      </c>
      <c r="K178" s="172" t="str">
        <f t="shared" si="14"/>
        <v>LOK HOUSING AND CONST LTD</v>
      </c>
      <c r="L178" t="str">
        <f t="shared" si="15"/>
        <v>.</v>
      </c>
      <c r="M178">
        <f t="shared" si="16"/>
        <v>7724</v>
      </c>
      <c r="N178" s="172" t="str">
        <f t="shared" si="17"/>
        <v>4,48,411.64Cr</v>
      </c>
    </row>
    <row r="179" spans="1:14">
      <c r="A179" s="183" t="s">
        <v>10069</v>
      </c>
      <c r="B179" s="183" t="s">
        <v>3497</v>
      </c>
      <c r="C179" s="188" t="s">
        <v>3219</v>
      </c>
      <c r="D179" s="185" t="s">
        <v>3219</v>
      </c>
      <c r="E179" s="184">
        <v>55958</v>
      </c>
      <c r="F179" s="185" t="s">
        <v>3219</v>
      </c>
      <c r="G179" s="185" t="s">
        <v>3219</v>
      </c>
      <c r="H179" s="186" t="s">
        <v>3498</v>
      </c>
      <c r="I179" s="173" t="str">
        <f t="shared" si="12"/>
        <v>27-08-2007</v>
      </c>
      <c r="J179" s="172" t="str">
        <f t="shared" si="13"/>
        <v>.</v>
      </c>
      <c r="K179" s="172" t="str">
        <f t="shared" si="14"/>
        <v>NET SALARY AUGUST 2007</v>
      </c>
      <c r="L179">
        <f t="shared" si="15"/>
        <v>55958</v>
      </c>
      <c r="M179" t="str">
        <f t="shared" si="16"/>
        <v>.</v>
      </c>
      <c r="N179" s="172" t="str">
        <f t="shared" si="17"/>
        <v>5,04,369.64Cr</v>
      </c>
    </row>
    <row r="180" spans="1:14">
      <c r="A180" s="178" t="s">
        <v>10070</v>
      </c>
      <c r="B180" s="178" t="s">
        <v>3499</v>
      </c>
      <c r="C180" s="179" t="s">
        <v>3219</v>
      </c>
      <c r="D180" s="180" t="s">
        <v>3219</v>
      </c>
      <c r="E180" s="187">
        <v>9160</v>
      </c>
      <c r="F180" s="180" t="s">
        <v>3219</v>
      </c>
      <c r="G180" s="180" t="s">
        <v>3219</v>
      </c>
      <c r="H180" s="181" t="s">
        <v>3500</v>
      </c>
      <c r="I180" s="173" t="str">
        <f t="shared" si="12"/>
        <v>29-08-2007</v>
      </c>
      <c r="J180" s="172" t="str">
        <f t="shared" si="13"/>
        <v>.</v>
      </c>
      <c r="K180" s="172" t="str">
        <f t="shared" si="14"/>
        <v>REIMBURSEMENT OF EXPENSES AUG-</v>
      </c>
      <c r="L180">
        <f t="shared" si="15"/>
        <v>9160</v>
      </c>
      <c r="M180" t="str">
        <f t="shared" si="16"/>
        <v>.</v>
      </c>
      <c r="N180" s="172" t="str">
        <f t="shared" si="17"/>
        <v>5,13,529.64Cr</v>
      </c>
    </row>
    <row r="181" spans="1:14">
      <c r="A181" s="183" t="s">
        <v>10071</v>
      </c>
      <c r="B181" s="183" t="s">
        <v>3501</v>
      </c>
      <c r="C181" s="188" t="s">
        <v>3219</v>
      </c>
      <c r="D181" s="184">
        <v>5000</v>
      </c>
      <c r="E181" s="185" t="s">
        <v>3219</v>
      </c>
      <c r="F181" s="185" t="s">
        <v>3219</v>
      </c>
      <c r="G181" s="185" t="s">
        <v>3219</v>
      </c>
      <c r="H181" s="186" t="s">
        <v>3502</v>
      </c>
      <c r="I181" s="173" t="str">
        <f t="shared" si="12"/>
        <v>31-08-2007</v>
      </c>
      <c r="J181" s="172" t="str">
        <f t="shared" si="13"/>
        <v>.</v>
      </c>
      <c r="K181" s="172" t="str">
        <f t="shared" si="14"/>
        <v>ATM/CASH WDL/20070831173912/0</v>
      </c>
      <c r="L181" t="str">
        <f t="shared" si="15"/>
        <v>.</v>
      </c>
      <c r="M181">
        <f t="shared" si="16"/>
        <v>5000</v>
      </c>
      <c r="N181" s="172" t="str">
        <f t="shared" si="17"/>
        <v>5,08,529.64Cr</v>
      </c>
    </row>
    <row r="182" spans="1:14">
      <c r="A182" s="177">
        <v>39091</v>
      </c>
      <c r="B182" s="178" t="s">
        <v>1394</v>
      </c>
      <c r="C182" s="179" t="s">
        <v>3219</v>
      </c>
      <c r="D182" s="180" t="s">
        <v>3219</v>
      </c>
      <c r="E182" s="180" t="s">
        <v>3219</v>
      </c>
      <c r="F182" s="180" t="s">
        <v>3219</v>
      </c>
      <c r="G182" s="180" t="s">
        <v>3219</v>
      </c>
      <c r="H182" s="181" t="s">
        <v>3502</v>
      </c>
      <c r="I182" s="173">
        <f t="shared" si="12"/>
        <v>39091</v>
      </c>
      <c r="J182" s="172" t="str">
        <f t="shared" si="13"/>
        <v>.</v>
      </c>
      <c r="K182" s="172" t="str">
        <f t="shared" si="14"/>
        <v>B/F</v>
      </c>
      <c r="L182" t="str">
        <f t="shared" si="15"/>
        <v>.</v>
      </c>
      <c r="M182" t="str">
        <f t="shared" si="16"/>
        <v>.</v>
      </c>
      <c r="N182" s="172" t="str">
        <f t="shared" si="17"/>
        <v>5,08,529.64Cr</v>
      </c>
    </row>
    <row r="183" spans="1:14">
      <c r="A183" s="182">
        <v>39150</v>
      </c>
      <c r="B183" s="183" t="s">
        <v>3503</v>
      </c>
      <c r="C183" s="188" t="s">
        <v>3219</v>
      </c>
      <c r="D183" s="185" t="s">
        <v>3219</v>
      </c>
      <c r="E183" s="184">
        <v>6004</v>
      </c>
      <c r="F183" s="185" t="s">
        <v>3219</v>
      </c>
      <c r="G183" s="185" t="s">
        <v>3219</v>
      </c>
      <c r="H183" s="186" t="s">
        <v>3504</v>
      </c>
      <c r="I183" s="173">
        <f t="shared" si="12"/>
        <v>39150</v>
      </c>
      <c r="J183" s="172" t="str">
        <f t="shared" si="13"/>
        <v>.</v>
      </c>
      <c r="K183" s="172" t="str">
        <f t="shared" si="14"/>
        <v>000401043279:Int.Pd:01-03-2007 to 31-08-2007</v>
      </c>
      <c r="L183">
        <f t="shared" si="15"/>
        <v>6004</v>
      </c>
      <c r="M183" t="str">
        <f t="shared" si="16"/>
        <v>.</v>
      </c>
      <c r="N183" s="172" t="str">
        <f t="shared" si="17"/>
        <v>5,14,533.64Cr</v>
      </c>
    </row>
    <row r="184" spans="1:14">
      <c r="A184" s="177">
        <v>39150</v>
      </c>
      <c r="B184" s="178" t="s">
        <v>3280</v>
      </c>
      <c r="C184" s="178">
        <v>810322</v>
      </c>
      <c r="D184" s="181">
        <v>880</v>
      </c>
      <c r="E184" s="180" t="s">
        <v>3219</v>
      </c>
      <c r="F184" s="180" t="s">
        <v>3219</v>
      </c>
      <c r="G184" s="180" t="s">
        <v>3219</v>
      </c>
      <c r="H184" s="181" t="s">
        <v>3505</v>
      </c>
      <c r="I184" s="173">
        <f t="shared" si="12"/>
        <v>39150</v>
      </c>
      <c r="J184" s="172">
        <f t="shared" si="13"/>
        <v>810322</v>
      </c>
      <c r="K184" s="172" t="str">
        <f t="shared" si="14"/>
        <v>MSEDC LTD</v>
      </c>
      <c r="L184" t="str">
        <f t="shared" si="15"/>
        <v>.</v>
      </c>
      <c r="M184">
        <f t="shared" si="16"/>
        <v>880</v>
      </c>
      <c r="N184" s="172" t="str">
        <f t="shared" si="17"/>
        <v>5,13,653.64Cr</v>
      </c>
    </row>
    <row r="185" spans="1:14">
      <c r="A185" s="182">
        <v>39181</v>
      </c>
      <c r="B185" s="183" t="s">
        <v>3221</v>
      </c>
      <c r="C185" s="183">
        <v>810320</v>
      </c>
      <c r="D185" s="184">
        <v>13242</v>
      </c>
      <c r="E185" s="185" t="s">
        <v>3219</v>
      </c>
      <c r="F185" s="185" t="s">
        <v>3219</v>
      </c>
      <c r="G185" s="185" t="s">
        <v>3219</v>
      </c>
      <c r="H185" s="186" t="s">
        <v>3506</v>
      </c>
      <c r="I185" s="173">
        <f t="shared" si="12"/>
        <v>39181</v>
      </c>
      <c r="J185" s="172">
        <f t="shared" si="13"/>
        <v>810320</v>
      </c>
      <c r="K185" s="172" t="str">
        <f t="shared" si="14"/>
        <v>GRUH FINANCE LTD</v>
      </c>
      <c r="L185" t="str">
        <f t="shared" si="15"/>
        <v>.</v>
      </c>
      <c r="M185">
        <f t="shared" si="16"/>
        <v>13242</v>
      </c>
      <c r="N185" s="172" t="str">
        <f t="shared" si="17"/>
        <v>5,00,411.64Cr</v>
      </c>
    </row>
    <row r="186" spans="1:14">
      <c r="A186" s="177">
        <v>39181</v>
      </c>
      <c r="B186" s="178" t="s">
        <v>3453</v>
      </c>
      <c r="C186" s="178">
        <v>810319</v>
      </c>
      <c r="D186" s="187">
        <v>14880.52</v>
      </c>
      <c r="E186" s="180" t="s">
        <v>3219</v>
      </c>
      <c r="F186" s="180" t="s">
        <v>3219</v>
      </c>
      <c r="G186" s="180" t="s">
        <v>3219</v>
      </c>
      <c r="H186" s="181" t="s">
        <v>3507</v>
      </c>
      <c r="I186" s="173">
        <f t="shared" si="12"/>
        <v>39181</v>
      </c>
      <c r="J186" s="172">
        <f t="shared" si="13"/>
        <v>810319</v>
      </c>
      <c r="K186" s="172" t="str">
        <f t="shared" si="14"/>
        <v>ICICI CC 4864093103226009</v>
      </c>
      <c r="L186" t="str">
        <f t="shared" si="15"/>
        <v>.</v>
      </c>
      <c r="M186">
        <f t="shared" si="16"/>
        <v>14880.52</v>
      </c>
      <c r="N186" s="172" t="str">
        <f t="shared" si="17"/>
        <v>4,85,531.12Cr</v>
      </c>
    </row>
    <row r="187" spans="1:14">
      <c r="A187" s="182">
        <v>39211</v>
      </c>
      <c r="B187" s="183" t="s">
        <v>3508</v>
      </c>
      <c r="C187" s="183">
        <v>810323</v>
      </c>
      <c r="D187" s="186">
        <v>786</v>
      </c>
      <c r="E187" s="185" t="s">
        <v>3219</v>
      </c>
      <c r="F187" s="185" t="s">
        <v>3219</v>
      </c>
      <c r="G187" s="185" t="s">
        <v>3219</v>
      </c>
      <c r="H187" s="186" t="s">
        <v>3509</v>
      </c>
      <c r="I187" s="173">
        <f t="shared" si="12"/>
        <v>39211</v>
      </c>
      <c r="J187" s="172">
        <f t="shared" si="13"/>
        <v>810323</v>
      </c>
      <c r="K187" s="172" t="str">
        <f t="shared" si="14"/>
        <v>TATA TELESERVICES LTD</v>
      </c>
      <c r="L187" t="str">
        <f t="shared" si="15"/>
        <v>.</v>
      </c>
      <c r="M187">
        <f t="shared" si="16"/>
        <v>786</v>
      </c>
      <c r="N187" s="172" t="str">
        <f t="shared" si="17"/>
        <v>4,84,745.12Cr</v>
      </c>
    </row>
    <row r="188" spans="1:14">
      <c r="A188" s="177">
        <v>39272</v>
      </c>
      <c r="B188" s="178" t="s">
        <v>3257</v>
      </c>
      <c r="C188" s="178">
        <v>810321</v>
      </c>
      <c r="D188" s="181" t="s">
        <v>10858</v>
      </c>
      <c r="E188" s="180" t="s">
        <v>3219</v>
      </c>
      <c r="F188" s="180" t="s">
        <v>3219</v>
      </c>
      <c r="G188" s="180" t="s">
        <v>3219</v>
      </c>
      <c r="H188" s="181" t="s">
        <v>3510</v>
      </c>
      <c r="I188" s="173">
        <f t="shared" si="12"/>
        <v>39272</v>
      </c>
      <c r="J188" s="172">
        <f t="shared" si="13"/>
        <v>810321</v>
      </c>
      <c r="K188" s="172" t="str">
        <f t="shared" si="14"/>
        <v>GRUH FIN LTD</v>
      </c>
      <c r="L188" t="str">
        <f t="shared" si="15"/>
        <v>.</v>
      </c>
      <c r="M188" t="str">
        <f t="shared" si="16"/>
        <v>3,00,000.00</v>
      </c>
      <c r="N188" s="172" t="str">
        <f t="shared" si="17"/>
        <v>1,84,745.12Cr</v>
      </c>
    </row>
    <row r="189" spans="1:14">
      <c r="A189" s="182">
        <v>39303</v>
      </c>
      <c r="B189" s="183" t="s">
        <v>3511</v>
      </c>
      <c r="C189" s="188" t="s">
        <v>3219</v>
      </c>
      <c r="D189" s="184">
        <v>8000</v>
      </c>
      <c r="E189" s="185" t="s">
        <v>3219</v>
      </c>
      <c r="F189" s="185" t="s">
        <v>3219</v>
      </c>
      <c r="G189" s="185" t="s">
        <v>3219</v>
      </c>
      <c r="H189" s="186" t="s">
        <v>3512</v>
      </c>
      <c r="I189" s="173">
        <f t="shared" si="12"/>
        <v>39303</v>
      </c>
      <c r="J189" s="172" t="str">
        <f t="shared" si="13"/>
        <v>.</v>
      </c>
      <c r="K189" s="172" t="str">
        <f t="shared" si="14"/>
        <v>ATM/CASH WDL/20070908103237/0</v>
      </c>
      <c r="L189" t="str">
        <f t="shared" si="15"/>
        <v>.</v>
      </c>
      <c r="M189">
        <f t="shared" si="16"/>
        <v>8000</v>
      </c>
      <c r="N189" s="172" t="str">
        <f t="shared" si="17"/>
        <v>1,76,745.12Cr</v>
      </c>
    </row>
    <row r="190" spans="1:14">
      <c r="A190" s="177">
        <v>39364</v>
      </c>
      <c r="B190" s="178" t="s">
        <v>3513</v>
      </c>
      <c r="C190" s="179" t="s">
        <v>3219</v>
      </c>
      <c r="D190" s="187">
        <v>5000</v>
      </c>
      <c r="E190" s="180" t="s">
        <v>3219</v>
      </c>
      <c r="F190" s="180" t="s">
        <v>3219</v>
      </c>
      <c r="G190" s="180" t="s">
        <v>3219</v>
      </c>
      <c r="H190" s="181" t="s">
        <v>3514</v>
      </c>
      <c r="I190" s="173">
        <f t="shared" si="12"/>
        <v>39364</v>
      </c>
      <c r="J190" s="172" t="str">
        <f t="shared" si="13"/>
        <v>.</v>
      </c>
      <c r="K190" s="172" t="str">
        <f t="shared" si="14"/>
        <v>ATM/CASH WDL/20070909143909/0</v>
      </c>
      <c r="L190" t="str">
        <f t="shared" si="15"/>
        <v>.</v>
      </c>
      <c r="M190">
        <f t="shared" si="16"/>
        <v>5000</v>
      </c>
      <c r="N190" s="172" t="str">
        <f t="shared" si="17"/>
        <v>1,71,745.12Cr</v>
      </c>
    </row>
    <row r="191" spans="1:14">
      <c r="A191" s="182">
        <v>39364</v>
      </c>
      <c r="B191" s="183" t="s">
        <v>3515</v>
      </c>
      <c r="C191" s="188" t="s">
        <v>3219</v>
      </c>
      <c r="D191" s="184">
        <v>3000</v>
      </c>
      <c r="E191" s="185" t="s">
        <v>3219</v>
      </c>
      <c r="F191" s="185" t="s">
        <v>3219</v>
      </c>
      <c r="G191" s="185" t="s">
        <v>3219</v>
      </c>
      <c r="H191" s="186" t="s">
        <v>3516</v>
      </c>
      <c r="I191" s="173">
        <f t="shared" si="12"/>
        <v>39364</v>
      </c>
      <c r="J191" s="172" t="str">
        <f t="shared" si="13"/>
        <v>.</v>
      </c>
      <c r="K191" s="172" t="str">
        <f t="shared" si="14"/>
        <v>ATM/CASH WDL/20070910174218/0</v>
      </c>
      <c r="L191" t="str">
        <f t="shared" si="15"/>
        <v>.</v>
      </c>
      <c r="M191">
        <f t="shared" si="16"/>
        <v>3000</v>
      </c>
      <c r="N191" s="172" t="str">
        <f t="shared" si="17"/>
        <v>1,68,745.12Cr</v>
      </c>
    </row>
    <row r="192" spans="1:14">
      <c r="A192" s="178" t="s">
        <v>10859</v>
      </c>
      <c r="B192" s="178" t="s">
        <v>3517</v>
      </c>
      <c r="C192" s="179" t="s">
        <v>3219</v>
      </c>
      <c r="D192" s="180" t="s">
        <v>3219</v>
      </c>
      <c r="E192" s="181" t="s">
        <v>10860</v>
      </c>
      <c r="F192" s="180" t="s">
        <v>3219</v>
      </c>
      <c r="G192" s="180" t="s">
        <v>3219</v>
      </c>
      <c r="H192" s="181" t="s">
        <v>3518</v>
      </c>
      <c r="I192" s="173" t="str">
        <f t="shared" si="12"/>
        <v>26-09-2007</v>
      </c>
      <c r="J192" s="172" t="str">
        <f t="shared" si="13"/>
        <v>.</v>
      </c>
      <c r="K192" s="172" t="str">
        <f t="shared" si="14"/>
        <v>NET SALARY SEPTEMBER 2007</v>
      </c>
      <c r="L192" t="str">
        <f t="shared" si="15"/>
        <v>1,60,844.00</v>
      </c>
      <c r="M192" t="str">
        <f t="shared" si="16"/>
        <v>.</v>
      </c>
      <c r="N192" s="172" t="str">
        <f t="shared" si="17"/>
        <v>3,29,589.12Cr</v>
      </c>
    </row>
    <row r="193" spans="1:14">
      <c r="A193" s="183" t="s">
        <v>10861</v>
      </c>
      <c r="B193" s="183" t="s">
        <v>3519</v>
      </c>
      <c r="C193" s="188" t="s">
        <v>3219</v>
      </c>
      <c r="D193" s="184">
        <v>10000</v>
      </c>
      <c r="E193" s="185" t="s">
        <v>3219</v>
      </c>
      <c r="F193" s="185" t="s">
        <v>3219</v>
      </c>
      <c r="G193" s="185" t="s">
        <v>3219</v>
      </c>
      <c r="H193" s="186" t="s">
        <v>3520</v>
      </c>
      <c r="I193" s="173" t="str">
        <f t="shared" si="12"/>
        <v>28-09-2007</v>
      </c>
      <c r="J193" s="172" t="str">
        <f t="shared" si="13"/>
        <v>.</v>
      </c>
      <c r="K193" s="172" t="str">
        <f t="shared" si="14"/>
        <v>ATM/CASH WDL/20070928202845/0</v>
      </c>
      <c r="L193" t="str">
        <f t="shared" si="15"/>
        <v>.</v>
      </c>
      <c r="M193">
        <f t="shared" si="16"/>
        <v>10000</v>
      </c>
      <c r="N193" s="172" t="str">
        <f t="shared" si="17"/>
        <v>3,19,589.12Cr</v>
      </c>
    </row>
    <row r="194" spans="1:14">
      <c r="A194" s="177">
        <v>39092</v>
      </c>
      <c r="B194" s="178" t="s">
        <v>1394</v>
      </c>
      <c r="C194" s="179" t="s">
        <v>3219</v>
      </c>
      <c r="D194" s="180" t="s">
        <v>3219</v>
      </c>
      <c r="E194" s="180" t="s">
        <v>3219</v>
      </c>
      <c r="F194" s="180" t="s">
        <v>3219</v>
      </c>
      <c r="G194" s="180" t="s">
        <v>3219</v>
      </c>
      <c r="H194" s="181" t="s">
        <v>3520</v>
      </c>
      <c r="I194" s="173">
        <f t="shared" si="12"/>
        <v>39092</v>
      </c>
      <c r="J194" s="172" t="str">
        <f t="shared" si="13"/>
        <v>.</v>
      </c>
      <c r="K194" s="172" t="str">
        <f t="shared" si="14"/>
        <v>B/F</v>
      </c>
      <c r="L194" t="str">
        <f t="shared" si="15"/>
        <v>.</v>
      </c>
      <c r="M194" t="str">
        <f t="shared" si="16"/>
        <v>.</v>
      </c>
      <c r="N194" s="172" t="str">
        <f t="shared" si="17"/>
        <v>3,19,589.12Cr</v>
      </c>
    </row>
    <row r="195" spans="1:14">
      <c r="A195" s="182">
        <v>39092</v>
      </c>
      <c r="B195" s="183" t="s">
        <v>3257</v>
      </c>
      <c r="C195" s="183">
        <v>810325</v>
      </c>
      <c r="D195" s="184">
        <v>13192</v>
      </c>
      <c r="E195" s="185" t="s">
        <v>3219</v>
      </c>
      <c r="F195" s="185" t="s">
        <v>3219</v>
      </c>
      <c r="G195" s="185" t="s">
        <v>3219</v>
      </c>
      <c r="H195" s="186" t="s">
        <v>3521</v>
      </c>
      <c r="I195" s="173">
        <f t="shared" ref="I195:I258" si="18">A195</f>
        <v>39092</v>
      </c>
      <c r="J195" s="172">
        <f t="shared" ref="J195:J258" si="19">C195</f>
        <v>810325</v>
      </c>
      <c r="K195" s="172" t="str">
        <f t="shared" ref="K195:K258" si="20">B195</f>
        <v>GRUH FIN LTD</v>
      </c>
      <c r="L195" t="str">
        <f t="shared" ref="L195:L258" si="21">E195</f>
        <v>.</v>
      </c>
      <c r="M195">
        <f t="shared" ref="M195:M258" si="22">D195</f>
        <v>13192</v>
      </c>
      <c r="N195" s="172" t="str">
        <f t="shared" ref="N195:N258" si="23">H195</f>
        <v>3,06,397.12Cr</v>
      </c>
    </row>
    <row r="196" spans="1:14">
      <c r="A196" s="177">
        <v>39151</v>
      </c>
      <c r="B196" s="178" t="s">
        <v>3522</v>
      </c>
      <c r="C196" s="179" t="s">
        <v>3219</v>
      </c>
      <c r="D196" s="187">
        <v>15000</v>
      </c>
      <c r="E196" s="180" t="s">
        <v>3219</v>
      </c>
      <c r="F196" s="180" t="s">
        <v>3219</v>
      </c>
      <c r="G196" s="180" t="s">
        <v>3219</v>
      </c>
      <c r="H196" s="181" t="s">
        <v>3523</v>
      </c>
      <c r="I196" s="173">
        <f t="shared" si="18"/>
        <v>39151</v>
      </c>
      <c r="J196" s="172" t="str">
        <f t="shared" si="19"/>
        <v>.</v>
      </c>
      <c r="K196" s="172" t="str">
        <f t="shared" si="20"/>
        <v>ATM/CASH WDL/20071002193422/0</v>
      </c>
      <c r="L196" t="str">
        <f t="shared" si="21"/>
        <v>.</v>
      </c>
      <c r="M196">
        <f t="shared" si="22"/>
        <v>15000</v>
      </c>
      <c r="N196" s="172" t="str">
        <f t="shared" si="23"/>
        <v>2,91,397.12Cr</v>
      </c>
    </row>
    <row r="197" spans="1:14">
      <c r="A197" s="182">
        <v>39151</v>
      </c>
      <c r="B197" s="183" t="s">
        <v>3524</v>
      </c>
      <c r="C197" s="183">
        <v>810324</v>
      </c>
      <c r="D197" s="184">
        <v>3142</v>
      </c>
      <c r="E197" s="185" t="s">
        <v>3219</v>
      </c>
      <c r="F197" s="185" t="s">
        <v>3219</v>
      </c>
      <c r="G197" s="185" t="s">
        <v>3219</v>
      </c>
      <c r="H197" s="186" t="s">
        <v>3525</v>
      </c>
      <c r="I197" s="173">
        <f t="shared" si="18"/>
        <v>39151</v>
      </c>
      <c r="J197" s="172">
        <f t="shared" si="19"/>
        <v>810324</v>
      </c>
      <c r="K197" s="172" t="str">
        <f t="shared" si="20"/>
        <v>IFB INDUSTRIES LTD</v>
      </c>
      <c r="L197" t="str">
        <f t="shared" si="21"/>
        <v>.</v>
      </c>
      <c r="M197">
        <f t="shared" si="22"/>
        <v>3142</v>
      </c>
      <c r="N197" s="172" t="str">
        <f t="shared" si="23"/>
        <v>2,88,255.12Cr</v>
      </c>
    </row>
    <row r="198" spans="1:14">
      <c r="A198" s="177">
        <v>39182</v>
      </c>
      <c r="B198" s="178" t="s">
        <v>3453</v>
      </c>
      <c r="C198" s="178">
        <v>940701</v>
      </c>
      <c r="D198" s="187">
        <v>9818</v>
      </c>
      <c r="E198" s="180" t="s">
        <v>3219</v>
      </c>
      <c r="F198" s="180" t="s">
        <v>3219</v>
      </c>
      <c r="G198" s="180" t="s">
        <v>3219</v>
      </c>
      <c r="H198" s="181" t="s">
        <v>3526</v>
      </c>
      <c r="I198" s="173">
        <f t="shared" si="18"/>
        <v>39182</v>
      </c>
      <c r="J198" s="172">
        <f t="shared" si="19"/>
        <v>940701</v>
      </c>
      <c r="K198" s="172" t="str">
        <f t="shared" si="20"/>
        <v>ICICI CC 4864093103226009</v>
      </c>
      <c r="L198" t="str">
        <f t="shared" si="21"/>
        <v>.</v>
      </c>
      <c r="M198">
        <f t="shared" si="22"/>
        <v>9818</v>
      </c>
      <c r="N198" s="172" t="str">
        <f t="shared" si="23"/>
        <v>2,78,437.12Cr</v>
      </c>
    </row>
    <row r="199" spans="1:14">
      <c r="A199" s="182">
        <v>39304</v>
      </c>
      <c r="B199" s="183" t="s">
        <v>3527</v>
      </c>
      <c r="C199" s="183">
        <v>940702</v>
      </c>
      <c r="D199" s="186">
        <v>771</v>
      </c>
      <c r="E199" s="185" t="s">
        <v>3219</v>
      </c>
      <c r="F199" s="185" t="s">
        <v>3219</v>
      </c>
      <c r="G199" s="185" t="s">
        <v>3219</v>
      </c>
      <c r="H199" s="186" t="s">
        <v>3528</v>
      </c>
      <c r="I199" s="173">
        <f t="shared" si="18"/>
        <v>39304</v>
      </c>
      <c r="J199" s="172">
        <f t="shared" si="19"/>
        <v>940702</v>
      </c>
      <c r="K199" s="172" t="str">
        <f t="shared" si="20"/>
        <v>TATA TELESERVICES M LTD</v>
      </c>
      <c r="L199" t="str">
        <f t="shared" si="21"/>
        <v>.</v>
      </c>
      <c r="M199">
        <f t="shared" si="22"/>
        <v>771</v>
      </c>
      <c r="N199" s="172" t="str">
        <f t="shared" si="23"/>
        <v>2,77,666.12Cr</v>
      </c>
    </row>
    <row r="200" spans="1:14">
      <c r="A200" s="177">
        <v>39335</v>
      </c>
      <c r="B200" s="178" t="s">
        <v>3529</v>
      </c>
      <c r="C200" s="179" t="s">
        <v>3219</v>
      </c>
      <c r="D200" s="187">
        <v>2000</v>
      </c>
      <c r="E200" s="180" t="s">
        <v>3219</v>
      </c>
      <c r="F200" s="180" t="s">
        <v>3219</v>
      </c>
      <c r="G200" s="180" t="s">
        <v>3219</v>
      </c>
      <c r="H200" s="181" t="s">
        <v>3530</v>
      </c>
      <c r="I200" s="173">
        <f t="shared" si="18"/>
        <v>39335</v>
      </c>
      <c r="J200" s="172" t="str">
        <f t="shared" si="19"/>
        <v>.</v>
      </c>
      <c r="K200" s="172" t="str">
        <f t="shared" si="20"/>
        <v>ATM/CASH WDL/20071009185340/0</v>
      </c>
      <c r="L200" t="str">
        <f t="shared" si="21"/>
        <v>.</v>
      </c>
      <c r="M200">
        <f t="shared" si="22"/>
        <v>2000</v>
      </c>
      <c r="N200" s="172" t="str">
        <f t="shared" si="23"/>
        <v>2,75,666.12Cr</v>
      </c>
    </row>
    <row r="201" spans="1:14">
      <c r="A201" s="182">
        <v>39396</v>
      </c>
      <c r="B201" s="183" t="s">
        <v>3385</v>
      </c>
      <c r="C201" s="183">
        <v>940703</v>
      </c>
      <c r="D201" s="186">
        <v>890</v>
      </c>
      <c r="E201" s="185" t="s">
        <v>3219</v>
      </c>
      <c r="F201" s="185" t="s">
        <v>3219</v>
      </c>
      <c r="G201" s="185" t="s">
        <v>3219</v>
      </c>
      <c r="H201" s="186" t="s">
        <v>3531</v>
      </c>
      <c r="I201" s="173">
        <f t="shared" si="18"/>
        <v>39396</v>
      </c>
      <c r="J201" s="172">
        <f t="shared" si="19"/>
        <v>940703</v>
      </c>
      <c r="K201" s="172" t="str">
        <f t="shared" si="20"/>
        <v>MSED CO LTD</v>
      </c>
      <c r="L201" t="str">
        <f t="shared" si="21"/>
        <v>.</v>
      </c>
      <c r="M201">
        <f t="shared" si="22"/>
        <v>890</v>
      </c>
      <c r="N201" s="172" t="str">
        <f t="shared" si="23"/>
        <v>2,74,776.12Cr</v>
      </c>
    </row>
    <row r="202" spans="1:14">
      <c r="A202" s="178" t="s">
        <v>10072</v>
      </c>
      <c r="B202" s="178" t="s">
        <v>3532</v>
      </c>
      <c r="C202" s="179" t="s">
        <v>3219</v>
      </c>
      <c r="D202" s="187">
        <v>3000</v>
      </c>
      <c r="E202" s="180" t="s">
        <v>3219</v>
      </c>
      <c r="F202" s="180" t="s">
        <v>3219</v>
      </c>
      <c r="G202" s="180" t="s">
        <v>3219</v>
      </c>
      <c r="H202" s="181" t="s">
        <v>3533</v>
      </c>
      <c r="I202" s="173" t="str">
        <f t="shared" si="18"/>
        <v>19-10-2007</v>
      </c>
      <c r="J202" s="172" t="str">
        <f t="shared" si="19"/>
        <v>.</v>
      </c>
      <c r="K202" s="172" t="str">
        <f t="shared" si="20"/>
        <v>ATM/CASH WDL/20071019093203/0</v>
      </c>
      <c r="L202" t="str">
        <f t="shared" si="21"/>
        <v>.</v>
      </c>
      <c r="M202">
        <f t="shared" si="22"/>
        <v>3000</v>
      </c>
      <c r="N202" s="172" t="str">
        <f t="shared" si="23"/>
        <v>2,71,776.12Cr</v>
      </c>
    </row>
    <row r="203" spans="1:14">
      <c r="A203" s="183" t="s">
        <v>10073</v>
      </c>
      <c r="B203" s="183" t="s">
        <v>3534</v>
      </c>
      <c r="C203" s="188" t="s">
        <v>3219</v>
      </c>
      <c r="D203" s="185" t="s">
        <v>3219</v>
      </c>
      <c r="E203" s="184">
        <v>5040</v>
      </c>
      <c r="F203" s="185" t="s">
        <v>3219</v>
      </c>
      <c r="G203" s="185" t="s">
        <v>3219</v>
      </c>
      <c r="H203" s="186" t="s">
        <v>3535</v>
      </c>
      <c r="I203" s="173" t="str">
        <f t="shared" si="18"/>
        <v>26-10-2007</v>
      </c>
      <c r="J203" s="172" t="str">
        <f t="shared" si="19"/>
        <v>.</v>
      </c>
      <c r="K203" s="172" t="str">
        <f t="shared" si="20"/>
        <v>265621 STATE BANK O N.A.</v>
      </c>
      <c r="L203">
        <f t="shared" si="21"/>
        <v>5040</v>
      </c>
      <c r="M203" t="str">
        <f t="shared" si="22"/>
        <v>.</v>
      </c>
      <c r="N203" s="172" t="str">
        <f t="shared" si="23"/>
        <v>2,76,816.12Cr</v>
      </c>
    </row>
    <row r="204" spans="1:14">
      <c r="A204" s="178" t="s">
        <v>10073</v>
      </c>
      <c r="B204" s="178" t="s">
        <v>1404</v>
      </c>
      <c r="C204" s="179" t="s">
        <v>3219</v>
      </c>
      <c r="D204" s="180" t="s">
        <v>3219</v>
      </c>
      <c r="E204" s="181" t="s">
        <v>10856</v>
      </c>
      <c r="F204" s="180" t="s">
        <v>3219</v>
      </c>
      <c r="G204" s="180" t="s">
        <v>3219</v>
      </c>
      <c r="H204" s="181" t="s">
        <v>3536</v>
      </c>
      <c r="I204" s="173" t="str">
        <f t="shared" si="18"/>
        <v>26-10-2007</v>
      </c>
      <c r="J204" s="172" t="str">
        <f t="shared" si="19"/>
        <v>.</v>
      </c>
      <c r="K204" s="172" t="str">
        <f t="shared" si="20"/>
        <v>BY SALARY</v>
      </c>
      <c r="L204" t="str">
        <f t="shared" si="21"/>
        <v>3,06,499.00</v>
      </c>
      <c r="M204" t="str">
        <f t="shared" si="22"/>
        <v>.</v>
      </c>
      <c r="N204" s="172" t="str">
        <f t="shared" si="23"/>
        <v>5,83,315.12Cr</v>
      </c>
    </row>
    <row r="205" spans="1:14">
      <c r="A205" s="183" t="s">
        <v>10074</v>
      </c>
      <c r="B205" s="183" t="s">
        <v>3537</v>
      </c>
      <c r="C205" s="188" t="s">
        <v>3219</v>
      </c>
      <c r="D205" s="184">
        <v>2000</v>
      </c>
      <c r="E205" s="185" t="s">
        <v>3219</v>
      </c>
      <c r="F205" s="185" t="s">
        <v>3219</v>
      </c>
      <c r="G205" s="185" t="s">
        <v>3219</v>
      </c>
      <c r="H205" s="186" t="s">
        <v>3538</v>
      </c>
      <c r="I205" s="173" t="str">
        <f t="shared" si="18"/>
        <v>29-10-2007</v>
      </c>
      <c r="J205" s="172" t="str">
        <f t="shared" si="19"/>
        <v>.</v>
      </c>
      <c r="K205" s="172" t="str">
        <f t="shared" si="20"/>
        <v>ATM/CASH WDL/20071028175118/0</v>
      </c>
      <c r="L205" t="str">
        <f t="shared" si="21"/>
        <v>.</v>
      </c>
      <c r="M205">
        <f t="shared" si="22"/>
        <v>2000</v>
      </c>
      <c r="N205" s="172" t="str">
        <f t="shared" si="23"/>
        <v>5,81,315.12Cr</v>
      </c>
    </row>
    <row r="206" spans="1:14">
      <c r="A206" s="177">
        <v>39093</v>
      </c>
      <c r="B206" s="178" t="s">
        <v>1394</v>
      </c>
      <c r="C206" s="179" t="s">
        <v>3219</v>
      </c>
      <c r="D206" s="180" t="s">
        <v>3219</v>
      </c>
      <c r="E206" s="180" t="s">
        <v>3219</v>
      </c>
      <c r="F206" s="180" t="s">
        <v>3219</v>
      </c>
      <c r="G206" s="180" t="s">
        <v>3219</v>
      </c>
      <c r="H206" s="181" t="s">
        <v>3538</v>
      </c>
      <c r="I206" s="173">
        <f t="shared" si="18"/>
        <v>39093</v>
      </c>
      <c r="J206" s="172" t="str">
        <f t="shared" si="19"/>
        <v>.</v>
      </c>
      <c r="K206" s="172" t="str">
        <f t="shared" si="20"/>
        <v>B/F</v>
      </c>
      <c r="L206" t="str">
        <f t="shared" si="21"/>
        <v>.</v>
      </c>
      <c r="M206" t="str">
        <f t="shared" si="22"/>
        <v>.</v>
      </c>
      <c r="N206" s="172" t="str">
        <f t="shared" si="23"/>
        <v>5,81,315.12Cr</v>
      </c>
    </row>
    <row r="207" spans="1:14">
      <c r="A207" s="182">
        <v>39093</v>
      </c>
      <c r="B207" s="183" t="s">
        <v>3539</v>
      </c>
      <c r="C207" s="188" t="s">
        <v>3219</v>
      </c>
      <c r="D207" s="184">
        <v>10000</v>
      </c>
      <c r="E207" s="185" t="s">
        <v>3219</v>
      </c>
      <c r="F207" s="185" t="s">
        <v>3219</v>
      </c>
      <c r="G207" s="185" t="s">
        <v>3219</v>
      </c>
      <c r="H207" s="186" t="s">
        <v>3540</v>
      </c>
      <c r="I207" s="173">
        <f t="shared" si="18"/>
        <v>39093</v>
      </c>
      <c r="J207" s="172" t="str">
        <f t="shared" si="19"/>
        <v>.</v>
      </c>
      <c r="K207" s="172" t="str">
        <f t="shared" si="20"/>
        <v>ATM/CASH WDL/20071101160430/0</v>
      </c>
      <c r="L207" t="str">
        <f t="shared" si="21"/>
        <v>.</v>
      </c>
      <c r="M207">
        <f t="shared" si="22"/>
        <v>10000</v>
      </c>
      <c r="N207" s="172" t="str">
        <f t="shared" si="23"/>
        <v>5,71,315.12Cr</v>
      </c>
    </row>
    <row r="208" spans="1:14">
      <c r="A208" s="177">
        <v>39124</v>
      </c>
      <c r="B208" s="178" t="s">
        <v>1473</v>
      </c>
      <c r="C208" s="178">
        <v>940713</v>
      </c>
      <c r="D208" s="187">
        <v>6331</v>
      </c>
      <c r="E208" s="180" t="s">
        <v>3219</v>
      </c>
      <c r="F208" s="180" t="s">
        <v>3219</v>
      </c>
      <c r="G208" s="180" t="s">
        <v>3219</v>
      </c>
      <c r="H208" s="181" t="s">
        <v>3541</v>
      </c>
      <c r="I208" s="173">
        <f t="shared" si="18"/>
        <v>39124</v>
      </c>
      <c r="J208" s="172">
        <f t="shared" si="19"/>
        <v>940713</v>
      </c>
      <c r="K208" s="172" t="str">
        <f t="shared" si="20"/>
        <v>LIC OF INDIA</v>
      </c>
      <c r="L208" t="str">
        <f t="shared" si="21"/>
        <v>.</v>
      </c>
      <c r="M208">
        <f t="shared" si="22"/>
        <v>6331</v>
      </c>
      <c r="N208" s="172" t="str">
        <f t="shared" si="23"/>
        <v>5,64,984.12Cr</v>
      </c>
    </row>
    <row r="209" spans="1:14">
      <c r="A209" s="182">
        <v>39152</v>
      </c>
      <c r="B209" s="183" t="s">
        <v>3542</v>
      </c>
      <c r="C209" s="183">
        <v>940711</v>
      </c>
      <c r="D209" s="186">
        <v>832</v>
      </c>
      <c r="E209" s="185" t="s">
        <v>3219</v>
      </c>
      <c r="F209" s="185" t="s">
        <v>3219</v>
      </c>
      <c r="G209" s="185" t="s">
        <v>3219</v>
      </c>
      <c r="H209" s="186" t="s">
        <v>3543</v>
      </c>
      <c r="I209" s="173">
        <f t="shared" si="18"/>
        <v>39152</v>
      </c>
      <c r="J209" s="172">
        <f t="shared" si="19"/>
        <v>940711</v>
      </c>
      <c r="K209" s="172" t="str">
        <f t="shared" si="20"/>
        <v>TATA TELESERVICE MAH LTD</v>
      </c>
      <c r="L209" t="str">
        <f t="shared" si="21"/>
        <v>.</v>
      </c>
      <c r="M209">
        <f t="shared" si="22"/>
        <v>832</v>
      </c>
      <c r="N209" s="172" t="str">
        <f t="shared" si="23"/>
        <v>5,64,152.12Cr</v>
      </c>
    </row>
    <row r="210" spans="1:14">
      <c r="A210" s="177">
        <v>39152</v>
      </c>
      <c r="B210" s="178" t="s">
        <v>3221</v>
      </c>
      <c r="C210" s="178">
        <v>940710</v>
      </c>
      <c r="D210" s="187">
        <v>13192</v>
      </c>
      <c r="E210" s="180" t="s">
        <v>3219</v>
      </c>
      <c r="F210" s="180" t="s">
        <v>3219</v>
      </c>
      <c r="G210" s="180" t="s">
        <v>3219</v>
      </c>
      <c r="H210" s="181" t="s">
        <v>3544</v>
      </c>
      <c r="I210" s="173">
        <f t="shared" si="18"/>
        <v>39152</v>
      </c>
      <c r="J210" s="172">
        <f t="shared" si="19"/>
        <v>940710</v>
      </c>
      <c r="K210" s="172" t="str">
        <f t="shared" si="20"/>
        <v>GRUH FINANCE LTD</v>
      </c>
      <c r="L210" t="str">
        <f t="shared" si="21"/>
        <v>.</v>
      </c>
      <c r="M210">
        <f t="shared" si="22"/>
        <v>13192</v>
      </c>
      <c r="N210" s="172" t="str">
        <f t="shared" si="23"/>
        <v>5,50,960.12Cr</v>
      </c>
    </row>
    <row r="211" spans="1:14">
      <c r="A211" s="182">
        <v>39366</v>
      </c>
      <c r="B211" s="183" t="s">
        <v>3545</v>
      </c>
      <c r="C211" s="188" t="s">
        <v>3219</v>
      </c>
      <c r="D211" s="184">
        <v>10000</v>
      </c>
      <c r="E211" s="185" t="s">
        <v>3219</v>
      </c>
      <c r="F211" s="185" t="s">
        <v>3219</v>
      </c>
      <c r="G211" s="185" t="s">
        <v>3219</v>
      </c>
      <c r="H211" s="186" t="s">
        <v>3546</v>
      </c>
      <c r="I211" s="173">
        <f t="shared" si="18"/>
        <v>39366</v>
      </c>
      <c r="J211" s="172" t="str">
        <f t="shared" si="19"/>
        <v>.</v>
      </c>
      <c r="K211" s="172" t="str">
        <f t="shared" si="20"/>
        <v>ATM/CASH WDL/20071110113930/0</v>
      </c>
      <c r="L211" t="str">
        <f t="shared" si="21"/>
        <v>.</v>
      </c>
      <c r="M211">
        <f t="shared" si="22"/>
        <v>10000</v>
      </c>
      <c r="N211" s="172" t="str">
        <f t="shared" si="23"/>
        <v>5,40,960.12Cr</v>
      </c>
    </row>
    <row r="212" spans="1:14">
      <c r="A212" s="178" t="s">
        <v>10075</v>
      </c>
      <c r="B212" s="178" t="s">
        <v>3547</v>
      </c>
      <c r="C212" s="179" t="s">
        <v>3219</v>
      </c>
      <c r="D212" s="187">
        <v>1500</v>
      </c>
      <c r="E212" s="180" t="s">
        <v>3219</v>
      </c>
      <c r="F212" s="180" t="s">
        <v>3219</v>
      </c>
      <c r="G212" s="180" t="s">
        <v>3219</v>
      </c>
      <c r="H212" s="181" t="s">
        <v>3548</v>
      </c>
      <c r="I212" s="173" t="str">
        <f t="shared" si="18"/>
        <v>19-11-2007</v>
      </c>
      <c r="J212" s="172" t="str">
        <f t="shared" si="19"/>
        <v>.</v>
      </c>
      <c r="K212" s="172" t="str">
        <f t="shared" si="20"/>
        <v>ATM/CASH WDL/20071119210024/0</v>
      </c>
      <c r="L212" t="str">
        <f t="shared" si="21"/>
        <v>.</v>
      </c>
      <c r="M212">
        <f t="shared" si="22"/>
        <v>1500</v>
      </c>
      <c r="N212" s="172" t="str">
        <f t="shared" si="23"/>
        <v>5,39,460.12Cr</v>
      </c>
    </row>
    <row r="213" spans="1:14">
      <c r="A213" s="183" t="s">
        <v>10076</v>
      </c>
      <c r="B213" s="183" t="s">
        <v>3549</v>
      </c>
      <c r="C213" s="188" t="s">
        <v>3219</v>
      </c>
      <c r="D213" s="184">
        <v>10000</v>
      </c>
      <c r="E213" s="185" t="s">
        <v>3219</v>
      </c>
      <c r="F213" s="185" t="s">
        <v>3219</v>
      </c>
      <c r="G213" s="185" t="s">
        <v>3219</v>
      </c>
      <c r="H213" s="186" t="s">
        <v>3550</v>
      </c>
      <c r="I213" s="173" t="str">
        <f t="shared" si="18"/>
        <v>22-11-2007</v>
      </c>
      <c r="J213" s="172" t="str">
        <f t="shared" si="19"/>
        <v>.</v>
      </c>
      <c r="K213" s="172" t="str">
        <f t="shared" si="20"/>
        <v>ATM/CASH WDL/20071122132730/0</v>
      </c>
      <c r="L213" t="str">
        <f t="shared" si="21"/>
        <v>.</v>
      </c>
      <c r="M213">
        <f t="shared" si="22"/>
        <v>10000</v>
      </c>
      <c r="N213" s="172" t="str">
        <f t="shared" si="23"/>
        <v>5,29,460.12Cr</v>
      </c>
    </row>
    <row r="214" spans="1:14">
      <c r="A214" s="178" t="s">
        <v>10077</v>
      </c>
      <c r="B214" s="178" t="s">
        <v>1404</v>
      </c>
      <c r="C214" s="179" t="s">
        <v>3219</v>
      </c>
      <c r="D214" s="180" t="s">
        <v>3219</v>
      </c>
      <c r="E214" s="187">
        <v>59719</v>
      </c>
      <c r="F214" s="180" t="s">
        <v>3219</v>
      </c>
      <c r="G214" s="180" t="s">
        <v>3219</v>
      </c>
      <c r="H214" s="181" t="s">
        <v>3551</v>
      </c>
      <c r="I214" s="173" t="str">
        <f t="shared" si="18"/>
        <v>26-11-2007</v>
      </c>
      <c r="J214" s="172" t="str">
        <f t="shared" si="19"/>
        <v>.</v>
      </c>
      <c r="K214" s="172" t="str">
        <f t="shared" si="20"/>
        <v>BY SALARY</v>
      </c>
      <c r="L214">
        <f t="shared" si="21"/>
        <v>59719</v>
      </c>
      <c r="M214" t="str">
        <f t="shared" si="22"/>
        <v>.</v>
      </c>
      <c r="N214" s="172" t="str">
        <f t="shared" si="23"/>
        <v>5,89,179.12Cr</v>
      </c>
    </row>
    <row r="215" spans="1:14">
      <c r="A215" s="183" t="s">
        <v>10078</v>
      </c>
      <c r="B215" s="183" t="s">
        <v>3489</v>
      </c>
      <c r="C215" s="183">
        <v>940714</v>
      </c>
      <c r="D215" s="184">
        <v>1390</v>
      </c>
      <c r="E215" s="185" t="s">
        <v>3219</v>
      </c>
      <c r="F215" s="185" t="s">
        <v>3219</v>
      </c>
      <c r="G215" s="185" t="s">
        <v>3219</v>
      </c>
      <c r="H215" s="186" t="s">
        <v>3552</v>
      </c>
      <c r="I215" s="173" t="str">
        <f t="shared" si="18"/>
        <v>28-11-2007</v>
      </c>
      <c r="J215" s="172">
        <f t="shared" si="19"/>
        <v>940714</v>
      </c>
      <c r="K215" s="172" t="str">
        <f t="shared" si="20"/>
        <v>MSEDCL</v>
      </c>
      <c r="L215" t="str">
        <f t="shared" si="21"/>
        <v>.</v>
      </c>
      <c r="M215">
        <f t="shared" si="22"/>
        <v>1390</v>
      </c>
      <c r="N215" s="172" t="str">
        <f t="shared" si="23"/>
        <v>5,87,789.12Cr</v>
      </c>
    </row>
    <row r="216" spans="1:14">
      <c r="A216" s="177">
        <v>39094</v>
      </c>
      <c r="B216" s="178" t="s">
        <v>1394</v>
      </c>
      <c r="C216" s="179" t="s">
        <v>3219</v>
      </c>
      <c r="D216" s="180" t="s">
        <v>3219</v>
      </c>
      <c r="E216" s="180" t="s">
        <v>3219</v>
      </c>
      <c r="F216" s="180" t="s">
        <v>3219</v>
      </c>
      <c r="G216" s="180" t="s">
        <v>3219</v>
      </c>
      <c r="H216" s="181" t="s">
        <v>3552</v>
      </c>
      <c r="I216" s="173">
        <f t="shared" si="18"/>
        <v>39094</v>
      </c>
      <c r="J216" s="172" t="str">
        <f t="shared" si="19"/>
        <v>.</v>
      </c>
      <c r="K216" s="172" t="str">
        <f t="shared" si="20"/>
        <v>B/F</v>
      </c>
      <c r="L216" t="str">
        <f t="shared" si="21"/>
        <v>.</v>
      </c>
      <c r="M216" t="str">
        <f t="shared" si="22"/>
        <v>.</v>
      </c>
      <c r="N216" s="172" t="str">
        <f t="shared" si="23"/>
        <v>5,87,789.12Cr</v>
      </c>
    </row>
    <row r="217" spans="1:14">
      <c r="A217" s="182">
        <v>39184</v>
      </c>
      <c r="B217" s="183" t="s">
        <v>3542</v>
      </c>
      <c r="C217" s="183">
        <v>940715</v>
      </c>
      <c r="D217" s="186">
        <v>632</v>
      </c>
      <c r="E217" s="185" t="s">
        <v>3219</v>
      </c>
      <c r="F217" s="185" t="s">
        <v>3219</v>
      </c>
      <c r="G217" s="185" t="s">
        <v>3219</v>
      </c>
      <c r="H217" s="186" t="s">
        <v>3553</v>
      </c>
      <c r="I217" s="173">
        <f t="shared" si="18"/>
        <v>39184</v>
      </c>
      <c r="J217" s="172">
        <f t="shared" si="19"/>
        <v>940715</v>
      </c>
      <c r="K217" s="172" t="str">
        <f t="shared" si="20"/>
        <v>TATA TELESERVICE MAH LTD</v>
      </c>
      <c r="L217" t="str">
        <f t="shared" si="21"/>
        <v>.</v>
      </c>
      <c r="M217">
        <f t="shared" si="22"/>
        <v>632</v>
      </c>
      <c r="N217" s="172" t="str">
        <f t="shared" si="23"/>
        <v>5,87,157.12Cr</v>
      </c>
    </row>
    <row r="218" spans="1:14">
      <c r="A218" s="177">
        <v>39184</v>
      </c>
      <c r="B218" s="178" t="s">
        <v>3453</v>
      </c>
      <c r="C218" s="178">
        <v>940716</v>
      </c>
      <c r="D218" s="187">
        <v>14780</v>
      </c>
      <c r="E218" s="180" t="s">
        <v>3219</v>
      </c>
      <c r="F218" s="180" t="s">
        <v>3219</v>
      </c>
      <c r="G218" s="180" t="s">
        <v>3219</v>
      </c>
      <c r="H218" s="181" t="s">
        <v>3554</v>
      </c>
      <c r="I218" s="173">
        <f t="shared" si="18"/>
        <v>39184</v>
      </c>
      <c r="J218" s="172">
        <f t="shared" si="19"/>
        <v>940716</v>
      </c>
      <c r="K218" s="172" t="str">
        <f t="shared" si="20"/>
        <v>ICICI CC 4864093103226009</v>
      </c>
      <c r="L218" t="str">
        <f t="shared" si="21"/>
        <v>.</v>
      </c>
      <c r="M218">
        <f t="shared" si="22"/>
        <v>14780</v>
      </c>
      <c r="N218" s="172" t="str">
        <f t="shared" si="23"/>
        <v>5,72,377.12Cr</v>
      </c>
    </row>
    <row r="219" spans="1:14">
      <c r="A219" s="182">
        <v>39184</v>
      </c>
      <c r="B219" s="183" t="s">
        <v>3555</v>
      </c>
      <c r="C219" s="188" t="s">
        <v>3219</v>
      </c>
      <c r="D219" s="184">
        <v>2000</v>
      </c>
      <c r="E219" s="185" t="s">
        <v>3219</v>
      </c>
      <c r="F219" s="185" t="s">
        <v>3219</v>
      </c>
      <c r="G219" s="185" t="s">
        <v>3219</v>
      </c>
      <c r="H219" s="186" t="s">
        <v>3556</v>
      </c>
      <c r="I219" s="173">
        <f t="shared" si="18"/>
        <v>39184</v>
      </c>
      <c r="J219" s="172" t="str">
        <f t="shared" si="19"/>
        <v>.</v>
      </c>
      <c r="K219" s="172" t="str">
        <f t="shared" si="20"/>
        <v>ATM/CASH WDL/20071204214653/0</v>
      </c>
      <c r="L219" t="str">
        <f t="shared" si="21"/>
        <v>.</v>
      </c>
      <c r="M219">
        <f t="shared" si="22"/>
        <v>2000</v>
      </c>
      <c r="N219" s="172" t="str">
        <f t="shared" si="23"/>
        <v>5,70,377.12Cr</v>
      </c>
    </row>
    <row r="220" spans="1:14">
      <c r="A220" s="177">
        <v>39275</v>
      </c>
      <c r="B220" s="178" t="s">
        <v>1407</v>
      </c>
      <c r="C220" s="178">
        <v>940704</v>
      </c>
      <c r="D220" s="187">
        <v>40000</v>
      </c>
      <c r="E220" s="180" t="s">
        <v>3219</v>
      </c>
      <c r="F220" s="180" t="s">
        <v>3219</v>
      </c>
      <c r="G220" s="180" t="s">
        <v>3219</v>
      </c>
      <c r="H220" s="181" t="s">
        <v>3557</v>
      </c>
      <c r="I220" s="173">
        <f t="shared" si="18"/>
        <v>39275</v>
      </c>
      <c r="J220" s="172">
        <f t="shared" si="19"/>
        <v>940704</v>
      </c>
      <c r="K220" s="172" t="str">
        <f t="shared" si="20"/>
        <v>THE SARASWAT CO OP BK LTD</v>
      </c>
      <c r="L220" t="str">
        <f t="shared" si="21"/>
        <v>.</v>
      </c>
      <c r="M220">
        <f t="shared" si="22"/>
        <v>40000</v>
      </c>
      <c r="N220" s="172" t="str">
        <f t="shared" si="23"/>
        <v>5,30,377.12Cr</v>
      </c>
    </row>
    <row r="221" spans="1:14">
      <c r="A221" s="183" t="s">
        <v>10862</v>
      </c>
      <c r="B221" s="183" t="s">
        <v>1404</v>
      </c>
      <c r="C221" s="188" t="s">
        <v>3219</v>
      </c>
      <c r="D221" s="185" t="s">
        <v>3219</v>
      </c>
      <c r="E221" s="184">
        <v>55958</v>
      </c>
      <c r="F221" s="185" t="s">
        <v>3219</v>
      </c>
      <c r="G221" s="185" t="s">
        <v>3219</v>
      </c>
      <c r="H221" s="186" t="s">
        <v>10863</v>
      </c>
      <c r="I221" s="173" t="str">
        <f t="shared" si="18"/>
        <v>26-12-2007</v>
      </c>
      <c r="J221" s="172" t="str">
        <f t="shared" si="19"/>
        <v>.</v>
      </c>
      <c r="K221" s="172" t="str">
        <f t="shared" si="20"/>
        <v>BY SALARY</v>
      </c>
      <c r="L221">
        <f t="shared" si="21"/>
        <v>55958</v>
      </c>
      <c r="M221" t="str">
        <f t="shared" si="22"/>
        <v>.</v>
      </c>
      <c r="N221" s="172" t="str">
        <f t="shared" si="23"/>
        <v>5,86,335.12Cr</v>
      </c>
    </row>
    <row r="222" spans="1:14">
      <c r="A222" s="178" t="s">
        <v>10864</v>
      </c>
      <c r="B222" s="178">
        <v>414608496</v>
      </c>
      <c r="C222" s="179" t="s">
        <v>3219</v>
      </c>
      <c r="D222" s="187">
        <v>45000</v>
      </c>
      <c r="E222" s="180" t="s">
        <v>3219</v>
      </c>
      <c r="F222" s="180" t="s">
        <v>3219</v>
      </c>
      <c r="G222" s="180" t="s">
        <v>3219</v>
      </c>
      <c r="H222" s="181" t="s">
        <v>3559</v>
      </c>
      <c r="I222" s="173" t="str">
        <f t="shared" si="18"/>
        <v>27-12-2007</v>
      </c>
      <c r="J222" s="172" t="str">
        <f t="shared" si="19"/>
        <v>.</v>
      </c>
      <c r="K222" s="172">
        <f t="shared" si="20"/>
        <v>414608496</v>
      </c>
      <c r="L222" t="str">
        <f t="shared" si="21"/>
        <v>.</v>
      </c>
      <c r="M222">
        <f t="shared" si="22"/>
        <v>45000</v>
      </c>
      <c r="N222" s="172" t="str">
        <f t="shared" si="23"/>
        <v>5,41,335.12Cr</v>
      </c>
    </row>
    <row r="223" spans="1:14">
      <c r="A223" s="177">
        <v>39448</v>
      </c>
      <c r="B223" s="178" t="s">
        <v>1394</v>
      </c>
      <c r="C223" s="179" t="s">
        <v>3219</v>
      </c>
      <c r="D223" s="180" t="s">
        <v>3219</v>
      </c>
      <c r="E223" s="180" t="s">
        <v>3219</v>
      </c>
      <c r="F223" s="180" t="s">
        <v>3219</v>
      </c>
      <c r="G223" s="180" t="s">
        <v>3219</v>
      </c>
      <c r="H223" s="181" t="s">
        <v>3559</v>
      </c>
      <c r="I223" s="173">
        <f t="shared" si="18"/>
        <v>39448</v>
      </c>
      <c r="J223" s="172" t="str">
        <f t="shared" si="19"/>
        <v>.</v>
      </c>
      <c r="K223" s="172" t="str">
        <f t="shared" si="20"/>
        <v>B/F</v>
      </c>
      <c r="L223" t="str">
        <f t="shared" si="21"/>
        <v>.</v>
      </c>
      <c r="M223" t="str">
        <f t="shared" si="22"/>
        <v>.</v>
      </c>
      <c r="N223" s="172" t="str">
        <f t="shared" si="23"/>
        <v>5,41,335.12Cr</v>
      </c>
    </row>
    <row r="224" spans="1:14">
      <c r="A224" s="182">
        <v>39448</v>
      </c>
      <c r="B224" s="183" t="s">
        <v>3560</v>
      </c>
      <c r="C224" s="183">
        <v>940717</v>
      </c>
      <c r="D224" s="184">
        <v>1001</v>
      </c>
      <c r="E224" s="185" t="s">
        <v>3219</v>
      </c>
      <c r="F224" s="185" t="s">
        <v>3219</v>
      </c>
      <c r="G224" s="185" t="s">
        <v>3219</v>
      </c>
      <c r="H224" s="186" t="s">
        <v>3561</v>
      </c>
      <c r="I224" s="173">
        <f t="shared" si="18"/>
        <v>39448</v>
      </c>
      <c r="J224" s="172">
        <f t="shared" si="19"/>
        <v>940717</v>
      </c>
      <c r="K224" s="172" t="str">
        <f t="shared" si="20"/>
        <v>TATA TELESERVICES MAHA LTD</v>
      </c>
      <c r="L224" t="str">
        <f t="shared" si="21"/>
        <v>.</v>
      </c>
      <c r="M224">
        <f t="shared" si="22"/>
        <v>1001</v>
      </c>
      <c r="N224" s="172" t="str">
        <f t="shared" si="23"/>
        <v>5,40,334.12Cr</v>
      </c>
    </row>
    <row r="225" spans="1:14">
      <c r="A225" s="177">
        <v>39479</v>
      </c>
      <c r="B225" s="178" t="s">
        <v>3562</v>
      </c>
      <c r="C225" s="178">
        <v>940718</v>
      </c>
      <c r="D225" s="181">
        <v>700</v>
      </c>
      <c r="E225" s="180" t="s">
        <v>3219</v>
      </c>
      <c r="F225" s="180" t="s">
        <v>3219</v>
      </c>
      <c r="G225" s="180" t="s">
        <v>3219</v>
      </c>
      <c r="H225" s="181" t="s">
        <v>3563</v>
      </c>
      <c r="I225" s="173">
        <f t="shared" si="18"/>
        <v>39479</v>
      </c>
      <c r="J225" s="172">
        <f t="shared" si="19"/>
        <v>940718</v>
      </c>
      <c r="K225" s="172" t="str">
        <f t="shared" si="20"/>
        <v>BHAVAN MSEDC LTD</v>
      </c>
      <c r="L225" t="str">
        <f t="shared" si="21"/>
        <v>.</v>
      </c>
      <c r="M225">
        <f t="shared" si="22"/>
        <v>700</v>
      </c>
      <c r="N225" s="172" t="str">
        <f t="shared" si="23"/>
        <v>5,39,634.12Cr</v>
      </c>
    </row>
    <row r="226" spans="1:14">
      <c r="A226" s="182">
        <v>39508</v>
      </c>
      <c r="B226" s="183" t="s">
        <v>3564</v>
      </c>
      <c r="C226" s="188" t="s">
        <v>3219</v>
      </c>
      <c r="D226" s="184">
        <v>3000</v>
      </c>
      <c r="E226" s="185" t="s">
        <v>3219</v>
      </c>
      <c r="F226" s="185" t="s">
        <v>3219</v>
      </c>
      <c r="G226" s="185" t="s">
        <v>3219</v>
      </c>
      <c r="H226" s="186" t="s">
        <v>3565</v>
      </c>
      <c r="I226" s="173">
        <f t="shared" si="18"/>
        <v>39508</v>
      </c>
      <c r="J226" s="172" t="str">
        <f t="shared" si="19"/>
        <v>.</v>
      </c>
      <c r="K226" s="172" t="str">
        <f t="shared" si="20"/>
        <v>ATM/CASH WDL/20080103091348/0</v>
      </c>
      <c r="L226" t="str">
        <f t="shared" si="21"/>
        <v>.</v>
      </c>
      <c r="M226">
        <f t="shared" si="22"/>
        <v>3000</v>
      </c>
      <c r="N226" s="172" t="str">
        <f t="shared" si="23"/>
        <v>5,36,634.12Cr</v>
      </c>
    </row>
    <row r="227" spans="1:14">
      <c r="A227" s="177">
        <v>39630</v>
      </c>
      <c r="B227" s="178" t="s">
        <v>3453</v>
      </c>
      <c r="C227" s="178">
        <v>940719</v>
      </c>
      <c r="D227" s="187">
        <v>2123.9499999999998</v>
      </c>
      <c r="E227" s="180" t="s">
        <v>3219</v>
      </c>
      <c r="F227" s="180" t="s">
        <v>3219</v>
      </c>
      <c r="G227" s="180" t="s">
        <v>3219</v>
      </c>
      <c r="H227" s="181" t="s">
        <v>3566</v>
      </c>
      <c r="I227" s="173">
        <f t="shared" si="18"/>
        <v>39630</v>
      </c>
      <c r="J227" s="172">
        <f t="shared" si="19"/>
        <v>940719</v>
      </c>
      <c r="K227" s="172" t="str">
        <f t="shared" si="20"/>
        <v>ICICI CC 4864093103226009</v>
      </c>
      <c r="L227" t="str">
        <f t="shared" si="21"/>
        <v>.</v>
      </c>
      <c r="M227">
        <f t="shared" si="22"/>
        <v>2123.9499999999998</v>
      </c>
      <c r="N227" s="172" t="str">
        <f t="shared" si="23"/>
        <v>5,34,510.17Cr</v>
      </c>
    </row>
    <row r="228" spans="1:14">
      <c r="A228" s="183" t="s">
        <v>10079</v>
      </c>
      <c r="B228" s="183" t="s">
        <v>3567</v>
      </c>
      <c r="C228" s="188" t="s">
        <v>3219</v>
      </c>
      <c r="D228" s="184">
        <v>3000</v>
      </c>
      <c r="E228" s="185" t="s">
        <v>3219</v>
      </c>
      <c r="F228" s="185" t="s">
        <v>3219</v>
      </c>
      <c r="G228" s="185" t="s">
        <v>3219</v>
      </c>
      <c r="H228" s="186" t="s">
        <v>3568</v>
      </c>
      <c r="I228" s="173" t="str">
        <f t="shared" si="18"/>
        <v>14-01-2008</v>
      </c>
      <c r="J228" s="172" t="str">
        <f t="shared" si="19"/>
        <v>.</v>
      </c>
      <c r="K228" s="172" t="str">
        <f t="shared" si="20"/>
        <v>ATM/CASH WDL/20080113183121/0</v>
      </c>
      <c r="L228" t="str">
        <f t="shared" si="21"/>
        <v>.</v>
      </c>
      <c r="M228">
        <f t="shared" si="22"/>
        <v>3000</v>
      </c>
      <c r="N228" s="172" t="str">
        <f t="shared" si="23"/>
        <v>5,31,510.17Cr</v>
      </c>
    </row>
    <row r="229" spans="1:14">
      <c r="A229" s="178" t="s">
        <v>10079</v>
      </c>
      <c r="B229" s="178" t="s">
        <v>1473</v>
      </c>
      <c r="C229" s="178">
        <v>940720</v>
      </c>
      <c r="D229" s="187">
        <v>6331</v>
      </c>
      <c r="E229" s="180" t="s">
        <v>3219</v>
      </c>
      <c r="F229" s="180" t="s">
        <v>3219</v>
      </c>
      <c r="G229" s="180" t="s">
        <v>3219</v>
      </c>
      <c r="H229" s="181" t="s">
        <v>3569</v>
      </c>
      <c r="I229" s="173" t="str">
        <f t="shared" si="18"/>
        <v>14-01-2008</v>
      </c>
      <c r="J229" s="172">
        <f t="shared" si="19"/>
        <v>940720</v>
      </c>
      <c r="K229" s="172" t="str">
        <f t="shared" si="20"/>
        <v>LIC OF INDIA</v>
      </c>
      <c r="L229" t="str">
        <f t="shared" si="21"/>
        <v>.</v>
      </c>
      <c r="M229">
        <f t="shared" si="22"/>
        <v>6331</v>
      </c>
      <c r="N229" s="172" t="str">
        <f t="shared" si="23"/>
        <v>5,25,179.17Cr</v>
      </c>
    </row>
    <row r="230" spans="1:14">
      <c r="A230" s="183" t="s">
        <v>10079</v>
      </c>
      <c r="B230" s="183" t="s">
        <v>1473</v>
      </c>
      <c r="C230" s="183">
        <v>940721</v>
      </c>
      <c r="D230" s="184">
        <v>5622</v>
      </c>
      <c r="E230" s="185" t="s">
        <v>3219</v>
      </c>
      <c r="F230" s="185" t="s">
        <v>3219</v>
      </c>
      <c r="G230" s="185" t="s">
        <v>3219</v>
      </c>
      <c r="H230" s="186" t="s">
        <v>3570</v>
      </c>
      <c r="I230" s="173" t="str">
        <f t="shared" si="18"/>
        <v>14-01-2008</v>
      </c>
      <c r="J230" s="172">
        <f t="shared" si="19"/>
        <v>940721</v>
      </c>
      <c r="K230" s="172" t="str">
        <f t="shared" si="20"/>
        <v>LIC OF INDIA</v>
      </c>
      <c r="L230" t="str">
        <f t="shared" si="21"/>
        <v>.</v>
      </c>
      <c r="M230">
        <f t="shared" si="22"/>
        <v>5622</v>
      </c>
      <c r="N230" s="172" t="str">
        <f t="shared" si="23"/>
        <v>5,19,557.17Cr</v>
      </c>
    </row>
    <row r="231" spans="1:14">
      <c r="A231" s="178" t="s">
        <v>10080</v>
      </c>
      <c r="B231" s="178" t="s">
        <v>3571</v>
      </c>
      <c r="C231" s="179" t="s">
        <v>3219</v>
      </c>
      <c r="D231" s="187">
        <v>5000</v>
      </c>
      <c r="E231" s="180" t="s">
        <v>3219</v>
      </c>
      <c r="F231" s="180" t="s">
        <v>3219</v>
      </c>
      <c r="G231" s="180" t="s">
        <v>3219</v>
      </c>
      <c r="H231" s="181" t="s">
        <v>3572</v>
      </c>
      <c r="I231" s="173" t="str">
        <f t="shared" si="18"/>
        <v>16-01-2008</v>
      </c>
      <c r="J231" s="172" t="str">
        <f t="shared" si="19"/>
        <v>.</v>
      </c>
      <c r="K231" s="172" t="str">
        <f t="shared" si="20"/>
        <v>ATM/CASH WDL/20080116085427/0</v>
      </c>
      <c r="L231" t="str">
        <f t="shared" si="21"/>
        <v>.</v>
      </c>
      <c r="M231">
        <f t="shared" si="22"/>
        <v>5000</v>
      </c>
      <c r="N231" s="172" t="str">
        <f t="shared" si="23"/>
        <v>5,14,557.17Cr</v>
      </c>
    </row>
    <row r="232" spans="1:14">
      <c r="A232" s="183" t="s">
        <v>10081</v>
      </c>
      <c r="B232" s="183" t="s">
        <v>3573</v>
      </c>
      <c r="C232" s="188" t="s">
        <v>3219</v>
      </c>
      <c r="D232" s="184">
        <v>15000</v>
      </c>
      <c r="E232" s="185" t="s">
        <v>3219</v>
      </c>
      <c r="F232" s="185" t="s">
        <v>3219</v>
      </c>
      <c r="G232" s="185" t="s">
        <v>3219</v>
      </c>
      <c r="H232" s="186" t="s">
        <v>3574</v>
      </c>
      <c r="I232" s="173" t="str">
        <f t="shared" si="18"/>
        <v>19-01-2008</v>
      </c>
      <c r="J232" s="172" t="str">
        <f t="shared" si="19"/>
        <v>.</v>
      </c>
      <c r="K232" s="172" t="str">
        <f t="shared" si="20"/>
        <v>ATM/CASH WDL/20080119103814/0</v>
      </c>
      <c r="L232" t="str">
        <f t="shared" si="21"/>
        <v>.</v>
      </c>
      <c r="M232">
        <f t="shared" si="22"/>
        <v>15000</v>
      </c>
      <c r="N232" s="172" t="str">
        <f t="shared" si="23"/>
        <v>4,99,557.17Cr</v>
      </c>
    </row>
    <row r="233" spans="1:14">
      <c r="A233" s="178" t="s">
        <v>10081</v>
      </c>
      <c r="B233" s="178" t="s">
        <v>3575</v>
      </c>
      <c r="C233" s="179" t="s">
        <v>3219</v>
      </c>
      <c r="D233" s="187">
        <v>8000</v>
      </c>
      <c r="E233" s="180" t="s">
        <v>3219</v>
      </c>
      <c r="F233" s="180" t="s">
        <v>3219</v>
      </c>
      <c r="G233" s="180" t="s">
        <v>3219</v>
      </c>
      <c r="H233" s="181" t="s">
        <v>3576</v>
      </c>
      <c r="I233" s="173" t="str">
        <f t="shared" si="18"/>
        <v>19-01-2008</v>
      </c>
      <c r="J233" s="172" t="str">
        <f t="shared" si="19"/>
        <v>.</v>
      </c>
      <c r="K233" s="172" t="str">
        <f t="shared" si="20"/>
        <v>ATM/CASH WDL/20080119103918/0</v>
      </c>
      <c r="L233" t="str">
        <f t="shared" si="21"/>
        <v>.</v>
      </c>
      <c r="M233">
        <f t="shared" si="22"/>
        <v>8000</v>
      </c>
      <c r="N233" s="172" t="str">
        <f t="shared" si="23"/>
        <v>4,91,557.17Cr</v>
      </c>
    </row>
    <row r="234" spans="1:14">
      <c r="A234" s="183" t="s">
        <v>10082</v>
      </c>
      <c r="B234" s="183" t="s">
        <v>1404</v>
      </c>
      <c r="C234" s="188" t="s">
        <v>3219</v>
      </c>
      <c r="D234" s="185" t="s">
        <v>3219</v>
      </c>
      <c r="E234" s="184">
        <v>52826</v>
      </c>
      <c r="F234" s="185" t="s">
        <v>3219</v>
      </c>
      <c r="G234" s="185" t="s">
        <v>3219</v>
      </c>
      <c r="H234" s="186" t="s">
        <v>3577</v>
      </c>
      <c r="I234" s="173" t="str">
        <f t="shared" si="18"/>
        <v>28-01-2008</v>
      </c>
      <c r="J234" s="172" t="str">
        <f t="shared" si="19"/>
        <v>.</v>
      </c>
      <c r="K234" s="172" t="str">
        <f t="shared" si="20"/>
        <v>BY SALARY</v>
      </c>
      <c r="L234">
        <f t="shared" si="21"/>
        <v>52826</v>
      </c>
      <c r="M234" t="str">
        <f t="shared" si="22"/>
        <v>.</v>
      </c>
      <c r="N234" s="172" t="str">
        <f t="shared" si="23"/>
        <v>5,44,383.17Cr</v>
      </c>
    </row>
    <row r="235" spans="1:14">
      <c r="A235" s="178" t="s">
        <v>10083</v>
      </c>
      <c r="B235" s="178" t="s">
        <v>3578</v>
      </c>
      <c r="C235" s="179" t="s">
        <v>3219</v>
      </c>
      <c r="D235" s="187">
        <v>4000</v>
      </c>
      <c r="E235" s="180" t="s">
        <v>3219</v>
      </c>
      <c r="F235" s="180" t="s">
        <v>3219</v>
      </c>
      <c r="G235" s="180" t="s">
        <v>3219</v>
      </c>
      <c r="H235" s="181" t="s">
        <v>3579</v>
      </c>
      <c r="I235" s="173" t="str">
        <f t="shared" si="18"/>
        <v>30-01-2008</v>
      </c>
      <c r="J235" s="172" t="str">
        <f t="shared" si="19"/>
        <v>.</v>
      </c>
      <c r="K235" s="172" t="str">
        <f t="shared" si="20"/>
        <v>ATM/CASH WDL/20080130180746/0</v>
      </c>
      <c r="L235" t="str">
        <f t="shared" si="21"/>
        <v>.</v>
      </c>
      <c r="M235">
        <f t="shared" si="22"/>
        <v>4000</v>
      </c>
      <c r="N235" s="172" t="str">
        <f t="shared" si="23"/>
        <v>5,40,383.17C</v>
      </c>
    </row>
    <row r="236" spans="1:14">
      <c r="A236" s="177">
        <v>39449</v>
      </c>
      <c r="B236" s="178" t="s">
        <v>1394</v>
      </c>
      <c r="C236" s="179" t="s">
        <v>3219</v>
      </c>
      <c r="D236" s="180" t="s">
        <v>3219</v>
      </c>
      <c r="E236" s="180" t="s">
        <v>3219</v>
      </c>
      <c r="F236" s="180" t="s">
        <v>3219</v>
      </c>
      <c r="G236" s="180" t="s">
        <v>3219</v>
      </c>
      <c r="H236" s="181" t="s">
        <v>3580</v>
      </c>
      <c r="I236" s="173">
        <f t="shared" si="18"/>
        <v>39449</v>
      </c>
      <c r="J236" s="172" t="str">
        <f t="shared" si="19"/>
        <v>.</v>
      </c>
      <c r="K236" s="172" t="str">
        <f t="shared" si="20"/>
        <v>B/F</v>
      </c>
      <c r="L236" t="str">
        <f t="shared" si="21"/>
        <v>.</v>
      </c>
      <c r="M236" t="str">
        <f t="shared" si="22"/>
        <v>.</v>
      </c>
      <c r="N236" s="172" t="str">
        <f t="shared" si="23"/>
        <v>5,40,383.17Cr</v>
      </c>
    </row>
    <row r="237" spans="1:14">
      <c r="A237" s="182">
        <v>39449</v>
      </c>
      <c r="B237" s="183" t="s">
        <v>3581</v>
      </c>
      <c r="C237" s="188" t="s">
        <v>3219</v>
      </c>
      <c r="D237" s="184">
        <v>12000</v>
      </c>
      <c r="E237" s="185" t="s">
        <v>3219</v>
      </c>
      <c r="F237" s="185" t="s">
        <v>3219</v>
      </c>
      <c r="G237" s="185" t="s">
        <v>3219</v>
      </c>
      <c r="H237" s="186" t="s">
        <v>3582</v>
      </c>
      <c r="I237" s="173">
        <f t="shared" si="18"/>
        <v>39449</v>
      </c>
      <c r="J237" s="172" t="str">
        <f t="shared" si="19"/>
        <v>.</v>
      </c>
      <c r="K237" s="172" t="str">
        <f t="shared" si="20"/>
        <v>ATM/CASH WDL/20080201193422/0</v>
      </c>
      <c r="L237" t="str">
        <f t="shared" si="21"/>
        <v>.</v>
      </c>
      <c r="M237">
        <f t="shared" si="22"/>
        <v>12000</v>
      </c>
      <c r="N237" s="172" t="str">
        <f t="shared" si="23"/>
        <v>5,28,383.17Cr</v>
      </c>
    </row>
    <row r="238" spans="1:14">
      <c r="A238" s="177">
        <v>39540</v>
      </c>
      <c r="B238" s="178" t="s">
        <v>3229</v>
      </c>
      <c r="C238" s="178">
        <v>940723</v>
      </c>
      <c r="D238" s="181">
        <v>848</v>
      </c>
      <c r="E238" s="180" t="s">
        <v>3219</v>
      </c>
      <c r="F238" s="180" t="s">
        <v>3219</v>
      </c>
      <c r="G238" s="180" t="s">
        <v>3219</v>
      </c>
      <c r="H238" s="181" t="s">
        <v>3583</v>
      </c>
      <c r="I238" s="173">
        <f t="shared" si="18"/>
        <v>39540</v>
      </c>
      <c r="J238" s="172">
        <f t="shared" si="19"/>
        <v>940723</v>
      </c>
      <c r="K238" s="172" t="str">
        <f t="shared" si="20"/>
        <v>TTML</v>
      </c>
      <c r="L238" t="str">
        <f t="shared" si="21"/>
        <v>.</v>
      </c>
      <c r="M238">
        <f t="shared" si="22"/>
        <v>848</v>
      </c>
      <c r="N238" s="172" t="str">
        <f t="shared" si="23"/>
        <v>5,27,535.17Cr</v>
      </c>
    </row>
    <row r="239" spans="1:14">
      <c r="A239" s="182">
        <v>39570</v>
      </c>
      <c r="B239" s="183" t="s">
        <v>3584</v>
      </c>
      <c r="C239" s="183">
        <v>940722</v>
      </c>
      <c r="D239" s="184">
        <v>5820</v>
      </c>
      <c r="E239" s="185" t="s">
        <v>3219</v>
      </c>
      <c r="F239" s="185" t="s">
        <v>3219</v>
      </c>
      <c r="G239" s="185" t="s">
        <v>3219</v>
      </c>
      <c r="H239" s="186" t="s">
        <v>3585</v>
      </c>
      <c r="I239" s="173">
        <f t="shared" si="18"/>
        <v>39570</v>
      </c>
      <c r="J239" s="172">
        <f t="shared" si="19"/>
        <v>940722</v>
      </c>
      <c r="K239" s="172" t="str">
        <f t="shared" si="20"/>
        <v>MSED CO</v>
      </c>
      <c r="L239" t="str">
        <f t="shared" si="21"/>
        <v>.</v>
      </c>
      <c r="M239">
        <f t="shared" si="22"/>
        <v>5820</v>
      </c>
      <c r="N239" s="172" t="str">
        <f t="shared" si="23"/>
        <v>5,21,715.17Cr</v>
      </c>
    </row>
    <row r="240" spans="1:14">
      <c r="A240" s="177">
        <v>39662</v>
      </c>
      <c r="B240" s="178" t="s">
        <v>1430</v>
      </c>
      <c r="C240" s="178">
        <v>940705</v>
      </c>
      <c r="D240" s="187">
        <v>40000</v>
      </c>
      <c r="E240" s="180" t="s">
        <v>3219</v>
      </c>
      <c r="F240" s="180" t="s">
        <v>3219</v>
      </c>
      <c r="G240" s="180" t="s">
        <v>3219</v>
      </c>
      <c r="H240" s="181" t="s">
        <v>3586</v>
      </c>
      <c r="I240" s="173">
        <f t="shared" si="18"/>
        <v>39662</v>
      </c>
      <c r="J240" s="172">
        <f t="shared" si="19"/>
        <v>940705</v>
      </c>
      <c r="K240" s="172" t="str">
        <f t="shared" si="20"/>
        <v>THE SARASWAT COOP BANK LTD</v>
      </c>
      <c r="L240" t="str">
        <f t="shared" si="21"/>
        <v>.</v>
      </c>
      <c r="M240">
        <f t="shared" si="22"/>
        <v>40000</v>
      </c>
      <c r="N240" s="172" t="str">
        <f t="shared" si="23"/>
        <v>4,81,715.17Cr</v>
      </c>
    </row>
    <row r="241" spans="1:14">
      <c r="A241" s="182">
        <v>39662</v>
      </c>
      <c r="B241" s="183" t="s">
        <v>3587</v>
      </c>
      <c r="C241" s="188" t="s">
        <v>3219</v>
      </c>
      <c r="D241" s="184">
        <v>4000</v>
      </c>
      <c r="E241" s="185" t="s">
        <v>3219</v>
      </c>
      <c r="F241" s="185" t="s">
        <v>3219</v>
      </c>
      <c r="G241" s="185" t="s">
        <v>3219</v>
      </c>
      <c r="H241" s="186" t="s">
        <v>3588</v>
      </c>
      <c r="I241" s="173">
        <f t="shared" si="18"/>
        <v>39662</v>
      </c>
      <c r="J241" s="172" t="str">
        <f t="shared" si="19"/>
        <v>.</v>
      </c>
      <c r="K241" s="172" t="str">
        <f t="shared" si="20"/>
        <v>ATM/CASH WDL/20080208165521/0</v>
      </c>
      <c r="L241" t="str">
        <f t="shared" si="21"/>
        <v>.</v>
      </c>
      <c r="M241">
        <f t="shared" si="22"/>
        <v>4000</v>
      </c>
      <c r="N241" s="172" t="str">
        <f t="shared" si="23"/>
        <v>4,77,715.17Cr</v>
      </c>
    </row>
    <row r="242" spans="1:14">
      <c r="A242" s="178" t="s">
        <v>10865</v>
      </c>
      <c r="B242" s="178" t="s">
        <v>3589</v>
      </c>
      <c r="C242" s="179" t="s">
        <v>3219</v>
      </c>
      <c r="D242" s="181">
        <v>400</v>
      </c>
      <c r="E242" s="180" t="s">
        <v>3219</v>
      </c>
      <c r="F242" s="180" t="s">
        <v>3219</v>
      </c>
      <c r="G242" s="180" t="s">
        <v>3219</v>
      </c>
      <c r="H242" s="181" t="s">
        <v>3590</v>
      </c>
      <c r="I242" s="173" t="str">
        <f t="shared" si="18"/>
        <v>21-02-2008</v>
      </c>
      <c r="J242" s="172" t="str">
        <f t="shared" si="19"/>
        <v>.</v>
      </c>
      <c r="K242" s="172" t="str">
        <f t="shared" si="20"/>
        <v>ATM/CASH WDL/20080221124248/0</v>
      </c>
      <c r="L242" t="str">
        <f t="shared" si="21"/>
        <v>.</v>
      </c>
      <c r="M242">
        <f t="shared" si="22"/>
        <v>400</v>
      </c>
      <c r="N242" s="172" t="str">
        <f t="shared" si="23"/>
        <v>4,77,315.17Cr</v>
      </c>
    </row>
    <row r="243" spans="1:14">
      <c r="A243" s="183" t="s">
        <v>10866</v>
      </c>
      <c r="B243" s="183" t="s">
        <v>1404</v>
      </c>
      <c r="C243" s="188" t="s">
        <v>3219</v>
      </c>
      <c r="D243" s="185" t="s">
        <v>3219</v>
      </c>
      <c r="E243" s="184">
        <v>45975</v>
      </c>
      <c r="F243" s="185" t="s">
        <v>3219</v>
      </c>
      <c r="G243" s="185" t="s">
        <v>3219</v>
      </c>
      <c r="H243" s="186" t="s">
        <v>3591</v>
      </c>
      <c r="I243" s="173" t="str">
        <f t="shared" si="18"/>
        <v>27-02-2008</v>
      </c>
      <c r="J243" s="172" t="str">
        <f t="shared" si="19"/>
        <v>.</v>
      </c>
      <c r="K243" s="172" t="str">
        <f t="shared" si="20"/>
        <v>BY SALARY</v>
      </c>
      <c r="L243">
        <f t="shared" si="21"/>
        <v>45975</v>
      </c>
      <c r="M243" t="str">
        <f t="shared" si="22"/>
        <v>.</v>
      </c>
      <c r="N243" s="172" t="str">
        <f t="shared" si="23"/>
        <v>5,23,290.17Cr</v>
      </c>
    </row>
    <row r="244" spans="1:14">
      <c r="A244" s="177">
        <v>39450</v>
      </c>
      <c r="B244" s="178" t="s">
        <v>1394</v>
      </c>
      <c r="C244" s="179" t="s">
        <v>3219</v>
      </c>
      <c r="D244" s="180" t="s">
        <v>3219</v>
      </c>
      <c r="E244" s="180" t="s">
        <v>3219</v>
      </c>
      <c r="F244" s="180" t="s">
        <v>3219</v>
      </c>
      <c r="G244" s="180" t="s">
        <v>3219</v>
      </c>
      <c r="H244" s="181" t="s">
        <v>3591</v>
      </c>
      <c r="I244" s="173">
        <f t="shared" si="18"/>
        <v>39450</v>
      </c>
      <c r="J244" s="172" t="str">
        <f t="shared" si="19"/>
        <v>.</v>
      </c>
      <c r="K244" s="172" t="str">
        <f t="shared" si="20"/>
        <v>B/F</v>
      </c>
      <c r="L244" t="str">
        <f t="shared" si="21"/>
        <v>.</v>
      </c>
      <c r="M244" t="str">
        <f t="shared" si="22"/>
        <v>.</v>
      </c>
      <c r="N244" s="172" t="str">
        <f t="shared" si="23"/>
        <v>5,23,290.17Cr</v>
      </c>
    </row>
    <row r="245" spans="1:14">
      <c r="A245" s="182">
        <v>39450</v>
      </c>
      <c r="B245" s="183" t="s">
        <v>3592</v>
      </c>
      <c r="C245" s="188" t="s">
        <v>3219</v>
      </c>
      <c r="D245" s="185" t="s">
        <v>3219</v>
      </c>
      <c r="E245" s="184">
        <v>7202</v>
      </c>
      <c r="F245" s="185" t="s">
        <v>3219</v>
      </c>
      <c r="G245" s="185" t="s">
        <v>3219</v>
      </c>
      <c r="H245" s="186" t="s">
        <v>3593</v>
      </c>
      <c r="I245" s="173">
        <f t="shared" si="18"/>
        <v>39450</v>
      </c>
      <c r="J245" s="172" t="str">
        <f t="shared" si="19"/>
        <v>.</v>
      </c>
      <c r="K245" s="172" t="str">
        <f t="shared" si="20"/>
        <v>000401043279:Int.Pd:01-09-2007 to 29-02-2008</v>
      </c>
      <c r="L245">
        <f t="shared" si="21"/>
        <v>7202</v>
      </c>
      <c r="M245" t="str">
        <f t="shared" si="22"/>
        <v>.</v>
      </c>
      <c r="N245" s="172" t="str">
        <f t="shared" si="23"/>
        <v>5,30,492.17Cr</v>
      </c>
    </row>
    <row r="246" spans="1:14">
      <c r="A246" s="177">
        <v>39510</v>
      </c>
      <c r="B246" s="178" t="s">
        <v>3594</v>
      </c>
      <c r="C246" s="179" t="s">
        <v>3219</v>
      </c>
      <c r="D246" s="181">
        <v>400</v>
      </c>
      <c r="E246" s="180" t="s">
        <v>3219</v>
      </c>
      <c r="F246" s="180" t="s">
        <v>3219</v>
      </c>
      <c r="G246" s="180" t="s">
        <v>3219</v>
      </c>
      <c r="H246" s="181" t="s">
        <v>3595</v>
      </c>
      <c r="I246" s="173">
        <f t="shared" si="18"/>
        <v>39510</v>
      </c>
      <c r="J246" s="172" t="str">
        <f t="shared" si="19"/>
        <v>.</v>
      </c>
      <c r="K246" s="172" t="str">
        <f t="shared" si="20"/>
        <v>ATM/CASH WDL/20080303101123/0</v>
      </c>
      <c r="L246" t="str">
        <f t="shared" si="21"/>
        <v>.</v>
      </c>
      <c r="M246">
        <f t="shared" si="22"/>
        <v>400</v>
      </c>
      <c r="N246" s="172" t="str">
        <f t="shared" si="23"/>
        <v>5,30,092.17Cr</v>
      </c>
    </row>
    <row r="247" spans="1:14">
      <c r="A247" s="182">
        <v>39571</v>
      </c>
      <c r="B247" s="183" t="s">
        <v>1470</v>
      </c>
      <c r="C247" s="183">
        <v>940724</v>
      </c>
      <c r="D247" s="184">
        <v>15864.6</v>
      </c>
      <c r="E247" s="185" t="s">
        <v>3219</v>
      </c>
      <c r="F247" s="185" t="s">
        <v>3219</v>
      </c>
      <c r="G247" s="185" t="s">
        <v>3219</v>
      </c>
      <c r="H247" s="186" t="s">
        <v>3596</v>
      </c>
      <c r="I247" s="173">
        <f t="shared" si="18"/>
        <v>39571</v>
      </c>
      <c r="J247" s="172">
        <f t="shared" si="19"/>
        <v>940724</v>
      </c>
      <c r="K247" s="172" t="str">
        <f t="shared" si="20"/>
        <v>ICICI CREDIT CARD</v>
      </c>
      <c r="L247" t="str">
        <f t="shared" si="21"/>
        <v>.</v>
      </c>
      <c r="M247">
        <f t="shared" si="22"/>
        <v>15864.6</v>
      </c>
      <c r="N247" s="172" t="str">
        <f t="shared" si="23"/>
        <v>5,14,227.57Cr</v>
      </c>
    </row>
    <row r="248" spans="1:14">
      <c r="A248" s="177">
        <v>39632</v>
      </c>
      <c r="B248" s="178" t="s">
        <v>3597</v>
      </c>
      <c r="C248" s="179" t="s">
        <v>3219</v>
      </c>
      <c r="D248" s="187">
        <v>15000</v>
      </c>
      <c r="E248" s="180" t="s">
        <v>3219</v>
      </c>
      <c r="F248" s="180" t="s">
        <v>3219</v>
      </c>
      <c r="G248" s="180" t="s">
        <v>3219</v>
      </c>
      <c r="H248" s="181" t="s">
        <v>3598</v>
      </c>
      <c r="I248" s="173">
        <f t="shared" si="18"/>
        <v>39632</v>
      </c>
      <c r="J248" s="172" t="str">
        <f t="shared" si="19"/>
        <v>.</v>
      </c>
      <c r="K248" s="172" t="str">
        <f t="shared" si="20"/>
        <v>ATM/CASH WDL/20080307092858/0</v>
      </c>
      <c r="L248" t="str">
        <f t="shared" si="21"/>
        <v>.</v>
      </c>
      <c r="M248">
        <f t="shared" si="22"/>
        <v>15000</v>
      </c>
      <c r="N248" s="172" t="str">
        <f t="shared" si="23"/>
        <v>4,99,227.57Cr</v>
      </c>
    </row>
    <row r="249" spans="1:14">
      <c r="A249" s="182">
        <v>39663</v>
      </c>
      <c r="B249" s="183" t="s">
        <v>3229</v>
      </c>
      <c r="C249" s="183">
        <v>940725</v>
      </c>
      <c r="D249" s="186">
        <v>694</v>
      </c>
      <c r="E249" s="185" t="s">
        <v>3219</v>
      </c>
      <c r="F249" s="185" t="s">
        <v>3219</v>
      </c>
      <c r="G249" s="185" t="s">
        <v>3219</v>
      </c>
      <c r="H249" s="186" t="s">
        <v>3599</v>
      </c>
      <c r="I249" s="173">
        <f t="shared" si="18"/>
        <v>39663</v>
      </c>
      <c r="J249" s="172">
        <f t="shared" si="19"/>
        <v>940725</v>
      </c>
      <c r="K249" s="172" t="str">
        <f t="shared" si="20"/>
        <v>TTML</v>
      </c>
      <c r="L249" t="str">
        <f t="shared" si="21"/>
        <v>.</v>
      </c>
      <c r="M249">
        <f t="shared" si="22"/>
        <v>694</v>
      </c>
      <c r="N249" s="172" t="str">
        <f t="shared" si="23"/>
        <v>4,98,533.57Cr</v>
      </c>
    </row>
    <row r="250" spans="1:14">
      <c r="A250" s="177">
        <v>39755</v>
      </c>
      <c r="B250" s="178" t="s">
        <v>3600</v>
      </c>
      <c r="C250" s="178">
        <v>940726</v>
      </c>
      <c r="D250" s="187">
        <v>10800</v>
      </c>
      <c r="E250" s="180" t="s">
        <v>3219</v>
      </c>
      <c r="F250" s="180" t="s">
        <v>3219</v>
      </c>
      <c r="G250" s="180" t="s">
        <v>3219</v>
      </c>
      <c r="H250" s="181" t="s">
        <v>3601</v>
      </c>
      <c r="I250" s="173">
        <f t="shared" si="18"/>
        <v>39755</v>
      </c>
      <c r="J250" s="172">
        <f t="shared" si="19"/>
        <v>940726</v>
      </c>
      <c r="K250" s="172" t="str">
        <f t="shared" si="20"/>
        <v>M K BATTERIES</v>
      </c>
      <c r="L250" t="str">
        <f t="shared" si="21"/>
        <v>.</v>
      </c>
      <c r="M250">
        <f t="shared" si="22"/>
        <v>10800</v>
      </c>
      <c r="N250" s="172" t="str">
        <f t="shared" si="23"/>
        <v>4,87,733.57Cr</v>
      </c>
    </row>
    <row r="251" spans="1:14">
      <c r="A251" s="182">
        <v>39755</v>
      </c>
      <c r="B251" s="183" t="s">
        <v>3602</v>
      </c>
      <c r="C251" s="188" t="s">
        <v>3219</v>
      </c>
      <c r="D251" s="184">
        <v>2000</v>
      </c>
      <c r="E251" s="185" t="s">
        <v>3219</v>
      </c>
      <c r="F251" s="185" t="s">
        <v>3219</v>
      </c>
      <c r="G251" s="185" t="s">
        <v>3219</v>
      </c>
      <c r="H251" s="186" t="s">
        <v>3603</v>
      </c>
      <c r="I251" s="173">
        <f t="shared" si="18"/>
        <v>39755</v>
      </c>
      <c r="J251" s="172" t="str">
        <f t="shared" si="19"/>
        <v>.</v>
      </c>
      <c r="K251" s="172" t="str">
        <f t="shared" si="20"/>
        <v>ATM/CASH WDL/20080311163746/0</v>
      </c>
      <c r="L251" t="str">
        <f t="shared" si="21"/>
        <v>.</v>
      </c>
      <c r="M251">
        <f t="shared" si="22"/>
        <v>2000</v>
      </c>
      <c r="N251" s="172" t="str">
        <f t="shared" si="23"/>
        <v>4,85,733.57Cr</v>
      </c>
    </row>
    <row r="252" spans="1:14">
      <c r="A252" s="178" t="s">
        <v>10084</v>
      </c>
      <c r="B252" s="178" t="s">
        <v>3241</v>
      </c>
      <c r="C252" s="179" t="s">
        <v>3219</v>
      </c>
      <c r="D252" s="180" t="s">
        <v>3219</v>
      </c>
      <c r="E252" s="187">
        <v>2100</v>
      </c>
      <c r="F252" s="180" t="s">
        <v>3219</v>
      </c>
      <c r="G252" s="180" t="s">
        <v>3219</v>
      </c>
      <c r="H252" s="181" t="s">
        <v>3604</v>
      </c>
      <c r="I252" s="173" t="str">
        <f t="shared" si="18"/>
        <v>15-03-2008</v>
      </c>
      <c r="J252" s="172" t="str">
        <f t="shared" si="19"/>
        <v>.</v>
      </c>
      <c r="K252" s="172" t="str">
        <f t="shared" si="20"/>
        <v>INT. ON ICICI BONDS 5016291914</v>
      </c>
      <c r="L252">
        <f t="shared" si="21"/>
        <v>2100</v>
      </c>
      <c r="M252" t="str">
        <f t="shared" si="22"/>
        <v>.</v>
      </c>
      <c r="N252" s="172" t="str">
        <f t="shared" si="23"/>
        <v>4,87,833.57Cr</v>
      </c>
    </row>
    <row r="253" spans="1:14">
      <c r="A253" s="183" t="s">
        <v>10085</v>
      </c>
      <c r="B253" s="183" t="s">
        <v>3605</v>
      </c>
      <c r="C253" s="188" t="s">
        <v>3219</v>
      </c>
      <c r="D253" s="184">
        <v>10000</v>
      </c>
      <c r="E253" s="185" t="s">
        <v>3219</v>
      </c>
      <c r="F253" s="185" t="s">
        <v>3219</v>
      </c>
      <c r="G253" s="185" t="s">
        <v>3219</v>
      </c>
      <c r="H253" s="186" t="s">
        <v>3606</v>
      </c>
      <c r="I253" s="173" t="str">
        <f t="shared" si="18"/>
        <v>21-03-2008</v>
      </c>
      <c r="J253" s="172" t="str">
        <f t="shared" si="19"/>
        <v>.</v>
      </c>
      <c r="K253" s="172" t="str">
        <f t="shared" si="20"/>
        <v>ATM/CASH WDL/20080321194627/0</v>
      </c>
      <c r="L253" t="str">
        <f t="shared" si="21"/>
        <v>.</v>
      </c>
      <c r="M253">
        <f t="shared" si="22"/>
        <v>10000</v>
      </c>
      <c r="N253" s="172" t="str">
        <f t="shared" si="23"/>
        <v>4,77,833.57Cr</v>
      </c>
    </row>
    <row r="254" spans="1:14">
      <c r="A254" s="178" t="s">
        <v>10086</v>
      </c>
      <c r="B254" s="178" t="s">
        <v>3607</v>
      </c>
      <c r="C254" s="178">
        <v>940730</v>
      </c>
      <c r="D254" s="187">
        <v>25672.25</v>
      </c>
      <c r="E254" s="180" t="s">
        <v>3219</v>
      </c>
      <c r="F254" s="180" t="s">
        <v>3219</v>
      </c>
      <c r="G254" s="180" t="s">
        <v>3219</v>
      </c>
      <c r="H254" s="181" t="s">
        <v>3608</v>
      </c>
      <c r="I254" s="173" t="str">
        <f t="shared" si="18"/>
        <v>25-03-2008</v>
      </c>
      <c r="J254" s="172">
        <f t="shared" si="19"/>
        <v>940730</v>
      </c>
      <c r="K254" s="172" t="str">
        <f t="shared" si="20"/>
        <v>MICR INW-CLG(R)FROM RBI</v>
      </c>
      <c r="L254" t="str">
        <f t="shared" si="21"/>
        <v>.</v>
      </c>
      <c r="M254">
        <f t="shared" si="22"/>
        <v>25672.25</v>
      </c>
      <c r="N254" s="172" t="str">
        <f t="shared" si="23"/>
        <v>4,52,161.32Cr</v>
      </c>
    </row>
    <row r="255" spans="1:14">
      <c r="A255" s="183" t="s">
        <v>10087</v>
      </c>
      <c r="B255" s="183" t="s">
        <v>3609</v>
      </c>
      <c r="C255" s="183">
        <v>940727</v>
      </c>
      <c r="D255" s="184">
        <v>40000</v>
      </c>
      <c r="E255" s="185" t="s">
        <v>3219</v>
      </c>
      <c r="F255" s="185" t="s">
        <v>3219</v>
      </c>
      <c r="G255" s="185" t="s">
        <v>3219</v>
      </c>
      <c r="H255" s="186" t="s">
        <v>3610</v>
      </c>
      <c r="I255" s="173" t="str">
        <f t="shared" si="18"/>
        <v>26-03-2008</v>
      </c>
      <c r="J255" s="172">
        <f t="shared" si="19"/>
        <v>940727</v>
      </c>
      <c r="K255" s="172" t="str">
        <f t="shared" si="20"/>
        <v>THE SARASWAT COOP BK LTD</v>
      </c>
      <c r="L255" t="str">
        <f t="shared" si="21"/>
        <v>.</v>
      </c>
      <c r="M255">
        <f t="shared" si="22"/>
        <v>40000</v>
      </c>
      <c r="N255" s="172" t="str">
        <f t="shared" si="23"/>
        <v>4,12,161.32Cr</v>
      </c>
    </row>
    <row r="256" spans="1:14">
      <c r="A256" s="178" t="s">
        <v>10088</v>
      </c>
      <c r="B256" s="178" t="s">
        <v>1503</v>
      </c>
      <c r="C256" s="178">
        <v>940728</v>
      </c>
      <c r="D256" s="187">
        <v>11586</v>
      </c>
      <c r="E256" s="180" t="s">
        <v>3219</v>
      </c>
      <c r="F256" s="180" t="s">
        <v>3219</v>
      </c>
      <c r="G256" s="180" t="s">
        <v>3219</v>
      </c>
      <c r="H256" s="181" t="s">
        <v>3611</v>
      </c>
      <c r="I256" s="173" t="str">
        <f t="shared" si="18"/>
        <v>28-03-2008</v>
      </c>
      <c r="J256" s="172">
        <f t="shared" si="19"/>
        <v>940728</v>
      </c>
      <c r="K256" s="172" t="str">
        <f t="shared" si="20"/>
        <v>LOK HOUSING &amp; CONSTRUCTION LTD</v>
      </c>
      <c r="L256" t="str">
        <f t="shared" si="21"/>
        <v>.</v>
      </c>
      <c r="M256">
        <f t="shared" si="22"/>
        <v>11586</v>
      </c>
      <c r="N256" s="172" t="str">
        <f t="shared" si="23"/>
        <v>4,00,575.32Cr</v>
      </c>
    </row>
    <row r="257" spans="1:14">
      <c r="A257" s="183" t="s">
        <v>10088</v>
      </c>
      <c r="B257" s="183" t="s">
        <v>1404</v>
      </c>
      <c r="C257" s="188" t="s">
        <v>3219</v>
      </c>
      <c r="D257" s="185" t="s">
        <v>3219</v>
      </c>
      <c r="E257" s="184">
        <v>63194</v>
      </c>
      <c r="F257" s="185" t="s">
        <v>3219</v>
      </c>
      <c r="G257" s="185" t="s">
        <v>3219</v>
      </c>
      <c r="H257" s="186" t="s">
        <v>3612</v>
      </c>
      <c r="I257" s="173" t="str">
        <f t="shared" si="18"/>
        <v>28-03-2008</v>
      </c>
      <c r="J257" s="172" t="str">
        <f t="shared" si="19"/>
        <v>.</v>
      </c>
      <c r="K257" s="172" t="str">
        <f t="shared" si="20"/>
        <v>BY SALARY</v>
      </c>
      <c r="L257">
        <f t="shared" si="21"/>
        <v>63194</v>
      </c>
      <c r="M257" t="str">
        <f t="shared" si="22"/>
        <v>.</v>
      </c>
      <c r="N257" s="172" t="str">
        <f t="shared" si="23"/>
        <v>4,63,769.32Cr</v>
      </c>
    </row>
    <row r="258" spans="1:14">
      <c r="A258" s="178" t="s">
        <v>10089</v>
      </c>
      <c r="B258" s="178" t="s">
        <v>3613</v>
      </c>
      <c r="C258" s="179" t="s">
        <v>3219</v>
      </c>
      <c r="D258" s="187">
        <v>20000</v>
      </c>
      <c r="E258" s="180" t="s">
        <v>3219</v>
      </c>
      <c r="F258" s="180" t="s">
        <v>3219</v>
      </c>
      <c r="G258" s="180" t="s">
        <v>3219</v>
      </c>
      <c r="H258" s="181" t="s">
        <v>3614</v>
      </c>
      <c r="I258" s="173" t="str">
        <f t="shared" si="18"/>
        <v>31-03-2008</v>
      </c>
      <c r="J258" s="172" t="str">
        <f t="shared" si="19"/>
        <v>.</v>
      </c>
      <c r="K258" s="172" t="str">
        <f t="shared" si="20"/>
        <v>ATM/CASH WDL/20080331145859/0</v>
      </c>
      <c r="L258" t="str">
        <f t="shared" si="21"/>
        <v>.</v>
      </c>
      <c r="M258">
        <f t="shared" si="22"/>
        <v>20000</v>
      </c>
      <c r="N258" s="172" t="str">
        <f t="shared" si="23"/>
        <v>4,43,769.32Cr</v>
      </c>
    </row>
    <row r="259" spans="1:14">
      <c r="A259" s="177">
        <v>39451</v>
      </c>
      <c r="B259" s="178" t="s">
        <v>1394</v>
      </c>
      <c r="C259" s="179" t="s">
        <v>3219</v>
      </c>
      <c r="D259" s="180" t="s">
        <v>3219</v>
      </c>
      <c r="E259" s="180" t="s">
        <v>3219</v>
      </c>
      <c r="F259" s="180" t="s">
        <v>3219</v>
      </c>
      <c r="G259" s="180" t="s">
        <v>3219</v>
      </c>
      <c r="H259" s="181" t="s">
        <v>3614</v>
      </c>
      <c r="I259" s="173">
        <f t="shared" ref="I259:I322" si="24">A259</f>
        <v>39451</v>
      </c>
      <c r="J259" s="172" t="str">
        <f t="shared" ref="J259:J322" si="25">C259</f>
        <v>.</v>
      </c>
      <c r="K259" s="172" t="str">
        <f t="shared" ref="K259:K322" si="26">B259</f>
        <v>B/F</v>
      </c>
      <c r="L259" t="str">
        <f t="shared" ref="L259:L322" si="27">E259</f>
        <v>.</v>
      </c>
      <c r="M259" t="str">
        <f t="shared" ref="M259:M322" si="28">D259</f>
        <v>.</v>
      </c>
      <c r="N259" s="172" t="str">
        <f t="shared" ref="N259:N322" si="29">H259</f>
        <v>4,43,769.32Cr</v>
      </c>
    </row>
    <row r="260" spans="1:14">
      <c r="A260" s="182">
        <v>39633</v>
      </c>
      <c r="B260" s="183" t="s">
        <v>3615</v>
      </c>
      <c r="C260" s="188" t="s">
        <v>3219</v>
      </c>
      <c r="D260" s="184">
        <v>18000</v>
      </c>
      <c r="E260" s="185" t="s">
        <v>3219</v>
      </c>
      <c r="F260" s="185" t="s">
        <v>3219</v>
      </c>
      <c r="G260" s="185" t="s">
        <v>3219</v>
      </c>
      <c r="H260" s="186" t="s">
        <v>3616</v>
      </c>
      <c r="I260" s="173">
        <f t="shared" si="24"/>
        <v>39633</v>
      </c>
      <c r="J260" s="172" t="str">
        <f t="shared" si="25"/>
        <v>.</v>
      </c>
      <c r="K260" s="172" t="str">
        <f t="shared" si="26"/>
        <v>ATM/CASH WDL/20080406141209/0</v>
      </c>
      <c r="L260" t="str">
        <f t="shared" si="27"/>
        <v>.</v>
      </c>
      <c r="M260">
        <f t="shared" si="28"/>
        <v>18000</v>
      </c>
      <c r="N260" s="172" t="str">
        <f t="shared" si="29"/>
        <v>4,25,769.32Cr</v>
      </c>
    </row>
    <row r="261" spans="1:14">
      <c r="A261" s="177">
        <v>39664</v>
      </c>
      <c r="B261" s="178" t="s">
        <v>3617</v>
      </c>
      <c r="C261" s="179" t="s">
        <v>3219</v>
      </c>
      <c r="D261" s="181">
        <v>112</v>
      </c>
      <c r="E261" s="180" t="s">
        <v>3219</v>
      </c>
      <c r="F261" s="180" t="s">
        <v>3219</v>
      </c>
      <c r="G261" s="180" t="s">
        <v>3219</v>
      </c>
      <c r="H261" s="181" t="s">
        <v>3618</v>
      </c>
      <c r="I261" s="173">
        <f t="shared" si="24"/>
        <v>39664</v>
      </c>
      <c r="J261" s="172" t="str">
        <f t="shared" si="25"/>
        <v>.</v>
      </c>
      <c r="K261" s="172" t="str">
        <f t="shared" si="26"/>
        <v>ChequeBookChgs,Jan-Mar08+ST12</v>
      </c>
      <c r="L261" t="str">
        <f t="shared" si="27"/>
        <v>.</v>
      </c>
      <c r="M261">
        <f t="shared" si="28"/>
        <v>112</v>
      </c>
      <c r="N261" s="172" t="str">
        <f t="shared" si="29"/>
        <v>4,25,657.32Cr</v>
      </c>
    </row>
    <row r="262" spans="1:14">
      <c r="A262" s="182">
        <v>39664</v>
      </c>
      <c r="B262" s="183" t="s">
        <v>1444</v>
      </c>
      <c r="C262" s="183">
        <v>940706</v>
      </c>
      <c r="D262" s="184">
        <v>40000</v>
      </c>
      <c r="E262" s="185" t="s">
        <v>3219</v>
      </c>
      <c r="F262" s="185" t="s">
        <v>3219</v>
      </c>
      <c r="G262" s="185" t="s">
        <v>3219</v>
      </c>
      <c r="H262" s="186" t="s">
        <v>3619</v>
      </c>
      <c r="I262" s="173">
        <f t="shared" si="24"/>
        <v>39664</v>
      </c>
      <c r="J262" s="172">
        <f t="shared" si="25"/>
        <v>940706</v>
      </c>
      <c r="K262" s="172" t="str">
        <f t="shared" si="26"/>
        <v>THE SARASWAT CO OP BANK LTD</v>
      </c>
      <c r="L262" t="str">
        <f t="shared" si="27"/>
        <v>.</v>
      </c>
      <c r="M262">
        <f t="shared" si="28"/>
        <v>40000</v>
      </c>
      <c r="N262" s="172" t="str">
        <f t="shared" si="29"/>
        <v>3,85,657.32Cr</v>
      </c>
    </row>
    <row r="263" spans="1:14">
      <c r="A263" s="177">
        <v>39664</v>
      </c>
      <c r="B263" s="178" t="s">
        <v>1473</v>
      </c>
      <c r="C263" s="178">
        <v>940729</v>
      </c>
      <c r="D263" s="187">
        <v>6331</v>
      </c>
      <c r="E263" s="180" t="s">
        <v>3219</v>
      </c>
      <c r="F263" s="180" t="s">
        <v>3219</v>
      </c>
      <c r="G263" s="180" t="s">
        <v>3219</v>
      </c>
      <c r="H263" s="181" t="s">
        <v>3620</v>
      </c>
      <c r="I263" s="173">
        <f t="shared" si="24"/>
        <v>39664</v>
      </c>
      <c r="J263" s="172">
        <f t="shared" si="25"/>
        <v>940729</v>
      </c>
      <c r="K263" s="172" t="str">
        <f t="shared" si="26"/>
        <v>LIC OF INDIA</v>
      </c>
      <c r="L263" t="str">
        <f t="shared" si="27"/>
        <v>.</v>
      </c>
      <c r="M263">
        <f t="shared" si="28"/>
        <v>6331</v>
      </c>
      <c r="N263" s="172" t="str">
        <f t="shared" si="29"/>
        <v>3,79,326.32Cr</v>
      </c>
    </row>
    <row r="264" spans="1:14">
      <c r="A264" s="182">
        <v>39756</v>
      </c>
      <c r="B264" s="183" t="s">
        <v>3621</v>
      </c>
      <c r="C264" s="188" t="s">
        <v>3219</v>
      </c>
      <c r="D264" s="185" t="s">
        <v>3219</v>
      </c>
      <c r="E264" s="184">
        <v>3477.66</v>
      </c>
      <c r="F264" s="185" t="s">
        <v>3219</v>
      </c>
      <c r="G264" s="185" t="s">
        <v>3219</v>
      </c>
      <c r="H264" s="186" t="s">
        <v>3622</v>
      </c>
      <c r="I264" s="173">
        <f t="shared" si="24"/>
        <v>39756</v>
      </c>
      <c r="J264" s="172" t="str">
        <f t="shared" si="25"/>
        <v>.</v>
      </c>
      <c r="K264" s="172" t="str">
        <f t="shared" si="26"/>
        <v>BSL Tax Relief'96 Fund-ELSS</v>
      </c>
      <c r="L264">
        <f t="shared" si="27"/>
        <v>3477.66</v>
      </c>
      <c r="M264" t="str">
        <f t="shared" si="28"/>
        <v>.</v>
      </c>
      <c r="N264" s="172" t="str">
        <f t="shared" si="29"/>
        <v>3,82,803.98Cr</v>
      </c>
    </row>
    <row r="265" spans="1:14">
      <c r="A265" s="178" t="s">
        <v>10090</v>
      </c>
      <c r="B265" s="178" t="s">
        <v>3623</v>
      </c>
      <c r="C265" s="179" t="s">
        <v>3219</v>
      </c>
      <c r="D265" s="187">
        <v>3000</v>
      </c>
      <c r="E265" s="180" t="s">
        <v>3219</v>
      </c>
      <c r="F265" s="180" t="s">
        <v>3219</v>
      </c>
      <c r="G265" s="180" t="s">
        <v>3219</v>
      </c>
      <c r="H265" s="181" t="s">
        <v>3624</v>
      </c>
      <c r="I265" s="173" t="str">
        <f t="shared" si="24"/>
        <v>21-04-2008</v>
      </c>
      <c r="J265" s="172" t="str">
        <f t="shared" si="25"/>
        <v>.</v>
      </c>
      <c r="K265" s="172" t="str">
        <f t="shared" si="26"/>
        <v>ATM/CASH WDL/20080420105142/0</v>
      </c>
      <c r="L265" t="str">
        <f t="shared" si="27"/>
        <v>.</v>
      </c>
      <c r="M265">
        <f t="shared" si="28"/>
        <v>3000</v>
      </c>
      <c r="N265" s="172" t="str">
        <f t="shared" si="29"/>
        <v>3,79,803.98Cr</v>
      </c>
    </row>
    <row r="266" spans="1:14">
      <c r="A266" s="183" t="s">
        <v>10091</v>
      </c>
      <c r="B266" s="183" t="s">
        <v>3625</v>
      </c>
      <c r="C266" s="188" t="s">
        <v>3219</v>
      </c>
      <c r="D266" s="184">
        <v>5000</v>
      </c>
      <c r="E266" s="185" t="s">
        <v>3219</v>
      </c>
      <c r="F266" s="185" t="s">
        <v>3219</v>
      </c>
      <c r="G266" s="185" t="s">
        <v>3219</v>
      </c>
      <c r="H266" s="186" t="s">
        <v>3626</v>
      </c>
      <c r="I266" s="173" t="str">
        <f t="shared" si="24"/>
        <v>25-04-2008</v>
      </c>
      <c r="J266" s="172" t="str">
        <f t="shared" si="25"/>
        <v>.</v>
      </c>
      <c r="K266" s="172" t="str">
        <f t="shared" si="26"/>
        <v>ATM/CASH WDL/20080425194051/0</v>
      </c>
      <c r="L266" t="str">
        <f t="shared" si="27"/>
        <v>.</v>
      </c>
      <c r="M266">
        <f t="shared" si="28"/>
        <v>5000</v>
      </c>
      <c r="N266" s="172" t="str">
        <f t="shared" si="29"/>
        <v>3,74,803.98Cr</v>
      </c>
    </row>
    <row r="267" spans="1:14">
      <c r="A267" s="178" t="s">
        <v>10092</v>
      </c>
      <c r="B267" s="178" t="s">
        <v>3627</v>
      </c>
      <c r="C267" s="179" t="s">
        <v>3219</v>
      </c>
      <c r="D267" s="187">
        <v>4000</v>
      </c>
      <c r="E267" s="180" t="s">
        <v>3219</v>
      </c>
      <c r="F267" s="180" t="s">
        <v>3219</v>
      </c>
      <c r="G267" s="180" t="s">
        <v>3219</v>
      </c>
      <c r="H267" s="181" t="s">
        <v>3628</v>
      </c>
      <c r="I267" s="173" t="str">
        <f t="shared" si="24"/>
        <v>28-04-2008</v>
      </c>
      <c r="J267" s="172" t="str">
        <f t="shared" si="25"/>
        <v>.</v>
      </c>
      <c r="K267" s="172" t="str">
        <f t="shared" si="26"/>
        <v>ATM/CASH WDL/20080428193608/0</v>
      </c>
      <c r="L267" t="str">
        <f t="shared" si="27"/>
        <v>.</v>
      </c>
      <c r="M267">
        <f t="shared" si="28"/>
        <v>4000</v>
      </c>
      <c r="N267" s="172" t="str">
        <f t="shared" si="29"/>
        <v>3,70,803.98Cr</v>
      </c>
    </row>
    <row r="268" spans="1:14">
      <c r="A268" s="183" t="s">
        <v>10092</v>
      </c>
      <c r="B268" s="183" t="s">
        <v>1404</v>
      </c>
      <c r="C268" s="188" t="s">
        <v>3219</v>
      </c>
      <c r="D268" s="185" t="s">
        <v>3219</v>
      </c>
      <c r="E268" s="186" t="s">
        <v>10867</v>
      </c>
      <c r="F268" s="185" t="s">
        <v>3219</v>
      </c>
      <c r="G268" s="185" t="s">
        <v>3219</v>
      </c>
      <c r="H268" s="186" t="s">
        <v>3629</v>
      </c>
      <c r="I268" s="173" t="str">
        <f t="shared" si="24"/>
        <v>28-04-2008</v>
      </c>
      <c r="J268" s="172" t="str">
        <f t="shared" si="25"/>
        <v>.</v>
      </c>
      <c r="K268" s="172" t="str">
        <f t="shared" si="26"/>
        <v>BY SALARY</v>
      </c>
      <c r="L268" t="str">
        <f t="shared" si="27"/>
        <v>2,10,654.00</v>
      </c>
      <c r="M268" t="str">
        <f t="shared" si="28"/>
        <v>.</v>
      </c>
      <c r="N268" s="172" t="str">
        <f t="shared" si="29"/>
        <v>5,81,457.98Cr</v>
      </c>
    </row>
    <row r="269" spans="1:14">
      <c r="A269" s="178" t="s">
        <v>10093</v>
      </c>
      <c r="B269" s="178" t="s">
        <v>1424</v>
      </c>
      <c r="C269" s="178">
        <v>940731</v>
      </c>
      <c r="D269" s="187">
        <v>19486.099999999999</v>
      </c>
      <c r="E269" s="180" t="s">
        <v>3219</v>
      </c>
      <c r="F269" s="180" t="s">
        <v>3219</v>
      </c>
      <c r="G269" s="180" t="s">
        <v>3219</v>
      </c>
      <c r="H269" s="181" t="s">
        <v>3630</v>
      </c>
      <c r="I269" s="173" t="str">
        <f t="shared" si="24"/>
        <v>29-04-2008</v>
      </c>
      <c r="J269" s="172">
        <f t="shared" si="25"/>
        <v>940731</v>
      </c>
      <c r="K269" s="172" t="str">
        <f t="shared" si="26"/>
        <v>ICICI CREDIT CARD PAYMENT</v>
      </c>
      <c r="L269" t="str">
        <f t="shared" si="27"/>
        <v>.</v>
      </c>
      <c r="M269">
        <f t="shared" si="28"/>
        <v>19486.099999999999</v>
      </c>
      <c r="N269" s="172" t="str">
        <f t="shared" si="29"/>
        <v>5,61,971.88Cr</v>
      </c>
    </row>
    <row r="270" spans="1:14">
      <c r="A270" s="189">
        <v>39600</v>
      </c>
      <c r="B270" s="190" t="s">
        <v>1394</v>
      </c>
      <c r="C270" s="191" t="s">
        <v>3219</v>
      </c>
      <c r="D270" s="192" t="s">
        <v>3219</v>
      </c>
      <c r="E270" s="192" t="s">
        <v>3219</v>
      </c>
      <c r="F270" s="192" t="s">
        <v>3219</v>
      </c>
      <c r="G270" s="192" t="s">
        <v>3219</v>
      </c>
      <c r="H270" s="193" t="s">
        <v>3631</v>
      </c>
      <c r="I270" s="173">
        <f t="shared" si="24"/>
        <v>39600</v>
      </c>
      <c r="J270" s="172" t="str">
        <f t="shared" si="25"/>
        <v>.</v>
      </c>
      <c r="K270" s="172" t="str">
        <f t="shared" si="26"/>
        <v>B/F</v>
      </c>
      <c r="L270" t="str">
        <f t="shared" si="27"/>
        <v>.</v>
      </c>
      <c r="M270" t="str">
        <f t="shared" si="28"/>
        <v>.</v>
      </c>
      <c r="N270" s="172" t="str">
        <f t="shared" si="29"/>
        <v>6,32,162.88Cr</v>
      </c>
    </row>
    <row r="271" spans="1:14">
      <c r="A271" s="194">
        <v>39601</v>
      </c>
      <c r="B271" s="195" t="s">
        <v>3632</v>
      </c>
      <c r="C271" s="196" t="s">
        <v>3219</v>
      </c>
      <c r="D271" s="197">
        <v>4000</v>
      </c>
      <c r="E271" s="198" t="s">
        <v>3219</v>
      </c>
      <c r="F271" s="198" t="s">
        <v>3219</v>
      </c>
      <c r="G271" s="198" t="s">
        <v>3219</v>
      </c>
      <c r="H271" s="199" t="s">
        <v>3633</v>
      </c>
      <c r="I271" s="173">
        <f t="shared" si="24"/>
        <v>39601</v>
      </c>
      <c r="J271" s="172" t="str">
        <f t="shared" si="25"/>
        <v>.</v>
      </c>
      <c r="K271" s="172" t="str">
        <f t="shared" si="26"/>
        <v>ATM/CASH WDL/20080601092330/0</v>
      </c>
      <c r="L271" t="str">
        <f t="shared" si="27"/>
        <v>.</v>
      </c>
      <c r="M271">
        <f t="shared" si="28"/>
        <v>4000</v>
      </c>
      <c r="N271" s="172" t="str">
        <f t="shared" si="29"/>
        <v>6,28,162.88Cr</v>
      </c>
    </row>
    <row r="272" spans="1:14">
      <c r="A272" s="189">
        <v>39601</v>
      </c>
      <c r="B272" s="190" t="s">
        <v>3634</v>
      </c>
      <c r="C272" s="191" t="s">
        <v>3219</v>
      </c>
      <c r="D272" s="200">
        <v>4000</v>
      </c>
      <c r="E272" s="192" t="s">
        <v>3219</v>
      </c>
      <c r="F272" s="192" t="s">
        <v>3219</v>
      </c>
      <c r="G272" s="192" t="s">
        <v>3219</v>
      </c>
      <c r="H272" s="193" t="s">
        <v>3635</v>
      </c>
      <c r="I272" s="173">
        <f t="shared" si="24"/>
        <v>39601</v>
      </c>
      <c r="J272" s="172" t="str">
        <f t="shared" si="25"/>
        <v>.</v>
      </c>
      <c r="K272" s="172" t="str">
        <f t="shared" si="26"/>
        <v>ATM/CASH WDL/20080601092534/0</v>
      </c>
      <c r="L272" t="str">
        <f t="shared" si="27"/>
        <v>.</v>
      </c>
      <c r="M272">
        <f t="shared" si="28"/>
        <v>4000</v>
      </c>
      <c r="N272" s="172" t="str">
        <f t="shared" si="29"/>
        <v>6,24,162.88Cr</v>
      </c>
    </row>
    <row r="273" spans="1:14">
      <c r="A273" s="194">
        <v>39601</v>
      </c>
      <c r="B273" s="195" t="s">
        <v>3636</v>
      </c>
      <c r="C273" s="196" t="s">
        <v>3219</v>
      </c>
      <c r="D273" s="197">
        <v>4000</v>
      </c>
      <c r="E273" s="198" t="s">
        <v>3219</v>
      </c>
      <c r="F273" s="198" t="s">
        <v>3219</v>
      </c>
      <c r="G273" s="198" t="s">
        <v>3219</v>
      </c>
      <c r="H273" s="199" t="s">
        <v>3637</v>
      </c>
      <c r="I273" s="173">
        <f t="shared" si="24"/>
        <v>39601</v>
      </c>
      <c r="J273" s="172" t="str">
        <f t="shared" si="25"/>
        <v>.</v>
      </c>
      <c r="K273" s="172" t="str">
        <f t="shared" si="26"/>
        <v>ATM/CASH WDL/20080601092648/0</v>
      </c>
      <c r="L273" t="str">
        <f t="shared" si="27"/>
        <v>.</v>
      </c>
      <c r="M273">
        <f t="shared" si="28"/>
        <v>4000</v>
      </c>
      <c r="N273" s="172" t="str">
        <f t="shared" si="29"/>
        <v>6,20,162.88Cr</v>
      </c>
    </row>
    <row r="274" spans="1:14">
      <c r="A274" s="189">
        <v>39606</v>
      </c>
      <c r="B274" s="190" t="s">
        <v>3638</v>
      </c>
      <c r="C274" s="191" t="s">
        <v>3219</v>
      </c>
      <c r="D274" s="200">
        <v>4000</v>
      </c>
      <c r="E274" s="192" t="s">
        <v>3219</v>
      </c>
      <c r="F274" s="192" t="s">
        <v>3219</v>
      </c>
      <c r="G274" s="192" t="s">
        <v>3219</v>
      </c>
      <c r="H274" s="193" t="s">
        <v>3639</v>
      </c>
      <c r="I274" s="173">
        <f t="shared" si="24"/>
        <v>39606</v>
      </c>
      <c r="J274" s="172" t="str">
        <f t="shared" si="25"/>
        <v>.</v>
      </c>
      <c r="K274" s="172" t="str">
        <f t="shared" si="26"/>
        <v>ATM/CASH WDL/20080607102532/0</v>
      </c>
      <c r="L274" t="str">
        <f t="shared" si="27"/>
        <v>.</v>
      </c>
      <c r="M274">
        <f t="shared" si="28"/>
        <v>4000</v>
      </c>
      <c r="N274" s="172" t="str">
        <f t="shared" si="29"/>
        <v>6,16,162.88Cr</v>
      </c>
    </row>
    <row r="275" spans="1:14">
      <c r="A275" s="194">
        <v>39609</v>
      </c>
      <c r="B275" s="195" t="s">
        <v>3640</v>
      </c>
      <c r="C275" s="195">
        <v>940707</v>
      </c>
      <c r="D275" s="197">
        <v>40000</v>
      </c>
      <c r="E275" s="198" t="s">
        <v>3219</v>
      </c>
      <c r="F275" s="198" t="s">
        <v>3219</v>
      </c>
      <c r="G275" s="198" t="s">
        <v>3219</v>
      </c>
      <c r="H275" s="199" t="s">
        <v>3641</v>
      </c>
      <c r="I275" s="173">
        <f t="shared" si="24"/>
        <v>39609</v>
      </c>
      <c r="J275" s="172">
        <f t="shared" si="25"/>
        <v>940707</v>
      </c>
      <c r="K275" s="172" t="str">
        <f t="shared" si="26"/>
        <v>SARASWAT COOP BK</v>
      </c>
      <c r="L275" t="str">
        <f t="shared" si="27"/>
        <v>.</v>
      </c>
      <c r="M275">
        <f t="shared" si="28"/>
        <v>40000</v>
      </c>
      <c r="N275" s="172" t="str">
        <f t="shared" si="29"/>
        <v>5,76,162.88Cr</v>
      </c>
    </row>
    <row r="276" spans="1:14">
      <c r="A276" s="189">
        <v>39610</v>
      </c>
      <c r="B276" s="190" t="s">
        <v>3642</v>
      </c>
      <c r="C276" s="191" t="s">
        <v>3219</v>
      </c>
      <c r="D276" s="200">
        <v>5000</v>
      </c>
      <c r="E276" s="192" t="s">
        <v>3219</v>
      </c>
      <c r="F276" s="192" t="s">
        <v>3219</v>
      </c>
      <c r="G276" s="192" t="s">
        <v>3219</v>
      </c>
      <c r="H276" s="193" t="s">
        <v>3643</v>
      </c>
      <c r="I276" s="173">
        <f t="shared" si="24"/>
        <v>39610</v>
      </c>
      <c r="J276" s="172" t="str">
        <f t="shared" si="25"/>
        <v>.</v>
      </c>
      <c r="K276" s="172" t="str">
        <f t="shared" si="26"/>
        <v>ATM/CASH WDL/20080611081547/0</v>
      </c>
      <c r="L276" t="str">
        <f t="shared" si="27"/>
        <v>.</v>
      </c>
      <c r="M276">
        <f t="shared" si="28"/>
        <v>5000</v>
      </c>
      <c r="N276" s="172" t="str">
        <f t="shared" si="29"/>
        <v>5,71,162.88Cr</v>
      </c>
    </row>
    <row r="277" spans="1:14">
      <c r="A277" s="194">
        <v>39615</v>
      </c>
      <c r="B277" s="195" t="s">
        <v>3644</v>
      </c>
      <c r="C277" s="196" t="s">
        <v>3219</v>
      </c>
      <c r="D277" s="197">
        <v>10000</v>
      </c>
      <c r="E277" s="198" t="s">
        <v>3219</v>
      </c>
      <c r="F277" s="198" t="s">
        <v>3219</v>
      </c>
      <c r="G277" s="198" t="s">
        <v>3219</v>
      </c>
      <c r="H277" s="199" t="s">
        <v>3645</v>
      </c>
      <c r="I277" s="173">
        <f t="shared" si="24"/>
        <v>39615</v>
      </c>
      <c r="J277" s="172" t="str">
        <f t="shared" si="25"/>
        <v>.</v>
      </c>
      <c r="K277" s="172" t="str">
        <f t="shared" si="26"/>
        <v>ATM/CASH WDL/20080616075348/0</v>
      </c>
      <c r="L277" t="str">
        <f t="shared" si="27"/>
        <v>.</v>
      </c>
      <c r="M277">
        <f t="shared" si="28"/>
        <v>10000</v>
      </c>
      <c r="N277" s="172" t="str">
        <f t="shared" si="29"/>
        <v>5,61,162.88Cr</v>
      </c>
    </row>
    <row r="278" spans="1:14">
      <c r="A278" s="189">
        <v>39615</v>
      </c>
      <c r="B278" s="190" t="s">
        <v>3646</v>
      </c>
      <c r="C278" s="190">
        <v>940733</v>
      </c>
      <c r="D278" s="200">
        <v>98917</v>
      </c>
      <c r="E278" s="192" t="s">
        <v>3219</v>
      </c>
      <c r="F278" s="192" t="s">
        <v>3219</v>
      </c>
      <c r="G278" s="192" t="s">
        <v>3219</v>
      </c>
      <c r="H278" s="193" t="s">
        <v>3647</v>
      </c>
      <c r="I278" s="173">
        <f t="shared" si="24"/>
        <v>39615</v>
      </c>
      <c r="J278" s="172">
        <f t="shared" si="25"/>
        <v>940733</v>
      </c>
      <c r="K278" s="172" t="str">
        <f t="shared" si="26"/>
        <v>TRFR TO:VISHWANATH IYER`</v>
      </c>
      <c r="L278" t="str">
        <f t="shared" si="27"/>
        <v>.</v>
      </c>
      <c r="M278">
        <f t="shared" si="28"/>
        <v>98917</v>
      </c>
      <c r="N278" s="172" t="str">
        <f t="shared" si="29"/>
        <v>4,62,245.88Cr</v>
      </c>
    </row>
    <row r="279" spans="1:14">
      <c r="A279" s="194">
        <v>39625</v>
      </c>
      <c r="B279" s="195" t="s">
        <v>1404</v>
      </c>
      <c r="C279" s="196" t="s">
        <v>3219</v>
      </c>
      <c r="D279" s="198" t="s">
        <v>3219</v>
      </c>
      <c r="E279" s="197">
        <v>65364</v>
      </c>
      <c r="F279" s="198" t="s">
        <v>3219</v>
      </c>
      <c r="G279" s="198" t="s">
        <v>3219</v>
      </c>
      <c r="H279" s="199" t="s">
        <v>3648</v>
      </c>
      <c r="I279" s="173">
        <f t="shared" si="24"/>
        <v>39625</v>
      </c>
      <c r="J279" s="172" t="str">
        <f t="shared" si="25"/>
        <v>.</v>
      </c>
      <c r="K279" s="172" t="str">
        <f t="shared" si="26"/>
        <v>BY SALARY</v>
      </c>
      <c r="L279">
        <f t="shared" si="27"/>
        <v>65364</v>
      </c>
      <c r="M279" t="str">
        <f t="shared" si="28"/>
        <v>.</v>
      </c>
      <c r="N279" s="172" t="str">
        <f t="shared" si="29"/>
        <v>5,27,609.88Cr</v>
      </c>
    </row>
    <row r="280" spans="1:14">
      <c r="A280" s="189">
        <v>39630</v>
      </c>
      <c r="B280" s="190" t="s">
        <v>1394</v>
      </c>
      <c r="C280" s="191" t="s">
        <v>3219</v>
      </c>
      <c r="D280" s="192" t="s">
        <v>3219</v>
      </c>
      <c r="E280" s="192" t="s">
        <v>3219</v>
      </c>
      <c r="F280" s="192" t="s">
        <v>3219</v>
      </c>
      <c r="G280" s="192" t="s">
        <v>3219</v>
      </c>
      <c r="H280" s="193" t="s">
        <v>3648</v>
      </c>
      <c r="I280" s="173">
        <f t="shared" si="24"/>
        <v>39630</v>
      </c>
      <c r="J280" s="172" t="str">
        <f t="shared" si="25"/>
        <v>.</v>
      </c>
      <c r="K280" s="172" t="str">
        <f t="shared" si="26"/>
        <v>B/F</v>
      </c>
      <c r="L280" t="str">
        <f t="shared" si="27"/>
        <v>.</v>
      </c>
      <c r="M280" t="str">
        <f t="shared" si="28"/>
        <v>.</v>
      </c>
      <c r="N280" s="172" t="str">
        <f t="shared" si="29"/>
        <v>5,27,609.88Cr</v>
      </c>
    </row>
    <row r="281" spans="1:14">
      <c r="A281" s="194">
        <v>39632</v>
      </c>
      <c r="B281" s="195" t="s">
        <v>3649</v>
      </c>
      <c r="C281" s="196" t="s">
        <v>3219</v>
      </c>
      <c r="D281" s="197">
        <v>18000</v>
      </c>
      <c r="E281" s="198" t="s">
        <v>3219</v>
      </c>
      <c r="F281" s="198" t="s">
        <v>3219</v>
      </c>
      <c r="G281" s="198" t="s">
        <v>3219</v>
      </c>
      <c r="H281" s="199" t="s">
        <v>3650</v>
      </c>
      <c r="I281" s="173">
        <f t="shared" si="24"/>
        <v>39632</v>
      </c>
      <c r="J281" s="172" t="str">
        <f t="shared" si="25"/>
        <v>.</v>
      </c>
      <c r="K281" s="172" t="str">
        <f t="shared" si="26"/>
        <v>ATM/CASH WDL/20080703091104/0</v>
      </c>
      <c r="L281" t="str">
        <f t="shared" si="27"/>
        <v>.</v>
      </c>
      <c r="M281">
        <f t="shared" si="28"/>
        <v>18000</v>
      </c>
      <c r="N281" s="172" t="str">
        <f t="shared" si="29"/>
        <v>5,09,609.88Cr</v>
      </c>
    </row>
    <row r="282" spans="1:14">
      <c r="A282" s="189">
        <v>39633</v>
      </c>
      <c r="B282" s="190" t="s">
        <v>1424</v>
      </c>
      <c r="C282" s="190">
        <v>940734</v>
      </c>
      <c r="D282" s="200">
        <v>3334.75</v>
      </c>
      <c r="E282" s="192" t="s">
        <v>3219</v>
      </c>
      <c r="F282" s="192" t="s">
        <v>3219</v>
      </c>
      <c r="G282" s="192" t="s">
        <v>3219</v>
      </c>
      <c r="H282" s="193" t="s">
        <v>3651</v>
      </c>
      <c r="I282" s="173">
        <f t="shared" si="24"/>
        <v>39633</v>
      </c>
      <c r="J282" s="172">
        <f t="shared" si="25"/>
        <v>940734</v>
      </c>
      <c r="K282" s="172" t="str">
        <f t="shared" si="26"/>
        <v>ICICI CREDIT CARD PAYMENT</v>
      </c>
      <c r="L282" t="str">
        <f t="shared" si="27"/>
        <v>.</v>
      </c>
      <c r="M282">
        <f t="shared" si="28"/>
        <v>3334.75</v>
      </c>
      <c r="N282" s="172" t="str">
        <f t="shared" si="29"/>
        <v>5,06,275.13Cr</v>
      </c>
    </row>
    <row r="283" spans="1:14">
      <c r="A283" s="194">
        <v>39644</v>
      </c>
      <c r="B283" s="195" t="s">
        <v>3652</v>
      </c>
      <c r="C283" s="196" t="s">
        <v>3219</v>
      </c>
      <c r="D283" s="198" t="s">
        <v>3219</v>
      </c>
      <c r="E283" s="199">
        <v>869.42</v>
      </c>
      <c r="F283" s="198" t="s">
        <v>3219</v>
      </c>
      <c r="G283" s="198" t="s">
        <v>3219</v>
      </c>
      <c r="H283" s="199" t="s">
        <v>3653</v>
      </c>
      <c r="I283" s="173">
        <f t="shared" si="24"/>
        <v>39644</v>
      </c>
      <c r="J283" s="172" t="str">
        <f t="shared" si="25"/>
        <v>.</v>
      </c>
      <c r="K283" s="172" t="str">
        <f t="shared" si="26"/>
        <v>BSL Tax Relief 96 - DIV</v>
      </c>
      <c r="L283">
        <f t="shared" si="27"/>
        <v>869.42</v>
      </c>
      <c r="M283" t="str">
        <f t="shared" si="28"/>
        <v>.</v>
      </c>
      <c r="N283" s="172" t="str">
        <f t="shared" si="29"/>
        <v>5,07,144.55Cr</v>
      </c>
    </row>
    <row r="284" spans="1:14">
      <c r="A284" s="189">
        <v>39661</v>
      </c>
      <c r="B284" s="190" t="s">
        <v>1394</v>
      </c>
      <c r="C284" s="191" t="s">
        <v>3219</v>
      </c>
      <c r="D284" s="192" t="s">
        <v>3219</v>
      </c>
      <c r="E284" s="192" t="s">
        <v>3219</v>
      </c>
      <c r="F284" s="192" t="s">
        <v>3219</v>
      </c>
      <c r="G284" s="192" t="s">
        <v>3219</v>
      </c>
      <c r="H284" s="193" t="s">
        <v>3653</v>
      </c>
      <c r="I284" s="173">
        <f t="shared" si="24"/>
        <v>39661</v>
      </c>
      <c r="J284" s="172" t="str">
        <f t="shared" si="25"/>
        <v>.</v>
      </c>
      <c r="K284" s="172" t="str">
        <f t="shared" si="26"/>
        <v>B/F</v>
      </c>
      <c r="L284" t="str">
        <f t="shared" si="27"/>
        <v>.</v>
      </c>
      <c r="M284" t="str">
        <f t="shared" si="28"/>
        <v>.</v>
      </c>
      <c r="N284" s="172" t="str">
        <f t="shared" si="29"/>
        <v>5,07,144.55Cr</v>
      </c>
    </row>
    <row r="285" spans="1:14">
      <c r="A285" s="194">
        <v>39666</v>
      </c>
      <c r="B285" s="195" t="s">
        <v>3654</v>
      </c>
      <c r="C285" s="196" t="s">
        <v>3219</v>
      </c>
      <c r="D285" s="197">
        <v>3000</v>
      </c>
      <c r="E285" s="198" t="s">
        <v>3219</v>
      </c>
      <c r="F285" s="198" t="s">
        <v>3219</v>
      </c>
      <c r="G285" s="198" t="s">
        <v>3219</v>
      </c>
      <c r="H285" s="199" t="s">
        <v>3655</v>
      </c>
      <c r="I285" s="173">
        <f t="shared" si="24"/>
        <v>39666</v>
      </c>
      <c r="J285" s="172" t="str">
        <f t="shared" si="25"/>
        <v>.</v>
      </c>
      <c r="K285" s="172" t="str">
        <f t="shared" si="26"/>
        <v>ATM/CASH WDL/06-08-08/21:04:35/0</v>
      </c>
      <c r="L285" t="str">
        <f t="shared" si="27"/>
        <v>.</v>
      </c>
      <c r="M285">
        <f t="shared" si="28"/>
        <v>3000</v>
      </c>
      <c r="N285" s="172" t="str">
        <f t="shared" si="29"/>
        <v>5,04,144.55Cr</v>
      </c>
    </row>
    <row r="286" spans="1:14">
      <c r="A286" s="189">
        <v>39666</v>
      </c>
      <c r="B286" s="190" t="s">
        <v>3656</v>
      </c>
      <c r="C286" s="191" t="s">
        <v>3219</v>
      </c>
      <c r="D286" s="200">
        <v>15000</v>
      </c>
      <c r="E286" s="192" t="s">
        <v>3219</v>
      </c>
      <c r="F286" s="192" t="s">
        <v>3219</v>
      </c>
      <c r="G286" s="192" t="s">
        <v>3219</v>
      </c>
      <c r="H286" s="193" t="s">
        <v>3657</v>
      </c>
      <c r="I286" s="173">
        <f t="shared" si="24"/>
        <v>39666</v>
      </c>
      <c r="J286" s="172" t="str">
        <f t="shared" si="25"/>
        <v>.</v>
      </c>
      <c r="K286" s="172" t="str">
        <f t="shared" si="26"/>
        <v>ATM/CASH WDL/06-08-08/21:05:17/0</v>
      </c>
      <c r="L286" t="str">
        <f t="shared" si="27"/>
        <v>.</v>
      </c>
      <c r="M286">
        <f t="shared" si="28"/>
        <v>15000</v>
      </c>
      <c r="N286" s="172" t="str">
        <f t="shared" si="29"/>
        <v>4,89,144.55Cr</v>
      </c>
    </row>
    <row r="287" spans="1:14">
      <c r="A287" s="194">
        <v>39672</v>
      </c>
      <c r="B287" s="195" t="s">
        <v>1430</v>
      </c>
      <c r="C287" s="195">
        <v>940708</v>
      </c>
      <c r="D287" s="197">
        <v>40000</v>
      </c>
      <c r="E287" s="198" t="s">
        <v>3219</v>
      </c>
      <c r="F287" s="198" t="s">
        <v>3219</v>
      </c>
      <c r="G287" s="198" t="s">
        <v>3219</v>
      </c>
      <c r="H287" s="199" t="s">
        <v>3658</v>
      </c>
      <c r="I287" s="173">
        <f t="shared" si="24"/>
        <v>39672</v>
      </c>
      <c r="J287" s="172">
        <f t="shared" si="25"/>
        <v>940708</v>
      </c>
      <c r="K287" s="172" t="str">
        <f t="shared" si="26"/>
        <v>THE SARASWAT COOP BANK LTD</v>
      </c>
      <c r="L287" t="str">
        <f t="shared" si="27"/>
        <v>.</v>
      </c>
      <c r="M287">
        <f t="shared" si="28"/>
        <v>40000</v>
      </c>
      <c r="N287" s="172" t="str">
        <f t="shared" si="29"/>
        <v>4,49,144.55Cr</v>
      </c>
    </row>
    <row r="288" spans="1:14">
      <c r="A288" s="189">
        <v>39674</v>
      </c>
      <c r="B288" s="190" t="s">
        <v>1424</v>
      </c>
      <c r="C288" s="190">
        <v>413226</v>
      </c>
      <c r="D288" s="200">
        <v>9703</v>
      </c>
      <c r="E288" s="192" t="s">
        <v>3219</v>
      </c>
      <c r="F288" s="192" t="s">
        <v>3219</v>
      </c>
      <c r="G288" s="192" t="s">
        <v>3219</v>
      </c>
      <c r="H288" s="193" t="s">
        <v>3659</v>
      </c>
      <c r="I288" s="173">
        <f t="shared" si="24"/>
        <v>39674</v>
      </c>
      <c r="J288" s="172">
        <f t="shared" si="25"/>
        <v>413226</v>
      </c>
      <c r="K288" s="172" t="str">
        <f t="shared" si="26"/>
        <v>ICICI CREDIT CARD PAYMENT</v>
      </c>
      <c r="L288" t="str">
        <f t="shared" si="27"/>
        <v>.</v>
      </c>
      <c r="M288">
        <f t="shared" si="28"/>
        <v>9703</v>
      </c>
      <c r="N288" s="172" t="str">
        <f t="shared" si="29"/>
        <v>4,39,441.55Cr</v>
      </c>
    </row>
    <row r="289" spans="1:14">
      <c r="A289" s="194">
        <v>39681</v>
      </c>
      <c r="B289" s="195" t="s">
        <v>3660</v>
      </c>
      <c r="C289" s="196" t="s">
        <v>3219</v>
      </c>
      <c r="D289" s="198" t="s">
        <v>3219</v>
      </c>
      <c r="E289" s="197">
        <v>28727</v>
      </c>
      <c r="F289" s="198" t="s">
        <v>3219</v>
      </c>
      <c r="G289" s="198" t="s">
        <v>3219</v>
      </c>
      <c r="H289" s="199" t="s">
        <v>3661</v>
      </c>
      <c r="I289" s="173">
        <f t="shared" si="24"/>
        <v>39681</v>
      </c>
      <c r="J289" s="172" t="str">
        <f t="shared" si="25"/>
        <v>.</v>
      </c>
      <c r="K289" s="172" t="str">
        <f t="shared" si="26"/>
        <v>820450 SBI CDM00718080028 CDM0</v>
      </c>
      <c r="L289">
        <f t="shared" si="27"/>
        <v>28727</v>
      </c>
      <c r="M289" t="str">
        <f t="shared" si="28"/>
        <v>.</v>
      </c>
      <c r="N289" s="172" t="str">
        <f t="shared" si="29"/>
        <v>4,68,168.55Cr</v>
      </c>
    </row>
    <row r="290" spans="1:14">
      <c r="A290" s="189">
        <v>39683</v>
      </c>
      <c r="B290" s="190" t="s">
        <v>3662</v>
      </c>
      <c r="C290" s="191" t="s">
        <v>3219</v>
      </c>
      <c r="D290" s="200">
        <v>7000</v>
      </c>
      <c r="E290" s="192" t="s">
        <v>3219</v>
      </c>
      <c r="F290" s="192" t="s">
        <v>3219</v>
      </c>
      <c r="G290" s="192" t="s">
        <v>3219</v>
      </c>
      <c r="H290" s="193" t="s">
        <v>3663</v>
      </c>
      <c r="I290" s="173">
        <f t="shared" si="24"/>
        <v>39683</v>
      </c>
      <c r="J290" s="172" t="str">
        <f t="shared" si="25"/>
        <v>.</v>
      </c>
      <c r="K290" s="172" t="str">
        <f t="shared" si="26"/>
        <v>ATM/CASH WDL/23-08-08/10:22:02/0</v>
      </c>
      <c r="L290" t="str">
        <f t="shared" si="27"/>
        <v>.</v>
      </c>
      <c r="M290">
        <f t="shared" si="28"/>
        <v>7000</v>
      </c>
      <c r="N290" s="172" t="str">
        <f t="shared" si="29"/>
        <v>4,61,168.55Cr</v>
      </c>
    </row>
    <row r="291" spans="1:14">
      <c r="A291" s="194">
        <v>39687</v>
      </c>
      <c r="B291" s="195" t="s">
        <v>1404</v>
      </c>
      <c r="C291" s="196" t="s">
        <v>3219</v>
      </c>
      <c r="D291" s="198" t="s">
        <v>3219</v>
      </c>
      <c r="E291" s="197">
        <v>81252</v>
      </c>
      <c r="F291" s="198" t="s">
        <v>3219</v>
      </c>
      <c r="G291" s="198" t="s">
        <v>3219</v>
      </c>
      <c r="H291" s="199" t="s">
        <v>3664</v>
      </c>
      <c r="I291" s="173">
        <f t="shared" si="24"/>
        <v>39687</v>
      </c>
      <c r="J291" s="172" t="str">
        <f t="shared" si="25"/>
        <v>.</v>
      </c>
      <c r="K291" s="172" t="str">
        <f t="shared" si="26"/>
        <v>BY SALARY</v>
      </c>
      <c r="L291">
        <f t="shared" si="27"/>
        <v>81252</v>
      </c>
      <c r="M291" t="str">
        <f t="shared" si="28"/>
        <v>.</v>
      </c>
      <c r="N291" s="172" t="str">
        <f t="shared" si="29"/>
        <v>5,42,420.55Cr</v>
      </c>
    </row>
    <row r="292" spans="1:14">
      <c r="A292" s="189">
        <v>39689</v>
      </c>
      <c r="B292" s="190" t="s">
        <v>3665</v>
      </c>
      <c r="C292" s="191" t="s">
        <v>3219</v>
      </c>
      <c r="D292" s="200">
        <v>3000</v>
      </c>
      <c r="E292" s="192" t="s">
        <v>3219</v>
      </c>
      <c r="F292" s="192" t="s">
        <v>3219</v>
      </c>
      <c r="G292" s="192" t="s">
        <v>3219</v>
      </c>
      <c r="H292" s="193" t="s">
        <v>3666</v>
      </c>
      <c r="I292" s="173">
        <f t="shared" si="24"/>
        <v>39689</v>
      </c>
      <c r="J292" s="172" t="str">
        <f t="shared" si="25"/>
        <v>.</v>
      </c>
      <c r="K292" s="172" t="str">
        <f t="shared" si="26"/>
        <v>ATM/CASH WDL/29-08-08/17:38:33/0</v>
      </c>
      <c r="L292" t="str">
        <f t="shared" si="27"/>
        <v>.</v>
      </c>
      <c r="M292">
        <f t="shared" si="28"/>
        <v>3000</v>
      </c>
      <c r="N292" s="172" t="str">
        <f t="shared" si="29"/>
        <v>5,39,420.55Cr</v>
      </c>
    </row>
    <row r="293" spans="1:14">
      <c r="A293" s="189">
        <v>39692</v>
      </c>
      <c r="B293" s="190" t="s">
        <v>1394</v>
      </c>
      <c r="C293" s="191" t="s">
        <v>3219</v>
      </c>
      <c r="D293" s="192" t="s">
        <v>3219</v>
      </c>
      <c r="E293" s="192" t="s">
        <v>3219</v>
      </c>
      <c r="F293" s="192" t="s">
        <v>3219</v>
      </c>
      <c r="G293" s="192" t="s">
        <v>3219</v>
      </c>
      <c r="H293" s="193" t="s">
        <v>3666</v>
      </c>
      <c r="I293" s="173">
        <f t="shared" si="24"/>
        <v>39692</v>
      </c>
      <c r="J293" s="172" t="str">
        <f t="shared" si="25"/>
        <v>.</v>
      </c>
      <c r="K293" s="172" t="str">
        <f t="shared" si="26"/>
        <v>B/F</v>
      </c>
      <c r="L293" t="str">
        <f t="shared" si="27"/>
        <v>.</v>
      </c>
      <c r="M293" t="str">
        <f t="shared" si="28"/>
        <v>.</v>
      </c>
      <c r="N293" s="172" t="str">
        <f t="shared" si="29"/>
        <v>5,39,420.55Cr</v>
      </c>
    </row>
    <row r="294" spans="1:14">
      <c r="A294" s="194">
        <v>39692</v>
      </c>
      <c r="B294" s="195" t="s">
        <v>3667</v>
      </c>
      <c r="C294" s="196" t="s">
        <v>3219</v>
      </c>
      <c r="D294" s="198" t="s">
        <v>3219</v>
      </c>
      <c r="E294" s="197">
        <v>8015</v>
      </c>
      <c r="F294" s="198" t="s">
        <v>3219</v>
      </c>
      <c r="G294" s="198" t="s">
        <v>3219</v>
      </c>
      <c r="H294" s="199" t="s">
        <v>3668</v>
      </c>
      <c r="I294" s="173">
        <f t="shared" si="24"/>
        <v>39692</v>
      </c>
      <c r="J294" s="172" t="str">
        <f t="shared" si="25"/>
        <v>.</v>
      </c>
      <c r="K294" s="172" t="str">
        <f t="shared" si="26"/>
        <v>000401043279:Int.Pd:01-03-2008 to 31-08-2008</v>
      </c>
      <c r="L294">
        <f t="shared" si="27"/>
        <v>8015</v>
      </c>
      <c r="M294" t="str">
        <f t="shared" si="28"/>
        <v>.</v>
      </c>
      <c r="N294" s="172" t="str">
        <f t="shared" si="29"/>
        <v>5,47,435.55Cr</v>
      </c>
    </row>
    <row r="295" spans="1:14">
      <c r="A295" s="189">
        <v>39695</v>
      </c>
      <c r="B295" s="190" t="s">
        <v>3669</v>
      </c>
      <c r="C295" s="190">
        <v>413227</v>
      </c>
      <c r="D295" s="200">
        <v>7335</v>
      </c>
      <c r="E295" s="192" t="s">
        <v>3219</v>
      </c>
      <c r="F295" s="192" t="s">
        <v>3219</v>
      </c>
      <c r="G295" s="192" t="s">
        <v>3219</v>
      </c>
      <c r="H295" s="193" t="s">
        <v>3670</v>
      </c>
      <c r="I295" s="173">
        <f t="shared" si="24"/>
        <v>39695</v>
      </c>
      <c r="J295" s="172">
        <f t="shared" si="25"/>
        <v>413227</v>
      </c>
      <c r="K295" s="172" t="str">
        <f t="shared" si="26"/>
        <v>RELANCE GENERAL INSURANCE</v>
      </c>
      <c r="L295" t="str">
        <f t="shared" si="27"/>
        <v>.</v>
      </c>
      <c r="M295">
        <f t="shared" si="28"/>
        <v>7335</v>
      </c>
      <c r="N295" s="172" t="str">
        <f t="shared" si="29"/>
        <v>5,40,100.55Cr</v>
      </c>
    </row>
    <row r="296" spans="1:14">
      <c r="A296" s="194">
        <v>39695</v>
      </c>
      <c r="B296" s="195" t="s">
        <v>3671</v>
      </c>
      <c r="C296" s="195">
        <v>413228</v>
      </c>
      <c r="D296" s="197">
        <v>2000</v>
      </c>
      <c r="E296" s="198" t="s">
        <v>3219</v>
      </c>
      <c r="F296" s="198" t="s">
        <v>3219</v>
      </c>
      <c r="G296" s="198" t="s">
        <v>3219</v>
      </c>
      <c r="H296" s="199" t="s">
        <v>3672</v>
      </c>
      <c r="I296" s="173">
        <f t="shared" si="24"/>
        <v>39695</v>
      </c>
      <c r="J296" s="172">
        <f t="shared" si="25"/>
        <v>413228</v>
      </c>
      <c r="K296" s="172" t="str">
        <f t="shared" si="26"/>
        <v>RELIANCE TAX SAVER FUND</v>
      </c>
      <c r="L296" t="str">
        <f t="shared" si="27"/>
        <v>.</v>
      </c>
      <c r="M296">
        <f t="shared" si="28"/>
        <v>2000</v>
      </c>
      <c r="N296" s="172" t="str">
        <f t="shared" si="29"/>
        <v>5,38,100.55Cr</v>
      </c>
    </row>
    <row r="297" spans="1:14">
      <c r="A297" s="189">
        <v>39695</v>
      </c>
      <c r="B297" s="190" t="s">
        <v>3673</v>
      </c>
      <c r="C297" s="190">
        <v>413229</v>
      </c>
      <c r="D297" s="200">
        <v>2000</v>
      </c>
      <c r="E297" s="192" t="s">
        <v>3219</v>
      </c>
      <c r="F297" s="192" t="s">
        <v>3219</v>
      </c>
      <c r="G297" s="192" t="s">
        <v>3219</v>
      </c>
      <c r="H297" s="193" t="s">
        <v>3674</v>
      </c>
      <c r="I297" s="173">
        <f t="shared" si="24"/>
        <v>39695</v>
      </c>
      <c r="J297" s="172">
        <f t="shared" si="25"/>
        <v>413229</v>
      </c>
      <c r="K297" s="172" t="str">
        <f t="shared" si="26"/>
        <v>RELIANCE BANKING FUND</v>
      </c>
      <c r="L297" t="str">
        <f t="shared" si="27"/>
        <v>.</v>
      </c>
      <c r="M297">
        <f t="shared" si="28"/>
        <v>2000</v>
      </c>
      <c r="N297" s="172" t="str">
        <f t="shared" si="29"/>
        <v>5,36,100.55Cr</v>
      </c>
    </row>
    <row r="298" spans="1:14">
      <c r="A298" s="194">
        <v>39696</v>
      </c>
      <c r="B298" s="195" t="s">
        <v>3675</v>
      </c>
      <c r="C298" s="196" t="s">
        <v>3219</v>
      </c>
      <c r="D298" s="197">
        <v>5000</v>
      </c>
      <c r="E298" s="198" t="s">
        <v>3219</v>
      </c>
      <c r="F298" s="198" t="s">
        <v>3219</v>
      </c>
      <c r="G298" s="198" t="s">
        <v>3219</v>
      </c>
      <c r="H298" s="199" t="s">
        <v>3676</v>
      </c>
      <c r="I298" s="173">
        <f t="shared" si="24"/>
        <v>39696</v>
      </c>
      <c r="J298" s="172" t="str">
        <f t="shared" si="25"/>
        <v>.</v>
      </c>
      <c r="K298" s="172" t="str">
        <f t="shared" si="26"/>
        <v>ATM/CASH WDL/05-09-08/14:50:48/0</v>
      </c>
      <c r="L298" t="str">
        <f t="shared" si="27"/>
        <v>.</v>
      </c>
      <c r="M298">
        <f t="shared" si="28"/>
        <v>5000</v>
      </c>
      <c r="N298" s="172" t="str">
        <f t="shared" si="29"/>
        <v>5,31,100.55Cr</v>
      </c>
    </row>
    <row r="299" spans="1:14">
      <c r="A299" s="189">
        <v>39697</v>
      </c>
      <c r="B299" s="190" t="s">
        <v>3677</v>
      </c>
      <c r="C299" s="190">
        <v>940738</v>
      </c>
      <c r="D299" s="200">
        <v>4028.88</v>
      </c>
      <c r="E299" s="192" t="s">
        <v>3219</v>
      </c>
      <c r="F299" s="192" t="s">
        <v>3219</v>
      </c>
      <c r="G299" s="192" t="s">
        <v>3219</v>
      </c>
      <c r="H299" s="193" t="s">
        <v>3678</v>
      </c>
      <c r="I299" s="173">
        <f t="shared" si="24"/>
        <v>39697</v>
      </c>
      <c r="J299" s="172">
        <f t="shared" si="25"/>
        <v>940738</v>
      </c>
      <c r="K299" s="172" t="str">
        <f t="shared" si="26"/>
        <v>ICICI CC</v>
      </c>
      <c r="L299" t="str">
        <f t="shared" si="27"/>
        <v>.</v>
      </c>
      <c r="M299">
        <f t="shared" si="28"/>
        <v>4028.88</v>
      </c>
      <c r="N299" s="172" t="str">
        <f t="shared" si="29"/>
        <v>5,27,071.67Cr</v>
      </c>
    </row>
    <row r="300" spans="1:14">
      <c r="A300" s="194">
        <v>39699</v>
      </c>
      <c r="B300" s="195" t="s">
        <v>3679</v>
      </c>
      <c r="C300" s="196" t="s">
        <v>3219</v>
      </c>
      <c r="D300" s="197">
        <v>20000</v>
      </c>
      <c r="E300" s="198" t="s">
        <v>3219</v>
      </c>
      <c r="F300" s="198" t="s">
        <v>3219</v>
      </c>
      <c r="G300" s="198" t="s">
        <v>3219</v>
      </c>
      <c r="H300" s="199" t="s">
        <v>3680</v>
      </c>
      <c r="I300" s="173">
        <f t="shared" si="24"/>
        <v>39699</v>
      </c>
      <c r="J300" s="172" t="str">
        <f t="shared" si="25"/>
        <v>.</v>
      </c>
      <c r="K300" s="172" t="str">
        <f t="shared" si="26"/>
        <v>ATM/CASH WDL/07-09-08/19:16:24/0</v>
      </c>
      <c r="L300" t="str">
        <f t="shared" si="27"/>
        <v>.</v>
      </c>
      <c r="M300">
        <f t="shared" si="28"/>
        <v>20000</v>
      </c>
      <c r="N300" s="172" t="str">
        <f t="shared" si="29"/>
        <v>5,07,071.67Cr</v>
      </c>
    </row>
    <row r="301" spans="1:14">
      <c r="A301" s="189">
        <v>39699</v>
      </c>
      <c r="B301" s="190" t="s">
        <v>3681</v>
      </c>
      <c r="C301" s="190">
        <v>940739</v>
      </c>
      <c r="D301" s="200">
        <v>5200</v>
      </c>
      <c r="E301" s="192" t="s">
        <v>3219</v>
      </c>
      <c r="F301" s="192" t="s">
        <v>3219</v>
      </c>
      <c r="G301" s="192" t="s">
        <v>3219</v>
      </c>
      <c r="H301" s="193" t="s">
        <v>3682</v>
      </c>
      <c r="I301" s="173">
        <f t="shared" si="24"/>
        <v>39699</v>
      </c>
      <c r="J301" s="172">
        <f t="shared" si="25"/>
        <v>940739</v>
      </c>
      <c r="K301" s="172" t="str">
        <f t="shared" si="26"/>
        <v>HDFC BANK</v>
      </c>
      <c r="L301" t="str">
        <f t="shared" si="27"/>
        <v>.</v>
      </c>
      <c r="M301">
        <f t="shared" si="28"/>
        <v>5200</v>
      </c>
      <c r="N301" s="172" t="str">
        <f t="shared" si="29"/>
        <v>5,01,871.67Cr</v>
      </c>
    </row>
    <row r="302" spans="1:14">
      <c r="A302" s="194">
        <v>39700</v>
      </c>
      <c r="B302" s="195" t="s">
        <v>3681</v>
      </c>
      <c r="C302" s="195">
        <v>940740</v>
      </c>
      <c r="D302" s="197">
        <v>10000</v>
      </c>
      <c r="E302" s="198" t="s">
        <v>3219</v>
      </c>
      <c r="F302" s="198" t="s">
        <v>3219</v>
      </c>
      <c r="G302" s="198" t="s">
        <v>3219</v>
      </c>
      <c r="H302" s="199" t="s">
        <v>3683</v>
      </c>
      <c r="I302" s="173">
        <f t="shared" si="24"/>
        <v>39700</v>
      </c>
      <c r="J302" s="172">
        <f t="shared" si="25"/>
        <v>940740</v>
      </c>
      <c r="K302" s="172" t="str">
        <f t="shared" si="26"/>
        <v>HDFC BANK</v>
      </c>
      <c r="L302" t="str">
        <f t="shared" si="27"/>
        <v>.</v>
      </c>
      <c r="M302">
        <f t="shared" si="28"/>
        <v>10000</v>
      </c>
      <c r="N302" s="172" t="str">
        <f t="shared" si="29"/>
        <v>4,91,871.67Cr</v>
      </c>
    </row>
    <row r="303" spans="1:14">
      <c r="A303" s="189">
        <v>39701</v>
      </c>
      <c r="B303" s="190" t="s">
        <v>3684</v>
      </c>
      <c r="C303" s="191" t="s">
        <v>3219</v>
      </c>
      <c r="D303" s="200">
        <v>10000</v>
      </c>
      <c r="E303" s="192" t="s">
        <v>3219</v>
      </c>
      <c r="F303" s="192" t="s">
        <v>3219</v>
      </c>
      <c r="G303" s="192" t="s">
        <v>3219</v>
      </c>
      <c r="H303" s="193" t="s">
        <v>3685</v>
      </c>
      <c r="I303" s="173">
        <f t="shared" si="24"/>
        <v>39701</v>
      </c>
      <c r="J303" s="172" t="str">
        <f t="shared" si="25"/>
        <v>.</v>
      </c>
      <c r="K303" s="172" t="str">
        <f t="shared" si="26"/>
        <v>ATM/CASH WDL/10-09-08/11:00:59/0</v>
      </c>
      <c r="L303" t="str">
        <f t="shared" si="27"/>
        <v>.</v>
      </c>
      <c r="M303">
        <f t="shared" si="28"/>
        <v>10000</v>
      </c>
      <c r="N303" s="172" t="str">
        <f t="shared" si="29"/>
        <v>4,81,871.67Cr</v>
      </c>
    </row>
    <row r="304" spans="1:14">
      <c r="A304" s="194">
        <v>39701</v>
      </c>
      <c r="B304" s="195" t="s">
        <v>3686</v>
      </c>
      <c r="C304" s="195">
        <v>940748</v>
      </c>
      <c r="D304" s="197">
        <v>12524</v>
      </c>
      <c r="E304" s="198" t="s">
        <v>3219</v>
      </c>
      <c r="F304" s="198" t="s">
        <v>3219</v>
      </c>
      <c r="G304" s="198" t="s">
        <v>3219</v>
      </c>
      <c r="H304" s="199" t="s">
        <v>3687</v>
      </c>
      <c r="I304" s="173">
        <f t="shared" si="24"/>
        <v>39701</v>
      </c>
      <c r="J304" s="172">
        <f t="shared" si="25"/>
        <v>940748</v>
      </c>
      <c r="K304" s="172" t="str">
        <f t="shared" si="26"/>
        <v>DHARAMENDRA PADMAVATI CHS L</v>
      </c>
      <c r="L304" t="str">
        <f t="shared" si="27"/>
        <v>.</v>
      </c>
      <c r="M304">
        <f t="shared" si="28"/>
        <v>12524</v>
      </c>
      <c r="N304" s="172" t="str">
        <f t="shared" si="29"/>
        <v>4,69,347.67Cr</v>
      </c>
    </row>
    <row r="305" spans="1:14">
      <c r="A305" s="189">
        <v>39701</v>
      </c>
      <c r="B305" s="190" t="s">
        <v>3229</v>
      </c>
      <c r="C305" s="190">
        <v>940747</v>
      </c>
      <c r="D305" s="193">
        <v>669</v>
      </c>
      <c r="E305" s="192" t="s">
        <v>3219</v>
      </c>
      <c r="F305" s="192" t="s">
        <v>3219</v>
      </c>
      <c r="G305" s="192" t="s">
        <v>3219</v>
      </c>
      <c r="H305" s="193" t="s">
        <v>3688</v>
      </c>
      <c r="I305" s="173">
        <f t="shared" si="24"/>
        <v>39701</v>
      </c>
      <c r="J305" s="172">
        <f t="shared" si="25"/>
        <v>940747</v>
      </c>
      <c r="K305" s="172" t="str">
        <f t="shared" si="26"/>
        <v>TTML</v>
      </c>
      <c r="L305" t="str">
        <f t="shared" si="27"/>
        <v>.</v>
      </c>
      <c r="M305">
        <f t="shared" si="28"/>
        <v>669</v>
      </c>
      <c r="N305" s="172" t="str">
        <f t="shared" si="29"/>
        <v>4,68,678.67Cr</v>
      </c>
    </row>
    <row r="306" spans="1:14">
      <c r="A306" s="194">
        <v>39701</v>
      </c>
      <c r="B306" s="195" t="s">
        <v>1473</v>
      </c>
      <c r="C306" s="195">
        <v>940746</v>
      </c>
      <c r="D306" s="197">
        <v>6331</v>
      </c>
      <c r="E306" s="198" t="s">
        <v>3219</v>
      </c>
      <c r="F306" s="198" t="s">
        <v>3219</v>
      </c>
      <c r="G306" s="198" t="s">
        <v>3219</v>
      </c>
      <c r="H306" s="199" t="s">
        <v>3689</v>
      </c>
      <c r="I306" s="173">
        <f t="shared" si="24"/>
        <v>39701</v>
      </c>
      <c r="J306" s="172">
        <f t="shared" si="25"/>
        <v>940746</v>
      </c>
      <c r="K306" s="172" t="str">
        <f t="shared" si="26"/>
        <v>LIC OF INDIA</v>
      </c>
      <c r="L306" t="str">
        <f t="shared" si="27"/>
        <v>.</v>
      </c>
      <c r="M306">
        <f t="shared" si="28"/>
        <v>6331</v>
      </c>
      <c r="N306" s="172" t="str">
        <f t="shared" si="29"/>
        <v>4,62,347.67Cr</v>
      </c>
    </row>
    <row r="307" spans="1:14">
      <c r="A307" s="189">
        <v>39713</v>
      </c>
      <c r="B307" s="190" t="s">
        <v>3690</v>
      </c>
      <c r="C307" s="190">
        <v>413230</v>
      </c>
      <c r="D307" s="200">
        <v>10726</v>
      </c>
      <c r="E307" s="192" t="s">
        <v>3219</v>
      </c>
      <c r="F307" s="192" t="s">
        <v>3219</v>
      </c>
      <c r="G307" s="192" t="s">
        <v>3219</v>
      </c>
      <c r="H307" s="193" t="s">
        <v>3691</v>
      </c>
      <c r="I307" s="173">
        <f t="shared" si="24"/>
        <v>39713</v>
      </c>
      <c r="J307" s="172">
        <f t="shared" si="25"/>
        <v>413230</v>
      </c>
      <c r="K307" s="172" t="str">
        <f t="shared" si="26"/>
        <v>SHARP AND TANNAN</v>
      </c>
      <c r="L307" t="str">
        <f t="shared" si="27"/>
        <v>.</v>
      </c>
      <c r="M307">
        <f t="shared" si="28"/>
        <v>10726</v>
      </c>
      <c r="N307" s="172" t="str">
        <f t="shared" si="29"/>
        <v>4,51,621.67Cr</v>
      </c>
    </row>
    <row r="308" spans="1:14">
      <c r="A308" s="194">
        <v>39717</v>
      </c>
      <c r="B308" s="195" t="s">
        <v>1404</v>
      </c>
      <c r="C308" s="196" t="s">
        <v>3219</v>
      </c>
      <c r="D308" s="198" t="s">
        <v>3219</v>
      </c>
      <c r="E308" s="197">
        <v>70015</v>
      </c>
      <c r="F308" s="198" t="s">
        <v>3219</v>
      </c>
      <c r="G308" s="198" t="s">
        <v>3219</v>
      </c>
      <c r="H308" s="199" t="s">
        <v>3692</v>
      </c>
      <c r="I308" s="173">
        <f t="shared" si="24"/>
        <v>39717</v>
      </c>
      <c r="J308" s="172" t="str">
        <f t="shared" si="25"/>
        <v>.</v>
      </c>
      <c r="K308" s="172" t="str">
        <f t="shared" si="26"/>
        <v>BY SALARY</v>
      </c>
      <c r="L308">
        <f t="shared" si="27"/>
        <v>70015</v>
      </c>
      <c r="M308" t="str">
        <f t="shared" si="28"/>
        <v>.</v>
      </c>
      <c r="N308" s="172" t="str">
        <f t="shared" si="29"/>
        <v>5,21,636.67Cr</v>
      </c>
    </row>
    <row r="309" spans="1:14">
      <c r="A309" s="189">
        <v>39718</v>
      </c>
      <c r="B309" s="190" t="s">
        <v>3693</v>
      </c>
      <c r="C309" s="190">
        <v>940749</v>
      </c>
      <c r="D309" s="200">
        <v>3862</v>
      </c>
      <c r="E309" s="192" t="s">
        <v>3219</v>
      </c>
      <c r="F309" s="192" t="s">
        <v>3219</v>
      </c>
      <c r="G309" s="192" t="s">
        <v>3219</v>
      </c>
      <c r="H309" s="193" t="s">
        <v>3694</v>
      </c>
      <c r="I309" s="173">
        <f t="shared" si="24"/>
        <v>39718</v>
      </c>
      <c r="J309" s="172">
        <f t="shared" si="25"/>
        <v>940749</v>
      </c>
      <c r="K309" s="172" t="str">
        <f t="shared" si="26"/>
        <v>LOK HOUSING CONSTRUCTION LTD</v>
      </c>
      <c r="L309" t="str">
        <f t="shared" si="27"/>
        <v>.</v>
      </c>
      <c r="M309">
        <f t="shared" si="28"/>
        <v>3862</v>
      </c>
      <c r="N309" s="172" t="str">
        <f t="shared" si="29"/>
        <v>5,17,774.67Cr</v>
      </c>
    </row>
    <row r="310" spans="1:14">
      <c r="A310" s="189">
        <v>39722</v>
      </c>
      <c r="B310" s="190" t="s">
        <v>1394</v>
      </c>
      <c r="C310" s="191" t="s">
        <v>3219</v>
      </c>
      <c r="D310" s="192" t="s">
        <v>3219</v>
      </c>
      <c r="E310" s="192" t="s">
        <v>3219</v>
      </c>
      <c r="F310" s="192" t="s">
        <v>3219</v>
      </c>
      <c r="G310" s="192" t="s">
        <v>3219</v>
      </c>
      <c r="H310" s="193" t="s">
        <v>3694</v>
      </c>
      <c r="I310" s="173">
        <f t="shared" si="24"/>
        <v>39722</v>
      </c>
      <c r="J310" s="172" t="str">
        <f t="shared" si="25"/>
        <v>.</v>
      </c>
      <c r="K310" s="172" t="str">
        <f t="shared" si="26"/>
        <v>B/F</v>
      </c>
      <c r="L310" t="str">
        <f t="shared" si="27"/>
        <v>.</v>
      </c>
      <c r="M310" t="str">
        <f t="shared" si="28"/>
        <v>.</v>
      </c>
      <c r="N310" s="172" t="str">
        <f t="shared" si="29"/>
        <v>5,17,774.67Cr</v>
      </c>
    </row>
    <row r="311" spans="1:14">
      <c r="A311" s="194">
        <v>39722</v>
      </c>
      <c r="B311" s="195" t="s">
        <v>3695</v>
      </c>
      <c r="C311" s="196" t="s">
        <v>3219</v>
      </c>
      <c r="D311" s="197">
        <v>20000</v>
      </c>
      <c r="E311" s="198" t="s">
        <v>3219</v>
      </c>
      <c r="F311" s="198" t="s">
        <v>3219</v>
      </c>
      <c r="G311" s="198" t="s">
        <v>3219</v>
      </c>
      <c r="H311" s="199" t="s">
        <v>3696</v>
      </c>
      <c r="I311" s="173">
        <f t="shared" si="24"/>
        <v>39722</v>
      </c>
      <c r="J311" s="172" t="str">
        <f t="shared" si="25"/>
        <v>.</v>
      </c>
      <c r="K311" s="172" t="str">
        <f t="shared" si="26"/>
        <v>ATM/CASH WDL/30-09-08/06:03:44/1</v>
      </c>
      <c r="L311" t="str">
        <f t="shared" si="27"/>
        <v>.</v>
      </c>
      <c r="M311">
        <f t="shared" si="28"/>
        <v>20000</v>
      </c>
      <c r="N311" s="172" t="str">
        <f t="shared" si="29"/>
        <v>4,97,774.67Cr</v>
      </c>
    </row>
    <row r="312" spans="1:14">
      <c r="A312" s="189">
        <v>39725</v>
      </c>
      <c r="B312" s="190" t="s">
        <v>1424</v>
      </c>
      <c r="C312" s="190">
        <v>413231</v>
      </c>
      <c r="D312" s="200">
        <v>3000</v>
      </c>
      <c r="E312" s="192" t="s">
        <v>3219</v>
      </c>
      <c r="F312" s="192" t="s">
        <v>3219</v>
      </c>
      <c r="G312" s="192" t="s">
        <v>3219</v>
      </c>
      <c r="H312" s="193" t="s">
        <v>3697</v>
      </c>
      <c r="I312" s="173">
        <f t="shared" si="24"/>
        <v>39725</v>
      </c>
      <c r="J312" s="172">
        <f t="shared" si="25"/>
        <v>413231</v>
      </c>
      <c r="K312" s="172" t="str">
        <f t="shared" si="26"/>
        <v>ICICI CREDIT CARD PAYMENT</v>
      </c>
      <c r="L312" t="str">
        <f t="shared" si="27"/>
        <v>.</v>
      </c>
      <c r="M312">
        <f t="shared" si="28"/>
        <v>3000</v>
      </c>
      <c r="N312" s="172" t="str">
        <f t="shared" si="29"/>
        <v>4,94,774.67Cr</v>
      </c>
    </row>
    <row r="313" spans="1:14">
      <c r="A313" s="194">
        <v>39731</v>
      </c>
      <c r="B313" s="195" t="s">
        <v>1430</v>
      </c>
      <c r="C313" s="195">
        <v>940709</v>
      </c>
      <c r="D313" s="197">
        <v>40000</v>
      </c>
      <c r="E313" s="198" t="s">
        <v>3219</v>
      </c>
      <c r="F313" s="198" t="s">
        <v>3219</v>
      </c>
      <c r="G313" s="198" t="s">
        <v>3219</v>
      </c>
      <c r="H313" s="199" t="s">
        <v>3698</v>
      </c>
      <c r="I313" s="173">
        <f t="shared" si="24"/>
        <v>39731</v>
      </c>
      <c r="J313" s="172">
        <f t="shared" si="25"/>
        <v>940709</v>
      </c>
      <c r="K313" s="172" t="str">
        <f t="shared" si="26"/>
        <v>THE SARASWAT COOP BANK LTD</v>
      </c>
      <c r="L313" t="str">
        <f t="shared" si="27"/>
        <v>.</v>
      </c>
      <c r="M313">
        <f t="shared" si="28"/>
        <v>40000</v>
      </c>
      <c r="N313" s="172" t="str">
        <f t="shared" si="29"/>
        <v>4,54,774.67Cr</v>
      </c>
    </row>
    <row r="314" spans="1:14">
      <c r="A314" s="189">
        <v>39731</v>
      </c>
      <c r="B314" s="190" t="s">
        <v>3699</v>
      </c>
      <c r="C314" s="191" t="s">
        <v>3219</v>
      </c>
      <c r="D314" s="200">
        <v>2000</v>
      </c>
      <c r="E314" s="192" t="s">
        <v>3219</v>
      </c>
      <c r="F314" s="192" t="s">
        <v>3219</v>
      </c>
      <c r="G314" s="192" t="s">
        <v>3219</v>
      </c>
      <c r="H314" s="193" t="s">
        <v>3700</v>
      </c>
      <c r="I314" s="173">
        <f t="shared" si="24"/>
        <v>39731</v>
      </c>
      <c r="J314" s="172" t="str">
        <f t="shared" si="25"/>
        <v>.</v>
      </c>
      <c r="K314" s="172" t="str">
        <f t="shared" si="26"/>
        <v>REL-TS-IC,40491237376</v>
      </c>
      <c r="L314" t="str">
        <f t="shared" si="27"/>
        <v>.</v>
      </c>
      <c r="M314">
        <f t="shared" si="28"/>
        <v>2000</v>
      </c>
      <c r="N314" s="172" t="str">
        <f t="shared" si="29"/>
        <v>4,52,774.67Cr</v>
      </c>
    </row>
    <row r="315" spans="1:14">
      <c r="A315" s="194">
        <v>39736</v>
      </c>
      <c r="B315" s="195" t="s">
        <v>3701</v>
      </c>
      <c r="C315" s="195">
        <v>413233</v>
      </c>
      <c r="D315" s="197">
        <v>50000</v>
      </c>
      <c r="E315" s="198" t="s">
        <v>3219</v>
      </c>
      <c r="F315" s="198" t="s">
        <v>3219</v>
      </c>
      <c r="G315" s="198" t="s">
        <v>3219</v>
      </c>
      <c r="H315" s="199" t="s">
        <v>3702</v>
      </c>
      <c r="I315" s="173">
        <f t="shared" si="24"/>
        <v>39736</v>
      </c>
      <c r="J315" s="172">
        <f t="shared" si="25"/>
        <v>413233</v>
      </c>
      <c r="K315" s="172" t="str">
        <f t="shared" si="26"/>
        <v>VARSTA MAHARAJ</v>
      </c>
      <c r="L315" t="str">
        <f t="shared" si="27"/>
        <v>.</v>
      </c>
      <c r="M315">
        <f t="shared" si="28"/>
        <v>50000</v>
      </c>
      <c r="N315" s="172" t="str">
        <f t="shared" si="29"/>
        <v>4,02,774.67Cr</v>
      </c>
    </row>
    <row r="316" spans="1:14">
      <c r="A316" s="189">
        <v>39743</v>
      </c>
      <c r="B316" s="190" t="s">
        <v>3703</v>
      </c>
      <c r="C316" s="191" t="s">
        <v>3219</v>
      </c>
      <c r="D316" s="200">
        <v>16000</v>
      </c>
      <c r="E316" s="192" t="s">
        <v>3219</v>
      </c>
      <c r="F316" s="192" t="s">
        <v>3219</v>
      </c>
      <c r="G316" s="192" t="s">
        <v>3219</v>
      </c>
      <c r="H316" s="193" t="s">
        <v>3704</v>
      </c>
      <c r="I316" s="173">
        <f t="shared" si="24"/>
        <v>39743</v>
      </c>
      <c r="J316" s="172" t="str">
        <f t="shared" si="25"/>
        <v>.</v>
      </c>
      <c r="K316" s="172" t="str">
        <f t="shared" si="26"/>
        <v>VPS/MANGATRAI J/20081022200856/0</v>
      </c>
      <c r="L316" t="str">
        <f t="shared" si="27"/>
        <v>.</v>
      </c>
      <c r="M316">
        <f t="shared" si="28"/>
        <v>16000</v>
      </c>
      <c r="N316" s="172" t="str">
        <f t="shared" si="29"/>
        <v>3,86,774.67Cr</v>
      </c>
    </row>
    <row r="317" spans="1:14">
      <c r="A317" s="194">
        <v>39744</v>
      </c>
      <c r="B317" s="195" t="s">
        <v>3705</v>
      </c>
      <c r="C317" s="196" t="s">
        <v>3219</v>
      </c>
      <c r="D317" s="197">
        <v>3000</v>
      </c>
      <c r="E317" s="198" t="s">
        <v>3219</v>
      </c>
      <c r="F317" s="198" t="s">
        <v>3219</v>
      </c>
      <c r="G317" s="198" t="s">
        <v>3219</v>
      </c>
      <c r="H317" s="199" t="s">
        <v>3706</v>
      </c>
      <c r="I317" s="173">
        <f t="shared" si="24"/>
        <v>39744</v>
      </c>
      <c r="J317" s="172" t="str">
        <f t="shared" si="25"/>
        <v>.</v>
      </c>
      <c r="K317" s="172" t="str">
        <f t="shared" si="26"/>
        <v>ATM/CASH WDL/23-10-08/19:34:06/0</v>
      </c>
      <c r="L317" t="str">
        <f t="shared" si="27"/>
        <v>.</v>
      </c>
      <c r="M317">
        <f t="shared" si="28"/>
        <v>3000</v>
      </c>
      <c r="N317" s="172" t="str">
        <f t="shared" si="29"/>
        <v>3,83,774.67Cr</v>
      </c>
    </row>
    <row r="318" spans="1:14">
      <c r="A318" s="189">
        <v>39746</v>
      </c>
      <c r="B318" s="190" t="s">
        <v>3707</v>
      </c>
      <c r="C318" s="191" t="s">
        <v>3219</v>
      </c>
      <c r="D318" s="200">
        <v>3000</v>
      </c>
      <c r="E318" s="192" t="s">
        <v>3219</v>
      </c>
      <c r="F318" s="192" t="s">
        <v>3219</v>
      </c>
      <c r="G318" s="192" t="s">
        <v>3219</v>
      </c>
      <c r="H318" s="193" t="s">
        <v>3708</v>
      </c>
      <c r="I318" s="173">
        <f t="shared" si="24"/>
        <v>39746</v>
      </c>
      <c r="J318" s="172" t="str">
        <f t="shared" si="25"/>
        <v>.</v>
      </c>
      <c r="K318" s="172" t="str">
        <f t="shared" si="26"/>
        <v>ATM/CASH WDL/25-10-08/18:58:35/0</v>
      </c>
      <c r="L318" t="str">
        <f t="shared" si="27"/>
        <v>.</v>
      </c>
      <c r="M318">
        <f t="shared" si="28"/>
        <v>3000</v>
      </c>
      <c r="N318" s="172" t="str">
        <f t="shared" si="29"/>
        <v>3,80,774.67Cr</v>
      </c>
    </row>
    <row r="319" spans="1:14">
      <c r="A319" s="194">
        <v>39746</v>
      </c>
      <c r="B319" s="195" t="s">
        <v>1404</v>
      </c>
      <c r="C319" s="196" t="s">
        <v>3219</v>
      </c>
      <c r="D319" s="198" t="s">
        <v>3219</v>
      </c>
      <c r="E319" s="197">
        <v>236830</v>
      </c>
      <c r="F319" s="198" t="s">
        <v>3219</v>
      </c>
      <c r="G319" s="198" t="s">
        <v>3219</v>
      </c>
      <c r="H319" s="199" t="s">
        <v>3709</v>
      </c>
      <c r="I319" s="173">
        <f t="shared" si="24"/>
        <v>39746</v>
      </c>
      <c r="J319" s="172" t="str">
        <f t="shared" si="25"/>
        <v>.</v>
      </c>
      <c r="K319" s="172" t="str">
        <f t="shared" si="26"/>
        <v>BY SALARY</v>
      </c>
      <c r="L319">
        <f t="shared" si="27"/>
        <v>236830</v>
      </c>
      <c r="M319" t="str">
        <f t="shared" si="28"/>
        <v>.</v>
      </c>
      <c r="N319" s="172" t="str">
        <f t="shared" si="29"/>
        <v>6,17,604.67Cr</v>
      </c>
    </row>
    <row r="320" spans="1:14">
      <c r="A320" s="189">
        <v>39751</v>
      </c>
      <c r="B320" s="190" t="s">
        <v>1421</v>
      </c>
      <c r="C320" s="190">
        <v>413234</v>
      </c>
      <c r="D320" s="200">
        <v>100000</v>
      </c>
      <c r="E320" s="192" t="s">
        <v>3219</v>
      </c>
      <c r="F320" s="192" t="s">
        <v>3219</v>
      </c>
      <c r="G320" s="192" t="s">
        <v>3219</v>
      </c>
      <c r="H320" s="193" t="s">
        <v>3710</v>
      </c>
      <c r="I320" s="173">
        <f t="shared" si="24"/>
        <v>39751</v>
      </c>
      <c r="J320" s="172">
        <f t="shared" si="25"/>
        <v>413234</v>
      </c>
      <c r="K320" s="172" t="str">
        <f t="shared" si="26"/>
        <v>VARSHA MAHAJAN</v>
      </c>
      <c r="L320" t="str">
        <f t="shared" si="27"/>
        <v>.</v>
      </c>
      <c r="M320">
        <f t="shared" si="28"/>
        <v>100000</v>
      </c>
      <c r="N320" s="172" t="str">
        <f t="shared" si="29"/>
        <v>5,17,604.67Cr</v>
      </c>
    </row>
    <row r="321" spans="1:14">
      <c r="A321" s="189">
        <v>39753</v>
      </c>
      <c r="B321" s="190" t="s">
        <v>1394</v>
      </c>
      <c r="C321" s="191" t="s">
        <v>3219</v>
      </c>
      <c r="D321" s="192" t="s">
        <v>3219</v>
      </c>
      <c r="E321" s="192" t="s">
        <v>3219</v>
      </c>
      <c r="F321" s="192" t="s">
        <v>3219</v>
      </c>
      <c r="G321" s="192" t="s">
        <v>3219</v>
      </c>
      <c r="H321" s="193" t="s">
        <v>3710</v>
      </c>
      <c r="I321" s="173">
        <f t="shared" si="24"/>
        <v>39753</v>
      </c>
      <c r="J321" s="172" t="str">
        <f t="shared" si="25"/>
        <v>.</v>
      </c>
      <c r="K321" s="172" t="str">
        <f t="shared" si="26"/>
        <v>B/F</v>
      </c>
      <c r="L321" t="str">
        <f t="shared" si="27"/>
        <v>.</v>
      </c>
      <c r="M321" t="str">
        <f t="shared" si="28"/>
        <v>.</v>
      </c>
      <c r="N321" s="172" t="str">
        <f t="shared" si="29"/>
        <v>5,17,604.67Cr</v>
      </c>
    </row>
    <row r="322" spans="1:14">
      <c r="A322" s="194">
        <v>39762</v>
      </c>
      <c r="B322" s="195" t="s">
        <v>3699</v>
      </c>
      <c r="C322" s="196" t="s">
        <v>3219</v>
      </c>
      <c r="D322" s="197">
        <v>2000</v>
      </c>
      <c r="E322" s="198" t="s">
        <v>3219</v>
      </c>
      <c r="F322" s="198" t="s">
        <v>3219</v>
      </c>
      <c r="G322" s="198" t="s">
        <v>3219</v>
      </c>
      <c r="H322" s="199" t="s">
        <v>3711</v>
      </c>
      <c r="I322" s="173">
        <f t="shared" si="24"/>
        <v>39762</v>
      </c>
      <c r="J322" s="172" t="str">
        <f t="shared" si="25"/>
        <v>.</v>
      </c>
      <c r="K322" s="172" t="str">
        <f t="shared" si="26"/>
        <v>REL-TS-IC,40491237376</v>
      </c>
      <c r="L322" t="str">
        <f t="shared" si="27"/>
        <v>.</v>
      </c>
      <c r="M322">
        <f t="shared" si="28"/>
        <v>2000</v>
      </c>
      <c r="N322" s="172" t="str">
        <f t="shared" si="29"/>
        <v>5,15,604.67Cr</v>
      </c>
    </row>
    <row r="323" spans="1:14">
      <c r="A323" s="189">
        <v>39774</v>
      </c>
      <c r="B323" s="190" t="s">
        <v>3712</v>
      </c>
      <c r="C323" s="191" t="s">
        <v>3219</v>
      </c>
      <c r="D323" s="200">
        <v>5000</v>
      </c>
      <c r="E323" s="192" t="s">
        <v>3219</v>
      </c>
      <c r="F323" s="192" t="s">
        <v>3219</v>
      </c>
      <c r="G323" s="192" t="s">
        <v>3219</v>
      </c>
      <c r="H323" s="193" t="s">
        <v>3713</v>
      </c>
      <c r="I323" s="173">
        <f t="shared" ref="I323:I375" si="30">A323</f>
        <v>39774</v>
      </c>
      <c r="J323" s="172" t="str">
        <f t="shared" ref="J323:J375" si="31">C323</f>
        <v>.</v>
      </c>
      <c r="K323" s="172" t="str">
        <f t="shared" ref="K323:K375" si="32">B323</f>
        <v>ATM/CASH WDL/22-11-08/10:17:11/0</v>
      </c>
      <c r="L323" t="str">
        <f t="shared" ref="L323:L375" si="33">E323</f>
        <v>.</v>
      </c>
      <c r="M323">
        <f t="shared" ref="M323:M375" si="34">D323</f>
        <v>5000</v>
      </c>
      <c r="N323" s="172" t="str">
        <f t="shared" ref="N323:N375" si="35">H323</f>
        <v>5,10,604.67Cr</v>
      </c>
    </row>
    <row r="324" spans="1:14">
      <c r="A324" s="194">
        <v>39780</v>
      </c>
      <c r="B324" s="195" t="s">
        <v>1404</v>
      </c>
      <c r="C324" s="196" t="s">
        <v>3219</v>
      </c>
      <c r="D324" s="198" t="s">
        <v>3219</v>
      </c>
      <c r="E324" s="197">
        <v>70015</v>
      </c>
      <c r="F324" s="198" t="s">
        <v>3219</v>
      </c>
      <c r="G324" s="198" t="s">
        <v>3219</v>
      </c>
      <c r="H324" s="199" t="s">
        <v>3714</v>
      </c>
      <c r="I324" s="173">
        <f t="shared" si="30"/>
        <v>39780</v>
      </c>
      <c r="J324" s="172" t="str">
        <f t="shared" si="31"/>
        <v>.</v>
      </c>
      <c r="K324" s="172" t="str">
        <f t="shared" si="32"/>
        <v>BY SALARY</v>
      </c>
      <c r="L324">
        <f t="shared" si="33"/>
        <v>70015</v>
      </c>
      <c r="M324" t="str">
        <f t="shared" si="34"/>
        <v>.</v>
      </c>
      <c r="N324" s="172" t="str">
        <f t="shared" si="35"/>
        <v>5,80,619.67Cr</v>
      </c>
    </row>
    <row r="325" spans="1:14">
      <c r="A325" s="189">
        <v>39781</v>
      </c>
      <c r="B325" s="190" t="s">
        <v>3715</v>
      </c>
      <c r="C325" s="191" t="s">
        <v>3219</v>
      </c>
      <c r="D325" s="200">
        <v>5000</v>
      </c>
      <c r="E325" s="192" t="s">
        <v>3219</v>
      </c>
      <c r="F325" s="192" t="s">
        <v>3219</v>
      </c>
      <c r="G325" s="192" t="s">
        <v>3219</v>
      </c>
      <c r="H325" s="193" t="s">
        <v>3716</v>
      </c>
      <c r="I325" s="173">
        <f t="shared" si="30"/>
        <v>39781</v>
      </c>
      <c r="J325" s="172" t="str">
        <f t="shared" si="31"/>
        <v>.</v>
      </c>
      <c r="K325" s="172" t="str">
        <f t="shared" si="32"/>
        <v>ATM/CASH WDL/29-11-08/13:24:26/0</v>
      </c>
      <c r="L325" t="str">
        <f t="shared" si="33"/>
        <v>.</v>
      </c>
      <c r="M325">
        <f t="shared" si="34"/>
        <v>5000</v>
      </c>
      <c r="N325" s="172" t="str">
        <f t="shared" si="35"/>
        <v>5,75,619.67Cr</v>
      </c>
    </row>
    <row r="326" spans="1:14">
      <c r="A326" s="189">
        <v>39783</v>
      </c>
      <c r="B326" s="190" t="s">
        <v>1394</v>
      </c>
      <c r="C326" s="191" t="s">
        <v>3219</v>
      </c>
      <c r="D326" s="192" t="s">
        <v>3219</v>
      </c>
      <c r="E326" s="192" t="s">
        <v>3219</v>
      </c>
      <c r="F326" s="192" t="s">
        <v>3219</v>
      </c>
      <c r="G326" s="192" t="s">
        <v>3219</v>
      </c>
      <c r="H326" s="193" t="s">
        <v>3716</v>
      </c>
      <c r="I326" s="173">
        <f t="shared" si="30"/>
        <v>39783</v>
      </c>
      <c r="J326" s="172" t="str">
        <f t="shared" si="31"/>
        <v>.</v>
      </c>
      <c r="K326" s="172" t="str">
        <f t="shared" si="32"/>
        <v>B/F</v>
      </c>
      <c r="L326" t="str">
        <f t="shared" si="33"/>
        <v>.</v>
      </c>
      <c r="M326" t="str">
        <f t="shared" si="34"/>
        <v>.</v>
      </c>
      <c r="N326" s="172" t="str">
        <f t="shared" si="35"/>
        <v>5,75,619.67Cr</v>
      </c>
    </row>
    <row r="327" spans="1:14">
      <c r="A327" s="194">
        <v>39785</v>
      </c>
      <c r="B327" s="195" t="s">
        <v>3717</v>
      </c>
      <c r="C327" s="196" t="s">
        <v>3219</v>
      </c>
      <c r="D327" s="197">
        <v>20000</v>
      </c>
      <c r="E327" s="198" t="s">
        <v>3219</v>
      </c>
      <c r="F327" s="198" t="s">
        <v>3219</v>
      </c>
      <c r="G327" s="198" t="s">
        <v>3219</v>
      </c>
      <c r="H327" s="199" t="s">
        <v>3718</v>
      </c>
      <c r="I327" s="173">
        <f t="shared" si="30"/>
        <v>39785</v>
      </c>
      <c r="J327" s="172" t="str">
        <f t="shared" si="31"/>
        <v>.</v>
      </c>
      <c r="K327" s="172" t="str">
        <f t="shared" si="32"/>
        <v>ATM/CASH WDL/03-12-08/22:02:17/0</v>
      </c>
      <c r="L327" t="str">
        <f t="shared" si="33"/>
        <v>.</v>
      </c>
      <c r="M327">
        <f t="shared" si="34"/>
        <v>20000</v>
      </c>
      <c r="N327" s="172" t="str">
        <f t="shared" si="35"/>
        <v>5,55,619.67Cr</v>
      </c>
    </row>
    <row r="328" spans="1:14">
      <c r="A328" s="189">
        <v>39787</v>
      </c>
      <c r="B328" s="190" t="s">
        <v>3719</v>
      </c>
      <c r="C328" s="191" t="s">
        <v>3219</v>
      </c>
      <c r="D328" s="200">
        <v>20000</v>
      </c>
      <c r="E328" s="192" t="s">
        <v>3219</v>
      </c>
      <c r="F328" s="192" t="s">
        <v>3219</v>
      </c>
      <c r="G328" s="192" t="s">
        <v>3219</v>
      </c>
      <c r="H328" s="193" t="s">
        <v>3720</v>
      </c>
      <c r="I328" s="173">
        <f t="shared" si="30"/>
        <v>39787</v>
      </c>
      <c r="J328" s="172" t="str">
        <f t="shared" si="31"/>
        <v>.</v>
      </c>
      <c r="K328" s="172" t="str">
        <f t="shared" si="32"/>
        <v>ATM/CASH WDL/05-12-08/18:20:17/0</v>
      </c>
      <c r="L328" t="str">
        <f t="shared" si="33"/>
        <v>.</v>
      </c>
      <c r="M328">
        <f t="shared" si="34"/>
        <v>20000</v>
      </c>
      <c r="N328" s="172" t="str">
        <f t="shared" si="35"/>
        <v>5,35,619.67Cr</v>
      </c>
    </row>
    <row r="329" spans="1:14">
      <c r="A329" s="194">
        <v>39788</v>
      </c>
      <c r="B329" s="195" t="s">
        <v>3721</v>
      </c>
      <c r="C329" s="196" t="s">
        <v>3219</v>
      </c>
      <c r="D329" s="197">
        <v>5000</v>
      </c>
      <c r="E329" s="198" t="s">
        <v>3219</v>
      </c>
      <c r="F329" s="198" t="s">
        <v>3219</v>
      </c>
      <c r="G329" s="198" t="s">
        <v>3219</v>
      </c>
      <c r="H329" s="199" t="s">
        <v>3722</v>
      </c>
      <c r="I329" s="173">
        <f t="shared" si="30"/>
        <v>39788</v>
      </c>
      <c r="J329" s="172" t="str">
        <f t="shared" si="31"/>
        <v>.</v>
      </c>
      <c r="K329" s="172" t="str">
        <f t="shared" si="32"/>
        <v>ATM/CASH WDL/06-12-08/10:05:49/0</v>
      </c>
      <c r="L329" t="str">
        <f t="shared" si="33"/>
        <v>.</v>
      </c>
      <c r="M329">
        <f t="shared" si="34"/>
        <v>5000</v>
      </c>
      <c r="N329" s="172" t="str">
        <f t="shared" si="35"/>
        <v>5,30,619.67Cr</v>
      </c>
    </row>
    <row r="330" spans="1:14">
      <c r="A330" s="189">
        <v>39792</v>
      </c>
      <c r="B330" s="190" t="s">
        <v>3699</v>
      </c>
      <c r="C330" s="191" t="s">
        <v>3219</v>
      </c>
      <c r="D330" s="200">
        <v>2000</v>
      </c>
      <c r="E330" s="192" t="s">
        <v>3219</v>
      </c>
      <c r="F330" s="192" t="s">
        <v>3219</v>
      </c>
      <c r="G330" s="192" t="s">
        <v>3219</v>
      </c>
      <c r="H330" s="193" t="s">
        <v>3723</v>
      </c>
      <c r="I330" s="173">
        <f t="shared" si="30"/>
        <v>39792</v>
      </c>
      <c r="J330" s="172" t="str">
        <f t="shared" si="31"/>
        <v>.</v>
      </c>
      <c r="K330" s="172" t="str">
        <f t="shared" si="32"/>
        <v>REL-TS-IC,40491237376</v>
      </c>
      <c r="L330" t="str">
        <f t="shared" si="33"/>
        <v>.</v>
      </c>
      <c r="M330">
        <f t="shared" si="34"/>
        <v>2000</v>
      </c>
      <c r="N330" s="172" t="str">
        <f t="shared" si="35"/>
        <v>5,28,619.67Cr</v>
      </c>
    </row>
    <row r="331" spans="1:14">
      <c r="A331" s="194">
        <v>39800</v>
      </c>
      <c r="B331" s="195" t="s">
        <v>3724</v>
      </c>
      <c r="C331" s="196" t="s">
        <v>3219</v>
      </c>
      <c r="D331" s="197">
        <v>3000</v>
      </c>
      <c r="E331" s="198" t="s">
        <v>3219</v>
      </c>
      <c r="F331" s="198" t="s">
        <v>3219</v>
      </c>
      <c r="G331" s="198" t="s">
        <v>3219</v>
      </c>
      <c r="H331" s="199" t="s">
        <v>3725</v>
      </c>
      <c r="I331" s="173">
        <f t="shared" si="30"/>
        <v>39800</v>
      </c>
      <c r="J331" s="172" t="str">
        <f t="shared" si="31"/>
        <v>.</v>
      </c>
      <c r="K331" s="172" t="str">
        <f t="shared" si="32"/>
        <v>ATM/CASH WDL/18-12-08/20:47:08/0</v>
      </c>
      <c r="L331" t="str">
        <f t="shared" si="33"/>
        <v>.</v>
      </c>
      <c r="M331">
        <f t="shared" si="34"/>
        <v>3000</v>
      </c>
      <c r="N331" s="172" t="str">
        <f t="shared" si="35"/>
        <v>5,25,619.67Cr</v>
      </c>
    </row>
    <row r="332" spans="1:14">
      <c r="A332" s="189">
        <v>39804</v>
      </c>
      <c r="B332" s="190" t="s">
        <v>3726</v>
      </c>
      <c r="C332" s="191" t="s">
        <v>3219</v>
      </c>
      <c r="D332" s="200">
        <v>15000</v>
      </c>
      <c r="E332" s="192" t="s">
        <v>3219</v>
      </c>
      <c r="F332" s="192" t="s">
        <v>3219</v>
      </c>
      <c r="G332" s="192" t="s">
        <v>3219</v>
      </c>
      <c r="H332" s="193" t="s">
        <v>3727</v>
      </c>
      <c r="I332" s="173">
        <f t="shared" si="30"/>
        <v>39804</v>
      </c>
      <c r="J332" s="172" t="str">
        <f t="shared" si="31"/>
        <v>.</v>
      </c>
      <c r="K332" s="172" t="str">
        <f t="shared" si="32"/>
        <v>ATM/CASH WDL/22-12-08/07:46:59/0</v>
      </c>
      <c r="L332" t="str">
        <f t="shared" si="33"/>
        <v>.</v>
      </c>
      <c r="M332">
        <f t="shared" si="34"/>
        <v>15000</v>
      </c>
      <c r="N332" s="172" t="str">
        <f t="shared" si="35"/>
        <v>5,10,619.67Cr</v>
      </c>
    </row>
    <row r="333" spans="1:14">
      <c r="A333" s="194">
        <v>39805</v>
      </c>
      <c r="B333" s="195" t="s">
        <v>3728</v>
      </c>
      <c r="C333" s="196" t="s">
        <v>3219</v>
      </c>
      <c r="D333" s="197">
        <v>15000</v>
      </c>
      <c r="E333" s="198" t="s">
        <v>3219</v>
      </c>
      <c r="F333" s="198" t="s">
        <v>3219</v>
      </c>
      <c r="G333" s="198" t="s">
        <v>3219</v>
      </c>
      <c r="H333" s="199" t="s">
        <v>3729</v>
      </c>
      <c r="I333" s="173">
        <f t="shared" si="30"/>
        <v>39805</v>
      </c>
      <c r="J333" s="172" t="str">
        <f t="shared" si="31"/>
        <v>.</v>
      </c>
      <c r="K333" s="172" t="str">
        <f t="shared" si="32"/>
        <v>ATM/CASH WDL/23-12-08/22:07:18/0</v>
      </c>
      <c r="L333" t="str">
        <f t="shared" si="33"/>
        <v>.</v>
      </c>
      <c r="M333">
        <f t="shared" si="34"/>
        <v>15000</v>
      </c>
      <c r="N333" s="172" t="str">
        <f t="shared" si="35"/>
        <v>4,95,619.67Cr</v>
      </c>
    </row>
    <row r="334" spans="1:14">
      <c r="A334" s="189">
        <v>39805</v>
      </c>
      <c r="B334" s="190" t="s">
        <v>3730</v>
      </c>
      <c r="C334" s="191" t="s">
        <v>3219</v>
      </c>
      <c r="D334" s="192" t="s">
        <v>3219</v>
      </c>
      <c r="E334" s="200">
        <v>15000</v>
      </c>
      <c r="F334" s="192" t="s">
        <v>3219</v>
      </c>
      <c r="G334" s="192" t="s">
        <v>3219</v>
      </c>
      <c r="H334" s="193" t="s">
        <v>3727</v>
      </c>
      <c r="I334" s="173">
        <f t="shared" si="30"/>
        <v>39805</v>
      </c>
      <c r="J334" s="172" t="str">
        <f t="shared" si="31"/>
        <v>.</v>
      </c>
      <c r="K334" s="172" t="str">
        <f t="shared" si="32"/>
        <v>ATM/WDL RVSL/23-12-08/22:07:18/R/000401043279</v>
      </c>
      <c r="L334">
        <f t="shared" si="33"/>
        <v>15000</v>
      </c>
      <c r="M334" t="str">
        <f t="shared" si="34"/>
        <v>.</v>
      </c>
      <c r="N334" s="172" t="str">
        <f t="shared" si="35"/>
        <v>5,10,619.67Cr</v>
      </c>
    </row>
    <row r="335" spans="1:14">
      <c r="A335" s="194">
        <v>39805</v>
      </c>
      <c r="B335" s="195" t="s">
        <v>3731</v>
      </c>
      <c r="C335" s="196" t="s">
        <v>3219</v>
      </c>
      <c r="D335" s="197">
        <v>3000</v>
      </c>
      <c r="E335" s="198" t="s">
        <v>3219</v>
      </c>
      <c r="F335" s="198" t="s">
        <v>3219</v>
      </c>
      <c r="G335" s="198" t="s">
        <v>3219</v>
      </c>
      <c r="H335" s="199" t="s">
        <v>3732</v>
      </c>
      <c r="I335" s="173">
        <f t="shared" si="30"/>
        <v>39805</v>
      </c>
      <c r="J335" s="172" t="str">
        <f t="shared" si="31"/>
        <v>.</v>
      </c>
      <c r="K335" s="172" t="str">
        <f t="shared" si="32"/>
        <v>ATM/CASH WDL/23-12-08/22:08:14/0</v>
      </c>
      <c r="L335" t="str">
        <f t="shared" si="33"/>
        <v>.</v>
      </c>
      <c r="M335">
        <f t="shared" si="34"/>
        <v>3000</v>
      </c>
      <c r="N335" s="172" t="str">
        <f t="shared" si="35"/>
        <v>5,07,619.67Cr</v>
      </c>
    </row>
    <row r="336" spans="1:14">
      <c r="A336" s="189">
        <v>39806</v>
      </c>
      <c r="B336" s="190" t="s">
        <v>3733</v>
      </c>
      <c r="C336" s="191" t="s">
        <v>3219</v>
      </c>
      <c r="D336" s="200">
        <v>4000</v>
      </c>
      <c r="E336" s="192" t="s">
        <v>3219</v>
      </c>
      <c r="F336" s="192" t="s">
        <v>3219</v>
      </c>
      <c r="G336" s="192" t="s">
        <v>3219</v>
      </c>
      <c r="H336" s="193" t="s">
        <v>3734</v>
      </c>
      <c r="I336" s="173">
        <f t="shared" si="30"/>
        <v>39806</v>
      </c>
      <c r="J336" s="172" t="str">
        <f t="shared" si="31"/>
        <v>.</v>
      </c>
      <c r="K336" s="172" t="str">
        <f t="shared" si="32"/>
        <v>ATM/CASH WDL/24-12-08/08:54:20/0</v>
      </c>
      <c r="L336" t="str">
        <f t="shared" si="33"/>
        <v>.</v>
      </c>
      <c r="M336">
        <f t="shared" si="34"/>
        <v>4000</v>
      </c>
      <c r="N336" s="172" t="str">
        <f t="shared" si="35"/>
        <v>5,03,619.67Cr</v>
      </c>
    </row>
    <row r="337" spans="1:14">
      <c r="A337" s="194">
        <v>39806</v>
      </c>
      <c r="B337" s="195" t="s">
        <v>3735</v>
      </c>
      <c r="C337" s="196" t="s">
        <v>3219</v>
      </c>
      <c r="D337" s="197">
        <v>4000</v>
      </c>
      <c r="E337" s="198" t="s">
        <v>3219</v>
      </c>
      <c r="F337" s="198" t="s">
        <v>3219</v>
      </c>
      <c r="G337" s="198" t="s">
        <v>3219</v>
      </c>
      <c r="H337" s="199" t="s">
        <v>3736</v>
      </c>
      <c r="I337" s="173">
        <f t="shared" si="30"/>
        <v>39806</v>
      </c>
      <c r="J337" s="172" t="str">
        <f t="shared" si="31"/>
        <v>.</v>
      </c>
      <c r="K337" s="172" t="str">
        <f t="shared" si="32"/>
        <v>ATM/CASH WDL/24-12-08/08:55:17/0</v>
      </c>
      <c r="L337" t="str">
        <f t="shared" si="33"/>
        <v>.</v>
      </c>
      <c r="M337">
        <f t="shared" si="34"/>
        <v>4000</v>
      </c>
      <c r="N337" s="172" t="str">
        <f t="shared" si="35"/>
        <v>4,99,619.67Cr</v>
      </c>
    </row>
    <row r="338" spans="1:14">
      <c r="A338" s="189">
        <v>39806</v>
      </c>
      <c r="B338" s="190" t="s">
        <v>3737</v>
      </c>
      <c r="C338" s="190">
        <v>612726</v>
      </c>
      <c r="D338" s="200">
        <v>3862</v>
      </c>
      <c r="E338" s="192" t="s">
        <v>3219</v>
      </c>
      <c r="F338" s="192" t="s">
        <v>3219</v>
      </c>
      <c r="G338" s="192" t="s">
        <v>3219</v>
      </c>
      <c r="H338" s="193" t="s">
        <v>3738</v>
      </c>
      <c r="I338" s="173">
        <f t="shared" si="30"/>
        <v>39806</v>
      </c>
      <c r="J338" s="172">
        <f t="shared" si="31"/>
        <v>612726</v>
      </c>
      <c r="K338" s="172" t="str">
        <f t="shared" si="32"/>
        <v>LOK HSG CONSTRUCTION LTD</v>
      </c>
      <c r="L338" t="str">
        <f t="shared" si="33"/>
        <v>.</v>
      </c>
      <c r="M338">
        <f t="shared" si="34"/>
        <v>3862</v>
      </c>
      <c r="N338" s="172" t="str">
        <f t="shared" si="35"/>
        <v>4,95,757.67Cr</v>
      </c>
    </row>
    <row r="339" spans="1:14">
      <c r="A339" s="194">
        <v>39808</v>
      </c>
      <c r="B339" s="195" t="s">
        <v>1404</v>
      </c>
      <c r="C339" s="196" t="s">
        <v>3219</v>
      </c>
      <c r="D339" s="198" t="s">
        <v>3219</v>
      </c>
      <c r="E339" s="197">
        <v>78095</v>
      </c>
      <c r="F339" s="198" t="s">
        <v>3219</v>
      </c>
      <c r="G339" s="198" t="s">
        <v>3219</v>
      </c>
      <c r="H339" s="199" t="s">
        <v>3739</v>
      </c>
      <c r="I339" s="173">
        <f t="shared" si="30"/>
        <v>39808</v>
      </c>
      <c r="J339" s="172" t="str">
        <f t="shared" si="31"/>
        <v>.</v>
      </c>
      <c r="K339" s="172" t="str">
        <f t="shared" si="32"/>
        <v>BY SALARY</v>
      </c>
      <c r="L339">
        <f t="shared" si="33"/>
        <v>78095</v>
      </c>
      <c r="M339" t="str">
        <f t="shared" si="34"/>
        <v>.</v>
      </c>
      <c r="N339" s="172" t="str">
        <f t="shared" si="35"/>
        <v>5,73,852.67Cr</v>
      </c>
    </row>
    <row r="340" spans="1:14">
      <c r="A340" s="189">
        <v>39808</v>
      </c>
      <c r="B340" s="190" t="s">
        <v>3740</v>
      </c>
      <c r="C340" s="191" t="s">
        <v>3219</v>
      </c>
      <c r="D340" s="192" t="s">
        <v>3219</v>
      </c>
      <c r="E340" s="200">
        <v>114900</v>
      </c>
      <c r="F340" s="192" t="s">
        <v>3219</v>
      </c>
      <c r="G340" s="192" t="s">
        <v>3219</v>
      </c>
      <c r="H340" s="193" t="s">
        <v>3741</v>
      </c>
      <c r="I340" s="173">
        <f t="shared" si="30"/>
        <v>39808</v>
      </c>
      <c r="J340" s="172" t="str">
        <f t="shared" si="31"/>
        <v>.</v>
      </c>
      <c r="K340" s="172" t="str">
        <f t="shared" si="32"/>
        <v>TWDS REIMB. OF EXPENSES</v>
      </c>
      <c r="L340">
        <f t="shared" si="33"/>
        <v>114900</v>
      </c>
      <c r="M340" t="str">
        <f t="shared" si="34"/>
        <v>.</v>
      </c>
      <c r="N340" s="172" t="str">
        <f t="shared" si="35"/>
        <v>6,88,752.67Cr</v>
      </c>
    </row>
    <row r="341" spans="1:14">
      <c r="A341" s="189">
        <v>39814</v>
      </c>
      <c r="B341" s="190" t="s">
        <v>1394</v>
      </c>
      <c r="C341" s="191" t="s">
        <v>3219</v>
      </c>
      <c r="D341" s="192" t="s">
        <v>3219</v>
      </c>
      <c r="E341" s="192" t="s">
        <v>3219</v>
      </c>
      <c r="F341" s="192" t="s">
        <v>3219</v>
      </c>
      <c r="G341" s="192" t="s">
        <v>3219</v>
      </c>
      <c r="H341" s="193" t="s">
        <v>3741</v>
      </c>
      <c r="I341" s="173">
        <f t="shared" si="30"/>
        <v>39814</v>
      </c>
      <c r="J341" s="172" t="str">
        <f t="shared" si="31"/>
        <v>.</v>
      </c>
      <c r="K341" s="172" t="str">
        <f t="shared" si="32"/>
        <v>B/F</v>
      </c>
      <c r="L341" t="str">
        <f t="shared" si="33"/>
        <v>.</v>
      </c>
      <c r="M341" t="str">
        <f t="shared" si="34"/>
        <v>.</v>
      </c>
      <c r="N341" s="172" t="str">
        <f t="shared" si="35"/>
        <v>6,88,752.67Cr</v>
      </c>
    </row>
    <row r="342" spans="1:14">
      <c r="A342" s="194">
        <v>39814</v>
      </c>
      <c r="B342" s="195" t="s">
        <v>3742</v>
      </c>
      <c r="C342" s="196" t="s">
        <v>3219</v>
      </c>
      <c r="D342" s="197">
        <v>6000</v>
      </c>
      <c r="E342" s="198" t="s">
        <v>3219</v>
      </c>
      <c r="F342" s="198" t="s">
        <v>3219</v>
      </c>
      <c r="G342" s="198" t="s">
        <v>3219</v>
      </c>
      <c r="H342" s="199" t="s">
        <v>3743</v>
      </c>
      <c r="I342" s="173">
        <f t="shared" si="30"/>
        <v>39814</v>
      </c>
      <c r="J342" s="172" t="str">
        <f t="shared" si="31"/>
        <v>.</v>
      </c>
      <c r="K342" s="172" t="str">
        <f t="shared" si="32"/>
        <v>ATM/CASH WDL/01-01-09/16:21:09/0</v>
      </c>
      <c r="L342" t="str">
        <f t="shared" si="33"/>
        <v>.</v>
      </c>
      <c r="M342">
        <f t="shared" si="34"/>
        <v>6000</v>
      </c>
      <c r="N342" s="172" t="str">
        <f t="shared" si="35"/>
        <v>6,82,752.67Cr</v>
      </c>
    </row>
    <row r="343" spans="1:14">
      <c r="A343" s="189">
        <v>39818</v>
      </c>
      <c r="B343" s="190" t="s">
        <v>3744</v>
      </c>
      <c r="C343" s="191" t="s">
        <v>3219</v>
      </c>
      <c r="D343" s="200">
        <v>25000</v>
      </c>
      <c r="E343" s="192" t="s">
        <v>3219</v>
      </c>
      <c r="F343" s="192" t="s">
        <v>3219</v>
      </c>
      <c r="G343" s="192" t="s">
        <v>3219</v>
      </c>
      <c r="H343" s="193" t="s">
        <v>3745</v>
      </c>
      <c r="I343" s="173">
        <f t="shared" si="30"/>
        <v>39818</v>
      </c>
      <c r="J343" s="172" t="str">
        <f t="shared" si="31"/>
        <v>.</v>
      </c>
      <c r="K343" s="172" t="str">
        <f t="shared" si="32"/>
        <v>ATM/CASH WDL/04-01-09/07:02:49/0</v>
      </c>
      <c r="L343" t="str">
        <f t="shared" si="33"/>
        <v>.</v>
      </c>
      <c r="M343">
        <f t="shared" si="34"/>
        <v>25000</v>
      </c>
      <c r="N343" s="172" t="str">
        <f t="shared" si="35"/>
        <v>6,57,752.67Cr</v>
      </c>
    </row>
    <row r="344" spans="1:14">
      <c r="A344" s="194">
        <v>39819</v>
      </c>
      <c r="B344" s="195" t="s">
        <v>3746</v>
      </c>
      <c r="C344" s="196" t="s">
        <v>3219</v>
      </c>
      <c r="D344" s="197">
        <v>4000</v>
      </c>
      <c r="E344" s="198" t="s">
        <v>3219</v>
      </c>
      <c r="F344" s="198" t="s">
        <v>3219</v>
      </c>
      <c r="G344" s="198" t="s">
        <v>3219</v>
      </c>
      <c r="H344" s="199" t="s">
        <v>3747</v>
      </c>
      <c r="I344" s="173">
        <f t="shared" si="30"/>
        <v>39819</v>
      </c>
      <c r="J344" s="172" t="str">
        <f t="shared" si="31"/>
        <v>.</v>
      </c>
      <c r="K344" s="172" t="str">
        <f t="shared" si="32"/>
        <v>ATM/CASH WDL/06-01-09/06:46:12/0</v>
      </c>
      <c r="L344" t="str">
        <f t="shared" si="33"/>
        <v>.</v>
      </c>
      <c r="M344">
        <f t="shared" si="34"/>
        <v>4000</v>
      </c>
      <c r="N344" s="172" t="str">
        <f t="shared" si="35"/>
        <v>6,53,752.67Cr</v>
      </c>
    </row>
    <row r="345" spans="1:14">
      <c r="A345" s="189">
        <v>39819</v>
      </c>
      <c r="B345" s="190" t="s">
        <v>3748</v>
      </c>
      <c r="C345" s="191" t="s">
        <v>3219</v>
      </c>
      <c r="D345" s="200">
        <v>4000</v>
      </c>
      <c r="E345" s="192" t="s">
        <v>3219</v>
      </c>
      <c r="F345" s="192" t="s">
        <v>3219</v>
      </c>
      <c r="G345" s="192" t="s">
        <v>3219</v>
      </c>
      <c r="H345" s="193" t="s">
        <v>3749</v>
      </c>
      <c r="I345" s="173">
        <f t="shared" si="30"/>
        <v>39819</v>
      </c>
      <c r="J345" s="172" t="str">
        <f t="shared" si="31"/>
        <v>.</v>
      </c>
      <c r="K345" s="172" t="str">
        <f t="shared" si="32"/>
        <v>ATM/CASH WDL/06-01-09/06:50:16/0</v>
      </c>
      <c r="L345" t="str">
        <f t="shared" si="33"/>
        <v>.</v>
      </c>
      <c r="M345">
        <f t="shared" si="34"/>
        <v>4000</v>
      </c>
      <c r="N345" s="172" t="str">
        <f t="shared" si="35"/>
        <v>6,49,752.67Cr</v>
      </c>
    </row>
    <row r="346" spans="1:14">
      <c r="A346" s="194">
        <v>39819</v>
      </c>
      <c r="B346" s="195" t="s">
        <v>1416</v>
      </c>
      <c r="C346" s="195">
        <v>413236</v>
      </c>
      <c r="D346" s="197">
        <v>146509.29999999999</v>
      </c>
      <c r="E346" s="198" t="s">
        <v>3219</v>
      </c>
      <c r="F346" s="198" t="s">
        <v>3219</v>
      </c>
      <c r="G346" s="198" t="s">
        <v>3219</v>
      </c>
      <c r="H346" s="199" t="s">
        <v>3750</v>
      </c>
      <c r="I346" s="173">
        <f t="shared" si="30"/>
        <v>39819</v>
      </c>
      <c r="J346" s="172">
        <f t="shared" si="31"/>
        <v>413236</v>
      </c>
      <c r="K346" s="172" t="str">
        <f t="shared" si="32"/>
        <v>AMERICAN EXPRESS CORPORATE CARD</v>
      </c>
      <c r="L346" t="str">
        <f t="shared" si="33"/>
        <v>.</v>
      </c>
      <c r="M346">
        <f t="shared" si="34"/>
        <v>146509.29999999999</v>
      </c>
      <c r="N346" s="172" t="str">
        <f t="shared" si="35"/>
        <v>5,03,243.37Cr</v>
      </c>
    </row>
    <row r="347" spans="1:14">
      <c r="A347" s="189">
        <v>39822</v>
      </c>
      <c r="B347" s="190" t="s">
        <v>3751</v>
      </c>
      <c r="C347" s="191" t="s">
        <v>3219</v>
      </c>
      <c r="D347" s="200">
        <v>20000</v>
      </c>
      <c r="E347" s="192" t="s">
        <v>3219</v>
      </c>
      <c r="F347" s="192" t="s">
        <v>3219</v>
      </c>
      <c r="G347" s="192" t="s">
        <v>3219</v>
      </c>
      <c r="H347" s="193" t="s">
        <v>3752</v>
      </c>
      <c r="I347" s="173">
        <f t="shared" si="30"/>
        <v>39822</v>
      </c>
      <c r="J347" s="172" t="str">
        <f t="shared" si="31"/>
        <v>.</v>
      </c>
      <c r="K347" s="172" t="str">
        <f t="shared" si="32"/>
        <v>ATM/CASH WDL/09-01-09/20:41:10/0</v>
      </c>
      <c r="L347" t="str">
        <f t="shared" si="33"/>
        <v>.</v>
      </c>
      <c r="M347">
        <f t="shared" si="34"/>
        <v>20000</v>
      </c>
      <c r="N347" s="172" t="str">
        <f t="shared" si="35"/>
        <v>4,83,243.37Cr</v>
      </c>
    </row>
    <row r="348" spans="1:14">
      <c r="A348" s="194">
        <v>39823</v>
      </c>
      <c r="B348" s="195" t="s">
        <v>3753</v>
      </c>
      <c r="C348" s="196" t="s">
        <v>3219</v>
      </c>
      <c r="D348" s="197">
        <v>3000</v>
      </c>
      <c r="E348" s="198" t="s">
        <v>3219</v>
      </c>
      <c r="F348" s="198" t="s">
        <v>3219</v>
      </c>
      <c r="G348" s="198" t="s">
        <v>3219</v>
      </c>
      <c r="H348" s="199" t="s">
        <v>3754</v>
      </c>
      <c r="I348" s="173">
        <f t="shared" si="30"/>
        <v>39823</v>
      </c>
      <c r="J348" s="172" t="str">
        <f t="shared" si="31"/>
        <v>.</v>
      </c>
      <c r="K348" s="172" t="str">
        <f t="shared" si="32"/>
        <v>ATM/CASH WDL/10-01-09/18:45:25/0</v>
      </c>
      <c r="L348" t="str">
        <f t="shared" si="33"/>
        <v>.</v>
      </c>
      <c r="M348">
        <f t="shared" si="34"/>
        <v>3000</v>
      </c>
      <c r="N348" s="172" t="str">
        <f t="shared" si="35"/>
        <v>4,80,243.37Cr</v>
      </c>
    </row>
    <row r="349" spans="1:14">
      <c r="A349" s="189">
        <v>39823</v>
      </c>
      <c r="B349" s="190" t="s">
        <v>3699</v>
      </c>
      <c r="C349" s="191" t="s">
        <v>3219</v>
      </c>
      <c r="D349" s="200">
        <v>2000</v>
      </c>
      <c r="E349" s="192" t="s">
        <v>3219</v>
      </c>
      <c r="F349" s="192" t="s">
        <v>3219</v>
      </c>
      <c r="G349" s="192" t="s">
        <v>3219</v>
      </c>
      <c r="H349" s="193" t="s">
        <v>3755</v>
      </c>
      <c r="I349" s="173">
        <f t="shared" si="30"/>
        <v>39823</v>
      </c>
      <c r="J349" s="172" t="str">
        <f t="shared" si="31"/>
        <v>.</v>
      </c>
      <c r="K349" s="172" t="str">
        <f t="shared" si="32"/>
        <v>REL-TS-IC,40491237376</v>
      </c>
      <c r="L349" t="str">
        <f t="shared" si="33"/>
        <v>.</v>
      </c>
      <c r="M349">
        <f t="shared" si="34"/>
        <v>2000</v>
      </c>
      <c r="N349" s="172" t="str">
        <f t="shared" si="35"/>
        <v>4,78,243.37Cr</v>
      </c>
    </row>
    <row r="350" spans="1:14">
      <c r="A350" s="194">
        <v>39826</v>
      </c>
      <c r="B350" s="195" t="s">
        <v>3756</v>
      </c>
      <c r="C350" s="196" t="s">
        <v>3219</v>
      </c>
      <c r="D350" s="197">
        <v>5000</v>
      </c>
      <c r="E350" s="198" t="s">
        <v>3219</v>
      </c>
      <c r="F350" s="198" t="s">
        <v>3219</v>
      </c>
      <c r="G350" s="198" t="s">
        <v>3219</v>
      </c>
      <c r="H350" s="199" t="s">
        <v>3757</v>
      </c>
      <c r="I350" s="173">
        <f t="shared" si="30"/>
        <v>39826</v>
      </c>
      <c r="J350" s="172" t="str">
        <f t="shared" si="31"/>
        <v>.</v>
      </c>
      <c r="K350" s="172" t="str">
        <f t="shared" si="32"/>
        <v>ATM/CASH WDL/13-01-09/11:24:55/0</v>
      </c>
      <c r="L350" t="str">
        <f t="shared" si="33"/>
        <v>.</v>
      </c>
      <c r="M350">
        <f t="shared" si="34"/>
        <v>5000</v>
      </c>
      <c r="N350" s="172" t="str">
        <f t="shared" si="35"/>
        <v>4,73,243.37Cr</v>
      </c>
    </row>
    <row r="351" spans="1:14">
      <c r="A351" s="189">
        <v>39826</v>
      </c>
      <c r="B351" s="190" t="s">
        <v>1470</v>
      </c>
      <c r="C351" s="190">
        <v>413238</v>
      </c>
      <c r="D351" s="200">
        <v>36265.199999999997</v>
      </c>
      <c r="E351" s="192" t="s">
        <v>3219</v>
      </c>
      <c r="F351" s="192" t="s">
        <v>3219</v>
      </c>
      <c r="G351" s="192" t="s">
        <v>3219</v>
      </c>
      <c r="H351" s="193" t="s">
        <v>3758</v>
      </c>
      <c r="I351" s="173">
        <f t="shared" si="30"/>
        <v>39826</v>
      </c>
      <c r="J351" s="172">
        <f t="shared" si="31"/>
        <v>413238</v>
      </c>
      <c r="K351" s="172" t="str">
        <f t="shared" si="32"/>
        <v>ICICI CREDIT CARD</v>
      </c>
      <c r="L351" t="str">
        <f t="shared" si="33"/>
        <v>.</v>
      </c>
      <c r="M351">
        <f t="shared" si="34"/>
        <v>36265.199999999997</v>
      </c>
      <c r="N351" s="172" t="str">
        <f t="shared" si="35"/>
        <v>4,36,978.17Cr</v>
      </c>
    </row>
    <row r="352" spans="1:14">
      <c r="A352" s="194">
        <v>39828</v>
      </c>
      <c r="B352" s="195" t="s">
        <v>1473</v>
      </c>
      <c r="C352" s="195">
        <v>413239</v>
      </c>
      <c r="D352" s="197">
        <v>30142</v>
      </c>
      <c r="E352" s="198" t="s">
        <v>3219</v>
      </c>
      <c r="F352" s="198" t="s">
        <v>3219</v>
      </c>
      <c r="G352" s="198" t="s">
        <v>3219</v>
      </c>
      <c r="H352" s="199" t="s">
        <v>3759</v>
      </c>
      <c r="I352" s="173">
        <f t="shared" si="30"/>
        <v>39828</v>
      </c>
      <c r="J352" s="172">
        <f t="shared" si="31"/>
        <v>413239</v>
      </c>
      <c r="K352" s="172" t="str">
        <f t="shared" si="32"/>
        <v>LIC OF INDIA</v>
      </c>
      <c r="L352" t="str">
        <f t="shared" si="33"/>
        <v>.</v>
      </c>
      <c r="M352">
        <f t="shared" si="34"/>
        <v>30142</v>
      </c>
      <c r="N352" s="172" t="str">
        <f t="shared" si="35"/>
        <v>4,06,836.17Cr</v>
      </c>
    </row>
    <row r="353" spans="1:14">
      <c r="A353" s="189">
        <v>39830</v>
      </c>
      <c r="B353" s="190" t="s">
        <v>3760</v>
      </c>
      <c r="C353" s="191" t="s">
        <v>3219</v>
      </c>
      <c r="D353" s="200">
        <v>3000</v>
      </c>
      <c r="E353" s="192" t="s">
        <v>3219</v>
      </c>
      <c r="F353" s="192" t="s">
        <v>3219</v>
      </c>
      <c r="G353" s="192" t="s">
        <v>3219</v>
      </c>
      <c r="H353" s="193" t="s">
        <v>3761</v>
      </c>
      <c r="I353" s="173">
        <f t="shared" si="30"/>
        <v>39830</v>
      </c>
      <c r="J353" s="172" t="str">
        <f t="shared" si="31"/>
        <v>.</v>
      </c>
      <c r="K353" s="172" t="str">
        <f t="shared" si="32"/>
        <v>ATM/CASH WDL/17-01-09/09:16:15/0</v>
      </c>
      <c r="L353" t="str">
        <f t="shared" si="33"/>
        <v>.</v>
      </c>
      <c r="M353">
        <f t="shared" si="34"/>
        <v>3000</v>
      </c>
      <c r="N353" s="172" t="str">
        <f t="shared" si="35"/>
        <v>4,03,836.17Cr</v>
      </c>
    </row>
    <row r="354" spans="1:14">
      <c r="A354" s="194">
        <v>39837</v>
      </c>
      <c r="B354" s="195" t="s">
        <v>3762</v>
      </c>
      <c r="C354" s="196" t="s">
        <v>3219</v>
      </c>
      <c r="D354" s="197">
        <v>5000</v>
      </c>
      <c r="E354" s="198" t="s">
        <v>3219</v>
      </c>
      <c r="F354" s="198" t="s">
        <v>3219</v>
      </c>
      <c r="G354" s="198" t="s">
        <v>3219</v>
      </c>
      <c r="H354" s="199" t="s">
        <v>3763</v>
      </c>
      <c r="I354" s="173">
        <f t="shared" si="30"/>
        <v>39837</v>
      </c>
      <c r="J354" s="172" t="str">
        <f t="shared" si="31"/>
        <v>.</v>
      </c>
      <c r="K354" s="172" t="str">
        <f t="shared" si="32"/>
        <v>ATM/CASH WDL/24-01-09/10:22:06/0</v>
      </c>
      <c r="L354" t="str">
        <f t="shared" si="33"/>
        <v>.</v>
      </c>
      <c r="M354">
        <f t="shared" si="34"/>
        <v>5000</v>
      </c>
      <c r="N354" s="172" t="str">
        <f t="shared" si="35"/>
        <v>3,98,836.17Cr</v>
      </c>
    </row>
    <row r="355" spans="1:14">
      <c r="A355" s="189">
        <v>39841</v>
      </c>
      <c r="B355" s="190" t="s">
        <v>1404</v>
      </c>
      <c r="C355" s="191" t="s">
        <v>3219</v>
      </c>
      <c r="D355" s="192" t="s">
        <v>3219</v>
      </c>
      <c r="E355" s="200">
        <v>72675</v>
      </c>
      <c r="F355" s="192" t="s">
        <v>3219</v>
      </c>
      <c r="G355" s="192" t="s">
        <v>3219</v>
      </c>
      <c r="H355" s="193" t="s">
        <v>3764</v>
      </c>
      <c r="I355" s="173">
        <f t="shared" si="30"/>
        <v>39841</v>
      </c>
      <c r="J355" s="172" t="str">
        <f t="shared" si="31"/>
        <v>.</v>
      </c>
      <c r="K355" s="172" t="str">
        <f t="shared" si="32"/>
        <v>BY SALARY</v>
      </c>
      <c r="L355">
        <f t="shared" si="33"/>
        <v>72675</v>
      </c>
      <c r="M355" t="str">
        <f t="shared" si="34"/>
        <v>.</v>
      </c>
      <c r="N355" s="172" t="str">
        <f t="shared" si="35"/>
        <v>4,71,511.17Cr</v>
      </c>
    </row>
    <row r="356" spans="1:14">
      <c r="A356" s="189">
        <v>39845</v>
      </c>
      <c r="B356" s="190" t="s">
        <v>1394</v>
      </c>
      <c r="C356" s="191" t="s">
        <v>3219</v>
      </c>
      <c r="D356" s="192" t="s">
        <v>3219</v>
      </c>
      <c r="E356" s="192" t="s">
        <v>3219</v>
      </c>
      <c r="F356" s="192" t="s">
        <v>3219</v>
      </c>
      <c r="G356" s="192" t="s">
        <v>3219</v>
      </c>
      <c r="H356" s="193" t="s">
        <v>3764</v>
      </c>
      <c r="I356" s="173">
        <f t="shared" si="30"/>
        <v>39845</v>
      </c>
      <c r="J356" s="172" t="str">
        <f t="shared" si="31"/>
        <v>.</v>
      </c>
      <c r="K356" s="172" t="str">
        <f t="shared" si="32"/>
        <v>B/F</v>
      </c>
      <c r="L356" t="str">
        <f t="shared" si="33"/>
        <v>.</v>
      </c>
      <c r="M356" t="str">
        <f t="shared" si="34"/>
        <v>.</v>
      </c>
      <c r="N356" s="172" t="str">
        <f t="shared" si="35"/>
        <v>4,71,511.17Cr</v>
      </c>
    </row>
    <row r="357" spans="1:14">
      <c r="A357" s="194">
        <v>39847</v>
      </c>
      <c r="B357" s="195" t="s">
        <v>3765</v>
      </c>
      <c r="C357" s="196" t="s">
        <v>3219</v>
      </c>
      <c r="D357" s="197">
        <v>15000</v>
      </c>
      <c r="E357" s="198" t="s">
        <v>3219</v>
      </c>
      <c r="F357" s="198" t="s">
        <v>3219</v>
      </c>
      <c r="G357" s="198" t="s">
        <v>3219</v>
      </c>
      <c r="H357" s="199" t="s">
        <v>3766</v>
      </c>
      <c r="I357" s="173">
        <f t="shared" si="30"/>
        <v>39847</v>
      </c>
      <c r="J357" s="172" t="str">
        <f t="shared" si="31"/>
        <v>.</v>
      </c>
      <c r="K357" s="172" t="str">
        <f t="shared" si="32"/>
        <v>ATM/CASH WDL/03-02-09/21:20:26/0</v>
      </c>
      <c r="L357" t="str">
        <f t="shared" si="33"/>
        <v>.</v>
      </c>
      <c r="M357">
        <f t="shared" si="34"/>
        <v>15000</v>
      </c>
      <c r="N357" s="172" t="str">
        <f t="shared" si="35"/>
        <v>4,56,511.17Cr</v>
      </c>
    </row>
    <row r="358" spans="1:14">
      <c r="A358" s="189">
        <v>39849</v>
      </c>
      <c r="B358" s="190" t="s">
        <v>1537</v>
      </c>
      <c r="C358" s="191" t="s">
        <v>3219</v>
      </c>
      <c r="D358" s="192" t="s">
        <v>3219</v>
      </c>
      <c r="E358" s="200">
        <v>2161</v>
      </c>
      <c r="F358" s="192" t="s">
        <v>3219</v>
      </c>
      <c r="G358" s="192" t="s">
        <v>3219</v>
      </c>
      <c r="H358" s="193" t="s">
        <v>3767</v>
      </c>
      <c r="I358" s="173">
        <f t="shared" si="30"/>
        <v>39849</v>
      </c>
      <c r="J358" s="172" t="str">
        <f t="shared" si="31"/>
        <v>.</v>
      </c>
      <c r="K358" s="172" t="str">
        <f t="shared" si="32"/>
        <v>TWDS EXPENSES REIMBURSEMENT</v>
      </c>
      <c r="L358">
        <f t="shared" si="33"/>
        <v>2161</v>
      </c>
      <c r="M358" t="str">
        <f t="shared" si="34"/>
        <v>.</v>
      </c>
      <c r="N358" s="172" t="str">
        <f t="shared" si="35"/>
        <v>4,58,672.17Cr</v>
      </c>
    </row>
    <row r="359" spans="1:14">
      <c r="A359" s="194">
        <v>39855</v>
      </c>
      <c r="B359" s="195" t="s">
        <v>3699</v>
      </c>
      <c r="C359" s="196" t="s">
        <v>3219</v>
      </c>
      <c r="D359" s="197">
        <v>2000</v>
      </c>
      <c r="E359" s="198" t="s">
        <v>3219</v>
      </c>
      <c r="F359" s="198" t="s">
        <v>3219</v>
      </c>
      <c r="G359" s="198" t="s">
        <v>3219</v>
      </c>
      <c r="H359" s="199" t="s">
        <v>3768</v>
      </c>
      <c r="I359" s="173">
        <f t="shared" si="30"/>
        <v>39855</v>
      </c>
      <c r="J359" s="172" t="str">
        <f t="shared" si="31"/>
        <v>.</v>
      </c>
      <c r="K359" s="172" t="str">
        <f t="shared" si="32"/>
        <v>REL-TS-IC,40491237376</v>
      </c>
      <c r="L359" t="str">
        <f t="shared" si="33"/>
        <v>.</v>
      </c>
      <c r="M359">
        <f t="shared" si="34"/>
        <v>2000</v>
      </c>
      <c r="N359" s="172" t="str">
        <f t="shared" si="35"/>
        <v>4,56,672.17Cr</v>
      </c>
    </row>
    <row r="360" spans="1:14">
      <c r="A360" s="189">
        <v>39860</v>
      </c>
      <c r="B360" s="190" t="s">
        <v>3769</v>
      </c>
      <c r="C360" s="191" t="s">
        <v>3219</v>
      </c>
      <c r="D360" s="200">
        <v>10000</v>
      </c>
      <c r="E360" s="192" t="s">
        <v>3219</v>
      </c>
      <c r="F360" s="192" t="s">
        <v>3219</v>
      </c>
      <c r="G360" s="192" t="s">
        <v>3219</v>
      </c>
      <c r="H360" s="193" t="s">
        <v>3770</v>
      </c>
      <c r="I360" s="173">
        <f t="shared" si="30"/>
        <v>39860</v>
      </c>
      <c r="J360" s="172" t="str">
        <f t="shared" si="31"/>
        <v>.</v>
      </c>
      <c r="K360" s="172" t="str">
        <f t="shared" si="32"/>
        <v>ATM/CASH WDL/15-02-09/18:17:09/0</v>
      </c>
      <c r="L360" t="str">
        <f t="shared" si="33"/>
        <v>.</v>
      </c>
      <c r="M360">
        <f t="shared" si="34"/>
        <v>10000</v>
      </c>
      <c r="N360" s="172" t="str">
        <f t="shared" si="35"/>
        <v>4,46,672.17Cr</v>
      </c>
    </row>
    <row r="361" spans="1:14">
      <c r="A361" s="194">
        <v>39863</v>
      </c>
      <c r="B361" s="195" t="s">
        <v>1537</v>
      </c>
      <c r="C361" s="196" t="s">
        <v>3219</v>
      </c>
      <c r="D361" s="198" t="s">
        <v>3219</v>
      </c>
      <c r="E361" s="197">
        <v>2034</v>
      </c>
      <c r="F361" s="198" t="s">
        <v>3219</v>
      </c>
      <c r="G361" s="198" t="s">
        <v>3219</v>
      </c>
      <c r="H361" s="199" t="s">
        <v>3771</v>
      </c>
      <c r="I361" s="173">
        <f t="shared" si="30"/>
        <v>39863</v>
      </c>
      <c r="J361" s="172" t="str">
        <f t="shared" si="31"/>
        <v>.</v>
      </c>
      <c r="K361" s="172" t="str">
        <f t="shared" si="32"/>
        <v>TWDS EXPENSES REIMBURSEMENT</v>
      </c>
      <c r="L361">
        <f t="shared" si="33"/>
        <v>2034</v>
      </c>
      <c r="M361" t="str">
        <f t="shared" si="34"/>
        <v>.</v>
      </c>
      <c r="N361" s="172" t="str">
        <f t="shared" si="35"/>
        <v>4,48,706.17Cr</v>
      </c>
    </row>
    <row r="362" spans="1:14">
      <c r="A362" s="189">
        <v>39871</v>
      </c>
      <c r="B362" s="190" t="s">
        <v>1404</v>
      </c>
      <c r="C362" s="191" t="s">
        <v>3219</v>
      </c>
      <c r="D362" s="192" t="s">
        <v>3219</v>
      </c>
      <c r="E362" s="200">
        <v>69150</v>
      </c>
      <c r="F362" s="192" t="s">
        <v>3219</v>
      </c>
      <c r="G362" s="192" t="s">
        <v>3219</v>
      </c>
      <c r="H362" s="193" t="s">
        <v>3772</v>
      </c>
      <c r="I362" s="173">
        <f t="shared" si="30"/>
        <v>39871</v>
      </c>
      <c r="J362" s="172" t="str">
        <f t="shared" si="31"/>
        <v>.</v>
      </c>
      <c r="K362" s="172" t="str">
        <f t="shared" si="32"/>
        <v>BY SALARY</v>
      </c>
      <c r="L362">
        <f t="shared" si="33"/>
        <v>69150</v>
      </c>
      <c r="M362" t="str">
        <f t="shared" si="34"/>
        <v>.</v>
      </c>
      <c r="N362" s="172" t="str">
        <f t="shared" si="35"/>
        <v>5,17,856.17Cr</v>
      </c>
    </row>
    <row r="363" spans="1:14">
      <c r="A363" s="189">
        <v>39873</v>
      </c>
      <c r="B363" s="190" t="s">
        <v>1394</v>
      </c>
      <c r="C363" s="191" t="s">
        <v>3219</v>
      </c>
      <c r="D363" s="192" t="s">
        <v>3219</v>
      </c>
      <c r="E363" s="192" t="s">
        <v>3219</v>
      </c>
      <c r="F363" s="192" t="s">
        <v>3219</v>
      </c>
      <c r="G363" s="192" t="s">
        <v>3219</v>
      </c>
      <c r="H363" s="193" t="s">
        <v>3772</v>
      </c>
      <c r="I363" s="173">
        <f t="shared" si="30"/>
        <v>39873</v>
      </c>
      <c r="J363" s="172" t="str">
        <f t="shared" si="31"/>
        <v>.</v>
      </c>
      <c r="K363" s="172" t="str">
        <f t="shared" si="32"/>
        <v>B/F</v>
      </c>
      <c r="L363" t="str">
        <f t="shared" si="33"/>
        <v>.</v>
      </c>
      <c r="M363" t="str">
        <f t="shared" si="34"/>
        <v>.</v>
      </c>
      <c r="N363" s="172" t="str">
        <f t="shared" si="35"/>
        <v>5,17,856.17Cr</v>
      </c>
    </row>
    <row r="364" spans="1:14">
      <c r="A364" s="194">
        <v>39874</v>
      </c>
      <c r="B364" s="195" t="s">
        <v>3773</v>
      </c>
      <c r="C364" s="196" t="s">
        <v>3219</v>
      </c>
      <c r="D364" s="198" t="s">
        <v>3219</v>
      </c>
      <c r="E364" s="197">
        <v>7838</v>
      </c>
      <c r="F364" s="198" t="s">
        <v>3219</v>
      </c>
      <c r="G364" s="198" t="s">
        <v>3219</v>
      </c>
      <c r="H364" s="199" t="s">
        <v>3774</v>
      </c>
      <c r="I364" s="173">
        <f t="shared" si="30"/>
        <v>39874</v>
      </c>
      <c r="J364" s="172" t="str">
        <f t="shared" si="31"/>
        <v>.</v>
      </c>
      <c r="K364" s="172" t="str">
        <f t="shared" si="32"/>
        <v>000401043279:Int.Pd:01-09-2008 to 28-02-2009</v>
      </c>
      <c r="L364">
        <f t="shared" si="33"/>
        <v>7838</v>
      </c>
      <c r="M364" t="str">
        <f t="shared" si="34"/>
        <v>.</v>
      </c>
      <c r="N364" s="172" t="str">
        <f t="shared" si="35"/>
        <v>5,25,694.17Cr</v>
      </c>
    </row>
    <row r="365" spans="1:14">
      <c r="A365" s="189">
        <v>39879</v>
      </c>
      <c r="B365" s="190" t="s">
        <v>3775</v>
      </c>
      <c r="C365" s="191" t="s">
        <v>3219</v>
      </c>
      <c r="D365" s="200">
        <v>20000</v>
      </c>
      <c r="E365" s="192" t="s">
        <v>3219</v>
      </c>
      <c r="F365" s="192" t="s">
        <v>3219</v>
      </c>
      <c r="G365" s="192" t="s">
        <v>3219</v>
      </c>
      <c r="H365" s="193" t="s">
        <v>3776</v>
      </c>
      <c r="I365" s="173">
        <f t="shared" si="30"/>
        <v>39879</v>
      </c>
      <c r="J365" s="172" t="str">
        <f t="shared" si="31"/>
        <v>.</v>
      </c>
      <c r="K365" s="172" t="str">
        <f t="shared" si="32"/>
        <v>ATM/CASH WDL/07-03-09/08:40:40/0</v>
      </c>
      <c r="L365" t="str">
        <f t="shared" si="33"/>
        <v>.</v>
      </c>
      <c r="M365">
        <f t="shared" si="34"/>
        <v>20000</v>
      </c>
      <c r="N365" s="172" t="str">
        <f t="shared" si="35"/>
        <v>5,05,694.17Cr</v>
      </c>
    </row>
    <row r="366" spans="1:14">
      <c r="A366" s="194">
        <v>39881</v>
      </c>
      <c r="B366" s="195" t="s">
        <v>3777</v>
      </c>
      <c r="C366" s="196" t="s">
        <v>3219</v>
      </c>
      <c r="D366" s="197">
        <v>12240</v>
      </c>
      <c r="E366" s="198" t="s">
        <v>3219</v>
      </c>
      <c r="F366" s="198" t="s">
        <v>3219</v>
      </c>
      <c r="G366" s="198" t="s">
        <v>3219</v>
      </c>
      <c r="H366" s="199" t="s">
        <v>3778</v>
      </c>
      <c r="I366" s="173">
        <f t="shared" si="30"/>
        <v>39881</v>
      </c>
      <c r="J366" s="172" t="str">
        <f t="shared" si="31"/>
        <v>.</v>
      </c>
      <c r="K366" s="172" t="str">
        <f t="shared" si="32"/>
        <v>VPS/PEDALLERS P/20090308203257/0</v>
      </c>
      <c r="L366" t="str">
        <f t="shared" si="33"/>
        <v>.</v>
      </c>
      <c r="M366">
        <f t="shared" si="34"/>
        <v>12240</v>
      </c>
      <c r="N366" s="172" t="str">
        <f t="shared" si="35"/>
        <v>4,93,454.17Cr</v>
      </c>
    </row>
    <row r="367" spans="1:14">
      <c r="A367" s="189">
        <v>39884</v>
      </c>
      <c r="B367" s="190" t="s">
        <v>3699</v>
      </c>
      <c r="C367" s="191" t="s">
        <v>3219</v>
      </c>
      <c r="D367" s="200">
        <v>2000</v>
      </c>
      <c r="E367" s="192" t="s">
        <v>3219</v>
      </c>
      <c r="F367" s="192" t="s">
        <v>3219</v>
      </c>
      <c r="G367" s="192" t="s">
        <v>3219</v>
      </c>
      <c r="H367" s="193" t="s">
        <v>3779</v>
      </c>
      <c r="I367" s="173">
        <f t="shared" si="30"/>
        <v>39884</v>
      </c>
      <c r="J367" s="172" t="str">
        <f t="shared" si="31"/>
        <v>.</v>
      </c>
      <c r="K367" s="172" t="str">
        <f t="shared" si="32"/>
        <v>REL-TS-IC,40491237376</v>
      </c>
      <c r="L367" t="str">
        <f t="shared" si="33"/>
        <v>.</v>
      </c>
      <c r="M367">
        <f t="shared" si="34"/>
        <v>2000</v>
      </c>
      <c r="N367" s="172" t="str">
        <f t="shared" si="35"/>
        <v>4,91,454.17Cr</v>
      </c>
    </row>
    <row r="368" spans="1:14">
      <c r="A368" s="194">
        <v>39888</v>
      </c>
      <c r="B368" s="195" t="s">
        <v>3241</v>
      </c>
      <c r="C368" s="196" t="s">
        <v>3219</v>
      </c>
      <c r="D368" s="198" t="s">
        <v>3219</v>
      </c>
      <c r="E368" s="197">
        <v>2100</v>
      </c>
      <c r="F368" s="198" t="s">
        <v>3219</v>
      </c>
      <c r="G368" s="198" t="s">
        <v>3219</v>
      </c>
      <c r="H368" s="199" t="s">
        <v>3780</v>
      </c>
      <c r="I368" s="173">
        <f t="shared" si="30"/>
        <v>39888</v>
      </c>
      <c r="J368" s="172" t="str">
        <f t="shared" si="31"/>
        <v>.</v>
      </c>
      <c r="K368" s="172" t="str">
        <f t="shared" si="32"/>
        <v>INT. ON ICICI BONDS 5016291914</v>
      </c>
      <c r="L368">
        <f t="shared" si="33"/>
        <v>2100</v>
      </c>
      <c r="M368" t="str">
        <f t="shared" si="34"/>
        <v>.</v>
      </c>
      <c r="N368" s="172" t="str">
        <f t="shared" si="35"/>
        <v>4,93,554.17Cr</v>
      </c>
    </row>
    <row r="369" spans="1:14">
      <c r="A369" s="189">
        <v>39890</v>
      </c>
      <c r="B369" s="190" t="s">
        <v>3781</v>
      </c>
      <c r="C369" s="191" t="s">
        <v>3219</v>
      </c>
      <c r="D369" s="192" t="s">
        <v>3219</v>
      </c>
      <c r="E369" s="200">
        <v>46148</v>
      </c>
      <c r="F369" s="192" t="s">
        <v>3219</v>
      </c>
      <c r="G369" s="192" t="s">
        <v>3219</v>
      </c>
      <c r="H369" s="193" t="s">
        <v>3782</v>
      </c>
      <c r="I369" s="173">
        <f t="shared" si="30"/>
        <v>39890</v>
      </c>
      <c r="J369" s="172" t="str">
        <f t="shared" si="31"/>
        <v>.</v>
      </c>
      <c r="K369" s="172" t="str">
        <f t="shared" si="32"/>
        <v>EXPENSES REIMBURSEMENT</v>
      </c>
      <c r="L369">
        <f t="shared" si="33"/>
        <v>46148</v>
      </c>
      <c r="M369" t="str">
        <f t="shared" si="34"/>
        <v>.</v>
      </c>
      <c r="N369" s="172" t="str">
        <f t="shared" si="35"/>
        <v>5,39,702.17Cr</v>
      </c>
    </row>
    <row r="370" spans="1:14">
      <c r="A370" s="194">
        <v>39890</v>
      </c>
      <c r="B370" s="195" t="s">
        <v>3783</v>
      </c>
      <c r="C370" s="196" t="s">
        <v>3219</v>
      </c>
      <c r="D370" s="197">
        <v>5000</v>
      </c>
      <c r="E370" s="198" t="s">
        <v>3219</v>
      </c>
      <c r="F370" s="198" t="s">
        <v>3219</v>
      </c>
      <c r="G370" s="198" t="s">
        <v>3219</v>
      </c>
      <c r="H370" s="199" t="s">
        <v>3784</v>
      </c>
      <c r="I370" s="173">
        <f t="shared" si="30"/>
        <v>39890</v>
      </c>
      <c r="J370" s="172" t="str">
        <f t="shared" si="31"/>
        <v>.</v>
      </c>
      <c r="K370" s="172" t="str">
        <f t="shared" si="32"/>
        <v>ATM/CASH WDL/18-03-09/21:26:09/0</v>
      </c>
      <c r="L370" t="str">
        <f t="shared" si="33"/>
        <v>.</v>
      </c>
      <c r="M370">
        <f t="shared" si="34"/>
        <v>5000</v>
      </c>
      <c r="N370" s="172" t="str">
        <f t="shared" si="35"/>
        <v>5,34,702.17Cr</v>
      </c>
    </row>
    <row r="371" spans="1:14">
      <c r="A371" s="189">
        <v>39892</v>
      </c>
      <c r="B371" s="190" t="s">
        <v>3785</v>
      </c>
      <c r="C371" s="190">
        <v>413240</v>
      </c>
      <c r="D371" s="200">
        <v>46147.839999999997</v>
      </c>
      <c r="E371" s="192" t="s">
        <v>3219</v>
      </c>
      <c r="F371" s="192" t="s">
        <v>3219</v>
      </c>
      <c r="G371" s="192" t="s">
        <v>3219</v>
      </c>
      <c r="H371" s="193" t="s">
        <v>3786</v>
      </c>
      <c r="I371" s="173">
        <f t="shared" si="30"/>
        <v>39892</v>
      </c>
      <c r="J371" s="172">
        <f t="shared" si="31"/>
        <v>413240</v>
      </c>
      <c r="K371" s="172" t="str">
        <f t="shared" si="32"/>
        <v>AMEX CORPORATE CARD</v>
      </c>
      <c r="L371" t="str">
        <f t="shared" si="33"/>
        <v>.</v>
      </c>
      <c r="M371">
        <f t="shared" si="34"/>
        <v>46147.839999999997</v>
      </c>
      <c r="N371" s="172" t="str">
        <f t="shared" si="35"/>
        <v>4,88,554.33Cr</v>
      </c>
    </row>
    <row r="372" spans="1:14">
      <c r="A372" s="194">
        <v>39892</v>
      </c>
      <c r="B372" s="195" t="s">
        <v>3787</v>
      </c>
      <c r="C372" s="196" t="s">
        <v>3219</v>
      </c>
      <c r="D372" s="197">
        <v>5000</v>
      </c>
      <c r="E372" s="198" t="s">
        <v>3219</v>
      </c>
      <c r="F372" s="198" t="s">
        <v>3219</v>
      </c>
      <c r="G372" s="198" t="s">
        <v>3219</v>
      </c>
      <c r="H372" s="199" t="s">
        <v>3788</v>
      </c>
      <c r="I372" s="173">
        <f t="shared" si="30"/>
        <v>39892</v>
      </c>
      <c r="J372" s="172" t="str">
        <f t="shared" si="31"/>
        <v>.</v>
      </c>
      <c r="K372" s="172" t="str">
        <f t="shared" si="32"/>
        <v>ATM/CASH WDL/20-03-09/14:43:06/0</v>
      </c>
      <c r="L372" t="str">
        <f t="shared" si="33"/>
        <v>.</v>
      </c>
      <c r="M372">
        <f t="shared" si="34"/>
        <v>5000</v>
      </c>
      <c r="N372" s="172" t="str">
        <f t="shared" si="35"/>
        <v>4,83,554.33Cr</v>
      </c>
    </row>
    <row r="373" spans="1:14">
      <c r="A373" s="189">
        <v>39897</v>
      </c>
      <c r="B373" s="190" t="s">
        <v>3673</v>
      </c>
      <c r="C373" s="190">
        <v>413241</v>
      </c>
      <c r="D373" s="200">
        <v>2000</v>
      </c>
      <c r="E373" s="192" t="s">
        <v>3219</v>
      </c>
      <c r="F373" s="192" t="s">
        <v>3219</v>
      </c>
      <c r="G373" s="192" t="s">
        <v>3219</v>
      </c>
      <c r="H373" s="193" t="s">
        <v>3789</v>
      </c>
      <c r="I373" s="173">
        <f t="shared" si="30"/>
        <v>39897</v>
      </c>
      <c r="J373" s="172">
        <f t="shared" si="31"/>
        <v>413241</v>
      </c>
      <c r="K373" s="172" t="str">
        <f t="shared" si="32"/>
        <v>RELIANCE BANKING FUND</v>
      </c>
      <c r="L373" t="str">
        <f t="shared" si="33"/>
        <v>.</v>
      </c>
      <c r="M373">
        <f t="shared" si="34"/>
        <v>2000</v>
      </c>
      <c r="N373" s="172" t="str">
        <f t="shared" si="35"/>
        <v>4,81,554.33Cr</v>
      </c>
    </row>
    <row r="374" spans="1:14">
      <c r="A374" s="194">
        <v>39898</v>
      </c>
      <c r="B374" s="195" t="s">
        <v>1404</v>
      </c>
      <c r="C374" s="196" t="s">
        <v>3219</v>
      </c>
      <c r="D374" s="198" t="s">
        <v>3219</v>
      </c>
      <c r="E374" s="197">
        <v>108925</v>
      </c>
      <c r="F374" s="198" t="s">
        <v>3219</v>
      </c>
      <c r="G374" s="198" t="s">
        <v>3219</v>
      </c>
      <c r="H374" s="199" t="s">
        <v>3790</v>
      </c>
      <c r="I374" s="173">
        <f t="shared" si="30"/>
        <v>39898</v>
      </c>
      <c r="J374" s="172" t="str">
        <f t="shared" si="31"/>
        <v>.</v>
      </c>
      <c r="K374" s="172" t="str">
        <f t="shared" si="32"/>
        <v>BY SALARY</v>
      </c>
      <c r="L374">
        <f t="shared" si="33"/>
        <v>108925</v>
      </c>
      <c r="M374" t="str">
        <f t="shared" si="34"/>
        <v>.</v>
      </c>
      <c r="N374" s="172" t="str">
        <f t="shared" si="35"/>
        <v>5,90,479.33Cr</v>
      </c>
    </row>
    <row r="375" spans="1:14">
      <c r="A375" s="189">
        <v>39903</v>
      </c>
      <c r="B375" s="190" t="s">
        <v>1424</v>
      </c>
      <c r="C375" s="190">
        <v>413243</v>
      </c>
      <c r="D375" s="200">
        <v>3000</v>
      </c>
      <c r="E375" s="192" t="s">
        <v>3219</v>
      </c>
      <c r="F375" s="192" t="s">
        <v>3219</v>
      </c>
      <c r="G375" s="192" t="s">
        <v>3219</v>
      </c>
      <c r="H375" s="193" t="s">
        <v>3791</v>
      </c>
      <c r="I375" s="173">
        <f t="shared" si="30"/>
        <v>39903</v>
      </c>
      <c r="J375" s="172">
        <f t="shared" si="31"/>
        <v>413243</v>
      </c>
      <c r="K375" s="172" t="str">
        <f t="shared" si="32"/>
        <v>ICICI CREDIT CARD PAYMENT</v>
      </c>
      <c r="L375" t="str">
        <f t="shared" si="33"/>
        <v>.</v>
      </c>
      <c r="M375">
        <f t="shared" si="34"/>
        <v>3000</v>
      </c>
      <c r="N375" s="172" t="str">
        <f t="shared" si="35"/>
        <v>5,87,479.33Cr</v>
      </c>
    </row>
  </sheetData>
  <pageMargins left="0.7" right="0.7" top="0.75" bottom="0.75" header="0.3" footer="0.3"/>
  <pageSetup orientation="portrait" r:id="rId1"/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800-000000000000}">
  <dimension ref="A1:N96"/>
  <sheetViews>
    <sheetView workbookViewId="0">
      <selection activeCell="K1" sqref="K1:L1048576"/>
    </sheetView>
  </sheetViews>
  <sheetFormatPr defaultRowHeight="15"/>
  <cols>
    <col min="1" max="1" width="8.28515625" bestFit="1" customWidth="1"/>
    <col min="2" max="2" width="47" bestFit="1" customWidth="1"/>
    <col min="3" max="3" width="17.28515625" bestFit="1" customWidth="1"/>
    <col min="4" max="4" width="8.28515625" bestFit="1" customWidth="1"/>
    <col min="5" max="5" width="14.7109375" bestFit="1" customWidth="1"/>
    <col min="6" max="6" width="11.7109375" bestFit="1" customWidth="1"/>
    <col min="7" max="7" width="14.5703125" bestFit="1" customWidth="1"/>
    <col min="8" max="8" width="11.42578125" bestFit="1" customWidth="1"/>
    <col min="9" max="9" width="9.42578125" bestFit="1" customWidth="1"/>
    <col min="11" max="11" width="13.140625" bestFit="1" customWidth="1"/>
    <col min="12" max="12" width="23.140625" bestFit="1" customWidth="1"/>
  </cols>
  <sheetData>
    <row r="1" spans="1:14">
      <c r="A1" s="3" t="s">
        <v>924</v>
      </c>
      <c r="B1" s="3" t="s">
        <v>9545</v>
      </c>
      <c r="C1" s="3" t="s">
        <v>9546</v>
      </c>
      <c r="D1" s="3" t="s">
        <v>9547</v>
      </c>
      <c r="E1" s="3" t="s">
        <v>9548</v>
      </c>
      <c r="F1" s="3" t="s">
        <v>9549</v>
      </c>
      <c r="G1" s="3" t="s">
        <v>9550</v>
      </c>
      <c r="H1" t="s">
        <v>10868</v>
      </c>
      <c r="I1" t="s">
        <v>10869</v>
      </c>
    </row>
    <row r="2" spans="1:14">
      <c r="A2" s="4" t="s">
        <v>10870</v>
      </c>
      <c r="B2" s="3" t="s">
        <v>10871</v>
      </c>
      <c r="C2" s="3" t="s">
        <v>6682</v>
      </c>
      <c r="D2" s="3" t="s">
        <v>10872</v>
      </c>
      <c r="E2" s="3">
        <v>12431.03</v>
      </c>
      <c r="F2" s="3"/>
      <c r="G2" s="3">
        <v>1121870.1000000001</v>
      </c>
      <c r="H2" s="5" t="str">
        <f>RIGHT(A2, 5)</f>
        <v>05/11</v>
      </c>
      <c r="I2" s="5">
        <v>40664</v>
      </c>
      <c r="N2" s="6"/>
    </row>
    <row r="3" spans="1:14">
      <c r="A3" s="3" t="s">
        <v>10873</v>
      </c>
      <c r="B3" s="3" t="s">
        <v>10871</v>
      </c>
      <c r="C3" s="3" t="s">
        <v>6682</v>
      </c>
      <c r="D3" s="3" t="s">
        <v>10873</v>
      </c>
      <c r="E3" s="3">
        <v>70936.02</v>
      </c>
      <c r="F3" s="3"/>
      <c r="G3" s="3">
        <v>1012225.08</v>
      </c>
      <c r="H3" s="5" t="str">
        <f t="shared" ref="H3:H65" si="0">RIGHT(A3, 5)</f>
        <v>06/11</v>
      </c>
      <c r="I3" s="5">
        <v>40695</v>
      </c>
    </row>
    <row r="4" spans="1:14">
      <c r="A4" s="3" t="s">
        <v>10874</v>
      </c>
      <c r="B4" s="3" t="s">
        <v>10875</v>
      </c>
      <c r="C4" s="3" t="s">
        <v>10876</v>
      </c>
      <c r="D4" s="3" t="s">
        <v>10874</v>
      </c>
      <c r="E4" s="3">
        <v>7417</v>
      </c>
      <c r="F4" s="3"/>
      <c r="G4" s="3">
        <v>1060240.08</v>
      </c>
      <c r="H4" s="5" t="str">
        <f t="shared" si="0"/>
        <v>06/11</v>
      </c>
      <c r="I4" s="5">
        <v>40695</v>
      </c>
    </row>
    <row r="5" spans="1:14">
      <c r="A5" s="3" t="s">
        <v>10877</v>
      </c>
      <c r="B5" s="3" t="s">
        <v>10871</v>
      </c>
      <c r="C5" s="3" t="s">
        <v>6682</v>
      </c>
      <c r="D5" s="3" t="s">
        <v>10877</v>
      </c>
      <c r="E5" s="3">
        <v>25702.25</v>
      </c>
      <c r="F5" s="3"/>
      <c r="G5" s="3">
        <v>995828.83</v>
      </c>
      <c r="H5" s="5" t="str">
        <f t="shared" si="0"/>
        <v>07/11</v>
      </c>
      <c r="I5" s="5">
        <v>40725</v>
      </c>
    </row>
    <row r="6" spans="1:14">
      <c r="A6" s="3" t="s">
        <v>10878</v>
      </c>
      <c r="B6" s="3" t="s">
        <v>10879</v>
      </c>
      <c r="C6" s="3" t="s">
        <v>10880</v>
      </c>
      <c r="D6" s="3" t="s">
        <v>10878</v>
      </c>
      <c r="E6" s="3">
        <v>1000</v>
      </c>
      <c r="F6" s="3"/>
      <c r="G6" s="3">
        <v>994828.83</v>
      </c>
      <c r="H6" s="5" t="str">
        <f t="shared" si="0"/>
        <v>07/11</v>
      </c>
      <c r="I6" s="5">
        <v>40725</v>
      </c>
    </row>
    <row r="7" spans="1:14">
      <c r="A7" s="3" t="s">
        <v>10881</v>
      </c>
      <c r="B7" s="3" t="s">
        <v>10882</v>
      </c>
      <c r="C7" s="3" t="s">
        <v>10883</v>
      </c>
      <c r="D7" s="3" t="s">
        <v>10881</v>
      </c>
      <c r="E7" s="3">
        <v>100000</v>
      </c>
      <c r="F7" s="3"/>
      <c r="G7" s="3">
        <v>956119.83</v>
      </c>
      <c r="H7" s="5" t="str">
        <f t="shared" si="0"/>
        <v>08/11</v>
      </c>
      <c r="I7" s="5">
        <v>40756</v>
      </c>
    </row>
    <row r="8" spans="1:14">
      <c r="A8" s="3" t="s">
        <v>10881</v>
      </c>
      <c r="B8" s="3" t="s">
        <v>10871</v>
      </c>
      <c r="C8" s="3" t="s">
        <v>6682</v>
      </c>
      <c r="D8" s="3" t="s">
        <v>10881</v>
      </c>
      <c r="E8" s="3">
        <v>80256.72</v>
      </c>
      <c r="F8" s="3"/>
      <c r="G8" s="3">
        <v>875863.11</v>
      </c>
      <c r="H8" s="5" t="str">
        <f t="shared" si="0"/>
        <v>08/11</v>
      </c>
      <c r="I8" s="5">
        <v>40756</v>
      </c>
    </row>
    <row r="9" spans="1:14">
      <c r="A9" s="3" t="s">
        <v>10884</v>
      </c>
      <c r="B9" s="3" t="s">
        <v>10885</v>
      </c>
      <c r="C9" s="3" t="s">
        <v>10886</v>
      </c>
      <c r="D9" s="3" t="s">
        <v>10884</v>
      </c>
      <c r="E9" s="3">
        <v>24000</v>
      </c>
      <c r="F9" s="3"/>
      <c r="G9" s="3">
        <v>1151863.1100000001</v>
      </c>
      <c r="H9" s="5" t="str">
        <f t="shared" si="0"/>
        <v>08/11</v>
      </c>
      <c r="I9" s="5">
        <v>40756</v>
      </c>
    </row>
    <row r="10" spans="1:14">
      <c r="A10" s="3" t="s">
        <v>10887</v>
      </c>
      <c r="B10" s="3" t="s">
        <v>10885</v>
      </c>
      <c r="C10" s="3" t="s">
        <v>10888</v>
      </c>
      <c r="D10" s="3" t="s">
        <v>10887</v>
      </c>
      <c r="E10" s="3">
        <v>6000</v>
      </c>
      <c r="F10" s="3"/>
      <c r="G10" s="3">
        <v>1145863.1100000001</v>
      </c>
      <c r="H10" s="5" t="str">
        <f t="shared" si="0"/>
        <v>08/11</v>
      </c>
      <c r="I10" s="5">
        <v>40756</v>
      </c>
    </row>
    <row r="11" spans="1:14">
      <c r="A11" s="3" t="s">
        <v>10889</v>
      </c>
      <c r="B11" s="3" t="s">
        <v>10890</v>
      </c>
      <c r="C11" s="3" t="s">
        <v>10891</v>
      </c>
      <c r="D11" s="3" t="s">
        <v>10889</v>
      </c>
      <c r="E11" s="3">
        <v>60000</v>
      </c>
      <c r="F11" s="3"/>
      <c r="G11" s="3">
        <v>1147154.1100000001</v>
      </c>
      <c r="H11" s="5" t="str">
        <f t="shared" si="0"/>
        <v>08/11</v>
      </c>
      <c r="I11" s="5">
        <v>40756</v>
      </c>
    </row>
    <row r="12" spans="1:14">
      <c r="A12" s="3" t="s">
        <v>10892</v>
      </c>
      <c r="B12" s="3" t="s">
        <v>10871</v>
      </c>
      <c r="C12" s="3" t="s">
        <v>6682</v>
      </c>
      <c r="D12" s="3" t="s">
        <v>10892</v>
      </c>
      <c r="E12" s="3">
        <v>157406.06</v>
      </c>
      <c r="F12" s="3"/>
      <c r="G12" s="3">
        <v>989748.05</v>
      </c>
      <c r="H12" s="5" t="str">
        <f t="shared" si="0"/>
        <v>08/11</v>
      </c>
      <c r="I12" s="5">
        <v>40756</v>
      </c>
    </row>
    <row r="13" spans="1:14">
      <c r="A13" s="3" t="s">
        <v>10893</v>
      </c>
      <c r="B13" s="3" t="s">
        <v>10890</v>
      </c>
      <c r="C13" s="3" t="s">
        <v>10894</v>
      </c>
      <c r="D13" s="3" t="s">
        <v>10893</v>
      </c>
      <c r="E13" s="3">
        <v>30000</v>
      </c>
      <c r="F13" s="3"/>
      <c r="G13" s="3">
        <v>959748.05</v>
      </c>
      <c r="H13" s="5" t="str">
        <f t="shared" si="0"/>
        <v>09/11</v>
      </c>
      <c r="I13" s="5">
        <v>40787</v>
      </c>
    </row>
    <row r="14" spans="1:14">
      <c r="A14" s="3" t="s">
        <v>10895</v>
      </c>
      <c r="B14" s="3" t="s">
        <v>10896</v>
      </c>
      <c r="C14" s="3" t="s">
        <v>10897</v>
      </c>
      <c r="D14" s="3" t="s">
        <v>10895</v>
      </c>
      <c r="E14" s="3">
        <v>14575</v>
      </c>
      <c r="F14" s="3"/>
      <c r="G14" s="3">
        <v>945173.05</v>
      </c>
      <c r="H14" s="5" t="str">
        <f t="shared" si="0"/>
        <v>09/11</v>
      </c>
      <c r="I14" s="5">
        <v>40787</v>
      </c>
    </row>
    <row r="15" spans="1:14">
      <c r="A15" s="3" t="s">
        <v>10898</v>
      </c>
      <c r="B15" s="3" t="s">
        <v>10899</v>
      </c>
      <c r="C15" s="3" t="s">
        <v>10900</v>
      </c>
      <c r="D15" s="3" t="s">
        <v>10898</v>
      </c>
      <c r="E15" s="3">
        <v>1500</v>
      </c>
      <c r="F15" s="3"/>
      <c r="G15" s="3">
        <v>925936.68</v>
      </c>
      <c r="H15" s="5" t="str">
        <f t="shared" si="0"/>
        <v>10/11</v>
      </c>
      <c r="I15" s="5">
        <v>40817</v>
      </c>
    </row>
    <row r="16" spans="1:14">
      <c r="A16" s="3" t="s">
        <v>10901</v>
      </c>
      <c r="B16" s="3" t="s">
        <v>10902</v>
      </c>
      <c r="C16" s="3" t="s">
        <v>10903</v>
      </c>
      <c r="D16" s="3" t="s">
        <v>10901</v>
      </c>
      <c r="E16" s="3">
        <v>15250</v>
      </c>
      <c r="F16" s="3"/>
      <c r="G16" s="3">
        <v>910686.68</v>
      </c>
      <c r="H16" s="5" t="str">
        <f t="shared" si="0"/>
        <v>10/11</v>
      </c>
      <c r="I16" s="5">
        <v>40817</v>
      </c>
    </row>
    <row r="17" spans="1:9">
      <c r="A17" s="3" t="s">
        <v>10904</v>
      </c>
      <c r="B17" s="3" t="s">
        <v>10905</v>
      </c>
      <c r="C17" s="3" t="s">
        <v>10906</v>
      </c>
      <c r="D17" s="3" t="s">
        <v>10904</v>
      </c>
      <c r="E17" s="3">
        <v>8950</v>
      </c>
      <c r="F17" s="3"/>
      <c r="G17" s="3">
        <v>901736.68</v>
      </c>
      <c r="H17" s="5" t="str">
        <f t="shared" si="0"/>
        <v>10/11</v>
      </c>
      <c r="I17" s="5">
        <v>40817</v>
      </c>
    </row>
    <row r="18" spans="1:9">
      <c r="A18" s="3" t="s">
        <v>10907</v>
      </c>
      <c r="B18" s="3" t="s">
        <v>10908</v>
      </c>
      <c r="C18" s="3" t="s">
        <v>10909</v>
      </c>
      <c r="D18" s="3" t="s">
        <v>10907</v>
      </c>
      <c r="E18" s="3">
        <v>15291</v>
      </c>
      <c r="F18" s="3"/>
      <c r="G18" s="3">
        <v>986445.68</v>
      </c>
      <c r="H18" s="5" t="str">
        <f t="shared" si="0"/>
        <v>10/11</v>
      </c>
      <c r="I18" s="5">
        <v>40817</v>
      </c>
    </row>
    <row r="19" spans="1:9">
      <c r="A19" s="3" t="s">
        <v>10910</v>
      </c>
      <c r="B19" s="3" t="s">
        <v>10911</v>
      </c>
      <c r="C19" s="3" t="s">
        <v>10912</v>
      </c>
      <c r="D19" s="3" t="s">
        <v>10910</v>
      </c>
      <c r="E19" s="3">
        <v>499125</v>
      </c>
      <c r="F19" s="3"/>
      <c r="G19" s="3">
        <v>448611.68</v>
      </c>
      <c r="H19" s="5" t="str">
        <f t="shared" si="0"/>
        <v>10/11</v>
      </c>
      <c r="I19" s="5">
        <v>40817</v>
      </c>
    </row>
    <row r="20" spans="1:9">
      <c r="A20" s="3" t="s">
        <v>10910</v>
      </c>
      <c r="B20" s="3" t="s">
        <v>10913</v>
      </c>
      <c r="C20" s="3" t="s">
        <v>6682</v>
      </c>
      <c r="D20" s="3" t="s">
        <v>10910</v>
      </c>
      <c r="E20" s="3">
        <v>66550</v>
      </c>
      <c r="F20" s="3"/>
      <c r="G20" s="3">
        <v>382061.68</v>
      </c>
      <c r="H20" s="5" t="str">
        <f t="shared" si="0"/>
        <v>10/11</v>
      </c>
      <c r="I20" s="5">
        <v>40817</v>
      </c>
    </row>
    <row r="21" spans="1:9">
      <c r="A21" s="3" t="s">
        <v>10914</v>
      </c>
      <c r="B21" s="3" t="s">
        <v>10871</v>
      </c>
      <c r="C21" s="3" t="s">
        <v>6682</v>
      </c>
      <c r="D21" s="3" t="s">
        <v>10914</v>
      </c>
      <c r="E21" s="3">
        <v>130390.39999999999</v>
      </c>
      <c r="F21" s="3"/>
      <c r="G21" s="3">
        <v>251671.28</v>
      </c>
      <c r="H21" s="5" t="str">
        <f t="shared" si="0"/>
        <v>11/11</v>
      </c>
      <c r="I21" s="5">
        <v>40848</v>
      </c>
    </row>
    <row r="22" spans="1:9">
      <c r="A22" s="3" t="s">
        <v>10915</v>
      </c>
      <c r="B22" s="3" t="s">
        <v>10916</v>
      </c>
      <c r="C22" s="3" t="s">
        <v>6682</v>
      </c>
      <c r="D22" s="3" t="s">
        <v>10915</v>
      </c>
      <c r="E22" s="3">
        <v>1247.8800000000001</v>
      </c>
      <c r="F22" s="3"/>
      <c r="G22" s="3">
        <v>300423.40000000002</v>
      </c>
      <c r="H22" s="5" t="str">
        <f t="shared" si="0"/>
        <v>11/11</v>
      </c>
      <c r="I22" s="5">
        <v>40848</v>
      </c>
    </row>
    <row r="23" spans="1:9">
      <c r="A23" s="3" t="s">
        <v>10917</v>
      </c>
      <c r="B23" s="3" t="s">
        <v>10918</v>
      </c>
      <c r="C23" s="3" t="s">
        <v>10919</v>
      </c>
      <c r="D23" s="3" t="s">
        <v>10917</v>
      </c>
      <c r="E23" s="3">
        <v>1000</v>
      </c>
      <c r="F23" s="3"/>
      <c r="G23" s="3">
        <v>299423.40000000002</v>
      </c>
      <c r="H23" s="5" t="str">
        <f t="shared" si="0"/>
        <v>11/11</v>
      </c>
      <c r="I23" s="5">
        <v>40848</v>
      </c>
    </row>
    <row r="24" spans="1:9">
      <c r="A24" s="3" t="s">
        <v>10920</v>
      </c>
      <c r="B24" s="3" t="s">
        <v>10879</v>
      </c>
      <c r="C24" s="3" t="s">
        <v>10921</v>
      </c>
      <c r="D24" s="3" t="s">
        <v>10920</v>
      </c>
      <c r="E24" s="3">
        <v>14275</v>
      </c>
      <c r="F24" s="3"/>
      <c r="G24" s="3">
        <v>246439.4</v>
      </c>
      <c r="H24" s="5" t="str">
        <f t="shared" si="0"/>
        <v>12/11</v>
      </c>
      <c r="I24" s="5">
        <v>40878</v>
      </c>
    </row>
    <row r="25" spans="1:9">
      <c r="A25" s="3" t="s">
        <v>10922</v>
      </c>
      <c r="B25" s="3" t="s">
        <v>10871</v>
      </c>
      <c r="C25" s="3" t="s">
        <v>6682</v>
      </c>
      <c r="D25" s="3" t="s">
        <v>10922</v>
      </c>
      <c r="E25" s="3">
        <v>31895.88</v>
      </c>
      <c r="F25" s="3"/>
      <c r="G25" s="3">
        <v>214543.52</v>
      </c>
      <c r="H25" s="5" t="str">
        <f t="shared" si="0"/>
        <v>12/11</v>
      </c>
      <c r="I25" s="5">
        <v>40878</v>
      </c>
    </row>
    <row r="26" spans="1:9">
      <c r="A26" s="3" t="s">
        <v>10923</v>
      </c>
      <c r="B26" s="3" t="s">
        <v>10871</v>
      </c>
      <c r="C26" s="3" t="s">
        <v>6682</v>
      </c>
      <c r="D26" s="3" t="s">
        <v>10923</v>
      </c>
      <c r="E26" s="3">
        <v>25118.87</v>
      </c>
      <c r="F26" s="3"/>
      <c r="G26" s="3">
        <v>290715.65000000002</v>
      </c>
      <c r="H26" s="5" t="str">
        <f t="shared" si="0"/>
        <v>01/12</v>
      </c>
      <c r="I26" s="5">
        <v>40909</v>
      </c>
    </row>
    <row r="27" spans="1:9">
      <c r="A27" s="3" t="s">
        <v>10924</v>
      </c>
      <c r="B27" s="3" t="s">
        <v>10871</v>
      </c>
      <c r="C27" s="3" t="s">
        <v>6682</v>
      </c>
      <c r="D27" s="3" t="s">
        <v>10924</v>
      </c>
      <c r="E27" s="3">
        <v>51206.25</v>
      </c>
      <c r="F27" s="3"/>
      <c r="G27" s="3">
        <v>400800.4</v>
      </c>
      <c r="H27" s="5" t="str">
        <f t="shared" si="0"/>
        <v>02/12</v>
      </c>
      <c r="I27" s="5">
        <v>40940</v>
      </c>
    </row>
    <row r="28" spans="1:9">
      <c r="A28" s="3" t="s">
        <v>10925</v>
      </c>
      <c r="B28" s="3" t="s">
        <v>10871</v>
      </c>
      <c r="C28" s="3" t="s">
        <v>6682</v>
      </c>
      <c r="D28" s="3" t="s">
        <v>10925</v>
      </c>
      <c r="E28" s="3">
        <v>97902.01</v>
      </c>
      <c r="F28" s="3"/>
      <c r="G28" s="3">
        <v>314189.39</v>
      </c>
      <c r="H28" s="5" t="str">
        <f t="shared" si="0"/>
        <v>03/12</v>
      </c>
      <c r="I28" s="5">
        <v>40969</v>
      </c>
    </row>
    <row r="29" spans="1:9">
      <c r="A29" s="3" t="s">
        <v>10926</v>
      </c>
      <c r="B29" s="3" t="s">
        <v>10927</v>
      </c>
      <c r="C29" s="3" t="s">
        <v>10928</v>
      </c>
      <c r="D29" s="3" t="s">
        <v>10926</v>
      </c>
      <c r="E29" s="3">
        <v>7500</v>
      </c>
      <c r="F29" s="3"/>
      <c r="G29" s="3">
        <v>306689.39</v>
      </c>
      <c r="H29" s="5" t="str">
        <f t="shared" si="0"/>
        <v>03/12</v>
      </c>
      <c r="I29" s="5">
        <v>40969</v>
      </c>
    </row>
    <row r="30" spans="1:9">
      <c r="A30" s="3" t="s">
        <v>10929</v>
      </c>
      <c r="B30" s="3" t="s">
        <v>10871</v>
      </c>
      <c r="C30" s="3" t="s">
        <v>6682</v>
      </c>
      <c r="D30" s="3" t="s">
        <v>10929</v>
      </c>
      <c r="E30" s="3">
        <v>34186.620000000003</v>
      </c>
      <c r="F30" s="3"/>
      <c r="G30" s="3">
        <v>242330.97</v>
      </c>
      <c r="H30" s="5" t="str">
        <f t="shared" si="0"/>
        <v>04/12</v>
      </c>
      <c r="I30" s="5">
        <v>41000</v>
      </c>
    </row>
    <row r="31" spans="1:9">
      <c r="A31" s="3" t="s">
        <v>10930</v>
      </c>
      <c r="B31" s="3" t="s">
        <v>10871</v>
      </c>
      <c r="C31" s="3" t="s">
        <v>6682</v>
      </c>
      <c r="D31" s="3" t="s">
        <v>10930</v>
      </c>
      <c r="E31" s="3">
        <v>52733.86</v>
      </c>
      <c r="F31" s="3"/>
      <c r="G31" s="3">
        <v>875888.11</v>
      </c>
      <c r="H31" s="5" t="str">
        <f t="shared" si="0"/>
        <v>05/12</v>
      </c>
      <c r="I31" s="5">
        <v>41030</v>
      </c>
    </row>
    <row r="32" spans="1:9">
      <c r="A32" s="3" t="s">
        <v>10931</v>
      </c>
      <c r="B32" s="3" t="s">
        <v>10871</v>
      </c>
      <c r="C32" s="3" t="s">
        <v>6682</v>
      </c>
      <c r="D32" s="3" t="s">
        <v>10931</v>
      </c>
      <c r="E32" s="3">
        <v>48562.3</v>
      </c>
      <c r="F32" s="3"/>
      <c r="G32" s="3">
        <v>1088616.81</v>
      </c>
      <c r="H32" s="5" t="str">
        <f t="shared" si="0"/>
        <v>06/12</v>
      </c>
      <c r="I32" s="5">
        <v>41061</v>
      </c>
    </row>
    <row r="33" spans="1:9">
      <c r="A33" s="3" t="s">
        <v>10932</v>
      </c>
      <c r="B33" s="3" t="s">
        <v>10933</v>
      </c>
      <c r="C33" s="3" t="s">
        <v>10934</v>
      </c>
      <c r="D33" s="3" t="s">
        <v>10932</v>
      </c>
      <c r="E33" s="3">
        <v>6451</v>
      </c>
      <c r="F33" s="3"/>
      <c r="G33" s="3">
        <v>1382165.81</v>
      </c>
      <c r="H33" s="5" t="str">
        <f t="shared" si="0"/>
        <v>06/12</v>
      </c>
      <c r="I33" s="5">
        <v>41061</v>
      </c>
    </row>
    <row r="34" spans="1:9">
      <c r="A34" s="3" t="s">
        <v>10935</v>
      </c>
      <c r="B34" s="3" t="s">
        <v>10936</v>
      </c>
      <c r="C34" s="3" t="s">
        <v>10937</v>
      </c>
      <c r="D34" s="3" t="s">
        <v>10935</v>
      </c>
      <c r="E34" s="3">
        <v>10004</v>
      </c>
      <c r="F34" s="3"/>
      <c r="G34" s="3">
        <v>368941.81</v>
      </c>
      <c r="H34" s="5" t="str">
        <f t="shared" si="0"/>
        <v>06/12</v>
      </c>
      <c r="I34" s="5">
        <v>41061</v>
      </c>
    </row>
    <row r="35" spans="1:9">
      <c r="A35" s="3" t="s">
        <v>10938</v>
      </c>
      <c r="B35" s="3" t="s">
        <v>10939</v>
      </c>
      <c r="C35" s="3" t="s">
        <v>10940</v>
      </c>
      <c r="D35" s="3" t="s">
        <v>10938</v>
      </c>
      <c r="E35" s="3">
        <v>6000</v>
      </c>
      <c r="F35" s="3"/>
      <c r="G35" s="3">
        <v>333740.81</v>
      </c>
      <c r="H35" s="5" t="str">
        <f t="shared" si="0"/>
        <v>06/12</v>
      </c>
      <c r="I35" s="5">
        <v>41061</v>
      </c>
    </row>
    <row r="36" spans="1:9">
      <c r="A36" s="3" t="s">
        <v>10941</v>
      </c>
      <c r="B36" s="3" t="s">
        <v>10871</v>
      </c>
      <c r="C36" s="3" t="s">
        <v>6682</v>
      </c>
      <c r="D36" s="3" t="s">
        <v>10941</v>
      </c>
      <c r="E36" s="3">
        <v>114732.87</v>
      </c>
      <c r="F36" s="3"/>
      <c r="G36" s="3">
        <v>219007.94</v>
      </c>
      <c r="H36" s="5" t="str">
        <f t="shared" si="0"/>
        <v>07/12</v>
      </c>
      <c r="I36" s="5">
        <v>41091</v>
      </c>
    </row>
    <row r="37" spans="1:9">
      <c r="A37" s="3" t="s">
        <v>10942</v>
      </c>
      <c r="B37" s="3" t="s">
        <v>10943</v>
      </c>
      <c r="C37" s="3" t="s">
        <v>10944</v>
      </c>
      <c r="D37" s="3" t="s">
        <v>10942</v>
      </c>
      <c r="E37" s="3">
        <v>55830</v>
      </c>
      <c r="F37" s="3"/>
      <c r="G37" s="3">
        <v>213177.94</v>
      </c>
      <c r="H37" s="5" t="str">
        <f t="shared" si="0"/>
        <v>07/12</v>
      </c>
      <c r="I37" s="5">
        <v>41091</v>
      </c>
    </row>
    <row r="38" spans="1:9">
      <c r="A38" s="3" t="s">
        <v>10945</v>
      </c>
      <c r="B38" s="3" t="s">
        <v>10871</v>
      </c>
      <c r="C38" s="3" t="s">
        <v>6682</v>
      </c>
      <c r="D38" s="3" t="s">
        <v>10945</v>
      </c>
      <c r="E38" s="3">
        <v>38610.300000000003</v>
      </c>
      <c r="F38" s="3"/>
      <c r="G38" s="3">
        <v>145366.64000000001</v>
      </c>
      <c r="H38" s="5" t="str">
        <f t="shared" si="0"/>
        <v>08/12</v>
      </c>
      <c r="I38" s="5">
        <v>41122</v>
      </c>
    </row>
    <row r="39" spans="1:9">
      <c r="A39" s="3" t="s">
        <v>10946</v>
      </c>
      <c r="B39" s="3" t="s">
        <v>10871</v>
      </c>
      <c r="C39" s="3" t="s">
        <v>6682</v>
      </c>
      <c r="D39" s="3" t="s">
        <v>10946</v>
      </c>
      <c r="E39" s="3">
        <v>29565.51</v>
      </c>
      <c r="F39" s="3"/>
      <c r="G39" s="3">
        <v>211600.13</v>
      </c>
      <c r="H39" s="5" t="str">
        <f t="shared" si="0"/>
        <v>09/12</v>
      </c>
      <c r="I39" s="5">
        <v>41153</v>
      </c>
    </row>
    <row r="40" spans="1:9">
      <c r="A40" s="3" t="s">
        <v>10947</v>
      </c>
      <c r="B40" s="3" t="s">
        <v>10948</v>
      </c>
      <c r="C40" s="3" t="s">
        <v>10949</v>
      </c>
      <c r="D40" s="3" t="s">
        <v>10947</v>
      </c>
      <c r="E40" s="3">
        <v>4390.34</v>
      </c>
      <c r="F40" s="3"/>
      <c r="G40" s="3">
        <v>207209.79</v>
      </c>
      <c r="H40" s="5" t="str">
        <f t="shared" si="0"/>
        <v>09/12</v>
      </c>
      <c r="I40" s="5">
        <v>41153</v>
      </c>
    </row>
    <row r="41" spans="1:9">
      <c r="A41" s="3" t="s">
        <v>10950</v>
      </c>
      <c r="B41" s="3" t="s">
        <v>10951</v>
      </c>
      <c r="C41" s="3" t="s">
        <v>10952</v>
      </c>
      <c r="D41" s="3" t="s">
        <v>10950</v>
      </c>
      <c r="E41" s="3">
        <v>1000</v>
      </c>
      <c r="F41" s="3"/>
      <c r="G41" s="3">
        <v>206209.79</v>
      </c>
      <c r="H41" s="5" t="str">
        <f t="shared" si="0"/>
        <v>09/12</v>
      </c>
      <c r="I41" s="5">
        <v>41153</v>
      </c>
    </row>
    <row r="42" spans="1:9">
      <c r="A42" s="3" t="s">
        <v>10953</v>
      </c>
      <c r="B42" s="3" t="s">
        <v>10871</v>
      </c>
      <c r="C42" s="3" t="s">
        <v>6682</v>
      </c>
      <c r="D42" s="3" t="s">
        <v>10953</v>
      </c>
      <c r="E42" s="3">
        <v>29217.06</v>
      </c>
      <c r="F42" s="3"/>
      <c r="G42" s="3">
        <v>257524.18</v>
      </c>
      <c r="H42" s="5" t="str">
        <f t="shared" si="0"/>
        <v>10/12</v>
      </c>
      <c r="I42" s="5">
        <v>41183</v>
      </c>
    </row>
    <row r="43" spans="1:9">
      <c r="A43" s="3" t="s">
        <v>10954</v>
      </c>
      <c r="B43" s="3" t="s">
        <v>10871</v>
      </c>
      <c r="C43" s="3" t="s">
        <v>6682</v>
      </c>
      <c r="D43" s="3" t="s">
        <v>10954</v>
      </c>
      <c r="E43" s="3">
        <v>16061.75</v>
      </c>
      <c r="F43" s="3"/>
      <c r="G43" s="3">
        <v>212261.43</v>
      </c>
      <c r="H43" s="5" t="str">
        <f t="shared" si="0"/>
        <v>11/12</v>
      </c>
      <c r="I43" s="5">
        <v>41214</v>
      </c>
    </row>
    <row r="44" spans="1:9">
      <c r="A44" s="3" t="s">
        <v>10955</v>
      </c>
      <c r="B44" s="3" t="s">
        <v>10871</v>
      </c>
      <c r="C44" s="3" t="s">
        <v>6682</v>
      </c>
      <c r="D44" s="3" t="s">
        <v>10955</v>
      </c>
      <c r="E44" s="3">
        <v>20196.13</v>
      </c>
      <c r="F44" s="3"/>
      <c r="G44" s="3">
        <v>165065.29999999999</v>
      </c>
      <c r="H44" s="5" t="str">
        <f t="shared" si="0"/>
        <v>12/12</v>
      </c>
      <c r="I44" s="5">
        <v>41244</v>
      </c>
    </row>
    <row r="45" spans="1:9">
      <c r="A45" s="3" t="s">
        <v>10956</v>
      </c>
      <c r="B45" s="3" t="s">
        <v>10871</v>
      </c>
      <c r="C45" s="3" t="s">
        <v>6682</v>
      </c>
      <c r="D45" s="3" t="s">
        <v>10956</v>
      </c>
      <c r="E45" s="3">
        <v>32357.61</v>
      </c>
      <c r="F45" s="3"/>
      <c r="G45" s="3">
        <v>105707.69</v>
      </c>
      <c r="H45" s="5" t="str">
        <f t="shared" si="0"/>
        <v>01/13</v>
      </c>
      <c r="I45" s="5">
        <v>41275</v>
      </c>
    </row>
    <row r="46" spans="1:9">
      <c r="A46" s="3" t="s">
        <v>10957</v>
      </c>
      <c r="B46" s="3" t="s">
        <v>10871</v>
      </c>
      <c r="C46" s="3" t="s">
        <v>6682</v>
      </c>
      <c r="D46" s="3" t="s">
        <v>10957</v>
      </c>
      <c r="E46" s="3">
        <v>32996.78</v>
      </c>
      <c r="F46" s="3"/>
      <c r="G46" s="3">
        <v>272710.90999999997</v>
      </c>
      <c r="H46" s="5" t="str">
        <f t="shared" si="0"/>
        <v>01/13</v>
      </c>
      <c r="I46" s="5">
        <v>41275</v>
      </c>
    </row>
    <row r="47" spans="1:9">
      <c r="A47" s="3" t="s">
        <v>10958</v>
      </c>
      <c r="B47" s="3" t="s">
        <v>10871</v>
      </c>
      <c r="C47" s="3" t="s">
        <v>6682</v>
      </c>
      <c r="D47" s="3" t="s">
        <v>10958</v>
      </c>
      <c r="E47" s="3">
        <v>22312.38</v>
      </c>
      <c r="F47" s="3"/>
      <c r="G47" s="3">
        <v>216472.53</v>
      </c>
      <c r="H47" s="5" t="str">
        <f t="shared" si="0"/>
        <v>03/13</v>
      </c>
      <c r="I47" s="5">
        <v>41334</v>
      </c>
    </row>
    <row r="48" spans="1:9">
      <c r="A48" s="3" t="s">
        <v>10959</v>
      </c>
      <c r="B48" s="3" t="s">
        <v>10871</v>
      </c>
      <c r="C48" s="3" t="s">
        <v>6682</v>
      </c>
      <c r="D48" s="3" t="s">
        <v>10959</v>
      </c>
      <c r="E48" s="3">
        <v>31212.49</v>
      </c>
      <c r="F48" s="3"/>
      <c r="G48" s="3">
        <v>168867.39</v>
      </c>
      <c r="H48" s="5" t="str">
        <f t="shared" si="0"/>
        <v>04/13</v>
      </c>
      <c r="I48" s="5">
        <v>41365</v>
      </c>
    </row>
    <row r="49" spans="1:9">
      <c r="A49" s="3" t="s">
        <v>10960</v>
      </c>
      <c r="B49" s="3" t="s">
        <v>10961</v>
      </c>
      <c r="C49" s="3" t="s">
        <v>10962</v>
      </c>
      <c r="D49" s="3" t="s">
        <v>10960</v>
      </c>
      <c r="E49" s="3">
        <v>2250</v>
      </c>
      <c r="F49" s="3"/>
      <c r="G49" s="3">
        <v>345654.39</v>
      </c>
      <c r="H49" s="5" t="str">
        <f t="shared" si="0"/>
        <v>05/13</v>
      </c>
      <c r="I49" s="5">
        <v>41395</v>
      </c>
    </row>
    <row r="50" spans="1:9">
      <c r="A50" s="3" t="s">
        <v>10963</v>
      </c>
      <c r="B50" s="3" t="s">
        <v>10871</v>
      </c>
      <c r="C50" s="3" t="s">
        <v>6682</v>
      </c>
      <c r="D50" s="3" t="s">
        <v>10963</v>
      </c>
      <c r="E50" s="3">
        <v>23038.41</v>
      </c>
      <c r="F50" s="3"/>
      <c r="G50" s="3">
        <v>305652.98</v>
      </c>
      <c r="H50" s="5" t="str">
        <f t="shared" si="0"/>
        <v>06/13</v>
      </c>
      <c r="I50" s="5">
        <v>41426</v>
      </c>
    </row>
    <row r="51" spans="1:9">
      <c r="A51" s="3" t="s">
        <v>10964</v>
      </c>
      <c r="B51" s="3" t="s">
        <v>10965</v>
      </c>
      <c r="C51" s="3" t="s">
        <v>10966</v>
      </c>
      <c r="D51" s="3" t="s">
        <v>10964</v>
      </c>
      <c r="E51" s="3">
        <v>2500</v>
      </c>
      <c r="F51" s="3"/>
      <c r="G51" s="3">
        <v>299152.98</v>
      </c>
      <c r="H51" s="5" t="str">
        <f t="shared" si="0"/>
        <v>06/13</v>
      </c>
      <c r="I51" s="5">
        <v>41426</v>
      </c>
    </row>
    <row r="52" spans="1:9">
      <c r="A52" s="3" t="s">
        <v>10967</v>
      </c>
      <c r="B52" s="3" t="s">
        <v>10968</v>
      </c>
      <c r="C52" s="3" t="s">
        <v>6682</v>
      </c>
      <c r="D52" s="3" t="s">
        <v>10967</v>
      </c>
      <c r="E52" s="3">
        <v>118593.85</v>
      </c>
      <c r="F52" s="3"/>
      <c r="G52" s="3">
        <v>180559.13</v>
      </c>
      <c r="H52" s="5" t="str">
        <f t="shared" si="0"/>
        <v>07/13</v>
      </c>
      <c r="I52" s="5">
        <v>41456</v>
      </c>
    </row>
    <row r="53" spans="1:9">
      <c r="A53" s="3" t="s">
        <v>10969</v>
      </c>
      <c r="B53" s="3" t="s">
        <v>10970</v>
      </c>
      <c r="C53" s="3" t="s">
        <v>10971</v>
      </c>
      <c r="D53" s="3" t="s">
        <v>10969</v>
      </c>
      <c r="E53" s="3">
        <v>2500</v>
      </c>
      <c r="F53" s="3"/>
      <c r="G53" s="3">
        <v>178059.13</v>
      </c>
      <c r="H53" s="5" t="str">
        <f t="shared" si="0"/>
        <v>07/13</v>
      </c>
      <c r="I53" s="5">
        <v>41456</v>
      </c>
    </row>
    <row r="54" spans="1:9">
      <c r="A54" s="3" t="s">
        <v>10972</v>
      </c>
      <c r="B54" s="3" t="s">
        <v>10973</v>
      </c>
      <c r="C54" s="3" t="s">
        <v>10974</v>
      </c>
      <c r="D54" s="3" t="s">
        <v>10972</v>
      </c>
      <c r="E54" s="3">
        <v>4703</v>
      </c>
      <c r="F54" s="3"/>
      <c r="G54" s="3">
        <v>169356.13</v>
      </c>
      <c r="H54" s="5" t="str">
        <f t="shared" si="0"/>
        <v>07/13</v>
      </c>
      <c r="I54" s="5">
        <v>41456</v>
      </c>
    </row>
    <row r="55" spans="1:9">
      <c r="A55" s="3" t="s">
        <v>10975</v>
      </c>
      <c r="B55" s="3" t="s">
        <v>10968</v>
      </c>
      <c r="C55" s="3" t="s">
        <v>6682</v>
      </c>
      <c r="D55" s="3" t="s">
        <v>10975</v>
      </c>
      <c r="E55" s="3">
        <v>5533.38</v>
      </c>
      <c r="F55" s="3"/>
      <c r="G55" s="3">
        <v>163822.75</v>
      </c>
      <c r="H55" s="5" t="str">
        <f t="shared" si="0"/>
        <v>07/13</v>
      </c>
      <c r="I55" s="5">
        <v>41456</v>
      </c>
    </row>
    <row r="56" spans="1:9">
      <c r="A56" s="3" t="s">
        <v>10976</v>
      </c>
      <c r="B56" s="3" t="s">
        <v>10977</v>
      </c>
      <c r="C56" s="3" t="s">
        <v>10978</v>
      </c>
      <c r="D56" s="3" t="s">
        <v>10976</v>
      </c>
      <c r="E56" s="3">
        <v>5150</v>
      </c>
      <c r="F56" s="3"/>
      <c r="G56" s="3">
        <v>154672.75</v>
      </c>
      <c r="H56" s="5" t="str">
        <f t="shared" si="0"/>
        <v>08/13</v>
      </c>
      <c r="I56" s="5">
        <v>41487</v>
      </c>
    </row>
    <row r="57" spans="1:9">
      <c r="A57" s="3" t="s">
        <v>10979</v>
      </c>
      <c r="B57" s="3" t="s">
        <v>10968</v>
      </c>
      <c r="C57" s="3" t="s">
        <v>6682</v>
      </c>
      <c r="D57" s="3" t="s">
        <v>10979</v>
      </c>
      <c r="E57" s="3">
        <v>39409.5</v>
      </c>
      <c r="F57" s="3"/>
      <c r="G57" s="3">
        <v>115263.25</v>
      </c>
      <c r="H57" s="5" t="str">
        <f t="shared" si="0"/>
        <v>09/13</v>
      </c>
      <c r="I57" s="5">
        <v>41518</v>
      </c>
    </row>
    <row r="58" spans="1:9">
      <c r="A58" s="3" t="s">
        <v>10980</v>
      </c>
      <c r="B58" s="3" t="s">
        <v>10981</v>
      </c>
      <c r="C58" s="3" t="s">
        <v>10982</v>
      </c>
      <c r="D58" s="3" t="s">
        <v>10980</v>
      </c>
      <c r="E58" s="3">
        <v>693.53</v>
      </c>
      <c r="F58" s="3"/>
      <c r="G58" s="3">
        <v>310569.71999999997</v>
      </c>
      <c r="H58" s="5" t="str">
        <f t="shared" si="0"/>
        <v>09/13</v>
      </c>
      <c r="I58" s="5">
        <v>41518</v>
      </c>
    </row>
    <row r="59" spans="1:9">
      <c r="A59" s="3" t="s">
        <v>10983</v>
      </c>
      <c r="B59" s="3" t="s">
        <v>10981</v>
      </c>
      <c r="C59" s="3" t="s">
        <v>10984</v>
      </c>
      <c r="D59" s="3" t="s">
        <v>10983</v>
      </c>
      <c r="E59" s="3">
        <v>5228.32</v>
      </c>
      <c r="F59" s="3"/>
      <c r="G59" s="3">
        <v>605830.40000000002</v>
      </c>
      <c r="H59" s="5" t="str">
        <f t="shared" si="0"/>
        <v>10/13</v>
      </c>
      <c r="I59" s="5">
        <v>41548</v>
      </c>
    </row>
    <row r="60" spans="1:9">
      <c r="A60" s="3" t="s">
        <v>10985</v>
      </c>
      <c r="B60" s="3" t="s">
        <v>10968</v>
      </c>
      <c r="C60" s="3" t="s">
        <v>6682</v>
      </c>
      <c r="D60" s="3" t="s">
        <v>10985</v>
      </c>
      <c r="E60" s="3">
        <v>20301</v>
      </c>
      <c r="F60" s="3"/>
      <c r="G60" s="3">
        <v>585529.4</v>
      </c>
      <c r="H60" s="5" t="str">
        <f t="shared" si="0"/>
        <v>11/13</v>
      </c>
      <c r="I60" s="5">
        <v>41579</v>
      </c>
    </row>
    <row r="61" spans="1:9">
      <c r="A61" s="3" t="s">
        <v>10986</v>
      </c>
      <c r="B61" s="3" t="s">
        <v>10968</v>
      </c>
      <c r="C61" s="3" t="s">
        <v>6682</v>
      </c>
      <c r="D61" s="3" t="s">
        <v>10986</v>
      </c>
      <c r="E61" s="3">
        <v>26063</v>
      </c>
      <c r="F61" s="3"/>
      <c r="G61" s="3">
        <v>555466.4</v>
      </c>
      <c r="H61" s="5" t="str">
        <f t="shared" si="0"/>
        <v>11/13</v>
      </c>
      <c r="I61" s="5">
        <v>41579</v>
      </c>
    </row>
    <row r="62" spans="1:9">
      <c r="A62" s="3" t="s">
        <v>10987</v>
      </c>
      <c r="B62" s="3" t="s">
        <v>10968</v>
      </c>
      <c r="C62" s="3" t="s">
        <v>6682</v>
      </c>
      <c r="D62" s="3" t="s">
        <v>10987</v>
      </c>
      <c r="E62" s="3">
        <v>55193.67</v>
      </c>
      <c r="F62" s="3"/>
      <c r="G62" s="3">
        <v>496272.73</v>
      </c>
      <c r="H62" s="5" t="str">
        <f t="shared" si="0"/>
        <v>01/14</v>
      </c>
      <c r="I62" s="5">
        <v>41640</v>
      </c>
    </row>
    <row r="63" spans="1:9">
      <c r="A63" s="3" t="s">
        <v>10988</v>
      </c>
      <c r="B63" s="3" t="s">
        <v>10968</v>
      </c>
      <c r="C63" s="3" t="s">
        <v>6682</v>
      </c>
      <c r="D63" s="3" t="s">
        <v>10988</v>
      </c>
      <c r="E63" s="3">
        <v>50000</v>
      </c>
      <c r="F63" s="3"/>
      <c r="G63" s="3">
        <v>442272.73</v>
      </c>
      <c r="H63" s="5" t="str">
        <f t="shared" si="0"/>
        <v>01/14</v>
      </c>
      <c r="I63" s="5">
        <v>41640</v>
      </c>
    </row>
    <row r="64" spans="1:9">
      <c r="A64" s="3" t="s">
        <v>10989</v>
      </c>
      <c r="B64" s="3" t="s">
        <v>10968</v>
      </c>
      <c r="C64" s="3" t="s">
        <v>6682</v>
      </c>
      <c r="D64" s="3" t="s">
        <v>10989</v>
      </c>
      <c r="E64" s="3">
        <v>107000</v>
      </c>
      <c r="F64" s="3"/>
      <c r="G64" s="3">
        <v>435272.73</v>
      </c>
      <c r="H64" s="5" t="str">
        <f t="shared" si="0"/>
        <v>02/14</v>
      </c>
      <c r="I64" s="5">
        <v>41671</v>
      </c>
    </row>
    <row r="65" spans="1:9">
      <c r="A65" s="3" t="s">
        <v>10990</v>
      </c>
      <c r="B65" s="3" t="s">
        <v>10968</v>
      </c>
      <c r="C65" s="3" t="s">
        <v>6682</v>
      </c>
      <c r="D65" s="3" t="s">
        <v>10990</v>
      </c>
      <c r="E65" s="3">
        <v>23904.51</v>
      </c>
      <c r="F65" s="3"/>
      <c r="G65" s="3">
        <v>407368.22</v>
      </c>
      <c r="H65" s="5" t="str">
        <f t="shared" si="0"/>
        <v>03/14</v>
      </c>
      <c r="I65" s="5">
        <v>41699</v>
      </c>
    </row>
    <row r="66" spans="1:9">
      <c r="A66" s="3" t="s">
        <v>10991</v>
      </c>
      <c r="B66" s="3" t="s">
        <v>10968</v>
      </c>
      <c r="C66" s="3" t="s">
        <v>6682</v>
      </c>
      <c r="D66" s="3" t="s">
        <v>10991</v>
      </c>
      <c r="E66" s="3">
        <v>128369</v>
      </c>
      <c r="F66" s="3"/>
      <c r="G66" s="3">
        <v>435311.22</v>
      </c>
      <c r="H66" s="5" t="str">
        <f t="shared" ref="H66:H96" si="1">RIGHT(A66, 5)</f>
        <v>04/14</v>
      </c>
      <c r="I66" s="5">
        <v>41730</v>
      </c>
    </row>
    <row r="67" spans="1:9">
      <c r="A67" s="3" t="s">
        <v>10992</v>
      </c>
      <c r="B67" s="3" t="s">
        <v>10968</v>
      </c>
      <c r="C67" s="3" t="s">
        <v>6682</v>
      </c>
      <c r="D67" s="3" t="s">
        <v>10992</v>
      </c>
      <c r="E67" s="3">
        <v>88983.6</v>
      </c>
      <c r="F67" s="3"/>
      <c r="G67" s="3">
        <v>367019.62</v>
      </c>
      <c r="H67" s="5" t="str">
        <f t="shared" si="1"/>
        <v>05/14</v>
      </c>
      <c r="I67" s="5">
        <v>41760</v>
      </c>
    </row>
    <row r="68" spans="1:9">
      <c r="A68" s="3" t="s">
        <v>10993</v>
      </c>
      <c r="B68" s="3" t="s">
        <v>10968</v>
      </c>
      <c r="C68" s="3" t="s">
        <v>6682</v>
      </c>
      <c r="D68" s="3" t="s">
        <v>10993</v>
      </c>
      <c r="E68" s="3">
        <v>149991.14000000001</v>
      </c>
      <c r="F68" s="3"/>
      <c r="G68" s="3">
        <v>372594.48</v>
      </c>
      <c r="H68" s="5" t="str">
        <f t="shared" si="1"/>
        <v>05/14</v>
      </c>
      <c r="I68" s="5">
        <v>41760</v>
      </c>
    </row>
    <row r="69" spans="1:9">
      <c r="A69" s="3" t="s">
        <v>10994</v>
      </c>
      <c r="B69" s="3" t="s">
        <v>10968</v>
      </c>
      <c r="C69" s="3" t="s">
        <v>6682</v>
      </c>
      <c r="D69" s="3" t="s">
        <v>10994</v>
      </c>
      <c r="E69" s="3">
        <v>26096.75</v>
      </c>
      <c r="F69" s="3"/>
      <c r="G69" s="3">
        <v>338045.73</v>
      </c>
      <c r="H69" s="5" t="str">
        <f t="shared" si="1"/>
        <v>07/14</v>
      </c>
      <c r="I69" s="5">
        <v>41821</v>
      </c>
    </row>
    <row r="70" spans="1:9">
      <c r="A70" s="3" t="s">
        <v>10995</v>
      </c>
      <c r="B70" s="3" t="s">
        <v>10968</v>
      </c>
      <c r="C70" s="3" t="s">
        <v>6682</v>
      </c>
      <c r="D70" s="3" t="s">
        <v>10995</v>
      </c>
      <c r="E70" s="3">
        <v>26918.99</v>
      </c>
      <c r="F70" s="3"/>
      <c r="G70" s="3">
        <v>374722.74</v>
      </c>
      <c r="H70" s="5" t="str">
        <f t="shared" si="1"/>
        <v>08/14</v>
      </c>
      <c r="I70" s="5">
        <v>41852</v>
      </c>
    </row>
    <row r="71" spans="1:9">
      <c r="A71" s="3" t="s">
        <v>10996</v>
      </c>
      <c r="B71" s="3" t="s">
        <v>10968</v>
      </c>
      <c r="C71" s="3" t="s">
        <v>6682</v>
      </c>
      <c r="D71" s="3" t="s">
        <v>10996</v>
      </c>
      <c r="E71" s="3">
        <v>65688.98</v>
      </c>
      <c r="F71" s="3"/>
      <c r="G71" s="3">
        <v>534033.76</v>
      </c>
      <c r="H71" s="5" t="str">
        <f t="shared" si="1"/>
        <v>08/14</v>
      </c>
      <c r="I71" s="5">
        <v>41852</v>
      </c>
    </row>
    <row r="72" spans="1:9">
      <c r="A72" s="3" t="s">
        <v>10997</v>
      </c>
      <c r="B72" s="3" t="s">
        <v>10968</v>
      </c>
      <c r="C72" s="3" t="s">
        <v>6682</v>
      </c>
      <c r="D72" s="3" t="s">
        <v>10997</v>
      </c>
      <c r="E72" s="3">
        <v>28299.52</v>
      </c>
      <c r="F72" s="3"/>
      <c r="G72" s="3">
        <v>505734.24</v>
      </c>
      <c r="H72" s="5" t="str">
        <f t="shared" si="1"/>
        <v>09/14</v>
      </c>
      <c r="I72" s="5">
        <v>41883</v>
      </c>
    </row>
    <row r="73" spans="1:9">
      <c r="A73" s="3" t="s">
        <v>10998</v>
      </c>
      <c r="B73" s="3" t="s">
        <v>10968</v>
      </c>
      <c r="C73" s="3" t="s">
        <v>6682</v>
      </c>
      <c r="D73" s="3" t="s">
        <v>10998</v>
      </c>
      <c r="E73" s="3">
        <v>48420.22</v>
      </c>
      <c r="F73" s="3"/>
      <c r="G73" s="3">
        <v>516040.02</v>
      </c>
      <c r="H73" s="5" t="str">
        <f t="shared" si="1"/>
        <v>11/14</v>
      </c>
      <c r="I73" s="5">
        <v>41944</v>
      </c>
    </row>
    <row r="74" spans="1:9">
      <c r="A74" s="3" t="s">
        <v>10999</v>
      </c>
      <c r="B74" s="3" t="s">
        <v>10968</v>
      </c>
      <c r="C74" s="3" t="s">
        <v>6682</v>
      </c>
      <c r="D74" s="3" t="s">
        <v>10999</v>
      </c>
      <c r="E74" s="3">
        <v>25515.56</v>
      </c>
      <c r="F74" s="3"/>
      <c r="G74" s="3">
        <v>821524.46</v>
      </c>
      <c r="H74" s="5" t="str">
        <f t="shared" si="1"/>
        <v>12/14</v>
      </c>
      <c r="I74" s="5">
        <v>41974</v>
      </c>
    </row>
    <row r="75" spans="1:9">
      <c r="A75" s="3" t="s">
        <v>11000</v>
      </c>
      <c r="B75" s="3" t="s">
        <v>10968</v>
      </c>
      <c r="C75" s="3" t="s">
        <v>6682</v>
      </c>
      <c r="D75" s="3" t="s">
        <v>11000</v>
      </c>
      <c r="E75" s="3">
        <v>40872.720000000001</v>
      </c>
      <c r="F75" s="3"/>
      <c r="G75" s="3">
        <v>780651.74</v>
      </c>
      <c r="H75" s="5" t="str">
        <f t="shared" si="1"/>
        <v>01/15</v>
      </c>
      <c r="I75" s="5">
        <v>42005</v>
      </c>
    </row>
    <row r="76" spans="1:9">
      <c r="A76" s="3" t="s">
        <v>11001</v>
      </c>
      <c r="B76" s="3" t="s">
        <v>10968</v>
      </c>
      <c r="C76" s="3" t="s">
        <v>6682</v>
      </c>
      <c r="D76" s="3" t="s">
        <v>11001</v>
      </c>
      <c r="E76" s="3">
        <v>27693.32</v>
      </c>
      <c r="F76" s="3"/>
      <c r="G76" s="3">
        <v>752958.42</v>
      </c>
      <c r="H76" s="5" t="str">
        <f t="shared" si="1"/>
        <v>01/15</v>
      </c>
      <c r="I76" s="5">
        <v>42005</v>
      </c>
    </row>
    <row r="77" spans="1:9">
      <c r="A77" s="3" t="s">
        <v>11002</v>
      </c>
      <c r="B77" s="3" t="s">
        <v>11003</v>
      </c>
      <c r="C77" s="3" t="s">
        <v>11004</v>
      </c>
      <c r="D77" s="3" t="s">
        <v>11002</v>
      </c>
      <c r="E77" s="3">
        <v>7040.01</v>
      </c>
      <c r="F77" s="3"/>
      <c r="G77" s="3">
        <v>745918.41</v>
      </c>
      <c r="H77" s="5" t="str">
        <f t="shared" si="1"/>
        <v>02/15</v>
      </c>
      <c r="I77" s="5">
        <v>42036</v>
      </c>
    </row>
    <row r="78" spans="1:9">
      <c r="A78" s="3" t="s">
        <v>11005</v>
      </c>
      <c r="B78" s="3" t="s">
        <v>10968</v>
      </c>
      <c r="C78" s="3" t="s">
        <v>6682</v>
      </c>
      <c r="D78" s="3" t="s">
        <v>11005</v>
      </c>
      <c r="E78" s="3">
        <v>11859.34</v>
      </c>
      <c r="F78" s="3"/>
      <c r="G78" s="3">
        <v>734059.07</v>
      </c>
      <c r="H78" s="5" t="str">
        <f t="shared" si="1"/>
        <v>02/15</v>
      </c>
      <c r="I78" s="5">
        <v>42036</v>
      </c>
    </row>
    <row r="79" spans="1:9">
      <c r="A79" s="3" t="s">
        <v>11006</v>
      </c>
      <c r="B79" s="3" t="s">
        <v>10968</v>
      </c>
      <c r="C79" s="3" t="s">
        <v>6682</v>
      </c>
      <c r="D79" s="3" t="s">
        <v>11006</v>
      </c>
      <c r="E79" s="3">
        <v>260496.21</v>
      </c>
      <c r="F79" s="3"/>
      <c r="G79" s="3">
        <v>438156.86</v>
      </c>
      <c r="H79" s="5" t="str">
        <f t="shared" si="1"/>
        <v>04/15</v>
      </c>
      <c r="I79" s="5">
        <v>42095</v>
      </c>
    </row>
    <row r="80" spans="1:9">
      <c r="A80" s="3" t="s">
        <v>11007</v>
      </c>
      <c r="B80" s="3" t="s">
        <v>11008</v>
      </c>
      <c r="C80" s="3" t="s">
        <v>11009</v>
      </c>
      <c r="D80" s="3" t="s">
        <v>11007</v>
      </c>
      <c r="E80" s="3">
        <v>15000</v>
      </c>
      <c r="F80" s="3"/>
      <c r="G80" s="3">
        <v>1098156.8600000001</v>
      </c>
      <c r="H80" s="5" t="str">
        <f t="shared" si="1"/>
        <v>04/15</v>
      </c>
      <c r="I80" s="5">
        <v>42095</v>
      </c>
    </row>
    <row r="81" spans="1:9">
      <c r="A81" s="3" t="s">
        <v>11010</v>
      </c>
      <c r="B81" s="3" t="s">
        <v>10968</v>
      </c>
      <c r="C81" s="3" t="s">
        <v>6682</v>
      </c>
      <c r="D81" s="3" t="s">
        <v>11010</v>
      </c>
      <c r="E81" s="3">
        <v>28222.53</v>
      </c>
      <c r="F81" s="3"/>
      <c r="G81" s="3">
        <v>1043663.36</v>
      </c>
      <c r="H81" s="5" t="str">
        <f t="shared" si="1"/>
        <v>04/15</v>
      </c>
      <c r="I81" s="5">
        <v>42095</v>
      </c>
    </row>
    <row r="82" spans="1:9">
      <c r="A82" s="3" t="s">
        <v>11011</v>
      </c>
      <c r="B82" s="3" t="s">
        <v>11012</v>
      </c>
      <c r="C82" s="3" t="s">
        <v>11013</v>
      </c>
      <c r="D82" s="3" t="s">
        <v>11011</v>
      </c>
      <c r="E82" s="3">
        <v>6888</v>
      </c>
      <c r="F82" s="3"/>
      <c r="G82" s="3">
        <v>1036775.36</v>
      </c>
      <c r="H82" s="5" t="str">
        <f t="shared" si="1"/>
        <v>05/15</v>
      </c>
      <c r="I82" s="5">
        <v>42125</v>
      </c>
    </row>
    <row r="83" spans="1:9">
      <c r="A83" s="3" t="s">
        <v>11014</v>
      </c>
      <c r="B83" s="3" t="s">
        <v>10968</v>
      </c>
      <c r="C83" s="3" t="s">
        <v>6682</v>
      </c>
      <c r="D83" s="3" t="s">
        <v>11014</v>
      </c>
      <c r="E83" s="3">
        <v>57306.49</v>
      </c>
      <c r="F83" s="3"/>
      <c r="G83" s="3">
        <v>929468.87</v>
      </c>
      <c r="H83" s="5" t="str">
        <f t="shared" si="1"/>
        <v>05/15</v>
      </c>
      <c r="I83" s="5">
        <v>42125</v>
      </c>
    </row>
    <row r="84" spans="1:9">
      <c r="A84" s="3" t="s">
        <v>11015</v>
      </c>
      <c r="B84" s="3" t="s">
        <v>10968</v>
      </c>
      <c r="C84" s="3" t="s">
        <v>6682</v>
      </c>
      <c r="D84" s="3" t="s">
        <v>11015</v>
      </c>
      <c r="E84" s="3">
        <v>29677.48</v>
      </c>
      <c r="F84" s="3"/>
      <c r="G84" s="3">
        <v>874791.39</v>
      </c>
      <c r="H84" s="5" t="str">
        <f t="shared" si="1"/>
        <v>06/15</v>
      </c>
      <c r="I84" s="5">
        <v>42156</v>
      </c>
    </row>
    <row r="85" spans="1:9">
      <c r="A85" s="3" t="s">
        <v>11016</v>
      </c>
      <c r="B85" s="3" t="s">
        <v>10968</v>
      </c>
      <c r="C85" s="3" t="s">
        <v>6682</v>
      </c>
      <c r="D85" s="3" t="s">
        <v>11016</v>
      </c>
      <c r="E85" s="3">
        <v>42736.93</v>
      </c>
      <c r="F85" s="3"/>
      <c r="G85" s="3">
        <v>1335254.46</v>
      </c>
      <c r="H85" s="5" t="str">
        <f t="shared" si="1"/>
        <v>07/15</v>
      </c>
      <c r="I85" s="5">
        <v>42186</v>
      </c>
    </row>
    <row r="86" spans="1:9">
      <c r="A86" s="3" t="s">
        <v>11017</v>
      </c>
      <c r="B86" s="3" t="s">
        <v>11018</v>
      </c>
      <c r="C86" s="3" t="s">
        <v>11019</v>
      </c>
      <c r="D86" s="3" t="s">
        <v>11017</v>
      </c>
      <c r="E86" s="3">
        <v>45500</v>
      </c>
      <c r="F86" s="3"/>
      <c r="G86" s="3">
        <v>1164754.46</v>
      </c>
      <c r="H86" s="5" t="str">
        <f t="shared" si="1"/>
        <v>08/15</v>
      </c>
      <c r="I86" s="5">
        <v>42217</v>
      </c>
    </row>
    <row r="87" spans="1:9">
      <c r="A87" s="3" t="s">
        <v>11020</v>
      </c>
      <c r="B87" s="3" t="s">
        <v>10968</v>
      </c>
      <c r="C87" s="3" t="s">
        <v>6682</v>
      </c>
      <c r="D87" s="3" t="s">
        <v>11020</v>
      </c>
      <c r="E87" s="3">
        <v>158572.29</v>
      </c>
      <c r="F87" s="3"/>
      <c r="G87" s="3">
        <v>956182.17</v>
      </c>
      <c r="H87" s="5" t="str">
        <f t="shared" si="1"/>
        <v>09/15</v>
      </c>
      <c r="I87" s="5">
        <v>42248</v>
      </c>
    </row>
    <row r="88" spans="1:9">
      <c r="A88" s="3" t="s">
        <v>11021</v>
      </c>
      <c r="B88" s="3" t="s">
        <v>10968</v>
      </c>
      <c r="C88" s="3" t="s">
        <v>6682</v>
      </c>
      <c r="D88" s="3" t="s">
        <v>11021</v>
      </c>
      <c r="E88" s="3">
        <v>97464.77</v>
      </c>
      <c r="F88" s="3"/>
      <c r="G88" s="3">
        <v>804014.4</v>
      </c>
      <c r="H88" s="5" t="str">
        <f t="shared" si="1"/>
        <v>10/15</v>
      </c>
      <c r="I88" s="5">
        <v>42278</v>
      </c>
    </row>
    <row r="89" spans="1:9">
      <c r="A89" s="3" t="s">
        <v>11022</v>
      </c>
      <c r="B89" s="3" t="s">
        <v>11023</v>
      </c>
      <c r="C89" s="3" t="s">
        <v>6682</v>
      </c>
      <c r="D89" s="3" t="s">
        <v>11022</v>
      </c>
      <c r="E89" s="3">
        <v>47628</v>
      </c>
      <c r="F89" s="3"/>
      <c r="G89" s="3">
        <v>681386.4</v>
      </c>
      <c r="H89" s="5" t="str">
        <f t="shared" si="1"/>
        <v>11/15</v>
      </c>
      <c r="I89" s="5">
        <v>42309</v>
      </c>
    </row>
    <row r="90" spans="1:9">
      <c r="A90" s="3" t="s">
        <v>11024</v>
      </c>
      <c r="B90" s="3" t="s">
        <v>11023</v>
      </c>
      <c r="C90" s="3" t="s">
        <v>6682</v>
      </c>
      <c r="D90" s="3" t="s">
        <v>11024</v>
      </c>
      <c r="E90" s="3">
        <v>58303.22</v>
      </c>
      <c r="F90" s="3"/>
      <c r="G90" s="3">
        <v>671783.36</v>
      </c>
      <c r="H90" s="5" t="str">
        <f t="shared" si="1"/>
        <v>12/15</v>
      </c>
      <c r="I90" s="5">
        <v>42339</v>
      </c>
    </row>
    <row r="91" spans="1:9">
      <c r="A91" s="3" t="s">
        <v>11025</v>
      </c>
      <c r="B91" s="3" t="s">
        <v>11023</v>
      </c>
      <c r="C91" s="3" t="s">
        <v>6682</v>
      </c>
      <c r="D91" s="3" t="s">
        <v>11025</v>
      </c>
      <c r="E91" s="3">
        <v>76723.429999999993</v>
      </c>
      <c r="F91" s="3"/>
      <c r="G91" s="3">
        <v>500859.93</v>
      </c>
      <c r="H91" s="5" t="str">
        <f t="shared" si="1"/>
        <v>12/15</v>
      </c>
      <c r="I91" s="5">
        <v>42339</v>
      </c>
    </row>
    <row r="92" spans="1:9">
      <c r="A92" s="3" t="s">
        <v>11026</v>
      </c>
      <c r="B92" s="3" t="s">
        <v>11023</v>
      </c>
      <c r="C92" s="3" t="s">
        <v>6682</v>
      </c>
      <c r="D92" s="3" t="s">
        <v>11026</v>
      </c>
      <c r="E92" s="3">
        <v>61732.95</v>
      </c>
      <c r="F92" s="3"/>
      <c r="G92" s="3">
        <v>663417.16</v>
      </c>
      <c r="H92" s="5" t="str">
        <f t="shared" si="1"/>
        <v>01/16</v>
      </c>
      <c r="I92" s="5">
        <v>42370</v>
      </c>
    </row>
    <row r="93" spans="1:9">
      <c r="A93" s="3" t="s">
        <v>11027</v>
      </c>
      <c r="B93" s="3" t="s">
        <v>11023</v>
      </c>
      <c r="C93" s="3" t="s">
        <v>6682</v>
      </c>
      <c r="D93" s="3" t="s">
        <v>11027</v>
      </c>
      <c r="E93" s="3">
        <v>115279.05</v>
      </c>
      <c r="F93" s="3"/>
      <c r="G93" s="3">
        <v>672513.61</v>
      </c>
      <c r="H93" s="5" t="str">
        <f t="shared" si="1"/>
        <v>02/16</v>
      </c>
      <c r="I93" s="5">
        <v>42401</v>
      </c>
    </row>
    <row r="94" spans="1:9">
      <c r="A94" s="3" t="s">
        <v>11028</v>
      </c>
      <c r="B94" s="3" t="s">
        <v>11023</v>
      </c>
      <c r="C94" s="3" t="s">
        <v>6682</v>
      </c>
      <c r="D94" s="3" t="s">
        <v>11028</v>
      </c>
      <c r="E94" s="3">
        <v>224769.1</v>
      </c>
      <c r="F94" s="3"/>
      <c r="G94" s="3">
        <v>922744.51</v>
      </c>
      <c r="H94" s="5" t="str">
        <f t="shared" si="1"/>
        <v>03/16</v>
      </c>
      <c r="I94" s="5">
        <v>42430</v>
      </c>
    </row>
    <row r="95" spans="1:9">
      <c r="A95" s="3" t="s">
        <v>11029</v>
      </c>
      <c r="B95" s="3" t="s">
        <v>11030</v>
      </c>
      <c r="C95" s="3" t="s">
        <v>6682</v>
      </c>
      <c r="D95" s="3" t="s">
        <v>11029</v>
      </c>
      <c r="E95" s="3">
        <v>114.5</v>
      </c>
      <c r="F95" s="3"/>
      <c r="G95" s="3">
        <v>872630.01</v>
      </c>
      <c r="H95" s="5" t="str">
        <f t="shared" si="1"/>
        <v>03/16</v>
      </c>
      <c r="I95" s="5">
        <v>42430</v>
      </c>
    </row>
    <row r="96" spans="1:9">
      <c r="A96" s="3" t="s">
        <v>11031</v>
      </c>
      <c r="B96" s="3" t="s">
        <v>4254</v>
      </c>
      <c r="C96" s="3" t="s">
        <v>6682</v>
      </c>
      <c r="D96" s="3" t="s">
        <v>11031</v>
      </c>
      <c r="E96" s="3">
        <v>52759.63</v>
      </c>
      <c r="F96" s="3"/>
      <c r="G96" s="3">
        <v>758066.08</v>
      </c>
      <c r="H96" s="5" t="str">
        <f t="shared" si="1"/>
        <v>04/16</v>
      </c>
      <c r="I96" s="5">
        <v>42461</v>
      </c>
    </row>
  </sheetData>
  <autoFilter ref="A1:I96" xr:uid="{C6C8CA27-053F-479D-84B5-108DD2CE46FC}"/>
  <pageMargins left="0.7" right="0.7" top="0.75" bottom="0.75" header="0.3" footer="0.3"/>
  <pageSetup orientation="portrait" horizontalDpi="200" verticalDpi="200" r:id="rId1"/>
</worksheet>
</file>

<file path=xl/worksheets/sheet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900-000000000000}">
  <sheetPr filterMode="1"/>
  <dimension ref="A1:G304"/>
  <sheetViews>
    <sheetView workbookViewId="0">
      <selection activeCell="F6" sqref="F6"/>
    </sheetView>
  </sheetViews>
  <sheetFormatPr defaultRowHeight="15"/>
  <cols>
    <col min="1" max="1" width="8.28515625" bestFit="1" customWidth="1"/>
    <col min="2" max="2" width="47" bestFit="1" customWidth="1"/>
    <col min="3" max="3" width="17.28515625" bestFit="1" customWidth="1"/>
    <col min="4" max="4" width="8.28515625" bestFit="1" customWidth="1"/>
    <col min="5" max="5" width="14.7109375" bestFit="1" customWidth="1"/>
    <col min="6" max="6" width="11.7109375" bestFit="1" customWidth="1"/>
    <col min="7" max="7" width="14.5703125" bestFit="1" customWidth="1"/>
  </cols>
  <sheetData>
    <row r="1" spans="1:7">
      <c r="A1" s="3" t="s">
        <v>924</v>
      </c>
      <c r="B1" s="3" t="s">
        <v>9545</v>
      </c>
      <c r="C1" s="3" t="s">
        <v>9546</v>
      </c>
      <c r="D1" s="3" t="s">
        <v>9547</v>
      </c>
      <c r="E1" s="3" t="s">
        <v>9548</v>
      </c>
      <c r="F1" s="3" t="s">
        <v>9549</v>
      </c>
      <c r="G1" s="3" t="s">
        <v>9550</v>
      </c>
    </row>
    <row r="2" spans="1:7" hidden="1">
      <c r="A2" s="3" t="s">
        <v>10870</v>
      </c>
      <c r="B2" s="3" t="s">
        <v>10871</v>
      </c>
      <c r="C2" s="3" t="s">
        <v>6682</v>
      </c>
      <c r="D2" s="3" t="s">
        <v>10872</v>
      </c>
      <c r="E2" s="3">
        <v>12431.03</v>
      </c>
      <c r="F2" s="3"/>
      <c r="G2" s="3">
        <v>1121870.1000000001</v>
      </c>
    </row>
    <row r="3" spans="1:7" hidden="1">
      <c r="A3" s="3" t="s">
        <v>11032</v>
      </c>
      <c r="B3" s="3" t="s">
        <v>11033</v>
      </c>
      <c r="C3" s="3" t="s">
        <v>11034</v>
      </c>
      <c r="D3" s="3" t="s">
        <v>11032</v>
      </c>
      <c r="E3" s="3">
        <v>38709</v>
      </c>
      <c r="F3" s="3"/>
      <c r="G3" s="3">
        <v>1083161.1000000001</v>
      </c>
    </row>
    <row r="4" spans="1:7" hidden="1">
      <c r="A4" s="3" t="s">
        <v>10873</v>
      </c>
      <c r="B4" s="3" t="s">
        <v>10871</v>
      </c>
      <c r="C4" s="3" t="s">
        <v>6682</v>
      </c>
      <c r="D4" s="3" t="s">
        <v>10873</v>
      </c>
      <c r="E4" s="3">
        <v>70936.02</v>
      </c>
      <c r="F4" s="3"/>
      <c r="G4" s="3">
        <v>1012225.08</v>
      </c>
    </row>
    <row r="5" spans="1:7" hidden="1">
      <c r="A5" s="3" t="s">
        <v>11035</v>
      </c>
      <c r="B5" s="3" t="s">
        <v>11036</v>
      </c>
      <c r="C5" s="3" t="s">
        <v>11037</v>
      </c>
      <c r="D5" s="3" t="s">
        <v>11035</v>
      </c>
      <c r="E5" s="3"/>
      <c r="F5" s="3">
        <v>100000</v>
      </c>
      <c r="G5" s="3">
        <v>1112225.08</v>
      </c>
    </row>
    <row r="6" spans="1:7">
      <c r="A6" s="3" t="s">
        <v>11035</v>
      </c>
      <c r="B6" s="3" t="s">
        <v>11038</v>
      </c>
      <c r="C6" s="3" t="s">
        <v>11037</v>
      </c>
      <c r="D6" s="3" t="s">
        <v>11035</v>
      </c>
      <c r="E6" s="3"/>
      <c r="F6" s="3">
        <v>100000</v>
      </c>
      <c r="G6" s="3">
        <v>1212225.08</v>
      </c>
    </row>
    <row r="7" spans="1:7" hidden="1">
      <c r="A7" s="3" t="s">
        <v>11039</v>
      </c>
      <c r="B7" s="3" t="s">
        <v>11040</v>
      </c>
      <c r="C7" s="3" t="s">
        <v>11041</v>
      </c>
      <c r="D7" s="3" t="s">
        <v>11039</v>
      </c>
      <c r="E7" s="3">
        <v>144568</v>
      </c>
      <c r="F7" s="3"/>
      <c r="G7" s="3">
        <v>1067657.08</v>
      </c>
    </row>
    <row r="8" spans="1:7" hidden="1">
      <c r="A8" s="3" t="s">
        <v>10874</v>
      </c>
      <c r="B8" s="3" t="s">
        <v>10875</v>
      </c>
      <c r="C8" s="3" t="s">
        <v>10876</v>
      </c>
      <c r="D8" s="3" t="s">
        <v>10874</v>
      </c>
      <c r="E8" s="3">
        <v>7417</v>
      </c>
      <c r="F8" s="3"/>
      <c r="G8" s="3">
        <v>1060240.08</v>
      </c>
    </row>
    <row r="9" spans="1:7" hidden="1">
      <c r="A9" s="3" t="s">
        <v>11042</v>
      </c>
      <c r="B9" s="3" t="s">
        <v>11043</v>
      </c>
      <c r="C9" s="3" t="s">
        <v>11044</v>
      </c>
      <c r="D9" s="3" t="s">
        <v>11042</v>
      </c>
      <c r="E9" s="3">
        <v>38709</v>
      </c>
      <c r="F9" s="3"/>
      <c r="G9" s="3">
        <v>1021531.08</v>
      </c>
    </row>
    <row r="10" spans="1:7" hidden="1">
      <c r="A10" s="3" t="s">
        <v>10877</v>
      </c>
      <c r="B10" s="3" t="s">
        <v>10871</v>
      </c>
      <c r="C10" s="3" t="s">
        <v>6682</v>
      </c>
      <c r="D10" s="3" t="s">
        <v>10877</v>
      </c>
      <c r="E10" s="3">
        <v>25702.25</v>
      </c>
      <c r="F10" s="3"/>
      <c r="G10" s="3">
        <v>995828.83</v>
      </c>
    </row>
    <row r="11" spans="1:7" hidden="1">
      <c r="A11" s="3" t="s">
        <v>10878</v>
      </c>
      <c r="B11" s="3" t="s">
        <v>10879</v>
      </c>
      <c r="C11" s="3" t="s">
        <v>10880</v>
      </c>
      <c r="D11" s="3" t="s">
        <v>10878</v>
      </c>
      <c r="E11" s="3">
        <v>1000</v>
      </c>
      <c r="F11" s="3"/>
      <c r="G11" s="3">
        <v>994828.83</v>
      </c>
    </row>
    <row r="12" spans="1:7" hidden="1">
      <c r="A12" s="3" t="s">
        <v>11045</v>
      </c>
      <c r="B12" s="3" t="s">
        <v>11046</v>
      </c>
      <c r="C12" s="3" t="s">
        <v>11047</v>
      </c>
      <c r="D12" s="3" t="s">
        <v>11045</v>
      </c>
      <c r="E12" s="3">
        <v>38709</v>
      </c>
      <c r="F12" s="3"/>
      <c r="G12" s="3">
        <v>956119.83</v>
      </c>
    </row>
    <row r="13" spans="1:7" hidden="1">
      <c r="A13" s="3" t="s">
        <v>11045</v>
      </c>
      <c r="B13" s="3" t="s">
        <v>11048</v>
      </c>
      <c r="C13" s="3" t="s">
        <v>11037</v>
      </c>
      <c r="D13" s="3" t="s">
        <v>11045</v>
      </c>
      <c r="E13" s="3"/>
      <c r="F13" s="3">
        <v>100000</v>
      </c>
      <c r="G13" s="3">
        <v>1056119.83</v>
      </c>
    </row>
    <row r="14" spans="1:7" hidden="1">
      <c r="A14" s="3" t="s">
        <v>10881</v>
      </c>
      <c r="B14" s="3" t="s">
        <v>10882</v>
      </c>
      <c r="C14" s="3" t="s">
        <v>10883</v>
      </c>
      <c r="D14" s="3" t="s">
        <v>10881</v>
      </c>
      <c r="E14" s="3">
        <v>100000</v>
      </c>
      <c r="F14" s="3"/>
      <c r="G14" s="3">
        <v>956119.83</v>
      </c>
    </row>
    <row r="15" spans="1:7" hidden="1">
      <c r="A15" s="3" t="s">
        <v>10881</v>
      </c>
      <c r="B15" s="3" t="s">
        <v>10871</v>
      </c>
      <c r="C15" s="3" t="s">
        <v>6682</v>
      </c>
      <c r="D15" s="3" t="s">
        <v>10881</v>
      </c>
      <c r="E15" s="3">
        <v>80256.72</v>
      </c>
      <c r="F15" s="3"/>
      <c r="G15" s="3">
        <v>875863.11</v>
      </c>
    </row>
    <row r="16" spans="1:7">
      <c r="A16" s="3" t="s">
        <v>11049</v>
      </c>
      <c r="B16" s="3" t="s">
        <v>11050</v>
      </c>
      <c r="C16" s="3" t="s">
        <v>11037</v>
      </c>
      <c r="D16" s="3" t="s">
        <v>11049</v>
      </c>
      <c r="E16" s="3"/>
      <c r="F16" s="3">
        <v>100000</v>
      </c>
      <c r="G16" s="3">
        <v>975863.11</v>
      </c>
    </row>
    <row r="17" spans="1:7" hidden="1">
      <c r="A17" s="3" t="s">
        <v>11051</v>
      </c>
      <c r="B17" s="3" t="s">
        <v>11052</v>
      </c>
      <c r="C17" s="3" t="s">
        <v>11037</v>
      </c>
      <c r="D17" s="3" t="s">
        <v>11051</v>
      </c>
      <c r="E17" s="3"/>
      <c r="F17" s="3">
        <v>100000</v>
      </c>
      <c r="G17" s="3">
        <v>1075863.1100000001</v>
      </c>
    </row>
    <row r="18" spans="1:7">
      <c r="A18" s="3" t="s">
        <v>11053</v>
      </c>
      <c r="B18" s="3" t="s">
        <v>11054</v>
      </c>
      <c r="C18" s="3" t="s">
        <v>11037</v>
      </c>
      <c r="D18" s="3" t="s">
        <v>11053</v>
      </c>
      <c r="E18" s="3"/>
      <c r="F18" s="3">
        <v>100000</v>
      </c>
      <c r="G18" s="3">
        <v>1175863.1100000001</v>
      </c>
    </row>
    <row r="19" spans="1:7" hidden="1">
      <c r="A19" s="3" t="s">
        <v>10884</v>
      </c>
      <c r="B19" s="3" t="s">
        <v>10885</v>
      </c>
      <c r="C19" s="3" t="s">
        <v>10886</v>
      </c>
      <c r="D19" s="3" t="s">
        <v>10884</v>
      </c>
      <c r="E19" s="3">
        <v>24000</v>
      </c>
      <c r="F19" s="3"/>
      <c r="G19" s="3">
        <v>1151863.1100000001</v>
      </c>
    </row>
    <row r="20" spans="1:7" hidden="1">
      <c r="A20" s="3" t="s">
        <v>10887</v>
      </c>
      <c r="B20" s="3" t="s">
        <v>10885</v>
      </c>
      <c r="C20" s="3" t="s">
        <v>10888</v>
      </c>
      <c r="D20" s="3" t="s">
        <v>10887</v>
      </c>
      <c r="E20" s="3">
        <v>6000</v>
      </c>
      <c r="F20" s="3"/>
      <c r="G20" s="3">
        <v>1145863.1100000001</v>
      </c>
    </row>
    <row r="21" spans="1:7">
      <c r="A21" s="3" t="s">
        <v>11055</v>
      </c>
      <c r="B21" s="3" t="s">
        <v>11056</v>
      </c>
      <c r="C21" s="3" t="s">
        <v>11037</v>
      </c>
      <c r="D21" s="3" t="s">
        <v>11055</v>
      </c>
      <c r="E21" s="3"/>
      <c r="F21" s="3">
        <v>100000</v>
      </c>
      <c r="G21" s="3">
        <v>1245863.1100000001</v>
      </c>
    </row>
    <row r="22" spans="1:7" hidden="1">
      <c r="A22" s="3" t="s">
        <v>11057</v>
      </c>
      <c r="B22" s="3" t="s">
        <v>11058</v>
      </c>
      <c r="C22" s="3" t="s">
        <v>11059</v>
      </c>
      <c r="D22" s="3" t="s">
        <v>11057</v>
      </c>
      <c r="E22" s="3">
        <v>38709</v>
      </c>
      <c r="F22" s="3"/>
      <c r="G22" s="3">
        <v>1207154.1100000001</v>
      </c>
    </row>
    <row r="23" spans="1:7" hidden="1">
      <c r="A23" s="3" t="s">
        <v>10889</v>
      </c>
      <c r="B23" s="3" t="s">
        <v>10890</v>
      </c>
      <c r="C23" s="3" t="s">
        <v>10891</v>
      </c>
      <c r="D23" s="3" t="s">
        <v>10889</v>
      </c>
      <c r="E23" s="3">
        <v>60000</v>
      </c>
      <c r="F23" s="3"/>
      <c r="G23" s="3">
        <v>1147154.1100000001</v>
      </c>
    </row>
    <row r="24" spans="1:7" hidden="1">
      <c r="A24" s="3" t="s">
        <v>10892</v>
      </c>
      <c r="B24" s="3" t="s">
        <v>10871</v>
      </c>
      <c r="C24" s="3" t="s">
        <v>6682</v>
      </c>
      <c r="D24" s="3" t="s">
        <v>10892</v>
      </c>
      <c r="E24" s="3">
        <v>157406.06</v>
      </c>
      <c r="F24" s="3"/>
      <c r="G24" s="3">
        <v>989748.05</v>
      </c>
    </row>
    <row r="25" spans="1:7" hidden="1">
      <c r="A25" s="3" t="s">
        <v>10893</v>
      </c>
      <c r="B25" s="3" t="s">
        <v>10890</v>
      </c>
      <c r="C25" s="3" t="s">
        <v>10894</v>
      </c>
      <c r="D25" s="3" t="s">
        <v>10893</v>
      </c>
      <c r="E25" s="3">
        <v>30000</v>
      </c>
      <c r="F25" s="3"/>
      <c r="G25" s="3">
        <v>959748.05</v>
      </c>
    </row>
    <row r="26" spans="1:7" hidden="1">
      <c r="A26" s="3" t="s">
        <v>10895</v>
      </c>
      <c r="B26" s="3" t="s">
        <v>10896</v>
      </c>
      <c r="C26" s="3" t="s">
        <v>10897</v>
      </c>
      <c r="D26" s="3" t="s">
        <v>10895</v>
      </c>
      <c r="E26" s="3">
        <v>14575</v>
      </c>
      <c r="F26" s="3"/>
      <c r="G26" s="3">
        <v>945173.05</v>
      </c>
    </row>
    <row r="27" spans="1:7" hidden="1">
      <c r="A27" s="3" t="s">
        <v>11060</v>
      </c>
      <c r="B27" s="3" t="s">
        <v>11061</v>
      </c>
      <c r="C27" s="3" t="s">
        <v>11062</v>
      </c>
      <c r="D27" s="3" t="s">
        <v>11060</v>
      </c>
      <c r="E27" s="3">
        <v>38709</v>
      </c>
      <c r="F27" s="3"/>
      <c r="G27" s="3">
        <v>906464.05</v>
      </c>
    </row>
    <row r="28" spans="1:7" hidden="1">
      <c r="A28" s="3" t="s">
        <v>11063</v>
      </c>
      <c r="B28" s="3" t="s">
        <v>11064</v>
      </c>
      <c r="C28" s="3" t="s">
        <v>6682</v>
      </c>
      <c r="D28" s="3" t="s">
        <v>11065</v>
      </c>
      <c r="E28" s="3"/>
      <c r="F28" s="3">
        <v>20972.63</v>
      </c>
      <c r="G28" s="3">
        <v>927436.68</v>
      </c>
    </row>
    <row r="29" spans="1:7" hidden="1">
      <c r="A29" s="3" t="s">
        <v>10898</v>
      </c>
      <c r="B29" s="3" t="s">
        <v>10899</v>
      </c>
      <c r="C29" s="3" t="s">
        <v>10900</v>
      </c>
      <c r="D29" s="3" t="s">
        <v>10898</v>
      </c>
      <c r="E29" s="3">
        <v>1500</v>
      </c>
      <c r="F29" s="3"/>
      <c r="G29" s="3">
        <v>925936.68</v>
      </c>
    </row>
    <row r="30" spans="1:7" hidden="1">
      <c r="A30" s="3" t="s">
        <v>10901</v>
      </c>
      <c r="B30" s="3" t="s">
        <v>10902</v>
      </c>
      <c r="C30" s="3" t="s">
        <v>10903</v>
      </c>
      <c r="D30" s="3" t="s">
        <v>10901</v>
      </c>
      <c r="E30" s="3">
        <v>15250</v>
      </c>
      <c r="F30" s="3"/>
      <c r="G30" s="3">
        <v>910686.68</v>
      </c>
    </row>
    <row r="31" spans="1:7" hidden="1">
      <c r="A31" s="3" t="s">
        <v>10904</v>
      </c>
      <c r="B31" s="3" t="s">
        <v>10905</v>
      </c>
      <c r="C31" s="3" t="s">
        <v>10906</v>
      </c>
      <c r="D31" s="3" t="s">
        <v>10904</v>
      </c>
      <c r="E31" s="3">
        <v>8950</v>
      </c>
      <c r="F31" s="3"/>
      <c r="G31" s="3">
        <v>901736.68</v>
      </c>
    </row>
    <row r="32" spans="1:7">
      <c r="A32" s="3" t="s">
        <v>11066</v>
      </c>
      <c r="B32" s="3" t="s">
        <v>11067</v>
      </c>
      <c r="C32" s="3" t="s">
        <v>11037</v>
      </c>
      <c r="D32" s="3" t="s">
        <v>11066</v>
      </c>
      <c r="E32" s="3"/>
      <c r="F32" s="3">
        <v>100000</v>
      </c>
      <c r="G32" s="3">
        <v>1001736.68</v>
      </c>
    </row>
    <row r="33" spans="1:7" hidden="1">
      <c r="A33" s="3" t="s">
        <v>10907</v>
      </c>
      <c r="B33" s="3" t="s">
        <v>10908</v>
      </c>
      <c r="C33" s="3" t="s">
        <v>10909</v>
      </c>
      <c r="D33" s="3" t="s">
        <v>10907</v>
      </c>
      <c r="E33" s="3">
        <v>15291</v>
      </c>
      <c r="F33" s="3"/>
      <c r="G33" s="3">
        <v>986445.68</v>
      </c>
    </row>
    <row r="34" spans="1:7" hidden="1">
      <c r="A34" s="3" t="s">
        <v>11068</v>
      </c>
      <c r="B34" s="3" t="s">
        <v>11069</v>
      </c>
      <c r="C34" s="3" t="s">
        <v>11070</v>
      </c>
      <c r="D34" s="3" t="s">
        <v>11068</v>
      </c>
      <c r="E34" s="3">
        <v>38709</v>
      </c>
      <c r="F34" s="3"/>
      <c r="G34" s="3">
        <v>947736.68</v>
      </c>
    </row>
    <row r="35" spans="1:7" hidden="1">
      <c r="A35" s="3" t="s">
        <v>10910</v>
      </c>
      <c r="B35" s="3" t="s">
        <v>10911</v>
      </c>
      <c r="C35" s="3" t="s">
        <v>10912</v>
      </c>
      <c r="D35" s="3" t="s">
        <v>10910</v>
      </c>
      <c r="E35" s="3">
        <v>499125</v>
      </c>
      <c r="F35" s="3"/>
      <c r="G35" s="3">
        <v>448611.68</v>
      </c>
    </row>
    <row r="36" spans="1:7" hidden="1">
      <c r="A36" s="3" t="s">
        <v>10910</v>
      </c>
      <c r="B36" s="3" t="s">
        <v>10913</v>
      </c>
      <c r="C36" s="3" t="s">
        <v>6682</v>
      </c>
      <c r="D36" s="3" t="s">
        <v>10910</v>
      </c>
      <c r="E36" s="3">
        <v>66550</v>
      </c>
      <c r="F36" s="3"/>
      <c r="G36" s="3">
        <v>382061.68</v>
      </c>
    </row>
    <row r="37" spans="1:7" hidden="1">
      <c r="A37" s="3" t="s">
        <v>10914</v>
      </c>
      <c r="B37" s="3" t="s">
        <v>10871</v>
      </c>
      <c r="C37" s="3" t="s">
        <v>6682</v>
      </c>
      <c r="D37" s="3" t="s">
        <v>10914</v>
      </c>
      <c r="E37" s="3">
        <v>130390.39999999999</v>
      </c>
      <c r="F37" s="3"/>
      <c r="G37" s="3">
        <v>251671.28</v>
      </c>
    </row>
    <row r="38" spans="1:7" hidden="1">
      <c r="A38" s="3" t="s">
        <v>11071</v>
      </c>
      <c r="B38" s="3" t="s">
        <v>11072</v>
      </c>
      <c r="C38" s="3" t="s">
        <v>11037</v>
      </c>
      <c r="D38" s="3" t="s">
        <v>11071</v>
      </c>
      <c r="E38" s="3"/>
      <c r="F38" s="3">
        <v>50000</v>
      </c>
      <c r="G38" s="3">
        <v>301671.28000000003</v>
      </c>
    </row>
    <row r="39" spans="1:7" hidden="1">
      <c r="A39" s="3" t="s">
        <v>10915</v>
      </c>
      <c r="B39" s="3" t="s">
        <v>10916</v>
      </c>
      <c r="C39" s="3" t="s">
        <v>6682</v>
      </c>
      <c r="D39" s="3" t="s">
        <v>10915</v>
      </c>
      <c r="E39" s="3">
        <v>1247.8800000000001</v>
      </c>
      <c r="F39" s="3"/>
      <c r="G39" s="3">
        <v>300423.40000000002</v>
      </c>
    </row>
    <row r="40" spans="1:7" hidden="1">
      <c r="A40" s="3" t="s">
        <v>10917</v>
      </c>
      <c r="B40" s="3" t="s">
        <v>10918</v>
      </c>
      <c r="C40" s="3" t="s">
        <v>10919</v>
      </c>
      <c r="D40" s="3" t="s">
        <v>10917</v>
      </c>
      <c r="E40" s="3">
        <v>1000</v>
      </c>
      <c r="F40" s="3"/>
      <c r="G40" s="3">
        <v>299423.40000000002</v>
      </c>
    </row>
    <row r="41" spans="1:7" hidden="1">
      <c r="A41" s="3" t="s">
        <v>11073</v>
      </c>
      <c r="B41" s="3" t="s">
        <v>11074</v>
      </c>
      <c r="C41" s="3" t="s">
        <v>11075</v>
      </c>
      <c r="D41" s="3" t="s">
        <v>11073</v>
      </c>
      <c r="E41" s="3">
        <v>38709</v>
      </c>
      <c r="F41" s="3"/>
      <c r="G41" s="3">
        <v>260714.4</v>
      </c>
    </row>
    <row r="42" spans="1:7" hidden="1">
      <c r="A42" s="3" t="s">
        <v>10920</v>
      </c>
      <c r="B42" s="3" t="s">
        <v>10879</v>
      </c>
      <c r="C42" s="3" t="s">
        <v>10921</v>
      </c>
      <c r="D42" s="3" t="s">
        <v>10920</v>
      </c>
      <c r="E42" s="3">
        <v>14275</v>
      </c>
      <c r="F42" s="3"/>
      <c r="G42" s="3">
        <v>246439.4</v>
      </c>
    </row>
    <row r="43" spans="1:7" hidden="1">
      <c r="A43" s="3" t="s">
        <v>10922</v>
      </c>
      <c r="B43" s="3" t="s">
        <v>10871</v>
      </c>
      <c r="C43" s="3" t="s">
        <v>6682</v>
      </c>
      <c r="D43" s="3" t="s">
        <v>10922</v>
      </c>
      <c r="E43" s="3">
        <v>31895.88</v>
      </c>
      <c r="F43" s="3"/>
      <c r="G43" s="3">
        <v>214543.52</v>
      </c>
    </row>
    <row r="44" spans="1:7" hidden="1">
      <c r="A44" s="3" t="s">
        <v>11076</v>
      </c>
      <c r="B44" s="3" t="s">
        <v>11077</v>
      </c>
      <c r="C44" s="3" t="s">
        <v>11037</v>
      </c>
      <c r="D44" s="3" t="s">
        <v>11076</v>
      </c>
      <c r="E44" s="3"/>
      <c r="F44" s="3">
        <v>40000</v>
      </c>
      <c r="G44" s="3">
        <v>254543.52</v>
      </c>
    </row>
    <row r="45" spans="1:7">
      <c r="A45" s="3" t="s">
        <v>11078</v>
      </c>
      <c r="B45" s="3" t="s">
        <v>11079</v>
      </c>
      <c r="C45" s="3" t="s">
        <v>11037</v>
      </c>
      <c r="D45" s="3" t="s">
        <v>11078</v>
      </c>
      <c r="E45" s="3"/>
      <c r="F45" s="3">
        <v>100000</v>
      </c>
      <c r="G45" s="3">
        <v>354543.52</v>
      </c>
    </row>
    <row r="46" spans="1:7" hidden="1">
      <c r="A46" s="3" t="s">
        <v>11080</v>
      </c>
      <c r="B46" s="3" t="s">
        <v>11081</v>
      </c>
      <c r="C46" s="3" t="s">
        <v>11082</v>
      </c>
      <c r="D46" s="3" t="s">
        <v>11080</v>
      </c>
      <c r="E46" s="3">
        <v>38709</v>
      </c>
      <c r="F46" s="3"/>
      <c r="G46" s="3">
        <v>315834.52</v>
      </c>
    </row>
    <row r="47" spans="1:7" hidden="1">
      <c r="A47" s="3" t="s">
        <v>10923</v>
      </c>
      <c r="B47" s="3" t="s">
        <v>10871</v>
      </c>
      <c r="C47" s="3" t="s">
        <v>6682</v>
      </c>
      <c r="D47" s="3" t="s">
        <v>10923</v>
      </c>
      <c r="E47" s="3">
        <v>25118.87</v>
      </c>
      <c r="F47" s="3"/>
      <c r="G47" s="3">
        <v>290715.65000000002</v>
      </c>
    </row>
    <row r="48" spans="1:7">
      <c r="A48" s="3" t="s">
        <v>11083</v>
      </c>
      <c r="B48" s="3" t="s">
        <v>11084</v>
      </c>
      <c r="C48" s="3" t="s">
        <v>11037</v>
      </c>
      <c r="D48" s="3" t="s">
        <v>11083</v>
      </c>
      <c r="E48" s="3"/>
      <c r="F48" s="3">
        <v>200000</v>
      </c>
      <c r="G48" s="3">
        <v>490715.65</v>
      </c>
    </row>
    <row r="49" spans="1:7" hidden="1">
      <c r="A49" s="3" t="s">
        <v>11085</v>
      </c>
      <c r="B49" s="3" t="s">
        <v>11086</v>
      </c>
      <c r="C49" s="3" t="s">
        <v>11087</v>
      </c>
      <c r="D49" s="3" t="s">
        <v>11085</v>
      </c>
      <c r="E49" s="3">
        <v>38709</v>
      </c>
      <c r="F49" s="3"/>
      <c r="G49" s="3">
        <v>452006.65</v>
      </c>
    </row>
    <row r="50" spans="1:7" hidden="1">
      <c r="A50" s="3" t="s">
        <v>10924</v>
      </c>
      <c r="B50" s="3" t="s">
        <v>10871</v>
      </c>
      <c r="C50" s="3" t="s">
        <v>6682</v>
      </c>
      <c r="D50" s="3" t="s">
        <v>10924</v>
      </c>
      <c r="E50" s="3">
        <v>51206.25</v>
      </c>
      <c r="F50" s="3"/>
      <c r="G50" s="3">
        <v>400800.4</v>
      </c>
    </row>
    <row r="51" spans="1:7" hidden="1">
      <c r="A51" s="3" t="s">
        <v>11088</v>
      </c>
      <c r="B51" s="3" t="s">
        <v>11089</v>
      </c>
      <c r="C51" s="3" t="s">
        <v>11037</v>
      </c>
      <c r="D51" s="3" t="s">
        <v>11088</v>
      </c>
      <c r="E51" s="3"/>
      <c r="F51" s="3">
        <v>50000</v>
      </c>
      <c r="G51" s="3">
        <v>450800.4</v>
      </c>
    </row>
    <row r="52" spans="1:7" hidden="1">
      <c r="A52" s="3" t="s">
        <v>11090</v>
      </c>
      <c r="B52" s="3" t="s">
        <v>11091</v>
      </c>
      <c r="C52" s="3" t="s">
        <v>11092</v>
      </c>
      <c r="D52" s="3" t="s">
        <v>11090</v>
      </c>
      <c r="E52" s="3">
        <v>38709</v>
      </c>
      <c r="F52" s="3"/>
      <c r="G52" s="3">
        <v>412091.4</v>
      </c>
    </row>
    <row r="53" spans="1:7" hidden="1">
      <c r="A53" s="3" t="s">
        <v>10925</v>
      </c>
      <c r="B53" s="3" t="s">
        <v>10871</v>
      </c>
      <c r="C53" s="3" t="s">
        <v>6682</v>
      </c>
      <c r="D53" s="3" t="s">
        <v>10925</v>
      </c>
      <c r="E53" s="3">
        <v>97902.01</v>
      </c>
      <c r="F53" s="3"/>
      <c r="G53" s="3">
        <v>314189.39</v>
      </c>
    </row>
    <row r="54" spans="1:7" hidden="1">
      <c r="A54" s="3" t="s">
        <v>10926</v>
      </c>
      <c r="B54" s="3" t="s">
        <v>10927</v>
      </c>
      <c r="C54" s="3" t="s">
        <v>10928</v>
      </c>
      <c r="D54" s="3" t="s">
        <v>10926</v>
      </c>
      <c r="E54" s="3">
        <v>7500</v>
      </c>
      <c r="F54" s="3"/>
      <c r="G54" s="3">
        <v>306689.39</v>
      </c>
    </row>
    <row r="55" spans="1:7" hidden="1">
      <c r="A55" s="3" t="s">
        <v>11093</v>
      </c>
      <c r="B55" s="3" t="s">
        <v>11094</v>
      </c>
      <c r="C55" s="3" t="s">
        <v>11095</v>
      </c>
      <c r="D55" s="3" t="s">
        <v>11093</v>
      </c>
      <c r="E55" s="3">
        <v>38709</v>
      </c>
      <c r="F55" s="3"/>
      <c r="G55" s="3">
        <v>267980.39</v>
      </c>
    </row>
    <row r="56" spans="1:7" hidden="1">
      <c r="A56" s="3" t="s">
        <v>11096</v>
      </c>
      <c r="B56" s="3" t="s">
        <v>11064</v>
      </c>
      <c r="C56" s="3" t="s">
        <v>6682</v>
      </c>
      <c r="D56" s="3" t="s">
        <v>11097</v>
      </c>
      <c r="E56" s="3"/>
      <c r="F56" s="3">
        <v>8537.2000000000007</v>
      </c>
      <c r="G56" s="3">
        <v>276517.59000000003</v>
      </c>
    </row>
    <row r="57" spans="1:7" hidden="1">
      <c r="A57" s="3" t="s">
        <v>10929</v>
      </c>
      <c r="B57" s="3" t="s">
        <v>10871</v>
      </c>
      <c r="C57" s="3" t="s">
        <v>6682</v>
      </c>
      <c r="D57" s="3" t="s">
        <v>10929</v>
      </c>
      <c r="E57" s="3">
        <v>34186.620000000003</v>
      </c>
      <c r="F57" s="3"/>
      <c r="G57" s="3">
        <v>242330.97</v>
      </c>
    </row>
    <row r="58" spans="1:7" hidden="1">
      <c r="A58" s="3" t="s">
        <v>11098</v>
      </c>
      <c r="B58" s="3" t="s">
        <v>11099</v>
      </c>
      <c r="C58" s="3" t="s">
        <v>11037</v>
      </c>
      <c r="D58" s="3" t="s">
        <v>11098</v>
      </c>
      <c r="E58" s="3"/>
      <c r="F58" s="3">
        <v>75000</v>
      </c>
      <c r="G58" s="3">
        <v>317330.96999999997</v>
      </c>
    </row>
    <row r="59" spans="1:7">
      <c r="A59" s="3" t="s">
        <v>11100</v>
      </c>
      <c r="B59" s="3" t="s">
        <v>11101</v>
      </c>
      <c r="C59" s="3" t="s">
        <v>11037</v>
      </c>
      <c r="D59" s="3" t="s">
        <v>11100</v>
      </c>
      <c r="E59" s="3"/>
      <c r="F59" s="3">
        <v>200000</v>
      </c>
      <c r="G59" s="3">
        <v>517330.97</v>
      </c>
    </row>
    <row r="60" spans="1:7" hidden="1">
      <c r="A60" s="3" t="s">
        <v>11102</v>
      </c>
      <c r="B60" s="3" t="s">
        <v>11103</v>
      </c>
      <c r="C60" s="3" t="s">
        <v>11104</v>
      </c>
      <c r="D60" s="3" t="s">
        <v>11102</v>
      </c>
      <c r="E60" s="3">
        <v>38709</v>
      </c>
      <c r="F60" s="3"/>
      <c r="G60" s="3">
        <v>478621.97</v>
      </c>
    </row>
    <row r="61" spans="1:7" hidden="1">
      <c r="A61" s="3" t="s">
        <v>11105</v>
      </c>
      <c r="B61" s="3" t="s">
        <v>11106</v>
      </c>
      <c r="C61" s="3" t="s">
        <v>11037</v>
      </c>
      <c r="D61" s="3" t="s">
        <v>11105</v>
      </c>
      <c r="E61" s="3"/>
      <c r="F61" s="3">
        <v>250000</v>
      </c>
      <c r="G61" s="3">
        <v>728621.97</v>
      </c>
    </row>
    <row r="62" spans="1:7">
      <c r="A62" s="3" t="s">
        <v>10930</v>
      </c>
      <c r="B62" s="3" t="s">
        <v>11107</v>
      </c>
      <c r="C62" s="3" t="s">
        <v>11108</v>
      </c>
      <c r="D62" s="3" t="s">
        <v>10930</v>
      </c>
      <c r="E62" s="3"/>
      <c r="F62" s="3">
        <v>200000</v>
      </c>
      <c r="G62" s="3">
        <v>928621.97</v>
      </c>
    </row>
    <row r="63" spans="1:7" hidden="1">
      <c r="A63" s="3" t="s">
        <v>10930</v>
      </c>
      <c r="B63" s="3" t="s">
        <v>10871</v>
      </c>
      <c r="C63" s="3" t="s">
        <v>6682</v>
      </c>
      <c r="D63" s="3" t="s">
        <v>10930</v>
      </c>
      <c r="E63" s="3">
        <v>52733.86</v>
      </c>
      <c r="F63" s="3"/>
      <c r="G63" s="3">
        <v>875888.11</v>
      </c>
    </row>
    <row r="64" spans="1:7" hidden="1">
      <c r="A64" s="3" t="s">
        <v>11109</v>
      </c>
      <c r="B64" s="3" t="s">
        <v>11110</v>
      </c>
      <c r="C64" s="3" t="s">
        <v>11037</v>
      </c>
      <c r="D64" s="3" t="s">
        <v>11109</v>
      </c>
      <c r="E64" s="3"/>
      <c r="F64" s="3">
        <v>100000</v>
      </c>
      <c r="G64" s="3">
        <v>975888.11</v>
      </c>
    </row>
    <row r="65" spans="1:7" hidden="1">
      <c r="A65" s="3" t="s">
        <v>11111</v>
      </c>
      <c r="B65" s="3" t="s">
        <v>11112</v>
      </c>
      <c r="C65" s="3" t="s">
        <v>11113</v>
      </c>
      <c r="D65" s="3" t="s">
        <v>11111</v>
      </c>
      <c r="E65" s="3">
        <v>902246</v>
      </c>
      <c r="F65" s="3"/>
      <c r="G65" s="3">
        <v>73642.11</v>
      </c>
    </row>
    <row r="66" spans="1:7" hidden="1">
      <c r="A66" s="3" t="s">
        <v>11111</v>
      </c>
      <c r="B66" s="3" t="s">
        <v>11114</v>
      </c>
      <c r="C66" s="3" t="s">
        <v>11113</v>
      </c>
      <c r="D66" s="3" t="s">
        <v>11111</v>
      </c>
      <c r="E66" s="3"/>
      <c r="F66" s="3">
        <v>902246</v>
      </c>
      <c r="G66" s="3">
        <v>975888.11</v>
      </c>
    </row>
    <row r="67" spans="1:7">
      <c r="A67" s="3" t="s">
        <v>11115</v>
      </c>
      <c r="B67" s="3" t="s">
        <v>11116</v>
      </c>
      <c r="C67" s="3" t="s">
        <v>11037</v>
      </c>
      <c r="D67" s="3" t="s">
        <v>11115</v>
      </c>
      <c r="E67" s="3"/>
      <c r="F67" s="3">
        <v>200000</v>
      </c>
      <c r="G67" s="3">
        <v>1175888.1100000001</v>
      </c>
    </row>
    <row r="68" spans="1:7" hidden="1">
      <c r="A68" s="3" t="s">
        <v>11117</v>
      </c>
      <c r="B68" s="3" t="s">
        <v>11118</v>
      </c>
      <c r="C68" s="3" t="s">
        <v>11119</v>
      </c>
      <c r="D68" s="3" t="s">
        <v>11117</v>
      </c>
      <c r="E68" s="3">
        <v>38709</v>
      </c>
      <c r="F68" s="3"/>
      <c r="G68" s="3">
        <v>1137179.1100000001</v>
      </c>
    </row>
    <row r="69" spans="1:7" hidden="1">
      <c r="A69" s="3" t="s">
        <v>10931</v>
      </c>
      <c r="B69" s="3" t="s">
        <v>10871</v>
      </c>
      <c r="C69" s="3" t="s">
        <v>6682</v>
      </c>
      <c r="D69" s="3" t="s">
        <v>10931</v>
      </c>
      <c r="E69" s="3">
        <v>48562.3</v>
      </c>
      <c r="F69" s="3"/>
      <c r="G69" s="3">
        <v>1088616.81</v>
      </c>
    </row>
    <row r="70" spans="1:7">
      <c r="A70" s="3" t="s">
        <v>10931</v>
      </c>
      <c r="B70" s="3" t="s">
        <v>11120</v>
      </c>
      <c r="C70" s="3" t="s">
        <v>11037</v>
      </c>
      <c r="D70" s="3" t="s">
        <v>10931</v>
      </c>
      <c r="E70" s="3"/>
      <c r="F70" s="3">
        <v>200000</v>
      </c>
      <c r="G70" s="3">
        <v>1288616.81</v>
      </c>
    </row>
    <row r="71" spans="1:7">
      <c r="A71" s="3" t="s">
        <v>11121</v>
      </c>
      <c r="B71" s="3" t="s">
        <v>11122</v>
      </c>
      <c r="C71" s="3" t="s">
        <v>11037</v>
      </c>
      <c r="D71" s="3" t="s">
        <v>11121</v>
      </c>
      <c r="E71" s="3"/>
      <c r="F71" s="3">
        <v>100000</v>
      </c>
      <c r="G71" s="3">
        <v>1388616.81</v>
      </c>
    </row>
    <row r="72" spans="1:7" hidden="1">
      <c r="A72" s="3" t="s">
        <v>10932</v>
      </c>
      <c r="B72" s="3" t="s">
        <v>10933</v>
      </c>
      <c r="C72" s="3" t="s">
        <v>10934</v>
      </c>
      <c r="D72" s="3" t="s">
        <v>10932</v>
      </c>
      <c r="E72" s="3">
        <v>6451</v>
      </c>
      <c r="F72" s="3"/>
      <c r="G72" s="3">
        <v>1382165.81</v>
      </c>
    </row>
    <row r="73" spans="1:7" hidden="1">
      <c r="A73" s="3" t="s">
        <v>11123</v>
      </c>
      <c r="B73" s="3" t="s">
        <v>11112</v>
      </c>
      <c r="C73" s="3" t="s">
        <v>11124</v>
      </c>
      <c r="D73" s="3" t="s">
        <v>11123</v>
      </c>
      <c r="E73" s="3">
        <v>1003220</v>
      </c>
      <c r="F73" s="3"/>
      <c r="G73" s="3">
        <v>378945.81</v>
      </c>
    </row>
    <row r="74" spans="1:7" hidden="1">
      <c r="A74" s="3" t="s">
        <v>10935</v>
      </c>
      <c r="B74" s="3" t="s">
        <v>10936</v>
      </c>
      <c r="C74" s="3" t="s">
        <v>10937</v>
      </c>
      <c r="D74" s="3" t="s">
        <v>10935</v>
      </c>
      <c r="E74" s="3">
        <v>10004</v>
      </c>
      <c r="F74" s="3"/>
      <c r="G74" s="3">
        <v>368941.81</v>
      </c>
    </row>
    <row r="75" spans="1:7" hidden="1">
      <c r="A75" s="3" t="s">
        <v>11125</v>
      </c>
      <c r="B75" s="3" t="s">
        <v>11126</v>
      </c>
      <c r="C75" s="3" t="s">
        <v>11127</v>
      </c>
      <c r="D75" s="3" t="s">
        <v>11125</v>
      </c>
      <c r="E75" s="3">
        <v>29201</v>
      </c>
      <c r="F75" s="3"/>
      <c r="G75" s="3">
        <v>339740.81</v>
      </c>
    </row>
    <row r="76" spans="1:7" hidden="1">
      <c r="A76" s="3" t="s">
        <v>10938</v>
      </c>
      <c r="B76" s="3" t="s">
        <v>10939</v>
      </c>
      <c r="C76" s="3" t="s">
        <v>10940</v>
      </c>
      <c r="D76" s="3" t="s">
        <v>10938</v>
      </c>
      <c r="E76" s="3">
        <v>6000</v>
      </c>
      <c r="F76" s="3"/>
      <c r="G76" s="3">
        <v>333740.81</v>
      </c>
    </row>
    <row r="77" spans="1:7" hidden="1">
      <c r="A77" s="3" t="s">
        <v>10941</v>
      </c>
      <c r="B77" s="3" t="s">
        <v>10871</v>
      </c>
      <c r="C77" s="3" t="s">
        <v>6682</v>
      </c>
      <c r="D77" s="3" t="s">
        <v>10941</v>
      </c>
      <c r="E77" s="3">
        <v>114732.87</v>
      </c>
      <c r="F77" s="3"/>
      <c r="G77" s="3">
        <v>219007.94</v>
      </c>
    </row>
    <row r="78" spans="1:7" hidden="1">
      <c r="A78" s="3" t="s">
        <v>11128</v>
      </c>
      <c r="B78" s="3" t="s">
        <v>11129</v>
      </c>
      <c r="C78" s="3" t="s">
        <v>11037</v>
      </c>
      <c r="D78" s="3" t="s">
        <v>11128</v>
      </c>
      <c r="E78" s="3"/>
      <c r="F78" s="3">
        <v>50000</v>
      </c>
      <c r="G78" s="3">
        <v>269007.94</v>
      </c>
    </row>
    <row r="79" spans="1:7" hidden="1">
      <c r="A79" s="3" t="s">
        <v>10942</v>
      </c>
      <c r="B79" s="3" t="s">
        <v>10943</v>
      </c>
      <c r="C79" s="3" t="s">
        <v>10944</v>
      </c>
      <c r="D79" s="3" t="s">
        <v>10942</v>
      </c>
      <c r="E79" s="3">
        <v>55830</v>
      </c>
      <c r="F79" s="3"/>
      <c r="G79" s="3">
        <v>213177.94</v>
      </c>
    </row>
    <row r="80" spans="1:7" hidden="1">
      <c r="A80" s="3" t="s">
        <v>11130</v>
      </c>
      <c r="B80" s="3" t="s">
        <v>11131</v>
      </c>
      <c r="C80" s="3" t="s">
        <v>11132</v>
      </c>
      <c r="D80" s="3" t="s">
        <v>11130</v>
      </c>
      <c r="E80" s="3">
        <v>29201</v>
      </c>
      <c r="F80" s="3"/>
      <c r="G80" s="3">
        <v>183976.94</v>
      </c>
    </row>
    <row r="81" spans="1:7" hidden="1">
      <c r="A81" s="3" t="s">
        <v>10945</v>
      </c>
      <c r="B81" s="3" t="s">
        <v>10871</v>
      </c>
      <c r="C81" s="3" t="s">
        <v>6682</v>
      </c>
      <c r="D81" s="3" t="s">
        <v>10945</v>
      </c>
      <c r="E81" s="3">
        <v>38610.300000000003</v>
      </c>
      <c r="F81" s="3"/>
      <c r="G81" s="3">
        <v>145366.64000000001</v>
      </c>
    </row>
    <row r="82" spans="1:7">
      <c r="A82" s="3" t="s">
        <v>11133</v>
      </c>
      <c r="B82" s="3" t="s">
        <v>11134</v>
      </c>
      <c r="C82" s="3" t="s">
        <v>11037</v>
      </c>
      <c r="D82" s="3" t="s">
        <v>11133</v>
      </c>
      <c r="E82" s="3"/>
      <c r="F82" s="3">
        <v>350000</v>
      </c>
      <c r="G82" s="3">
        <v>495366.64</v>
      </c>
    </row>
    <row r="83" spans="1:7" hidden="1">
      <c r="A83" s="3" t="s">
        <v>11133</v>
      </c>
      <c r="B83" s="3" t="s">
        <v>11135</v>
      </c>
      <c r="C83" s="3" t="s">
        <v>11037</v>
      </c>
      <c r="D83" s="3" t="s">
        <v>11133</v>
      </c>
      <c r="E83" s="3"/>
      <c r="F83" s="3">
        <v>120000</v>
      </c>
      <c r="G83" s="3">
        <v>615366.64</v>
      </c>
    </row>
    <row r="84" spans="1:7" hidden="1">
      <c r="A84" s="3" t="s">
        <v>11136</v>
      </c>
      <c r="B84" s="3" t="s">
        <v>11137</v>
      </c>
      <c r="C84" s="3" t="s">
        <v>11138</v>
      </c>
      <c r="D84" s="3" t="s">
        <v>11136</v>
      </c>
      <c r="E84" s="3">
        <v>445000</v>
      </c>
      <c r="F84" s="3"/>
      <c r="G84" s="3">
        <v>170366.64</v>
      </c>
    </row>
    <row r="85" spans="1:7" hidden="1">
      <c r="A85" s="3" t="s">
        <v>11139</v>
      </c>
      <c r="B85" s="3" t="s">
        <v>11140</v>
      </c>
      <c r="C85" s="3" t="s">
        <v>11141</v>
      </c>
      <c r="D85" s="3" t="s">
        <v>11139</v>
      </c>
      <c r="E85" s="3">
        <v>29201</v>
      </c>
      <c r="F85" s="3"/>
      <c r="G85" s="3">
        <v>141165.64000000001</v>
      </c>
    </row>
    <row r="86" spans="1:7" hidden="1">
      <c r="A86" s="3" t="s">
        <v>11142</v>
      </c>
      <c r="B86" s="3" t="s">
        <v>11143</v>
      </c>
      <c r="C86" s="3" t="s">
        <v>11037</v>
      </c>
      <c r="D86" s="3" t="s">
        <v>11142</v>
      </c>
      <c r="E86" s="3"/>
      <c r="F86" s="3">
        <v>100000</v>
      </c>
      <c r="G86" s="3">
        <v>241165.64</v>
      </c>
    </row>
    <row r="87" spans="1:7" hidden="1">
      <c r="A87" s="3" t="s">
        <v>10946</v>
      </c>
      <c r="B87" s="3" t="s">
        <v>10871</v>
      </c>
      <c r="C87" s="3" t="s">
        <v>6682</v>
      </c>
      <c r="D87" s="3" t="s">
        <v>10946</v>
      </c>
      <c r="E87" s="3">
        <v>29565.51</v>
      </c>
      <c r="F87" s="3"/>
      <c r="G87" s="3">
        <v>211600.13</v>
      </c>
    </row>
    <row r="88" spans="1:7" hidden="1">
      <c r="A88" s="3" t="s">
        <v>10947</v>
      </c>
      <c r="B88" s="3" t="s">
        <v>10948</v>
      </c>
      <c r="C88" s="3" t="s">
        <v>10949</v>
      </c>
      <c r="D88" s="3" t="s">
        <v>10947</v>
      </c>
      <c r="E88" s="3">
        <v>4390.34</v>
      </c>
      <c r="F88" s="3"/>
      <c r="G88" s="3">
        <v>207209.79</v>
      </c>
    </row>
    <row r="89" spans="1:7" hidden="1">
      <c r="A89" s="3" t="s">
        <v>10950</v>
      </c>
      <c r="B89" s="3" t="s">
        <v>10951</v>
      </c>
      <c r="C89" s="3" t="s">
        <v>10952</v>
      </c>
      <c r="D89" s="3" t="s">
        <v>10950</v>
      </c>
      <c r="E89" s="3">
        <v>1000</v>
      </c>
      <c r="F89" s="3"/>
      <c r="G89" s="3">
        <v>206209.79</v>
      </c>
    </row>
    <row r="90" spans="1:7" hidden="1">
      <c r="A90" s="3" t="s">
        <v>11144</v>
      </c>
      <c r="B90" s="3" t="s">
        <v>11145</v>
      </c>
      <c r="C90" s="3" t="s">
        <v>11146</v>
      </c>
      <c r="D90" s="3" t="s">
        <v>11144</v>
      </c>
      <c r="E90" s="3">
        <v>29201</v>
      </c>
      <c r="F90" s="3"/>
      <c r="G90" s="3">
        <v>177008.79</v>
      </c>
    </row>
    <row r="91" spans="1:7" hidden="1">
      <c r="A91" s="3" t="s">
        <v>11147</v>
      </c>
      <c r="B91" s="3" t="s">
        <v>11148</v>
      </c>
      <c r="C91" s="3" t="s">
        <v>11037</v>
      </c>
      <c r="D91" s="3" t="s">
        <v>11147</v>
      </c>
      <c r="E91" s="3"/>
      <c r="F91" s="3">
        <v>100000</v>
      </c>
      <c r="G91" s="3">
        <v>277008.78999999998</v>
      </c>
    </row>
    <row r="92" spans="1:7" hidden="1">
      <c r="A92" s="3" t="s">
        <v>11149</v>
      </c>
      <c r="B92" s="3" t="s">
        <v>11064</v>
      </c>
      <c r="C92" s="3" t="s">
        <v>6682</v>
      </c>
      <c r="D92" s="3" t="s">
        <v>11149</v>
      </c>
      <c r="E92" s="3"/>
      <c r="F92" s="3">
        <v>9732.4500000000007</v>
      </c>
      <c r="G92" s="3">
        <v>286741.24</v>
      </c>
    </row>
    <row r="93" spans="1:7" hidden="1">
      <c r="A93" s="3" t="s">
        <v>10953</v>
      </c>
      <c r="B93" s="3" t="s">
        <v>10871</v>
      </c>
      <c r="C93" s="3" t="s">
        <v>6682</v>
      </c>
      <c r="D93" s="3" t="s">
        <v>10953</v>
      </c>
      <c r="E93" s="3">
        <v>29217.06</v>
      </c>
      <c r="F93" s="3"/>
      <c r="G93" s="3">
        <v>257524.18</v>
      </c>
    </row>
    <row r="94" spans="1:7" hidden="1">
      <c r="A94" s="3" t="s">
        <v>11150</v>
      </c>
      <c r="B94" s="3" t="s">
        <v>11151</v>
      </c>
      <c r="C94" s="3" t="s">
        <v>11152</v>
      </c>
      <c r="D94" s="3" t="s">
        <v>11150</v>
      </c>
      <c r="E94" s="3">
        <v>29201</v>
      </c>
      <c r="F94" s="3"/>
      <c r="G94" s="3">
        <v>228323.18</v>
      </c>
    </row>
    <row r="95" spans="1:7" hidden="1">
      <c r="A95" s="3" t="s">
        <v>10954</v>
      </c>
      <c r="B95" s="3" t="s">
        <v>10871</v>
      </c>
      <c r="C95" s="3" t="s">
        <v>6682</v>
      </c>
      <c r="D95" s="3" t="s">
        <v>10954</v>
      </c>
      <c r="E95" s="3">
        <v>16061.75</v>
      </c>
      <c r="F95" s="3"/>
      <c r="G95" s="3">
        <v>212261.43</v>
      </c>
    </row>
    <row r="96" spans="1:7" hidden="1">
      <c r="A96" s="3" t="s">
        <v>11153</v>
      </c>
      <c r="B96" s="3" t="s">
        <v>11154</v>
      </c>
      <c r="C96" s="3" t="s">
        <v>11155</v>
      </c>
      <c r="D96" s="3" t="s">
        <v>11153</v>
      </c>
      <c r="E96" s="3">
        <v>27000</v>
      </c>
      <c r="F96" s="3"/>
      <c r="G96" s="3">
        <v>185261.43</v>
      </c>
    </row>
    <row r="97" spans="1:7" hidden="1">
      <c r="A97" s="3" t="s">
        <v>10955</v>
      </c>
      <c r="B97" s="3" t="s">
        <v>10871</v>
      </c>
      <c r="C97" s="3" t="s">
        <v>6682</v>
      </c>
      <c r="D97" s="3" t="s">
        <v>10955</v>
      </c>
      <c r="E97" s="3">
        <v>20196.13</v>
      </c>
      <c r="F97" s="3"/>
      <c r="G97" s="3">
        <v>165065.29999999999</v>
      </c>
    </row>
    <row r="98" spans="1:7" hidden="1">
      <c r="A98" s="3" t="s">
        <v>11156</v>
      </c>
      <c r="B98" s="3" t="s">
        <v>11157</v>
      </c>
      <c r="C98" s="3" t="s">
        <v>11158</v>
      </c>
      <c r="D98" s="3" t="s">
        <v>11156</v>
      </c>
      <c r="E98" s="3">
        <v>27000</v>
      </c>
      <c r="F98" s="3"/>
      <c r="G98" s="3">
        <v>138065.29999999999</v>
      </c>
    </row>
    <row r="99" spans="1:7" hidden="1">
      <c r="A99" s="3" t="s">
        <v>10956</v>
      </c>
      <c r="B99" s="3" t="s">
        <v>10871</v>
      </c>
      <c r="C99" s="3" t="s">
        <v>6682</v>
      </c>
      <c r="D99" s="3" t="s">
        <v>10956</v>
      </c>
      <c r="E99" s="3">
        <v>32357.61</v>
      </c>
      <c r="F99" s="3"/>
      <c r="G99" s="3">
        <v>105707.69</v>
      </c>
    </row>
    <row r="100" spans="1:7" hidden="1">
      <c r="A100" s="3" t="s">
        <v>10956</v>
      </c>
      <c r="B100" s="3" t="s">
        <v>11159</v>
      </c>
      <c r="C100" s="3" t="s">
        <v>11037</v>
      </c>
      <c r="D100" s="3" t="s">
        <v>10956</v>
      </c>
      <c r="E100" s="3"/>
      <c r="F100" s="3">
        <v>200000</v>
      </c>
      <c r="G100" s="3">
        <v>305707.69</v>
      </c>
    </row>
    <row r="101" spans="1:7" hidden="1">
      <c r="A101" s="3" t="s">
        <v>10957</v>
      </c>
      <c r="B101" s="3" t="s">
        <v>10871</v>
      </c>
      <c r="C101" s="3" t="s">
        <v>6682</v>
      </c>
      <c r="D101" s="3" t="s">
        <v>10957</v>
      </c>
      <c r="E101" s="3">
        <v>32996.78</v>
      </c>
      <c r="F101" s="3"/>
      <c r="G101" s="3">
        <v>272710.90999999997</v>
      </c>
    </row>
    <row r="102" spans="1:7" hidden="1">
      <c r="A102" s="3" t="s">
        <v>11160</v>
      </c>
      <c r="B102" s="3" t="s">
        <v>11157</v>
      </c>
      <c r="C102" s="3" t="s">
        <v>11161</v>
      </c>
      <c r="D102" s="3" t="s">
        <v>11160</v>
      </c>
      <c r="E102" s="3">
        <v>16963</v>
      </c>
      <c r="F102" s="3"/>
      <c r="G102" s="3">
        <v>255747.91</v>
      </c>
    </row>
    <row r="103" spans="1:7" hidden="1">
      <c r="A103" s="3" t="s">
        <v>11162</v>
      </c>
      <c r="B103" s="3" t="s">
        <v>11157</v>
      </c>
      <c r="C103" s="3" t="s">
        <v>11163</v>
      </c>
      <c r="D103" s="3" t="s">
        <v>11162</v>
      </c>
      <c r="E103" s="3">
        <v>16963</v>
      </c>
      <c r="F103" s="3"/>
      <c r="G103" s="3">
        <v>238784.91</v>
      </c>
    </row>
    <row r="104" spans="1:7" hidden="1">
      <c r="A104" s="3" t="s">
        <v>10958</v>
      </c>
      <c r="B104" s="3" t="s">
        <v>10871</v>
      </c>
      <c r="C104" s="3" t="s">
        <v>6682</v>
      </c>
      <c r="D104" s="3" t="s">
        <v>10958</v>
      </c>
      <c r="E104" s="3">
        <v>22312.38</v>
      </c>
      <c r="F104" s="3"/>
      <c r="G104" s="3">
        <v>216472.53</v>
      </c>
    </row>
    <row r="105" spans="1:7" hidden="1">
      <c r="A105" s="3" t="s">
        <v>11164</v>
      </c>
      <c r="B105" s="3" t="s">
        <v>11157</v>
      </c>
      <c r="C105" s="3" t="s">
        <v>11165</v>
      </c>
      <c r="D105" s="3" t="s">
        <v>11164</v>
      </c>
      <c r="E105" s="3">
        <v>16963</v>
      </c>
      <c r="F105" s="3"/>
      <c r="G105" s="3">
        <v>199509.53</v>
      </c>
    </row>
    <row r="106" spans="1:7" hidden="1">
      <c r="A106" s="3" t="s">
        <v>11166</v>
      </c>
      <c r="B106" s="3" t="s">
        <v>11064</v>
      </c>
      <c r="C106" s="3" t="s">
        <v>6682</v>
      </c>
      <c r="D106" s="3" t="s">
        <v>11167</v>
      </c>
      <c r="E106" s="3"/>
      <c r="F106" s="3">
        <v>4570.3500000000004</v>
      </c>
      <c r="G106" s="3">
        <v>204079.88</v>
      </c>
    </row>
    <row r="107" spans="1:7" hidden="1">
      <c r="A107" s="3" t="s">
        <v>11168</v>
      </c>
      <c r="B107" s="3" t="s">
        <v>11169</v>
      </c>
      <c r="C107" s="3" t="s">
        <v>6682</v>
      </c>
      <c r="D107" s="3" t="s">
        <v>11168</v>
      </c>
      <c r="E107" s="3">
        <v>1000</v>
      </c>
      <c r="F107" s="3"/>
      <c r="G107" s="3">
        <v>203079.88</v>
      </c>
    </row>
    <row r="108" spans="1:7" hidden="1">
      <c r="A108" s="3" t="s">
        <v>11168</v>
      </c>
      <c r="B108" s="3" t="s">
        <v>11169</v>
      </c>
      <c r="C108" s="3" t="s">
        <v>6682</v>
      </c>
      <c r="D108" s="3" t="s">
        <v>11168</v>
      </c>
      <c r="E108" s="3">
        <v>1000</v>
      </c>
      <c r="F108" s="3"/>
      <c r="G108" s="3">
        <v>202079.88</v>
      </c>
    </row>
    <row r="109" spans="1:7" hidden="1">
      <c r="A109" s="3" t="s">
        <v>11168</v>
      </c>
      <c r="B109" s="3" t="s">
        <v>11169</v>
      </c>
      <c r="C109" s="3" t="s">
        <v>6682</v>
      </c>
      <c r="D109" s="3" t="s">
        <v>11168</v>
      </c>
      <c r="E109" s="3">
        <v>1000</v>
      </c>
      <c r="F109" s="3"/>
      <c r="G109" s="3">
        <v>201079.88</v>
      </c>
    </row>
    <row r="110" spans="1:7" hidden="1">
      <c r="A110" s="3" t="s">
        <v>11168</v>
      </c>
      <c r="B110" s="3" t="s">
        <v>11170</v>
      </c>
      <c r="C110" s="3" t="s">
        <v>6682</v>
      </c>
      <c r="D110" s="3" t="s">
        <v>11168</v>
      </c>
      <c r="E110" s="3">
        <v>1000</v>
      </c>
      <c r="F110" s="3"/>
      <c r="G110" s="3">
        <v>200079.88</v>
      </c>
    </row>
    <row r="111" spans="1:7" hidden="1">
      <c r="A111" s="3" t="s">
        <v>10959</v>
      </c>
      <c r="B111" s="3" t="s">
        <v>10871</v>
      </c>
      <c r="C111" s="3" t="s">
        <v>6682</v>
      </c>
      <c r="D111" s="3" t="s">
        <v>10959</v>
      </c>
      <c r="E111" s="3">
        <v>31212.49</v>
      </c>
      <c r="F111" s="3"/>
      <c r="G111" s="3">
        <v>168867.39</v>
      </c>
    </row>
    <row r="112" spans="1:7" hidden="1">
      <c r="A112" s="3" t="s">
        <v>11171</v>
      </c>
      <c r="B112" s="3" t="s">
        <v>11157</v>
      </c>
      <c r="C112" s="3" t="s">
        <v>11172</v>
      </c>
      <c r="D112" s="3" t="s">
        <v>11171</v>
      </c>
      <c r="E112" s="3">
        <v>16963</v>
      </c>
      <c r="F112" s="3"/>
      <c r="G112" s="3">
        <v>151904.39000000001</v>
      </c>
    </row>
    <row r="113" spans="1:7" hidden="1">
      <c r="A113" s="3" t="s">
        <v>11173</v>
      </c>
      <c r="B113" s="3" t="s">
        <v>11174</v>
      </c>
      <c r="C113" s="3" t="s">
        <v>6682</v>
      </c>
      <c r="D113" s="3" t="s">
        <v>11173</v>
      </c>
      <c r="E113" s="3">
        <v>1000</v>
      </c>
      <c r="F113" s="3"/>
      <c r="G113" s="3">
        <v>150904.39000000001</v>
      </c>
    </row>
    <row r="114" spans="1:7" hidden="1">
      <c r="A114" s="3" t="s">
        <v>11173</v>
      </c>
      <c r="B114" s="3" t="s">
        <v>11175</v>
      </c>
      <c r="C114" s="3" t="s">
        <v>6682</v>
      </c>
      <c r="D114" s="3" t="s">
        <v>11173</v>
      </c>
      <c r="E114" s="3">
        <v>1000</v>
      </c>
      <c r="F114" s="3"/>
      <c r="G114" s="3">
        <v>149904.39000000001</v>
      </c>
    </row>
    <row r="115" spans="1:7" hidden="1">
      <c r="A115" s="3" t="s">
        <v>11173</v>
      </c>
      <c r="B115" s="3" t="s">
        <v>11176</v>
      </c>
      <c r="C115" s="3" t="s">
        <v>6682</v>
      </c>
      <c r="D115" s="3" t="s">
        <v>11173</v>
      </c>
      <c r="E115" s="3">
        <v>1000</v>
      </c>
      <c r="F115" s="3"/>
      <c r="G115" s="3">
        <v>148904.39000000001</v>
      </c>
    </row>
    <row r="116" spans="1:7" hidden="1">
      <c r="A116" s="3" t="s">
        <v>11173</v>
      </c>
      <c r="B116" s="3" t="s">
        <v>11177</v>
      </c>
      <c r="C116" s="3" t="s">
        <v>6682</v>
      </c>
      <c r="D116" s="3" t="s">
        <v>11173</v>
      </c>
      <c r="E116" s="3">
        <v>1000</v>
      </c>
      <c r="F116" s="3"/>
      <c r="G116" s="3">
        <v>147904.39000000001</v>
      </c>
    </row>
    <row r="117" spans="1:7" hidden="1">
      <c r="A117" s="3" t="s">
        <v>11178</v>
      </c>
      <c r="B117" s="3" t="s">
        <v>11179</v>
      </c>
      <c r="C117" s="3" t="s">
        <v>11037</v>
      </c>
      <c r="D117" s="3" t="s">
        <v>11178</v>
      </c>
      <c r="E117" s="3"/>
      <c r="F117" s="3">
        <v>200000</v>
      </c>
      <c r="G117" s="3">
        <v>347904.39</v>
      </c>
    </row>
    <row r="118" spans="1:7" hidden="1">
      <c r="A118" s="3" t="s">
        <v>10960</v>
      </c>
      <c r="B118" s="3" t="s">
        <v>10961</v>
      </c>
      <c r="C118" s="3" t="s">
        <v>10962</v>
      </c>
      <c r="D118" s="3" t="s">
        <v>10960</v>
      </c>
      <c r="E118" s="3">
        <v>2250</v>
      </c>
      <c r="F118" s="3"/>
      <c r="G118" s="3">
        <v>345654.39</v>
      </c>
    </row>
    <row r="119" spans="1:7" hidden="1">
      <c r="A119" s="3" t="s">
        <v>11180</v>
      </c>
      <c r="B119" s="3" t="s">
        <v>11157</v>
      </c>
      <c r="C119" s="3" t="s">
        <v>11181</v>
      </c>
      <c r="D119" s="3" t="s">
        <v>11180</v>
      </c>
      <c r="E119" s="3">
        <v>16963</v>
      </c>
      <c r="F119" s="3"/>
      <c r="G119" s="3">
        <v>328691.39</v>
      </c>
    </row>
    <row r="120" spans="1:7" hidden="1">
      <c r="A120" s="3" t="s">
        <v>10963</v>
      </c>
      <c r="B120" s="3" t="s">
        <v>10871</v>
      </c>
      <c r="C120" s="3" t="s">
        <v>6682</v>
      </c>
      <c r="D120" s="3" t="s">
        <v>10963</v>
      </c>
      <c r="E120" s="3">
        <v>23038.41</v>
      </c>
      <c r="F120" s="3"/>
      <c r="G120" s="3">
        <v>305652.98</v>
      </c>
    </row>
    <row r="121" spans="1:7" hidden="1">
      <c r="A121" s="3" t="s">
        <v>11182</v>
      </c>
      <c r="B121" s="3" t="s">
        <v>11174</v>
      </c>
      <c r="C121" s="3" t="s">
        <v>6682</v>
      </c>
      <c r="D121" s="3" t="s">
        <v>11183</v>
      </c>
      <c r="E121" s="3">
        <v>1000</v>
      </c>
      <c r="F121" s="3"/>
      <c r="G121" s="3">
        <v>304652.98</v>
      </c>
    </row>
    <row r="122" spans="1:7" hidden="1">
      <c r="A122" s="3" t="s">
        <v>11182</v>
      </c>
      <c r="B122" s="3" t="s">
        <v>11175</v>
      </c>
      <c r="C122" s="3" t="s">
        <v>6682</v>
      </c>
      <c r="D122" s="3" t="s">
        <v>11183</v>
      </c>
      <c r="E122" s="3">
        <v>1000</v>
      </c>
      <c r="F122" s="3"/>
      <c r="G122" s="3">
        <v>303652.98</v>
      </c>
    </row>
    <row r="123" spans="1:7" hidden="1">
      <c r="A123" s="3" t="s">
        <v>11182</v>
      </c>
      <c r="B123" s="3" t="s">
        <v>11176</v>
      </c>
      <c r="C123" s="3" t="s">
        <v>6682</v>
      </c>
      <c r="D123" s="3" t="s">
        <v>11183</v>
      </c>
      <c r="E123" s="3">
        <v>1000</v>
      </c>
      <c r="F123" s="3"/>
      <c r="G123" s="3">
        <v>302652.98</v>
      </c>
    </row>
    <row r="124" spans="1:7" hidden="1">
      <c r="A124" s="3" t="s">
        <v>11182</v>
      </c>
      <c r="B124" s="3" t="s">
        <v>11177</v>
      </c>
      <c r="C124" s="3" t="s">
        <v>6682</v>
      </c>
      <c r="D124" s="3" t="s">
        <v>11183</v>
      </c>
      <c r="E124" s="3">
        <v>1000</v>
      </c>
      <c r="F124" s="3"/>
      <c r="G124" s="3">
        <v>301652.98</v>
      </c>
    </row>
    <row r="125" spans="1:7" hidden="1">
      <c r="A125" s="3" t="s">
        <v>10964</v>
      </c>
      <c r="B125" s="3" t="s">
        <v>10965</v>
      </c>
      <c r="C125" s="3" t="s">
        <v>10966</v>
      </c>
      <c r="D125" s="3" t="s">
        <v>10964</v>
      </c>
      <c r="E125" s="3">
        <v>2500</v>
      </c>
      <c r="F125" s="3"/>
      <c r="G125" s="3">
        <v>299152.98</v>
      </c>
    </row>
    <row r="126" spans="1:7" hidden="1">
      <c r="A126" s="3" t="s">
        <v>10967</v>
      </c>
      <c r="B126" s="3" t="s">
        <v>10968</v>
      </c>
      <c r="C126" s="3" t="s">
        <v>6682</v>
      </c>
      <c r="D126" s="3" t="s">
        <v>10967</v>
      </c>
      <c r="E126" s="3">
        <v>118593.85</v>
      </c>
      <c r="F126" s="3"/>
      <c r="G126" s="3">
        <v>180559.13</v>
      </c>
    </row>
    <row r="127" spans="1:7" hidden="1">
      <c r="A127" s="3" t="s">
        <v>10969</v>
      </c>
      <c r="B127" s="3" t="s">
        <v>10970</v>
      </c>
      <c r="C127" s="3" t="s">
        <v>10971</v>
      </c>
      <c r="D127" s="3" t="s">
        <v>10969</v>
      </c>
      <c r="E127" s="3">
        <v>2500</v>
      </c>
      <c r="F127" s="3"/>
      <c r="G127" s="3">
        <v>178059.13</v>
      </c>
    </row>
    <row r="128" spans="1:7" hidden="1">
      <c r="A128" s="3" t="s">
        <v>10969</v>
      </c>
      <c r="B128" s="3" t="s">
        <v>11184</v>
      </c>
      <c r="C128" s="3" t="s">
        <v>6682</v>
      </c>
      <c r="D128" s="3" t="s">
        <v>10969</v>
      </c>
      <c r="E128" s="3">
        <v>1000</v>
      </c>
      <c r="F128" s="3"/>
      <c r="G128" s="3">
        <v>177059.13</v>
      </c>
    </row>
    <row r="129" spans="1:7" hidden="1">
      <c r="A129" s="3" t="s">
        <v>10969</v>
      </c>
      <c r="B129" s="3" t="s">
        <v>11185</v>
      </c>
      <c r="C129" s="3" t="s">
        <v>6682</v>
      </c>
      <c r="D129" s="3" t="s">
        <v>10969</v>
      </c>
      <c r="E129" s="3">
        <v>1000</v>
      </c>
      <c r="F129" s="3"/>
      <c r="G129" s="3">
        <v>176059.13</v>
      </c>
    </row>
    <row r="130" spans="1:7" hidden="1">
      <c r="A130" s="3" t="s">
        <v>10969</v>
      </c>
      <c r="B130" s="3" t="s">
        <v>11186</v>
      </c>
      <c r="C130" s="3" t="s">
        <v>6682</v>
      </c>
      <c r="D130" s="3" t="s">
        <v>10969</v>
      </c>
      <c r="E130" s="3">
        <v>1000</v>
      </c>
      <c r="F130" s="3"/>
      <c r="G130" s="3">
        <v>175059.13</v>
      </c>
    </row>
    <row r="131" spans="1:7" hidden="1">
      <c r="A131" s="3" t="s">
        <v>10969</v>
      </c>
      <c r="B131" s="3" t="s">
        <v>11187</v>
      </c>
      <c r="C131" s="3" t="s">
        <v>6682</v>
      </c>
      <c r="D131" s="3" t="s">
        <v>10969</v>
      </c>
      <c r="E131" s="3">
        <v>1000</v>
      </c>
      <c r="F131" s="3"/>
      <c r="G131" s="3">
        <v>174059.13</v>
      </c>
    </row>
    <row r="132" spans="1:7" hidden="1">
      <c r="A132" s="3" t="s">
        <v>10972</v>
      </c>
      <c r="B132" s="3" t="s">
        <v>10973</v>
      </c>
      <c r="C132" s="3" t="s">
        <v>10974</v>
      </c>
      <c r="D132" s="3" t="s">
        <v>10972</v>
      </c>
      <c r="E132" s="3">
        <v>4703</v>
      </c>
      <c r="F132" s="3"/>
      <c r="G132" s="3">
        <v>169356.13</v>
      </c>
    </row>
    <row r="133" spans="1:7" hidden="1">
      <c r="A133" s="3" t="s">
        <v>10975</v>
      </c>
      <c r="B133" s="3" t="s">
        <v>10968</v>
      </c>
      <c r="C133" s="3" t="s">
        <v>6682</v>
      </c>
      <c r="D133" s="3" t="s">
        <v>10975</v>
      </c>
      <c r="E133" s="3">
        <v>5533.38</v>
      </c>
      <c r="F133" s="3"/>
      <c r="G133" s="3">
        <v>163822.75</v>
      </c>
    </row>
    <row r="134" spans="1:7" hidden="1">
      <c r="A134" s="3" t="s">
        <v>11188</v>
      </c>
      <c r="B134" s="3" t="s">
        <v>11184</v>
      </c>
      <c r="C134" s="3" t="s">
        <v>6682</v>
      </c>
      <c r="D134" s="3" t="s">
        <v>11189</v>
      </c>
      <c r="E134" s="3">
        <v>1000</v>
      </c>
      <c r="F134" s="3"/>
      <c r="G134" s="3">
        <v>162822.75</v>
      </c>
    </row>
    <row r="135" spans="1:7" hidden="1">
      <c r="A135" s="3" t="s">
        <v>11188</v>
      </c>
      <c r="B135" s="3" t="s">
        <v>11185</v>
      </c>
      <c r="C135" s="3" t="s">
        <v>6682</v>
      </c>
      <c r="D135" s="3" t="s">
        <v>11189</v>
      </c>
      <c r="E135" s="3">
        <v>1000</v>
      </c>
      <c r="F135" s="3"/>
      <c r="G135" s="3">
        <v>161822.75</v>
      </c>
    </row>
    <row r="136" spans="1:7" hidden="1">
      <c r="A136" s="3" t="s">
        <v>11188</v>
      </c>
      <c r="B136" s="3" t="s">
        <v>11186</v>
      </c>
      <c r="C136" s="3" t="s">
        <v>6682</v>
      </c>
      <c r="D136" s="3" t="s">
        <v>11189</v>
      </c>
      <c r="E136" s="3">
        <v>1000</v>
      </c>
      <c r="F136" s="3"/>
      <c r="G136" s="3">
        <v>160822.75</v>
      </c>
    </row>
    <row r="137" spans="1:7" hidden="1">
      <c r="A137" s="3" t="s">
        <v>11188</v>
      </c>
      <c r="B137" s="3" t="s">
        <v>11187</v>
      </c>
      <c r="C137" s="3" t="s">
        <v>6682</v>
      </c>
      <c r="D137" s="3" t="s">
        <v>11189</v>
      </c>
      <c r="E137" s="3">
        <v>1000</v>
      </c>
      <c r="F137" s="3"/>
      <c r="G137" s="3">
        <v>159822.75</v>
      </c>
    </row>
    <row r="138" spans="1:7" hidden="1">
      <c r="A138" s="3" t="s">
        <v>10976</v>
      </c>
      <c r="B138" s="3" t="s">
        <v>10977</v>
      </c>
      <c r="C138" s="3" t="s">
        <v>10978</v>
      </c>
      <c r="D138" s="3" t="s">
        <v>10976</v>
      </c>
      <c r="E138" s="3">
        <v>5150</v>
      </c>
      <c r="F138" s="3"/>
      <c r="G138" s="3">
        <v>154672.75</v>
      </c>
    </row>
    <row r="139" spans="1:7" hidden="1">
      <c r="A139" s="3" t="s">
        <v>10979</v>
      </c>
      <c r="B139" s="3" t="s">
        <v>10968</v>
      </c>
      <c r="C139" s="3" t="s">
        <v>6682</v>
      </c>
      <c r="D139" s="3" t="s">
        <v>10979</v>
      </c>
      <c r="E139" s="3">
        <v>39409.5</v>
      </c>
      <c r="F139" s="3"/>
      <c r="G139" s="3">
        <v>115263.25</v>
      </c>
    </row>
    <row r="140" spans="1:7" hidden="1">
      <c r="A140" s="3" t="s">
        <v>10979</v>
      </c>
      <c r="B140" s="3" t="s">
        <v>11190</v>
      </c>
      <c r="C140" s="3" t="s">
        <v>11191</v>
      </c>
      <c r="D140" s="3" t="s">
        <v>10979</v>
      </c>
      <c r="E140" s="3"/>
      <c r="F140" s="3">
        <v>200000</v>
      </c>
      <c r="G140" s="3">
        <v>315263.25</v>
      </c>
    </row>
    <row r="141" spans="1:7" hidden="1">
      <c r="A141" s="3" t="s">
        <v>11192</v>
      </c>
      <c r="B141" s="3" t="s">
        <v>11184</v>
      </c>
      <c r="C141" s="3" t="s">
        <v>6682</v>
      </c>
      <c r="D141" s="3" t="s">
        <v>11193</v>
      </c>
      <c r="E141" s="3">
        <v>1000</v>
      </c>
      <c r="F141" s="3"/>
      <c r="G141" s="3">
        <v>314263.25</v>
      </c>
    </row>
    <row r="142" spans="1:7" hidden="1">
      <c r="A142" s="3" t="s">
        <v>11192</v>
      </c>
      <c r="B142" s="3" t="s">
        <v>11185</v>
      </c>
      <c r="C142" s="3" t="s">
        <v>6682</v>
      </c>
      <c r="D142" s="3" t="s">
        <v>11193</v>
      </c>
      <c r="E142" s="3">
        <v>1000</v>
      </c>
      <c r="F142" s="3"/>
      <c r="G142" s="3">
        <v>313263.25</v>
      </c>
    </row>
    <row r="143" spans="1:7" hidden="1">
      <c r="A143" s="3" t="s">
        <v>11192</v>
      </c>
      <c r="B143" s="3" t="s">
        <v>11186</v>
      </c>
      <c r="C143" s="3" t="s">
        <v>6682</v>
      </c>
      <c r="D143" s="3" t="s">
        <v>11193</v>
      </c>
      <c r="E143" s="3">
        <v>1000</v>
      </c>
      <c r="F143" s="3"/>
      <c r="G143" s="3">
        <v>312263.25</v>
      </c>
    </row>
    <row r="144" spans="1:7" hidden="1">
      <c r="A144" s="3" t="s">
        <v>11192</v>
      </c>
      <c r="B144" s="3" t="s">
        <v>11187</v>
      </c>
      <c r="C144" s="3" t="s">
        <v>6682</v>
      </c>
      <c r="D144" s="3" t="s">
        <v>11193</v>
      </c>
      <c r="E144" s="3">
        <v>1000</v>
      </c>
      <c r="F144" s="3"/>
      <c r="G144" s="3">
        <v>311263.25</v>
      </c>
    </row>
    <row r="145" spans="1:7" hidden="1">
      <c r="A145" s="3" t="s">
        <v>10980</v>
      </c>
      <c r="B145" s="3" t="s">
        <v>10981</v>
      </c>
      <c r="C145" s="3" t="s">
        <v>10982</v>
      </c>
      <c r="D145" s="3" t="s">
        <v>10980</v>
      </c>
      <c r="E145" s="3">
        <v>693.53</v>
      </c>
      <c r="F145" s="3"/>
      <c r="G145" s="3">
        <v>310569.71999999997</v>
      </c>
    </row>
    <row r="146" spans="1:7" hidden="1">
      <c r="A146" s="3" t="s">
        <v>11194</v>
      </c>
      <c r="B146" s="3" t="s">
        <v>4256</v>
      </c>
      <c r="C146" s="3" t="s">
        <v>6682</v>
      </c>
      <c r="D146" s="3" t="s">
        <v>11195</v>
      </c>
      <c r="E146" s="3"/>
      <c r="F146" s="3">
        <v>4489</v>
      </c>
      <c r="G146" s="3">
        <v>315058.71999999997</v>
      </c>
    </row>
    <row r="147" spans="1:7">
      <c r="A147" s="3" t="s">
        <v>11196</v>
      </c>
      <c r="B147" s="3" t="s">
        <v>11197</v>
      </c>
      <c r="C147" s="3" t="s">
        <v>11198</v>
      </c>
      <c r="D147" s="3" t="s">
        <v>11196</v>
      </c>
      <c r="E147" s="3"/>
      <c r="F147" s="3">
        <v>300000</v>
      </c>
      <c r="G147" s="3">
        <v>615058.72</v>
      </c>
    </row>
    <row r="148" spans="1:7" hidden="1">
      <c r="A148" s="3" t="s">
        <v>11199</v>
      </c>
      <c r="B148" s="3" t="s">
        <v>11184</v>
      </c>
      <c r="C148" s="3" t="s">
        <v>6682</v>
      </c>
      <c r="D148" s="3" t="s">
        <v>11199</v>
      </c>
      <c r="E148" s="3">
        <v>1000</v>
      </c>
      <c r="F148" s="3"/>
      <c r="G148" s="3">
        <v>614058.72</v>
      </c>
    </row>
    <row r="149" spans="1:7" hidden="1">
      <c r="A149" s="3" t="s">
        <v>11199</v>
      </c>
      <c r="B149" s="3" t="s">
        <v>11185</v>
      </c>
      <c r="C149" s="3" t="s">
        <v>6682</v>
      </c>
      <c r="D149" s="3" t="s">
        <v>11199</v>
      </c>
      <c r="E149" s="3">
        <v>1000</v>
      </c>
      <c r="F149" s="3"/>
      <c r="G149" s="3">
        <v>613058.72</v>
      </c>
    </row>
    <row r="150" spans="1:7" hidden="1">
      <c r="A150" s="3" t="s">
        <v>11199</v>
      </c>
      <c r="B150" s="3" t="s">
        <v>11186</v>
      </c>
      <c r="C150" s="3" t="s">
        <v>6682</v>
      </c>
      <c r="D150" s="3" t="s">
        <v>11199</v>
      </c>
      <c r="E150" s="3">
        <v>1000</v>
      </c>
      <c r="F150" s="3"/>
      <c r="G150" s="3">
        <v>612058.72</v>
      </c>
    </row>
    <row r="151" spans="1:7" hidden="1">
      <c r="A151" s="3" t="s">
        <v>11199</v>
      </c>
      <c r="B151" s="3" t="s">
        <v>11187</v>
      </c>
      <c r="C151" s="3" t="s">
        <v>6682</v>
      </c>
      <c r="D151" s="3" t="s">
        <v>11199</v>
      </c>
      <c r="E151" s="3">
        <v>1000</v>
      </c>
      <c r="F151" s="3"/>
      <c r="G151" s="3">
        <v>611058.72</v>
      </c>
    </row>
    <row r="152" spans="1:7" hidden="1">
      <c r="A152" s="3" t="s">
        <v>10983</v>
      </c>
      <c r="B152" s="3" t="s">
        <v>10981</v>
      </c>
      <c r="C152" s="3" t="s">
        <v>10984</v>
      </c>
      <c r="D152" s="3" t="s">
        <v>10983</v>
      </c>
      <c r="E152" s="3">
        <v>5228.32</v>
      </c>
      <c r="F152" s="3"/>
      <c r="G152" s="3">
        <v>605830.40000000002</v>
      </c>
    </row>
    <row r="153" spans="1:7" hidden="1">
      <c r="A153" s="3" t="s">
        <v>10985</v>
      </c>
      <c r="B153" s="3" t="s">
        <v>10968</v>
      </c>
      <c r="C153" s="3" t="s">
        <v>6682</v>
      </c>
      <c r="D153" s="3" t="s">
        <v>10985</v>
      </c>
      <c r="E153" s="3">
        <v>20301</v>
      </c>
      <c r="F153" s="3"/>
      <c r="G153" s="3">
        <v>585529.4</v>
      </c>
    </row>
    <row r="154" spans="1:7" hidden="1">
      <c r="A154" s="3" t="s">
        <v>11200</v>
      </c>
      <c r="B154" s="3" t="s">
        <v>11201</v>
      </c>
      <c r="C154" s="3" t="s">
        <v>6682</v>
      </c>
      <c r="D154" s="3" t="s">
        <v>11200</v>
      </c>
      <c r="E154" s="3">
        <v>1000</v>
      </c>
      <c r="F154" s="3"/>
      <c r="G154" s="3">
        <v>584529.4</v>
      </c>
    </row>
    <row r="155" spans="1:7" hidden="1">
      <c r="A155" s="3" t="s">
        <v>11200</v>
      </c>
      <c r="B155" s="3" t="s">
        <v>11202</v>
      </c>
      <c r="C155" s="3" t="s">
        <v>6682</v>
      </c>
      <c r="D155" s="3" t="s">
        <v>11200</v>
      </c>
      <c r="E155" s="3">
        <v>1000</v>
      </c>
      <c r="F155" s="3"/>
      <c r="G155" s="3">
        <v>583529.4</v>
      </c>
    </row>
    <row r="156" spans="1:7" hidden="1">
      <c r="A156" s="3" t="s">
        <v>11200</v>
      </c>
      <c r="B156" s="3" t="s">
        <v>11203</v>
      </c>
      <c r="C156" s="3" t="s">
        <v>6682</v>
      </c>
      <c r="D156" s="3" t="s">
        <v>11200</v>
      </c>
      <c r="E156" s="3">
        <v>1000</v>
      </c>
      <c r="F156" s="3"/>
      <c r="G156" s="3">
        <v>582529.4</v>
      </c>
    </row>
    <row r="157" spans="1:7" hidden="1">
      <c r="A157" s="3" t="s">
        <v>11200</v>
      </c>
      <c r="B157" s="3" t="s">
        <v>11204</v>
      </c>
      <c r="C157" s="3" t="s">
        <v>6682</v>
      </c>
      <c r="D157" s="3" t="s">
        <v>11200</v>
      </c>
      <c r="E157" s="3">
        <v>1000</v>
      </c>
      <c r="F157" s="3"/>
      <c r="G157" s="3">
        <v>581529.4</v>
      </c>
    </row>
    <row r="158" spans="1:7" hidden="1">
      <c r="A158" s="3" t="s">
        <v>10986</v>
      </c>
      <c r="B158" s="3" t="s">
        <v>10968</v>
      </c>
      <c r="C158" s="3" t="s">
        <v>6682</v>
      </c>
      <c r="D158" s="3" t="s">
        <v>10986</v>
      </c>
      <c r="E158" s="3">
        <v>26063</v>
      </c>
      <c r="F158" s="3"/>
      <c r="G158" s="3">
        <v>555466.4</v>
      </c>
    </row>
    <row r="159" spans="1:7" hidden="1">
      <c r="A159" s="3" t="s">
        <v>11205</v>
      </c>
      <c r="B159" s="3" t="s">
        <v>11206</v>
      </c>
      <c r="C159" s="3" t="s">
        <v>6682</v>
      </c>
      <c r="D159" s="3" t="s">
        <v>11205</v>
      </c>
      <c r="E159" s="3">
        <v>1000</v>
      </c>
      <c r="F159" s="3"/>
      <c r="G159" s="3">
        <v>554466.4</v>
      </c>
    </row>
    <row r="160" spans="1:7" hidden="1">
      <c r="A160" s="3" t="s">
        <v>11205</v>
      </c>
      <c r="B160" s="3" t="s">
        <v>11207</v>
      </c>
      <c r="C160" s="3" t="s">
        <v>6682</v>
      </c>
      <c r="D160" s="3" t="s">
        <v>11205</v>
      </c>
      <c r="E160" s="3">
        <v>1000</v>
      </c>
      <c r="F160" s="3"/>
      <c r="G160" s="3">
        <v>553466.4</v>
      </c>
    </row>
    <row r="161" spans="1:7" hidden="1">
      <c r="A161" s="3" t="s">
        <v>11205</v>
      </c>
      <c r="B161" s="3" t="s">
        <v>11208</v>
      </c>
      <c r="C161" s="3" t="s">
        <v>6682</v>
      </c>
      <c r="D161" s="3" t="s">
        <v>11205</v>
      </c>
      <c r="E161" s="3">
        <v>1000</v>
      </c>
      <c r="F161" s="3"/>
      <c r="G161" s="3">
        <v>552466.4</v>
      </c>
    </row>
    <row r="162" spans="1:7" hidden="1">
      <c r="A162" s="3" t="s">
        <v>11205</v>
      </c>
      <c r="B162" s="3" t="s">
        <v>11209</v>
      </c>
      <c r="C162" s="3" t="s">
        <v>6682</v>
      </c>
      <c r="D162" s="3" t="s">
        <v>11205</v>
      </c>
      <c r="E162" s="3">
        <v>1000</v>
      </c>
      <c r="F162" s="3"/>
      <c r="G162" s="3">
        <v>551466.4</v>
      </c>
    </row>
    <row r="163" spans="1:7" hidden="1">
      <c r="A163" s="3" t="s">
        <v>10987</v>
      </c>
      <c r="B163" s="3" t="s">
        <v>10968</v>
      </c>
      <c r="C163" s="3" t="s">
        <v>6682</v>
      </c>
      <c r="D163" s="3" t="s">
        <v>10987</v>
      </c>
      <c r="E163" s="3">
        <v>55193.67</v>
      </c>
      <c r="F163" s="3"/>
      <c r="G163" s="3">
        <v>496272.73</v>
      </c>
    </row>
    <row r="164" spans="1:7" hidden="1">
      <c r="A164" s="3" t="s">
        <v>11210</v>
      </c>
      <c r="B164" s="3" t="s">
        <v>11211</v>
      </c>
      <c r="C164" s="3" t="s">
        <v>6682</v>
      </c>
      <c r="D164" s="3" t="s">
        <v>11210</v>
      </c>
      <c r="E164" s="3">
        <v>1000</v>
      </c>
      <c r="F164" s="3"/>
      <c r="G164" s="3">
        <v>495272.73</v>
      </c>
    </row>
    <row r="165" spans="1:7" hidden="1">
      <c r="A165" s="3" t="s">
        <v>11210</v>
      </c>
      <c r="B165" s="3" t="s">
        <v>11212</v>
      </c>
      <c r="C165" s="3" t="s">
        <v>6682</v>
      </c>
      <c r="D165" s="3" t="s">
        <v>11210</v>
      </c>
      <c r="E165" s="3">
        <v>1000</v>
      </c>
      <c r="F165" s="3"/>
      <c r="G165" s="3">
        <v>494272.73</v>
      </c>
    </row>
    <row r="166" spans="1:7" hidden="1">
      <c r="A166" s="3" t="s">
        <v>11210</v>
      </c>
      <c r="B166" s="3" t="s">
        <v>11213</v>
      </c>
      <c r="C166" s="3" t="s">
        <v>6682</v>
      </c>
      <c r="D166" s="3" t="s">
        <v>11210</v>
      </c>
      <c r="E166" s="3">
        <v>1000</v>
      </c>
      <c r="F166" s="3"/>
      <c r="G166" s="3">
        <v>493272.73</v>
      </c>
    </row>
    <row r="167" spans="1:7" hidden="1">
      <c r="A167" s="3" t="s">
        <v>11210</v>
      </c>
      <c r="B167" s="3" t="s">
        <v>11214</v>
      </c>
      <c r="C167" s="3" t="s">
        <v>6682</v>
      </c>
      <c r="D167" s="3" t="s">
        <v>11210</v>
      </c>
      <c r="E167" s="3">
        <v>1000</v>
      </c>
      <c r="F167" s="3"/>
      <c r="G167" s="3">
        <v>492272.73</v>
      </c>
    </row>
    <row r="168" spans="1:7" hidden="1">
      <c r="A168" s="3" t="s">
        <v>10988</v>
      </c>
      <c r="B168" s="3" t="s">
        <v>10968</v>
      </c>
      <c r="C168" s="3" t="s">
        <v>6682</v>
      </c>
      <c r="D168" s="3" t="s">
        <v>10988</v>
      </c>
      <c r="E168" s="3">
        <v>50000</v>
      </c>
      <c r="F168" s="3"/>
      <c r="G168" s="3">
        <v>442272.73</v>
      </c>
    </row>
    <row r="169" spans="1:7" hidden="1">
      <c r="A169" s="3" t="s">
        <v>10988</v>
      </c>
      <c r="B169" s="3" t="s">
        <v>11215</v>
      </c>
      <c r="C169" s="3" t="s">
        <v>11216</v>
      </c>
      <c r="D169" s="3" t="s">
        <v>10988</v>
      </c>
      <c r="E169" s="3"/>
      <c r="F169" s="3">
        <v>100000</v>
      </c>
      <c r="G169" s="3">
        <v>542272.73</v>
      </c>
    </row>
    <row r="170" spans="1:7" hidden="1">
      <c r="A170" s="3" t="s">
        <v>10989</v>
      </c>
      <c r="B170" s="3" t="s">
        <v>10968</v>
      </c>
      <c r="C170" s="3" t="s">
        <v>6682</v>
      </c>
      <c r="D170" s="3" t="s">
        <v>10989</v>
      </c>
      <c r="E170" s="3">
        <v>107000</v>
      </c>
      <c r="F170" s="3"/>
      <c r="G170" s="3">
        <v>435272.73</v>
      </c>
    </row>
    <row r="171" spans="1:7" hidden="1">
      <c r="A171" s="3" t="s">
        <v>11217</v>
      </c>
      <c r="B171" s="3" t="s">
        <v>11218</v>
      </c>
      <c r="C171" s="3" t="s">
        <v>6682</v>
      </c>
      <c r="D171" s="3" t="s">
        <v>11217</v>
      </c>
      <c r="E171" s="3">
        <v>1000</v>
      </c>
      <c r="F171" s="3"/>
      <c r="G171" s="3">
        <v>434272.73</v>
      </c>
    </row>
    <row r="172" spans="1:7" hidden="1">
      <c r="A172" s="3" t="s">
        <v>11217</v>
      </c>
      <c r="B172" s="3" t="s">
        <v>11219</v>
      </c>
      <c r="C172" s="3" t="s">
        <v>6682</v>
      </c>
      <c r="D172" s="3" t="s">
        <v>11217</v>
      </c>
      <c r="E172" s="3">
        <v>1000</v>
      </c>
      <c r="F172" s="3"/>
      <c r="G172" s="3">
        <v>433272.73</v>
      </c>
    </row>
    <row r="173" spans="1:7" hidden="1">
      <c r="A173" s="3" t="s">
        <v>11217</v>
      </c>
      <c r="B173" s="3" t="s">
        <v>11220</v>
      </c>
      <c r="C173" s="3" t="s">
        <v>6682</v>
      </c>
      <c r="D173" s="3" t="s">
        <v>11217</v>
      </c>
      <c r="E173" s="3">
        <v>1000</v>
      </c>
      <c r="F173" s="3"/>
      <c r="G173" s="3">
        <v>432272.73</v>
      </c>
    </row>
    <row r="174" spans="1:7" hidden="1">
      <c r="A174" s="3" t="s">
        <v>11217</v>
      </c>
      <c r="B174" s="3" t="s">
        <v>11221</v>
      </c>
      <c r="C174" s="3" t="s">
        <v>6682</v>
      </c>
      <c r="D174" s="3" t="s">
        <v>11217</v>
      </c>
      <c r="E174" s="3">
        <v>1000</v>
      </c>
      <c r="F174" s="3"/>
      <c r="G174" s="3">
        <v>431272.73</v>
      </c>
    </row>
    <row r="175" spans="1:7" hidden="1">
      <c r="A175" s="3" t="s">
        <v>10990</v>
      </c>
      <c r="B175" s="3" t="s">
        <v>10968</v>
      </c>
      <c r="C175" s="3" t="s">
        <v>6682</v>
      </c>
      <c r="D175" s="3" t="s">
        <v>10990</v>
      </c>
      <c r="E175" s="3">
        <v>23904.51</v>
      </c>
      <c r="F175" s="3"/>
      <c r="G175" s="3">
        <v>407368.22</v>
      </c>
    </row>
    <row r="176" spans="1:7" hidden="1">
      <c r="A176" s="3" t="s">
        <v>11222</v>
      </c>
      <c r="B176" s="3" t="s">
        <v>11223</v>
      </c>
      <c r="C176" s="3" t="s">
        <v>6682</v>
      </c>
      <c r="D176" s="3" t="s">
        <v>11222</v>
      </c>
      <c r="E176" s="3">
        <v>1000</v>
      </c>
      <c r="F176" s="3"/>
      <c r="G176" s="3">
        <v>406368.22</v>
      </c>
    </row>
    <row r="177" spans="1:7" hidden="1">
      <c r="A177" s="3" t="s">
        <v>11222</v>
      </c>
      <c r="B177" s="3" t="s">
        <v>11224</v>
      </c>
      <c r="C177" s="3" t="s">
        <v>6682</v>
      </c>
      <c r="D177" s="3" t="s">
        <v>11222</v>
      </c>
      <c r="E177" s="3">
        <v>1000</v>
      </c>
      <c r="F177" s="3"/>
      <c r="G177" s="3">
        <v>405368.22</v>
      </c>
    </row>
    <row r="178" spans="1:7" hidden="1">
      <c r="A178" s="3" t="s">
        <v>11222</v>
      </c>
      <c r="B178" s="3" t="s">
        <v>11225</v>
      </c>
      <c r="C178" s="3" t="s">
        <v>6682</v>
      </c>
      <c r="D178" s="3" t="s">
        <v>11222</v>
      </c>
      <c r="E178" s="3">
        <v>1000</v>
      </c>
      <c r="F178" s="3"/>
      <c r="G178" s="3">
        <v>404368.22</v>
      </c>
    </row>
    <row r="179" spans="1:7" hidden="1">
      <c r="A179" s="3" t="s">
        <v>11222</v>
      </c>
      <c r="B179" s="3" t="s">
        <v>11226</v>
      </c>
      <c r="C179" s="3" t="s">
        <v>6682</v>
      </c>
      <c r="D179" s="3" t="s">
        <v>11222</v>
      </c>
      <c r="E179" s="3">
        <v>1000</v>
      </c>
      <c r="F179" s="3"/>
      <c r="G179" s="3">
        <v>403368.22</v>
      </c>
    </row>
    <row r="180" spans="1:7" hidden="1">
      <c r="A180" s="3" t="s">
        <v>11227</v>
      </c>
      <c r="B180" s="3" t="s">
        <v>11228</v>
      </c>
      <c r="C180" s="3" t="s">
        <v>11229</v>
      </c>
      <c r="D180" s="3" t="s">
        <v>11227</v>
      </c>
      <c r="E180" s="3"/>
      <c r="F180" s="3">
        <v>150000</v>
      </c>
      <c r="G180" s="3">
        <v>553368.22</v>
      </c>
    </row>
    <row r="181" spans="1:7" hidden="1">
      <c r="A181" s="3" t="s">
        <v>11230</v>
      </c>
      <c r="B181" s="3" t="s">
        <v>4256</v>
      </c>
      <c r="C181" s="3" t="s">
        <v>6682</v>
      </c>
      <c r="D181" s="3" t="s">
        <v>11231</v>
      </c>
      <c r="E181" s="3"/>
      <c r="F181" s="3">
        <v>10312</v>
      </c>
      <c r="G181" s="3">
        <v>563680.22</v>
      </c>
    </row>
    <row r="182" spans="1:7" hidden="1">
      <c r="A182" s="3" t="s">
        <v>10991</v>
      </c>
      <c r="B182" s="3" t="s">
        <v>10968</v>
      </c>
      <c r="C182" s="3" t="s">
        <v>6682</v>
      </c>
      <c r="D182" s="3" t="s">
        <v>10991</v>
      </c>
      <c r="E182" s="3">
        <v>128369</v>
      </c>
      <c r="F182" s="3"/>
      <c r="G182" s="3">
        <v>435311.22</v>
      </c>
    </row>
    <row r="183" spans="1:7" hidden="1">
      <c r="A183" s="3" t="s">
        <v>11232</v>
      </c>
      <c r="B183" s="3" t="s">
        <v>11233</v>
      </c>
      <c r="C183" s="3" t="s">
        <v>6682</v>
      </c>
      <c r="D183" s="3" t="s">
        <v>11234</v>
      </c>
      <c r="E183" s="3">
        <v>1000</v>
      </c>
      <c r="F183" s="3"/>
      <c r="G183" s="3">
        <v>434311.22</v>
      </c>
    </row>
    <row r="184" spans="1:7" hidden="1">
      <c r="A184" s="3" t="s">
        <v>11232</v>
      </c>
      <c r="B184" s="3" t="s">
        <v>11235</v>
      </c>
      <c r="C184" s="3" t="s">
        <v>6682</v>
      </c>
      <c r="D184" s="3" t="s">
        <v>11234</v>
      </c>
      <c r="E184" s="3">
        <v>1000</v>
      </c>
      <c r="F184" s="3"/>
      <c r="G184" s="3">
        <v>433311.22</v>
      </c>
    </row>
    <row r="185" spans="1:7" hidden="1">
      <c r="A185" s="3" t="s">
        <v>11232</v>
      </c>
      <c r="B185" s="3" t="s">
        <v>11236</v>
      </c>
      <c r="C185" s="3" t="s">
        <v>6682</v>
      </c>
      <c r="D185" s="3" t="s">
        <v>11234</v>
      </c>
      <c r="E185" s="3">
        <v>1000</v>
      </c>
      <c r="F185" s="3"/>
      <c r="G185" s="3">
        <v>432311.22</v>
      </c>
    </row>
    <row r="186" spans="1:7" hidden="1">
      <c r="A186" s="3" t="s">
        <v>11232</v>
      </c>
      <c r="B186" s="3" t="s">
        <v>11237</v>
      </c>
      <c r="C186" s="3" t="s">
        <v>6682</v>
      </c>
      <c r="D186" s="3" t="s">
        <v>11234</v>
      </c>
      <c r="E186" s="3">
        <v>1000</v>
      </c>
      <c r="F186" s="3"/>
      <c r="G186" s="3">
        <v>431311.22</v>
      </c>
    </row>
    <row r="187" spans="1:7" hidden="1">
      <c r="A187" s="3" t="s">
        <v>11238</v>
      </c>
      <c r="B187" s="3" t="s">
        <v>11239</v>
      </c>
      <c r="C187" s="3" t="s">
        <v>11240</v>
      </c>
      <c r="D187" s="3" t="s">
        <v>11238</v>
      </c>
      <c r="E187" s="3"/>
      <c r="F187" s="3">
        <v>24692</v>
      </c>
      <c r="G187" s="3">
        <v>456003.22</v>
      </c>
    </row>
    <row r="188" spans="1:7" hidden="1">
      <c r="A188" s="3" t="s">
        <v>10992</v>
      </c>
      <c r="B188" s="3" t="s">
        <v>10968</v>
      </c>
      <c r="C188" s="3" t="s">
        <v>6682</v>
      </c>
      <c r="D188" s="3" t="s">
        <v>10992</v>
      </c>
      <c r="E188" s="3">
        <v>88983.6</v>
      </c>
      <c r="F188" s="3"/>
      <c r="G188" s="3">
        <v>367019.62</v>
      </c>
    </row>
    <row r="189" spans="1:7" hidden="1">
      <c r="A189" s="3" t="s">
        <v>11241</v>
      </c>
      <c r="B189" s="3" t="s">
        <v>11242</v>
      </c>
      <c r="C189" s="3" t="s">
        <v>6682</v>
      </c>
      <c r="D189" s="3" t="s">
        <v>11241</v>
      </c>
      <c r="E189" s="3">
        <v>1000</v>
      </c>
      <c r="F189" s="3"/>
      <c r="G189" s="3">
        <v>366019.62</v>
      </c>
    </row>
    <row r="190" spans="1:7" hidden="1">
      <c r="A190" s="3" t="s">
        <v>11241</v>
      </c>
      <c r="B190" s="3" t="s">
        <v>11243</v>
      </c>
      <c r="C190" s="3" t="s">
        <v>6682</v>
      </c>
      <c r="D190" s="3" t="s">
        <v>11241</v>
      </c>
      <c r="E190" s="3">
        <v>1000</v>
      </c>
      <c r="F190" s="3"/>
      <c r="G190" s="3">
        <v>365019.62</v>
      </c>
    </row>
    <row r="191" spans="1:7" hidden="1">
      <c r="A191" s="3" t="s">
        <v>11241</v>
      </c>
      <c r="B191" s="3" t="s">
        <v>11244</v>
      </c>
      <c r="C191" s="3" t="s">
        <v>6682</v>
      </c>
      <c r="D191" s="3" t="s">
        <v>11241</v>
      </c>
      <c r="E191" s="3">
        <v>1000</v>
      </c>
      <c r="F191" s="3"/>
      <c r="G191" s="3">
        <v>364019.62</v>
      </c>
    </row>
    <row r="192" spans="1:7" hidden="1">
      <c r="A192" s="3" t="s">
        <v>11241</v>
      </c>
      <c r="B192" s="3" t="s">
        <v>11245</v>
      </c>
      <c r="C192" s="3" t="s">
        <v>6682</v>
      </c>
      <c r="D192" s="3" t="s">
        <v>11241</v>
      </c>
      <c r="E192" s="3">
        <v>1000</v>
      </c>
      <c r="F192" s="3"/>
      <c r="G192" s="3">
        <v>363019.62</v>
      </c>
    </row>
    <row r="193" spans="1:7" hidden="1">
      <c r="A193" s="3" t="s">
        <v>11246</v>
      </c>
      <c r="B193" s="3" t="s">
        <v>11247</v>
      </c>
      <c r="C193" s="3" t="s">
        <v>11248</v>
      </c>
      <c r="D193" s="3" t="s">
        <v>11246</v>
      </c>
      <c r="E193" s="3"/>
      <c r="F193" s="3">
        <v>9566</v>
      </c>
      <c r="G193" s="3">
        <v>372585.62</v>
      </c>
    </row>
    <row r="194" spans="1:7" hidden="1">
      <c r="A194" s="3" t="s">
        <v>11249</v>
      </c>
      <c r="B194" s="3" t="s">
        <v>11250</v>
      </c>
      <c r="C194" s="3" t="s">
        <v>11251</v>
      </c>
      <c r="D194" s="3" t="s">
        <v>11249</v>
      </c>
      <c r="E194" s="3"/>
      <c r="F194" s="3">
        <v>150000</v>
      </c>
      <c r="G194" s="3">
        <v>522585.62</v>
      </c>
    </row>
    <row r="195" spans="1:7" hidden="1">
      <c r="A195" s="3" t="s">
        <v>10993</v>
      </c>
      <c r="B195" s="3" t="s">
        <v>10968</v>
      </c>
      <c r="C195" s="3" t="s">
        <v>6682</v>
      </c>
      <c r="D195" s="3" t="s">
        <v>10993</v>
      </c>
      <c r="E195" s="3">
        <v>149991.14000000001</v>
      </c>
      <c r="F195" s="3"/>
      <c r="G195" s="3">
        <v>372594.48</v>
      </c>
    </row>
    <row r="196" spans="1:7" hidden="1">
      <c r="A196" s="3" t="s">
        <v>11252</v>
      </c>
      <c r="B196" s="3" t="s">
        <v>11253</v>
      </c>
      <c r="C196" s="3" t="s">
        <v>6682</v>
      </c>
      <c r="D196" s="3" t="s">
        <v>11252</v>
      </c>
      <c r="E196" s="3">
        <v>1000</v>
      </c>
      <c r="F196" s="3"/>
      <c r="G196" s="3">
        <v>371594.48</v>
      </c>
    </row>
    <row r="197" spans="1:7" hidden="1">
      <c r="A197" s="3" t="s">
        <v>11252</v>
      </c>
      <c r="B197" s="3" t="s">
        <v>11254</v>
      </c>
      <c r="C197" s="3" t="s">
        <v>6682</v>
      </c>
      <c r="D197" s="3" t="s">
        <v>11252</v>
      </c>
      <c r="E197" s="3">
        <v>1000</v>
      </c>
      <c r="F197" s="3"/>
      <c r="G197" s="3">
        <v>370594.48</v>
      </c>
    </row>
    <row r="198" spans="1:7" hidden="1">
      <c r="A198" s="3" t="s">
        <v>11252</v>
      </c>
      <c r="B198" s="3" t="s">
        <v>11255</v>
      </c>
      <c r="C198" s="3" t="s">
        <v>6682</v>
      </c>
      <c r="D198" s="3" t="s">
        <v>11252</v>
      </c>
      <c r="E198" s="3">
        <v>1000</v>
      </c>
      <c r="F198" s="3"/>
      <c r="G198" s="3">
        <v>369594.48</v>
      </c>
    </row>
    <row r="199" spans="1:7" hidden="1">
      <c r="A199" s="3" t="s">
        <v>11252</v>
      </c>
      <c r="B199" s="3" t="s">
        <v>11256</v>
      </c>
      <c r="C199" s="3" t="s">
        <v>6682</v>
      </c>
      <c r="D199" s="3" t="s">
        <v>11252</v>
      </c>
      <c r="E199" s="3">
        <v>1000</v>
      </c>
      <c r="F199" s="3"/>
      <c r="G199" s="3">
        <v>368594.48</v>
      </c>
    </row>
    <row r="200" spans="1:7" hidden="1">
      <c r="A200" s="3" t="s">
        <v>11257</v>
      </c>
      <c r="B200" s="3" t="s">
        <v>11258</v>
      </c>
      <c r="C200" s="3" t="s">
        <v>11259</v>
      </c>
      <c r="D200" s="3" t="s">
        <v>11257</v>
      </c>
      <c r="E200" s="3">
        <v>4452</v>
      </c>
      <c r="F200" s="3"/>
      <c r="G200" s="3">
        <v>364142.48</v>
      </c>
    </row>
    <row r="201" spans="1:7" hidden="1">
      <c r="A201" s="3" t="s">
        <v>10994</v>
      </c>
      <c r="B201" s="3" t="s">
        <v>10968</v>
      </c>
      <c r="C201" s="3" t="s">
        <v>6682</v>
      </c>
      <c r="D201" s="3" t="s">
        <v>10994</v>
      </c>
      <c r="E201" s="3">
        <v>26096.75</v>
      </c>
      <c r="F201" s="3"/>
      <c r="G201" s="3">
        <v>338045.73</v>
      </c>
    </row>
    <row r="202" spans="1:7" hidden="1">
      <c r="A202" s="3" t="s">
        <v>11260</v>
      </c>
      <c r="B202" s="3" t="s">
        <v>11261</v>
      </c>
      <c r="C202" s="3" t="s">
        <v>6682</v>
      </c>
      <c r="D202" s="3" t="s">
        <v>11260</v>
      </c>
      <c r="E202" s="3"/>
      <c r="F202" s="3">
        <v>15899</v>
      </c>
      <c r="G202" s="3">
        <v>353944.73</v>
      </c>
    </row>
    <row r="203" spans="1:7" hidden="1">
      <c r="A203" s="3" t="s">
        <v>11260</v>
      </c>
      <c r="B203" s="3" t="s">
        <v>11262</v>
      </c>
      <c r="C203" s="3" t="s">
        <v>6682</v>
      </c>
      <c r="D203" s="3" t="s">
        <v>11260</v>
      </c>
      <c r="E203" s="3"/>
      <c r="F203" s="3">
        <v>15899</v>
      </c>
      <c r="G203" s="3">
        <v>369843.73</v>
      </c>
    </row>
    <row r="204" spans="1:7" hidden="1">
      <c r="A204" s="3" t="s">
        <v>11260</v>
      </c>
      <c r="B204" s="3" t="s">
        <v>11263</v>
      </c>
      <c r="C204" s="3" t="s">
        <v>6682</v>
      </c>
      <c r="D204" s="3" t="s">
        <v>11260</v>
      </c>
      <c r="E204" s="3"/>
      <c r="F204" s="3">
        <v>15899</v>
      </c>
      <c r="G204" s="3">
        <v>385742.73</v>
      </c>
    </row>
    <row r="205" spans="1:7" hidden="1">
      <c r="A205" s="3" t="s">
        <v>11260</v>
      </c>
      <c r="B205" s="3" t="s">
        <v>11264</v>
      </c>
      <c r="C205" s="3" t="s">
        <v>6682</v>
      </c>
      <c r="D205" s="3" t="s">
        <v>11260</v>
      </c>
      <c r="E205" s="3"/>
      <c r="F205" s="3">
        <v>15899</v>
      </c>
      <c r="G205" s="3">
        <v>401641.73</v>
      </c>
    </row>
    <row r="206" spans="1:7" hidden="1">
      <c r="A206" s="3" t="s">
        <v>10995</v>
      </c>
      <c r="B206" s="3" t="s">
        <v>10968</v>
      </c>
      <c r="C206" s="3" t="s">
        <v>6682</v>
      </c>
      <c r="D206" s="3" t="s">
        <v>10995</v>
      </c>
      <c r="E206" s="3">
        <v>26918.99</v>
      </c>
      <c r="F206" s="3"/>
      <c r="G206" s="3">
        <v>374722.74</v>
      </c>
    </row>
    <row r="207" spans="1:7" hidden="1">
      <c r="A207" s="3" t="s">
        <v>11265</v>
      </c>
      <c r="B207" s="3" t="s">
        <v>11266</v>
      </c>
      <c r="C207" s="3" t="s">
        <v>11267</v>
      </c>
      <c r="D207" s="3" t="s">
        <v>11265</v>
      </c>
      <c r="E207" s="3"/>
      <c r="F207" s="3">
        <v>75000</v>
      </c>
      <c r="G207" s="3">
        <v>449722.74</v>
      </c>
    </row>
    <row r="208" spans="1:7" hidden="1">
      <c r="A208" s="3" t="s">
        <v>11265</v>
      </c>
      <c r="B208" s="3" t="s">
        <v>11266</v>
      </c>
      <c r="C208" s="3" t="s">
        <v>11268</v>
      </c>
      <c r="D208" s="3" t="s">
        <v>11265</v>
      </c>
      <c r="E208" s="3"/>
      <c r="F208" s="3">
        <v>75000</v>
      </c>
      <c r="G208" s="3">
        <v>524722.74</v>
      </c>
    </row>
    <row r="209" spans="1:7" hidden="1">
      <c r="A209" s="3" t="s">
        <v>11269</v>
      </c>
      <c r="B209" s="3" t="s">
        <v>11266</v>
      </c>
      <c r="C209" s="3" t="s">
        <v>11270</v>
      </c>
      <c r="D209" s="3" t="s">
        <v>11269</v>
      </c>
      <c r="E209" s="3"/>
      <c r="F209" s="3">
        <v>75000</v>
      </c>
      <c r="G209" s="3">
        <v>599722.74</v>
      </c>
    </row>
    <row r="210" spans="1:7" hidden="1">
      <c r="A210" s="3" t="s">
        <v>10996</v>
      </c>
      <c r="B210" s="3" t="s">
        <v>10968</v>
      </c>
      <c r="C210" s="3" t="s">
        <v>6682</v>
      </c>
      <c r="D210" s="3" t="s">
        <v>10996</v>
      </c>
      <c r="E210" s="3">
        <v>65688.98</v>
      </c>
      <c r="F210" s="3"/>
      <c r="G210" s="3">
        <v>534033.76</v>
      </c>
    </row>
    <row r="211" spans="1:7" hidden="1">
      <c r="A211" s="3" t="s">
        <v>10997</v>
      </c>
      <c r="B211" s="3" t="s">
        <v>10968</v>
      </c>
      <c r="C211" s="3" t="s">
        <v>6682</v>
      </c>
      <c r="D211" s="3" t="s">
        <v>10997</v>
      </c>
      <c r="E211" s="3">
        <v>28299.52</v>
      </c>
      <c r="F211" s="3"/>
      <c r="G211" s="3">
        <v>505734.24</v>
      </c>
    </row>
    <row r="212" spans="1:7" hidden="1">
      <c r="A212" s="3" t="s">
        <v>11271</v>
      </c>
      <c r="B212" s="3" t="s">
        <v>4256</v>
      </c>
      <c r="C212" s="3" t="s">
        <v>6682</v>
      </c>
      <c r="D212" s="3" t="s">
        <v>11272</v>
      </c>
      <c r="E212" s="3"/>
      <c r="F212" s="3">
        <v>8726</v>
      </c>
      <c r="G212" s="3">
        <v>514460.24</v>
      </c>
    </row>
    <row r="213" spans="1:7" hidden="1">
      <c r="A213" s="3" t="s">
        <v>11273</v>
      </c>
      <c r="B213" s="3" t="s">
        <v>11266</v>
      </c>
      <c r="C213" s="3" t="s">
        <v>11274</v>
      </c>
      <c r="D213" s="3" t="s">
        <v>11273</v>
      </c>
      <c r="E213" s="3"/>
      <c r="F213" s="3">
        <v>50000</v>
      </c>
      <c r="G213" s="3">
        <v>564460.24</v>
      </c>
    </row>
    <row r="214" spans="1:7" hidden="1">
      <c r="A214" s="3" t="s">
        <v>10998</v>
      </c>
      <c r="B214" s="3" t="s">
        <v>10968</v>
      </c>
      <c r="C214" s="3" t="s">
        <v>6682</v>
      </c>
      <c r="D214" s="3" t="s">
        <v>10998</v>
      </c>
      <c r="E214" s="3">
        <v>48420.22</v>
      </c>
      <c r="F214" s="3"/>
      <c r="G214" s="3">
        <v>516040.02</v>
      </c>
    </row>
    <row r="215" spans="1:7" hidden="1">
      <c r="A215" s="3" t="s">
        <v>11275</v>
      </c>
      <c r="B215" s="3" t="s">
        <v>11266</v>
      </c>
      <c r="C215" s="3" t="s">
        <v>11276</v>
      </c>
      <c r="D215" s="3" t="s">
        <v>11275</v>
      </c>
      <c r="E215" s="3"/>
      <c r="F215" s="3">
        <v>50000</v>
      </c>
      <c r="G215" s="3">
        <v>566040.02</v>
      </c>
    </row>
    <row r="216" spans="1:7" hidden="1">
      <c r="A216" s="3" t="s">
        <v>11277</v>
      </c>
      <c r="B216" s="3" t="s">
        <v>11278</v>
      </c>
      <c r="C216" s="3" t="s">
        <v>11279</v>
      </c>
      <c r="D216" s="3" t="s">
        <v>11277</v>
      </c>
      <c r="E216" s="3"/>
      <c r="F216" s="3">
        <v>1000</v>
      </c>
      <c r="G216" s="3">
        <v>567040.02</v>
      </c>
    </row>
    <row r="217" spans="1:7" hidden="1">
      <c r="A217" s="3" t="s">
        <v>11277</v>
      </c>
      <c r="B217" s="3" t="s">
        <v>11280</v>
      </c>
      <c r="C217" s="3" t="s">
        <v>11281</v>
      </c>
      <c r="D217" s="3" t="s">
        <v>11277</v>
      </c>
      <c r="E217" s="3"/>
      <c r="F217" s="3">
        <v>49000</v>
      </c>
      <c r="G217" s="3">
        <v>616040.02</v>
      </c>
    </row>
    <row r="218" spans="1:7" hidden="1">
      <c r="A218" s="3" t="s">
        <v>11282</v>
      </c>
      <c r="B218" s="3" t="s">
        <v>11283</v>
      </c>
      <c r="C218" s="3" t="s">
        <v>11284</v>
      </c>
      <c r="D218" s="3" t="s">
        <v>11282</v>
      </c>
      <c r="E218" s="3"/>
      <c r="F218" s="3">
        <v>231000</v>
      </c>
      <c r="G218" s="3">
        <v>847040.02</v>
      </c>
    </row>
    <row r="219" spans="1:7" hidden="1">
      <c r="A219" s="3" t="s">
        <v>10999</v>
      </c>
      <c r="B219" s="3" t="s">
        <v>10968</v>
      </c>
      <c r="C219" s="3" t="s">
        <v>6682</v>
      </c>
      <c r="D219" s="3" t="s">
        <v>10999</v>
      </c>
      <c r="E219" s="3">
        <v>25515.56</v>
      </c>
      <c r="F219" s="3"/>
      <c r="G219" s="3">
        <v>821524.46</v>
      </c>
    </row>
    <row r="220" spans="1:7" hidden="1">
      <c r="A220" s="3" t="s">
        <v>11000</v>
      </c>
      <c r="B220" s="3" t="s">
        <v>10968</v>
      </c>
      <c r="C220" s="3" t="s">
        <v>6682</v>
      </c>
      <c r="D220" s="3" t="s">
        <v>11000</v>
      </c>
      <c r="E220" s="3">
        <v>40872.720000000001</v>
      </c>
      <c r="F220" s="3"/>
      <c r="G220" s="3">
        <v>780651.74</v>
      </c>
    </row>
    <row r="221" spans="1:7" hidden="1">
      <c r="A221" s="3" t="s">
        <v>11001</v>
      </c>
      <c r="B221" s="3" t="s">
        <v>10968</v>
      </c>
      <c r="C221" s="3" t="s">
        <v>6682</v>
      </c>
      <c r="D221" s="3" t="s">
        <v>11001</v>
      </c>
      <c r="E221" s="3">
        <v>27693.32</v>
      </c>
      <c r="F221" s="3"/>
      <c r="G221" s="3">
        <v>752958.42</v>
      </c>
    </row>
    <row r="222" spans="1:7" hidden="1">
      <c r="A222" s="3" t="s">
        <v>11002</v>
      </c>
      <c r="B222" s="3" t="s">
        <v>11003</v>
      </c>
      <c r="C222" s="3" t="s">
        <v>11004</v>
      </c>
      <c r="D222" s="3" t="s">
        <v>11002</v>
      </c>
      <c r="E222" s="3">
        <v>7040.01</v>
      </c>
      <c r="F222" s="3"/>
      <c r="G222" s="3">
        <v>745918.41</v>
      </c>
    </row>
    <row r="223" spans="1:7" hidden="1">
      <c r="A223" s="3" t="s">
        <v>11005</v>
      </c>
      <c r="B223" s="3" t="s">
        <v>10968</v>
      </c>
      <c r="C223" s="3" t="s">
        <v>6682</v>
      </c>
      <c r="D223" s="3" t="s">
        <v>11005</v>
      </c>
      <c r="E223" s="3">
        <v>11859.34</v>
      </c>
      <c r="F223" s="3"/>
      <c r="G223" s="3">
        <v>734059.07</v>
      </c>
    </row>
    <row r="224" spans="1:7" hidden="1">
      <c r="A224" s="3" t="s">
        <v>11005</v>
      </c>
      <c r="B224" s="3" t="s">
        <v>11285</v>
      </c>
      <c r="C224" s="3" t="s">
        <v>6682</v>
      </c>
      <c r="D224" s="3" t="s">
        <v>11005</v>
      </c>
      <c r="E224" s="3">
        <v>25000</v>
      </c>
      <c r="F224" s="3"/>
      <c r="G224" s="3">
        <v>709059.07</v>
      </c>
    </row>
    <row r="225" spans="1:7" hidden="1">
      <c r="A225" s="3" t="s">
        <v>11286</v>
      </c>
      <c r="B225" s="3" t="s">
        <v>11287</v>
      </c>
      <c r="C225" s="3" t="s">
        <v>11288</v>
      </c>
      <c r="D225" s="3" t="s">
        <v>11286</v>
      </c>
      <c r="E225" s="3"/>
      <c r="F225" s="3">
        <v>281</v>
      </c>
      <c r="G225" s="3">
        <v>709340.07</v>
      </c>
    </row>
    <row r="226" spans="1:7" hidden="1">
      <c r="A226" s="3" t="s">
        <v>11289</v>
      </c>
      <c r="B226" s="3" t="s">
        <v>11290</v>
      </c>
      <c r="C226" s="3" t="s">
        <v>6682</v>
      </c>
      <c r="D226" s="3" t="s">
        <v>11289</v>
      </c>
      <c r="E226" s="3">
        <v>25000</v>
      </c>
      <c r="F226" s="3"/>
      <c r="G226" s="3">
        <v>684340.07</v>
      </c>
    </row>
    <row r="227" spans="1:7" hidden="1">
      <c r="A227" s="3" t="s">
        <v>11006</v>
      </c>
      <c r="B227" s="3" t="s">
        <v>4256</v>
      </c>
      <c r="C227" s="3" t="s">
        <v>6682</v>
      </c>
      <c r="D227" s="3" t="s">
        <v>11291</v>
      </c>
      <c r="E227" s="3"/>
      <c r="F227" s="3">
        <v>14313</v>
      </c>
      <c r="G227" s="3">
        <v>698653.07</v>
      </c>
    </row>
    <row r="228" spans="1:7" hidden="1">
      <c r="A228" s="3" t="s">
        <v>11006</v>
      </c>
      <c r="B228" s="3" t="s">
        <v>10968</v>
      </c>
      <c r="C228" s="3" t="s">
        <v>6682</v>
      </c>
      <c r="D228" s="3" t="s">
        <v>11006</v>
      </c>
      <c r="E228" s="3">
        <v>260496.21</v>
      </c>
      <c r="F228" s="3"/>
      <c r="G228" s="3">
        <v>438156.86</v>
      </c>
    </row>
    <row r="229" spans="1:7" hidden="1">
      <c r="A229" s="3" t="s">
        <v>11292</v>
      </c>
      <c r="B229" s="3" t="s">
        <v>11293</v>
      </c>
      <c r="C229" s="3" t="s">
        <v>11294</v>
      </c>
      <c r="D229" s="3" t="s">
        <v>11292</v>
      </c>
      <c r="E229" s="3"/>
      <c r="F229" s="3">
        <v>300000</v>
      </c>
      <c r="G229" s="3">
        <v>738156.86</v>
      </c>
    </row>
    <row r="230" spans="1:7" hidden="1">
      <c r="A230" s="3" t="s">
        <v>11295</v>
      </c>
      <c r="B230" s="3" t="s">
        <v>11296</v>
      </c>
      <c r="C230" s="3" t="s">
        <v>6682</v>
      </c>
      <c r="D230" s="3" t="s">
        <v>11295</v>
      </c>
      <c r="E230" s="3">
        <v>25000</v>
      </c>
      <c r="F230" s="3"/>
      <c r="G230" s="3">
        <v>713156.86</v>
      </c>
    </row>
    <row r="231" spans="1:7">
      <c r="A231" s="3" t="s">
        <v>11295</v>
      </c>
      <c r="B231" s="3" t="s">
        <v>11297</v>
      </c>
      <c r="C231" s="3" t="s">
        <v>11298</v>
      </c>
      <c r="D231" s="3" t="s">
        <v>11295</v>
      </c>
      <c r="E231" s="3"/>
      <c r="F231" s="3">
        <v>400000</v>
      </c>
      <c r="G231" s="3">
        <v>1113156.8600000001</v>
      </c>
    </row>
    <row r="232" spans="1:7" hidden="1">
      <c r="A232" s="3" t="s">
        <v>11007</v>
      </c>
      <c r="B232" s="3" t="s">
        <v>11008</v>
      </c>
      <c r="C232" s="3" t="s">
        <v>11009</v>
      </c>
      <c r="D232" s="3" t="s">
        <v>11007</v>
      </c>
      <c r="E232" s="3">
        <v>15000</v>
      </c>
      <c r="F232" s="3"/>
      <c r="G232" s="3">
        <v>1098156.8600000001</v>
      </c>
    </row>
    <row r="233" spans="1:7" hidden="1">
      <c r="A233" s="3" t="s">
        <v>11299</v>
      </c>
      <c r="B233" s="3" t="s">
        <v>11300</v>
      </c>
      <c r="C233" s="3" t="s">
        <v>11301</v>
      </c>
      <c r="D233" s="3" t="s">
        <v>11299</v>
      </c>
      <c r="E233" s="3">
        <v>1270.97</v>
      </c>
      <c r="F233" s="3"/>
      <c r="G233" s="3">
        <v>1096885.8899999999</v>
      </c>
    </row>
    <row r="234" spans="1:7" hidden="1">
      <c r="A234" s="3" t="s">
        <v>11302</v>
      </c>
      <c r="B234" s="3" t="s">
        <v>11303</v>
      </c>
      <c r="C234" s="3" t="s">
        <v>6682</v>
      </c>
      <c r="D234" s="3" t="s">
        <v>11304</v>
      </c>
      <c r="E234" s="3">
        <v>25000</v>
      </c>
      <c r="F234" s="3"/>
      <c r="G234" s="3">
        <v>1071885.8899999999</v>
      </c>
    </row>
    <row r="235" spans="1:7" hidden="1">
      <c r="A235" s="3" t="s">
        <v>11010</v>
      </c>
      <c r="B235" s="3" t="s">
        <v>10968</v>
      </c>
      <c r="C235" s="3" t="s">
        <v>6682</v>
      </c>
      <c r="D235" s="3" t="s">
        <v>11010</v>
      </c>
      <c r="E235" s="3">
        <v>28222.53</v>
      </c>
      <c r="F235" s="3"/>
      <c r="G235" s="3">
        <v>1043663.36</v>
      </c>
    </row>
    <row r="236" spans="1:7" hidden="1">
      <c r="A236" s="3" t="s">
        <v>11011</v>
      </c>
      <c r="B236" s="3" t="s">
        <v>11012</v>
      </c>
      <c r="C236" s="3" t="s">
        <v>11013</v>
      </c>
      <c r="D236" s="3" t="s">
        <v>11011</v>
      </c>
      <c r="E236" s="3">
        <v>6888</v>
      </c>
      <c r="F236" s="3"/>
      <c r="G236" s="3">
        <v>1036775.36</v>
      </c>
    </row>
    <row r="237" spans="1:7" hidden="1">
      <c r="A237" s="3" t="s">
        <v>11305</v>
      </c>
      <c r="B237" s="3" t="s">
        <v>11306</v>
      </c>
      <c r="C237" s="3" t="s">
        <v>6682</v>
      </c>
      <c r="D237" s="3" t="s">
        <v>11307</v>
      </c>
      <c r="E237" s="3">
        <v>25000</v>
      </c>
      <c r="F237" s="3"/>
      <c r="G237" s="3">
        <v>1011775.36</v>
      </c>
    </row>
    <row r="238" spans="1:7" hidden="1">
      <c r="A238" s="3" t="s">
        <v>11308</v>
      </c>
      <c r="B238" s="3" t="s">
        <v>11309</v>
      </c>
      <c r="C238" s="3" t="s">
        <v>6682</v>
      </c>
      <c r="D238" s="3" t="s">
        <v>11310</v>
      </c>
      <c r="E238" s="3">
        <v>25000</v>
      </c>
      <c r="F238" s="3"/>
      <c r="G238" s="3">
        <v>986775.36</v>
      </c>
    </row>
    <row r="239" spans="1:7" hidden="1">
      <c r="A239" s="3" t="s">
        <v>11014</v>
      </c>
      <c r="B239" s="3" t="s">
        <v>10968</v>
      </c>
      <c r="C239" s="3" t="s">
        <v>6682</v>
      </c>
      <c r="D239" s="3" t="s">
        <v>11014</v>
      </c>
      <c r="E239" s="3">
        <v>57306.49</v>
      </c>
      <c r="F239" s="3"/>
      <c r="G239" s="3">
        <v>929468.87</v>
      </c>
    </row>
    <row r="240" spans="1:7" hidden="1">
      <c r="A240" s="3" t="s">
        <v>11311</v>
      </c>
      <c r="B240" s="3" t="s">
        <v>11312</v>
      </c>
      <c r="C240" s="3" t="s">
        <v>6682</v>
      </c>
      <c r="D240" s="3" t="s">
        <v>11313</v>
      </c>
      <c r="E240" s="3">
        <v>25000</v>
      </c>
      <c r="F240" s="3"/>
      <c r="G240" s="3">
        <v>904468.87</v>
      </c>
    </row>
    <row r="241" spans="1:7" hidden="1">
      <c r="A241" s="3" t="s">
        <v>11015</v>
      </c>
      <c r="B241" s="3" t="s">
        <v>10968</v>
      </c>
      <c r="C241" s="3" t="s">
        <v>6682</v>
      </c>
      <c r="D241" s="3" t="s">
        <v>11015</v>
      </c>
      <c r="E241" s="3">
        <v>29677.48</v>
      </c>
      <c r="F241" s="3"/>
      <c r="G241" s="3">
        <v>874791.39</v>
      </c>
    </row>
    <row r="242" spans="1:7" hidden="1">
      <c r="A242" s="3" t="s">
        <v>11314</v>
      </c>
      <c r="B242" s="3" t="s">
        <v>11315</v>
      </c>
      <c r="C242" s="3" t="s">
        <v>6682</v>
      </c>
      <c r="D242" s="3" t="s">
        <v>11015</v>
      </c>
      <c r="E242" s="3">
        <v>25000</v>
      </c>
      <c r="F242" s="3"/>
      <c r="G242" s="3">
        <v>849791.39</v>
      </c>
    </row>
    <row r="243" spans="1:7" hidden="1">
      <c r="A243" s="3" t="s">
        <v>11316</v>
      </c>
      <c r="B243" s="3" t="s">
        <v>11317</v>
      </c>
      <c r="C243" s="3" t="s">
        <v>6682</v>
      </c>
      <c r="D243" s="3" t="s">
        <v>11316</v>
      </c>
      <c r="E243" s="3">
        <v>25000</v>
      </c>
      <c r="F243" s="3"/>
      <c r="G243" s="3">
        <v>824791.39</v>
      </c>
    </row>
    <row r="244" spans="1:7" hidden="1">
      <c r="A244" s="3" t="s">
        <v>11318</v>
      </c>
      <c r="B244" s="3" t="s">
        <v>11319</v>
      </c>
      <c r="C244" s="3" t="s">
        <v>11320</v>
      </c>
      <c r="D244" s="3" t="s">
        <v>11318</v>
      </c>
      <c r="E244" s="3"/>
      <c r="F244" s="3">
        <v>3200</v>
      </c>
      <c r="G244" s="3">
        <v>827991.39</v>
      </c>
    </row>
    <row r="245" spans="1:7" hidden="1">
      <c r="A245" s="3" t="s">
        <v>11321</v>
      </c>
      <c r="B245" s="3" t="s">
        <v>11322</v>
      </c>
      <c r="C245" s="3" t="s">
        <v>6682</v>
      </c>
      <c r="D245" s="3" t="s">
        <v>11321</v>
      </c>
      <c r="E245" s="3">
        <v>25000</v>
      </c>
      <c r="F245" s="3"/>
      <c r="G245" s="3">
        <v>802991.39</v>
      </c>
    </row>
    <row r="246" spans="1:7" hidden="1">
      <c r="A246" s="3" t="s">
        <v>11321</v>
      </c>
      <c r="B246" s="3" t="s">
        <v>11323</v>
      </c>
      <c r="C246" s="3" t="s">
        <v>11324</v>
      </c>
      <c r="D246" s="3" t="s">
        <v>11321</v>
      </c>
      <c r="E246" s="3"/>
      <c r="F246" s="3">
        <v>300000</v>
      </c>
      <c r="G246" s="3">
        <v>1102991.3899999999</v>
      </c>
    </row>
    <row r="247" spans="1:7">
      <c r="A247" s="3" t="s">
        <v>11321</v>
      </c>
      <c r="B247" s="3" t="s">
        <v>11325</v>
      </c>
      <c r="C247" s="3" t="s">
        <v>11326</v>
      </c>
      <c r="D247" s="3" t="s">
        <v>11321</v>
      </c>
      <c r="E247" s="3"/>
      <c r="F247" s="3">
        <v>300000</v>
      </c>
      <c r="G247" s="3">
        <v>1402991.39</v>
      </c>
    </row>
    <row r="248" spans="1:7" hidden="1">
      <c r="A248" s="3" t="s">
        <v>11327</v>
      </c>
      <c r="B248" s="3" t="s">
        <v>11328</v>
      </c>
      <c r="C248" s="3" t="s">
        <v>6682</v>
      </c>
      <c r="D248" s="3" t="s">
        <v>11321</v>
      </c>
      <c r="E248" s="3">
        <v>25000</v>
      </c>
      <c r="F248" s="3"/>
      <c r="G248" s="3">
        <v>1377991.39</v>
      </c>
    </row>
    <row r="249" spans="1:7" hidden="1">
      <c r="A249" s="3" t="s">
        <v>11016</v>
      </c>
      <c r="B249" s="3" t="s">
        <v>10968</v>
      </c>
      <c r="C249" s="3" t="s">
        <v>6682</v>
      </c>
      <c r="D249" s="3" t="s">
        <v>11016</v>
      </c>
      <c r="E249" s="3">
        <v>42736.93</v>
      </c>
      <c r="F249" s="3"/>
      <c r="G249" s="3">
        <v>1335254.46</v>
      </c>
    </row>
    <row r="250" spans="1:7" hidden="1">
      <c r="A250" s="3" t="s">
        <v>11329</v>
      </c>
      <c r="B250" s="3" t="s">
        <v>11330</v>
      </c>
      <c r="C250" s="3" t="s">
        <v>6682</v>
      </c>
      <c r="D250" s="3" t="s">
        <v>11329</v>
      </c>
      <c r="E250" s="3">
        <v>25000</v>
      </c>
      <c r="F250" s="3"/>
      <c r="G250" s="3">
        <v>1310254.46</v>
      </c>
    </row>
    <row r="251" spans="1:7" hidden="1">
      <c r="A251" s="3" t="s">
        <v>11017</v>
      </c>
      <c r="B251" s="3" t="s">
        <v>11331</v>
      </c>
      <c r="C251" s="3" t="s">
        <v>11332</v>
      </c>
      <c r="D251" s="3" t="s">
        <v>11017</v>
      </c>
      <c r="E251" s="3">
        <v>100000</v>
      </c>
      <c r="F251" s="3"/>
      <c r="G251" s="3">
        <v>1210254.46</v>
      </c>
    </row>
    <row r="252" spans="1:7" hidden="1">
      <c r="A252" s="3" t="s">
        <v>11017</v>
      </c>
      <c r="B252" s="3" t="s">
        <v>11018</v>
      </c>
      <c r="C252" s="3" t="s">
        <v>11019</v>
      </c>
      <c r="D252" s="3" t="s">
        <v>11017</v>
      </c>
      <c r="E252" s="3">
        <v>45500</v>
      </c>
      <c r="F252" s="3"/>
      <c r="G252" s="3">
        <v>1164754.46</v>
      </c>
    </row>
    <row r="253" spans="1:7" hidden="1">
      <c r="A253" s="3" t="s">
        <v>11333</v>
      </c>
      <c r="B253" s="3" t="s">
        <v>11334</v>
      </c>
      <c r="C253" s="3" t="s">
        <v>6682</v>
      </c>
      <c r="D253" s="3" t="s">
        <v>11333</v>
      </c>
      <c r="E253" s="3">
        <v>25000</v>
      </c>
      <c r="F253" s="3"/>
      <c r="G253" s="3">
        <v>1139754.46</v>
      </c>
    </row>
    <row r="254" spans="1:7" hidden="1">
      <c r="A254" s="3" t="s">
        <v>11333</v>
      </c>
      <c r="B254" s="3" t="s">
        <v>11335</v>
      </c>
      <c r="C254" s="3" t="s">
        <v>6682</v>
      </c>
      <c r="D254" s="3" t="s">
        <v>11333</v>
      </c>
      <c r="E254" s="3">
        <v>25000</v>
      </c>
      <c r="F254" s="3"/>
      <c r="G254" s="3">
        <v>1114754.46</v>
      </c>
    </row>
    <row r="255" spans="1:7" hidden="1">
      <c r="A255" s="3" t="s">
        <v>11020</v>
      </c>
      <c r="B255" s="3" t="s">
        <v>10968</v>
      </c>
      <c r="C255" s="3" t="s">
        <v>6682</v>
      </c>
      <c r="D255" s="3" t="s">
        <v>11020</v>
      </c>
      <c r="E255" s="3">
        <v>158572.29</v>
      </c>
      <c r="F255" s="3"/>
      <c r="G255" s="3">
        <v>956182.17</v>
      </c>
    </row>
    <row r="256" spans="1:7" hidden="1">
      <c r="A256" s="3" t="s">
        <v>11336</v>
      </c>
      <c r="B256" s="3" t="s">
        <v>11337</v>
      </c>
      <c r="C256" s="3" t="s">
        <v>6682</v>
      </c>
      <c r="D256" s="3" t="s">
        <v>11336</v>
      </c>
      <c r="E256" s="3">
        <v>25000</v>
      </c>
      <c r="F256" s="3"/>
      <c r="G256" s="3">
        <v>931182.17</v>
      </c>
    </row>
    <row r="257" spans="1:7" hidden="1">
      <c r="A257" s="3" t="s">
        <v>11338</v>
      </c>
      <c r="B257" s="3" t="s">
        <v>11339</v>
      </c>
      <c r="C257" s="3" t="s">
        <v>6682</v>
      </c>
      <c r="D257" s="3" t="s">
        <v>11340</v>
      </c>
      <c r="E257" s="3">
        <v>25000</v>
      </c>
      <c r="F257" s="3"/>
      <c r="G257" s="3">
        <v>906182.17</v>
      </c>
    </row>
    <row r="258" spans="1:7" hidden="1">
      <c r="A258" s="3" t="s">
        <v>11338</v>
      </c>
      <c r="B258" s="3" t="s">
        <v>11341</v>
      </c>
      <c r="C258" s="3" t="s">
        <v>6682</v>
      </c>
      <c r="D258" s="3" t="s">
        <v>11340</v>
      </c>
      <c r="E258" s="3">
        <v>25000</v>
      </c>
      <c r="F258" s="3"/>
      <c r="G258" s="3">
        <v>881182.17</v>
      </c>
    </row>
    <row r="259" spans="1:7" hidden="1">
      <c r="A259" s="3" t="s">
        <v>11021</v>
      </c>
      <c r="B259" s="3" t="s">
        <v>4256</v>
      </c>
      <c r="C259" s="3" t="s">
        <v>6682</v>
      </c>
      <c r="D259" s="3" t="s">
        <v>11342</v>
      </c>
      <c r="E259" s="3"/>
      <c r="F259" s="3">
        <v>20297</v>
      </c>
      <c r="G259" s="3">
        <v>901479.17</v>
      </c>
    </row>
    <row r="260" spans="1:7" hidden="1">
      <c r="A260" s="3" t="s">
        <v>11021</v>
      </c>
      <c r="B260" s="3" t="s">
        <v>10968</v>
      </c>
      <c r="C260" s="3" t="s">
        <v>6682</v>
      </c>
      <c r="D260" s="3" t="s">
        <v>11021</v>
      </c>
      <c r="E260" s="3">
        <v>97464.77</v>
      </c>
      <c r="F260" s="3"/>
      <c r="G260" s="3">
        <v>804014.4</v>
      </c>
    </row>
    <row r="261" spans="1:7" hidden="1">
      <c r="A261" s="3" t="s">
        <v>11343</v>
      </c>
      <c r="B261" s="3" t="s">
        <v>11344</v>
      </c>
      <c r="C261" s="3" t="s">
        <v>6682</v>
      </c>
      <c r="D261" s="3" t="s">
        <v>11343</v>
      </c>
      <c r="E261" s="3">
        <v>25000</v>
      </c>
      <c r="F261" s="3"/>
      <c r="G261" s="3">
        <v>779014.4</v>
      </c>
    </row>
    <row r="262" spans="1:7" hidden="1">
      <c r="A262" s="3" t="s">
        <v>11345</v>
      </c>
      <c r="B262" s="3" t="s">
        <v>11346</v>
      </c>
      <c r="C262" s="3" t="s">
        <v>6682</v>
      </c>
      <c r="D262" s="3" t="s">
        <v>11345</v>
      </c>
      <c r="E262" s="3">
        <v>25000</v>
      </c>
      <c r="F262" s="3"/>
      <c r="G262" s="3">
        <v>754014.4</v>
      </c>
    </row>
    <row r="263" spans="1:7" hidden="1">
      <c r="A263" s="3" t="s">
        <v>11345</v>
      </c>
      <c r="B263" s="3" t="s">
        <v>11347</v>
      </c>
      <c r="C263" s="3" t="s">
        <v>6682</v>
      </c>
      <c r="D263" s="3" t="s">
        <v>11345</v>
      </c>
      <c r="E263" s="3">
        <v>25000</v>
      </c>
      <c r="F263" s="3"/>
      <c r="G263" s="3">
        <v>729014.4</v>
      </c>
    </row>
    <row r="264" spans="1:7" hidden="1">
      <c r="A264" s="3" t="s">
        <v>11022</v>
      </c>
      <c r="B264" s="3" t="s">
        <v>11023</v>
      </c>
      <c r="C264" s="3" t="s">
        <v>6682</v>
      </c>
      <c r="D264" s="3" t="s">
        <v>11022</v>
      </c>
      <c r="E264" s="3">
        <v>47628</v>
      </c>
      <c r="F264" s="3"/>
      <c r="G264" s="3">
        <v>681386.4</v>
      </c>
    </row>
    <row r="265" spans="1:7" hidden="1">
      <c r="A265" s="3" t="s">
        <v>11348</v>
      </c>
      <c r="B265" s="3" t="s">
        <v>11349</v>
      </c>
      <c r="C265" s="3" t="s">
        <v>6682</v>
      </c>
      <c r="D265" s="3" t="s">
        <v>11348</v>
      </c>
      <c r="E265" s="3">
        <v>25000</v>
      </c>
      <c r="F265" s="3"/>
      <c r="G265" s="3">
        <v>656386.4</v>
      </c>
    </row>
    <row r="266" spans="1:7" hidden="1">
      <c r="A266" s="3" t="s">
        <v>11350</v>
      </c>
      <c r="B266" s="3" t="s">
        <v>11351</v>
      </c>
      <c r="C266" s="3" t="s">
        <v>11352</v>
      </c>
      <c r="D266" s="3" t="s">
        <v>11350</v>
      </c>
      <c r="E266" s="3"/>
      <c r="F266" s="3">
        <v>125000</v>
      </c>
      <c r="G266" s="3">
        <v>781386.4</v>
      </c>
    </row>
    <row r="267" spans="1:7" hidden="1">
      <c r="A267" s="3" t="s">
        <v>11353</v>
      </c>
      <c r="B267" s="3" t="s">
        <v>11354</v>
      </c>
      <c r="C267" s="3" t="s">
        <v>11355</v>
      </c>
      <c r="D267" s="3" t="s">
        <v>11353</v>
      </c>
      <c r="E267" s="3">
        <v>810.42</v>
      </c>
      <c r="F267" s="3"/>
      <c r="G267" s="3">
        <v>780575.98</v>
      </c>
    </row>
    <row r="268" spans="1:7" hidden="1">
      <c r="A268" s="3" t="s">
        <v>11353</v>
      </c>
      <c r="B268" s="3" t="s">
        <v>11356</v>
      </c>
      <c r="C268" s="3" t="s">
        <v>11357</v>
      </c>
      <c r="D268" s="3" t="s">
        <v>11353</v>
      </c>
      <c r="E268" s="3">
        <v>386.6</v>
      </c>
      <c r="F268" s="3"/>
      <c r="G268" s="3">
        <v>780189.38</v>
      </c>
    </row>
    <row r="269" spans="1:7" hidden="1">
      <c r="A269" s="3" t="s">
        <v>11353</v>
      </c>
      <c r="B269" s="3" t="s">
        <v>4260</v>
      </c>
      <c r="C269" s="3" t="s">
        <v>11357</v>
      </c>
      <c r="D269" s="3" t="s">
        <v>11353</v>
      </c>
      <c r="E269" s="3">
        <v>102.8</v>
      </c>
      <c r="F269" s="3"/>
      <c r="G269" s="3">
        <v>780086.58</v>
      </c>
    </row>
    <row r="270" spans="1:7" hidden="1">
      <c r="A270" s="3" t="s">
        <v>11353</v>
      </c>
      <c r="B270" s="3" t="s">
        <v>11358</v>
      </c>
      <c r="C270" s="3" t="s">
        <v>6682</v>
      </c>
      <c r="D270" s="3" t="s">
        <v>11353</v>
      </c>
      <c r="E270" s="3">
        <v>25000</v>
      </c>
      <c r="F270" s="3"/>
      <c r="G270" s="3">
        <v>755086.58</v>
      </c>
    </row>
    <row r="271" spans="1:7" hidden="1">
      <c r="A271" s="3" t="s">
        <v>11353</v>
      </c>
      <c r="B271" s="3" t="s">
        <v>11359</v>
      </c>
      <c r="C271" s="3" t="s">
        <v>6682</v>
      </c>
      <c r="D271" s="3" t="s">
        <v>11353</v>
      </c>
      <c r="E271" s="3">
        <v>25000</v>
      </c>
      <c r="F271" s="3"/>
      <c r="G271" s="3">
        <v>730086.58</v>
      </c>
    </row>
    <row r="272" spans="1:7" hidden="1">
      <c r="A272" s="3" t="s">
        <v>11024</v>
      </c>
      <c r="B272" s="3" t="s">
        <v>11023</v>
      </c>
      <c r="C272" s="3" t="s">
        <v>6682</v>
      </c>
      <c r="D272" s="3" t="s">
        <v>11024</v>
      </c>
      <c r="E272" s="3">
        <v>58303.22</v>
      </c>
      <c r="F272" s="3"/>
      <c r="G272" s="3">
        <v>671783.36</v>
      </c>
    </row>
    <row r="273" spans="1:7" hidden="1">
      <c r="A273" s="3" t="s">
        <v>11360</v>
      </c>
      <c r="B273" s="3" t="s">
        <v>11361</v>
      </c>
      <c r="C273" s="3" t="s">
        <v>6682</v>
      </c>
      <c r="D273" s="3" t="s">
        <v>11360</v>
      </c>
      <c r="E273" s="3">
        <v>25000</v>
      </c>
      <c r="F273" s="3"/>
      <c r="G273" s="3">
        <v>646783.36</v>
      </c>
    </row>
    <row r="274" spans="1:7" hidden="1">
      <c r="A274" s="3" t="s">
        <v>11362</v>
      </c>
      <c r="B274" s="3" t="s">
        <v>11363</v>
      </c>
      <c r="C274" s="3" t="s">
        <v>11364</v>
      </c>
      <c r="D274" s="3" t="s">
        <v>11362</v>
      </c>
      <c r="E274" s="3">
        <v>19200</v>
      </c>
      <c r="F274" s="3"/>
      <c r="G274" s="3">
        <v>627583.36</v>
      </c>
    </row>
    <row r="275" spans="1:7" hidden="1">
      <c r="A275" s="3" t="s">
        <v>11365</v>
      </c>
      <c r="B275" s="3" t="s">
        <v>11366</v>
      </c>
      <c r="C275" s="3" t="s">
        <v>6682</v>
      </c>
      <c r="D275" s="3" t="s">
        <v>11365</v>
      </c>
      <c r="E275" s="3">
        <v>25000</v>
      </c>
      <c r="F275" s="3"/>
      <c r="G275" s="3">
        <v>602583.36</v>
      </c>
    </row>
    <row r="276" spans="1:7" hidden="1">
      <c r="A276" s="3" t="s">
        <v>11365</v>
      </c>
      <c r="B276" s="3" t="s">
        <v>11367</v>
      </c>
      <c r="C276" s="3" t="s">
        <v>6682</v>
      </c>
      <c r="D276" s="3" t="s">
        <v>11365</v>
      </c>
      <c r="E276" s="3">
        <v>25000</v>
      </c>
      <c r="F276" s="3"/>
      <c r="G276" s="3">
        <v>577583.35999999999</v>
      </c>
    </row>
    <row r="277" spans="1:7" hidden="1">
      <c r="A277" s="3" t="s">
        <v>11025</v>
      </c>
      <c r="B277" s="3" t="s">
        <v>11023</v>
      </c>
      <c r="C277" s="3" t="s">
        <v>6682</v>
      </c>
      <c r="D277" s="3" t="s">
        <v>11025</v>
      </c>
      <c r="E277" s="3">
        <v>76723.429999999993</v>
      </c>
      <c r="F277" s="3"/>
      <c r="G277" s="3">
        <v>500859.93</v>
      </c>
    </row>
    <row r="278" spans="1:7" hidden="1">
      <c r="A278" s="3" t="s">
        <v>11368</v>
      </c>
      <c r="B278" s="3" t="s">
        <v>11369</v>
      </c>
      <c r="C278" s="3" t="s">
        <v>11370</v>
      </c>
      <c r="D278" s="3" t="s">
        <v>11368</v>
      </c>
      <c r="E278" s="3"/>
      <c r="F278" s="3">
        <v>300000</v>
      </c>
      <c r="G278" s="3">
        <v>800859.93</v>
      </c>
    </row>
    <row r="279" spans="1:7" hidden="1">
      <c r="A279" s="3" t="s">
        <v>11371</v>
      </c>
      <c r="B279" s="3" t="s">
        <v>11356</v>
      </c>
      <c r="C279" s="3" t="s">
        <v>11372</v>
      </c>
      <c r="D279" s="3" t="s">
        <v>11371</v>
      </c>
      <c r="E279" s="3">
        <v>449.52</v>
      </c>
      <c r="F279" s="3"/>
      <c r="G279" s="3">
        <v>800410.41</v>
      </c>
    </row>
    <row r="280" spans="1:7" hidden="1">
      <c r="A280" s="3" t="s">
        <v>11373</v>
      </c>
      <c r="B280" s="3" t="s">
        <v>11374</v>
      </c>
      <c r="C280" s="3" t="s">
        <v>6682</v>
      </c>
      <c r="D280" s="3" t="s">
        <v>11371</v>
      </c>
      <c r="E280" s="3">
        <v>25000</v>
      </c>
      <c r="F280" s="3"/>
      <c r="G280" s="3">
        <v>775410.41</v>
      </c>
    </row>
    <row r="281" spans="1:7" hidden="1">
      <c r="A281" s="3" t="s">
        <v>11375</v>
      </c>
      <c r="B281" s="3" t="s">
        <v>4260</v>
      </c>
      <c r="C281" s="3" t="s">
        <v>11376</v>
      </c>
      <c r="D281" s="3" t="s">
        <v>11375</v>
      </c>
      <c r="E281" s="3">
        <v>260.3</v>
      </c>
      <c r="F281" s="3"/>
      <c r="G281" s="3">
        <v>775150.11</v>
      </c>
    </row>
    <row r="282" spans="1:7" hidden="1">
      <c r="A282" s="3" t="s">
        <v>11377</v>
      </c>
      <c r="B282" s="3" t="s">
        <v>11378</v>
      </c>
      <c r="C282" s="3" t="s">
        <v>6682</v>
      </c>
      <c r="D282" s="3" t="s">
        <v>11375</v>
      </c>
      <c r="E282" s="3">
        <v>25000</v>
      </c>
      <c r="F282" s="3"/>
      <c r="G282" s="3">
        <v>750150.11</v>
      </c>
    </row>
    <row r="283" spans="1:7" hidden="1">
      <c r="A283" s="3" t="s">
        <v>11377</v>
      </c>
      <c r="B283" s="3" t="s">
        <v>11379</v>
      </c>
      <c r="C283" s="3" t="s">
        <v>6682</v>
      </c>
      <c r="D283" s="3" t="s">
        <v>11375</v>
      </c>
      <c r="E283" s="3">
        <v>25000</v>
      </c>
      <c r="F283" s="3"/>
      <c r="G283" s="3">
        <v>725150.11</v>
      </c>
    </row>
    <row r="284" spans="1:7" hidden="1">
      <c r="A284" s="3" t="s">
        <v>11026</v>
      </c>
      <c r="B284" s="3" t="s">
        <v>11023</v>
      </c>
      <c r="C284" s="3" t="s">
        <v>6682</v>
      </c>
      <c r="D284" s="3" t="s">
        <v>11026</v>
      </c>
      <c r="E284" s="3">
        <v>61732.95</v>
      </c>
      <c r="F284" s="3"/>
      <c r="G284" s="3">
        <v>663417.16</v>
      </c>
    </row>
    <row r="285" spans="1:7" hidden="1">
      <c r="A285" s="3" t="s">
        <v>11380</v>
      </c>
      <c r="B285" s="3" t="s">
        <v>11381</v>
      </c>
      <c r="C285" s="3" t="s">
        <v>6682</v>
      </c>
      <c r="D285" s="3" t="s">
        <v>11382</v>
      </c>
      <c r="E285" s="3">
        <v>25000</v>
      </c>
      <c r="F285" s="3"/>
      <c r="G285" s="3">
        <v>638417.16</v>
      </c>
    </row>
    <row r="286" spans="1:7" hidden="1">
      <c r="A286" s="3" t="s">
        <v>11383</v>
      </c>
      <c r="B286" s="3" t="s">
        <v>11384</v>
      </c>
      <c r="C286" s="3" t="s">
        <v>11385</v>
      </c>
      <c r="D286" s="3" t="s">
        <v>11383</v>
      </c>
      <c r="E286" s="3"/>
      <c r="F286" s="3">
        <v>200000</v>
      </c>
      <c r="G286" s="3">
        <v>838417.16</v>
      </c>
    </row>
    <row r="287" spans="1:7" hidden="1">
      <c r="A287" s="3" t="s">
        <v>11386</v>
      </c>
      <c r="B287" s="3" t="s">
        <v>11354</v>
      </c>
      <c r="C287" s="3" t="s">
        <v>11355</v>
      </c>
      <c r="D287" s="3" t="s">
        <v>11386</v>
      </c>
      <c r="E287" s="3">
        <v>624.5</v>
      </c>
      <c r="F287" s="3"/>
      <c r="G287" s="3">
        <v>837792.66</v>
      </c>
    </row>
    <row r="288" spans="1:7" hidden="1">
      <c r="A288" s="3" t="s">
        <v>11386</v>
      </c>
      <c r="B288" s="3" t="s">
        <v>11387</v>
      </c>
      <c r="C288" s="3" t="s">
        <v>6682</v>
      </c>
      <c r="D288" s="3" t="s">
        <v>11386</v>
      </c>
      <c r="E288" s="3">
        <v>25000</v>
      </c>
      <c r="F288" s="3"/>
      <c r="G288" s="3">
        <v>812792.66</v>
      </c>
    </row>
    <row r="289" spans="1:7" hidden="1">
      <c r="A289" s="3" t="s">
        <v>11386</v>
      </c>
      <c r="B289" s="3" t="s">
        <v>11388</v>
      </c>
      <c r="C289" s="3" t="s">
        <v>6682</v>
      </c>
      <c r="D289" s="3" t="s">
        <v>11386</v>
      </c>
      <c r="E289" s="3">
        <v>25000</v>
      </c>
      <c r="F289" s="3"/>
      <c r="G289" s="3">
        <v>787792.66</v>
      </c>
    </row>
    <row r="290" spans="1:7" hidden="1">
      <c r="A290" s="3" t="s">
        <v>11027</v>
      </c>
      <c r="B290" s="3" t="s">
        <v>11023</v>
      </c>
      <c r="C290" s="3" t="s">
        <v>6682</v>
      </c>
      <c r="D290" s="3" t="s">
        <v>11027</v>
      </c>
      <c r="E290" s="3">
        <v>115279.05</v>
      </c>
      <c r="F290" s="3"/>
      <c r="G290" s="3">
        <v>672513.61</v>
      </c>
    </row>
    <row r="291" spans="1:7" hidden="1">
      <c r="A291" s="3" t="s">
        <v>11389</v>
      </c>
      <c r="B291" s="3" t="s">
        <v>11390</v>
      </c>
      <c r="C291" s="3" t="s">
        <v>6682</v>
      </c>
      <c r="D291" s="3" t="s">
        <v>11389</v>
      </c>
      <c r="E291" s="3">
        <v>25000</v>
      </c>
      <c r="F291" s="3"/>
      <c r="G291" s="3">
        <v>647513.61</v>
      </c>
    </row>
    <row r="292" spans="1:7">
      <c r="A292" s="3" t="s">
        <v>11391</v>
      </c>
      <c r="B292" s="3" t="s">
        <v>11392</v>
      </c>
      <c r="C292" s="3" t="s">
        <v>11393</v>
      </c>
      <c r="D292" s="3" t="s">
        <v>11391</v>
      </c>
      <c r="E292" s="3"/>
      <c r="F292" s="3">
        <v>500000</v>
      </c>
      <c r="G292" s="3">
        <v>1147513.6100000001</v>
      </c>
    </row>
    <row r="293" spans="1:7" hidden="1">
      <c r="A293" s="3" t="s">
        <v>11028</v>
      </c>
      <c r="B293" s="3" t="s">
        <v>11023</v>
      </c>
      <c r="C293" s="3" t="s">
        <v>6682</v>
      </c>
      <c r="D293" s="3" t="s">
        <v>11028</v>
      </c>
      <c r="E293" s="3">
        <v>224769.1</v>
      </c>
      <c r="F293" s="3"/>
      <c r="G293" s="3">
        <v>922744.51</v>
      </c>
    </row>
    <row r="294" spans="1:7" hidden="1">
      <c r="A294" s="3" t="s">
        <v>11394</v>
      </c>
      <c r="B294" s="3" t="s">
        <v>11395</v>
      </c>
      <c r="C294" s="3" t="s">
        <v>6682</v>
      </c>
      <c r="D294" s="3" t="s">
        <v>11394</v>
      </c>
      <c r="E294" s="3">
        <v>25000</v>
      </c>
      <c r="F294" s="3"/>
      <c r="G294" s="3">
        <v>897744.51</v>
      </c>
    </row>
    <row r="295" spans="1:7" hidden="1">
      <c r="A295" s="3" t="s">
        <v>11394</v>
      </c>
      <c r="B295" s="3" t="s">
        <v>11396</v>
      </c>
      <c r="C295" s="3" t="s">
        <v>6682</v>
      </c>
      <c r="D295" s="3" t="s">
        <v>11394</v>
      </c>
      <c r="E295" s="3">
        <v>25000</v>
      </c>
      <c r="F295" s="3"/>
      <c r="G295" s="3">
        <v>872744.51</v>
      </c>
    </row>
    <row r="296" spans="1:7" hidden="1">
      <c r="A296" s="3" t="s">
        <v>11029</v>
      </c>
      <c r="B296" s="3" t="s">
        <v>11030</v>
      </c>
      <c r="C296" s="3" t="s">
        <v>6682</v>
      </c>
      <c r="D296" s="3" t="s">
        <v>11029</v>
      </c>
      <c r="E296" s="3">
        <v>114.5</v>
      </c>
      <c r="F296" s="3"/>
      <c r="G296" s="3">
        <v>872630.01</v>
      </c>
    </row>
    <row r="297" spans="1:7" hidden="1">
      <c r="A297" s="3" t="s">
        <v>11397</v>
      </c>
      <c r="B297" s="3" t="s">
        <v>11354</v>
      </c>
      <c r="C297" s="3" t="s">
        <v>11398</v>
      </c>
      <c r="D297" s="3" t="s">
        <v>11399</v>
      </c>
      <c r="E297" s="3">
        <v>296.5</v>
      </c>
      <c r="F297" s="3"/>
      <c r="G297" s="3">
        <v>872333.51</v>
      </c>
    </row>
    <row r="298" spans="1:7" hidden="1">
      <c r="A298" s="3" t="s">
        <v>11397</v>
      </c>
      <c r="B298" s="3" t="s">
        <v>11356</v>
      </c>
      <c r="C298" s="3" t="s">
        <v>11398</v>
      </c>
      <c r="D298" s="3" t="s">
        <v>11399</v>
      </c>
      <c r="E298" s="3">
        <v>579.6</v>
      </c>
      <c r="F298" s="3"/>
      <c r="G298" s="3">
        <v>871753.91</v>
      </c>
    </row>
    <row r="299" spans="1:7" hidden="1">
      <c r="A299" s="3" t="s">
        <v>11397</v>
      </c>
      <c r="B299" s="3" t="s">
        <v>4260</v>
      </c>
      <c r="C299" s="3" t="s">
        <v>11398</v>
      </c>
      <c r="D299" s="3" t="s">
        <v>11399</v>
      </c>
      <c r="E299" s="3">
        <v>292.2</v>
      </c>
      <c r="F299" s="3"/>
      <c r="G299" s="3">
        <v>871461.71</v>
      </c>
    </row>
    <row r="300" spans="1:7" hidden="1">
      <c r="A300" s="3" t="s">
        <v>11397</v>
      </c>
      <c r="B300" s="3" t="s">
        <v>4256</v>
      </c>
      <c r="C300" s="3" t="s">
        <v>6682</v>
      </c>
      <c r="D300" s="3" t="s">
        <v>11399</v>
      </c>
      <c r="E300" s="3"/>
      <c r="F300" s="3">
        <v>14364</v>
      </c>
      <c r="G300" s="3">
        <v>885825.71</v>
      </c>
    </row>
    <row r="301" spans="1:7" hidden="1">
      <c r="A301" s="3" t="s">
        <v>11400</v>
      </c>
      <c r="B301" s="3" t="s">
        <v>11401</v>
      </c>
      <c r="C301" s="3" t="s">
        <v>6682</v>
      </c>
      <c r="D301" s="3" t="s">
        <v>11400</v>
      </c>
      <c r="E301" s="3">
        <v>25000</v>
      </c>
      <c r="F301" s="3"/>
      <c r="G301" s="3">
        <v>860825.71</v>
      </c>
    </row>
    <row r="302" spans="1:7" hidden="1">
      <c r="A302" s="3" t="s">
        <v>11402</v>
      </c>
      <c r="B302" s="3" t="s">
        <v>11403</v>
      </c>
      <c r="C302" s="3" t="s">
        <v>6682</v>
      </c>
      <c r="D302" s="3" t="s">
        <v>11402</v>
      </c>
      <c r="E302" s="3">
        <v>25000</v>
      </c>
      <c r="F302" s="3"/>
      <c r="G302" s="3">
        <v>835825.71</v>
      </c>
    </row>
    <row r="303" spans="1:7" hidden="1">
      <c r="A303" s="3" t="s">
        <v>11402</v>
      </c>
      <c r="B303" s="3" t="s">
        <v>11404</v>
      </c>
      <c r="C303" s="3" t="s">
        <v>6682</v>
      </c>
      <c r="D303" s="3" t="s">
        <v>11402</v>
      </c>
      <c r="E303" s="3">
        <v>25000</v>
      </c>
      <c r="F303" s="3"/>
      <c r="G303" s="3">
        <v>810825.71</v>
      </c>
    </row>
    <row r="304" spans="1:7" hidden="1">
      <c r="A304" s="3" t="s">
        <v>11031</v>
      </c>
      <c r="B304" s="3" t="s">
        <v>4254</v>
      </c>
      <c r="C304" s="3" t="s">
        <v>6682</v>
      </c>
      <c r="D304" s="3" t="s">
        <v>11031</v>
      </c>
      <c r="E304" s="3">
        <v>52759.63</v>
      </c>
      <c r="F304" s="3"/>
      <c r="G304" s="3">
        <v>758066.08</v>
      </c>
    </row>
  </sheetData>
  <autoFilter ref="A1:G304" xr:uid="{00000000-0001-0000-1900-000000000000}">
    <filterColumn colId="1">
      <filters>
        <filter val="NEFT CR-318942186-VARSHA VINAY MAHAJAN-R"/>
        <filter val="NEFT CR-322983072-VARSHA VINAY MAHAJAN-R"/>
        <filter val="NEFT CR-323755971-VARSHA VINAY MAHAJAN-R"/>
        <filter val="NEFT CR-344918258-VARSHA VINAY MAHAJAN-R"/>
        <filter val="NEFT CR-ICIC0SF0002-VARSHA VINAY MAHAJAN-REIM-VINAY NARAYAN MAHAJAN-495227311"/>
        <filter val="NEFT CR-ICIC0SF0002-VARSHA VINAY MAHAJAN-REIM-VINAY NARAYAN MAHAJAN-748448257"/>
        <filter val="NEFT CR-ICIC0SF0002-VARSHA VINAY MAHAJAN-REIM-VINAY NARAYAN MAHAJAN-805605331"/>
        <filter val="NEFT CR-ICIC0SF0002-VARSHA VINAY MAHAJAN-REIM-VINAY NARAYAN MAHAJAN-937918659"/>
        <filter val="NEFT-229621995-VARSHA VINAY MAHAJAN-R"/>
        <filter val="NEFT-243709572-VARSHA VINAY MAHAJAN-R"/>
        <filter val="NEFT-244732280-VARSHA VINAY MAHAJAN-R"/>
        <filter val="NEFT-247879575-VARSHA VINAY MAHAJAN-R"/>
        <filter val="NEFT-261124327-VARSHA VINAY MAHAJAN-R"/>
        <filter val="NEFT-274553077-VARSHA VINAY MAHAJAN-R"/>
        <filter val="NEFT-284472844-VARSHA VINAY MAHAJAN-R"/>
        <filter val="NEFT-309326497-VARSHA VINAY MAHAJAN-R"/>
        <filter val="RTGS CR-ICICH12124082594-VARSHA"/>
      </filters>
    </filterColumn>
    <filterColumn colId="4">
      <filters blank="1"/>
    </filterColumn>
  </autoFilter>
  <pageMargins left="0.7" right="0.7" top="0.75" bottom="0.75" header="0.3" footer="0.3"/>
  <pageSetup orientation="portrait" horizontalDpi="200" verticalDpi="200" r:id="rId1"/>
</worksheet>
</file>

<file path=xl/worksheets/sheet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A00-000000000000}">
  <sheetPr filterMode="1"/>
  <dimension ref="A1:H151"/>
  <sheetViews>
    <sheetView workbookViewId="0"/>
  </sheetViews>
  <sheetFormatPr defaultRowHeight="15"/>
  <cols>
    <col min="1" max="1" width="5.5703125" bestFit="1" customWidth="1"/>
    <col min="2" max="2" width="10.7109375" bestFit="1" customWidth="1"/>
    <col min="3" max="4" width="15.7109375" bestFit="1" customWidth="1"/>
    <col min="5" max="5" width="53" bestFit="1" customWidth="1"/>
    <col min="6" max="6" width="24.7109375" bestFit="1" customWidth="1"/>
    <col min="7" max="7" width="21.28515625" bestFit="1" customWidth="1"/>
    <col min="8" max="8" width="13.42578125" bestFit="1" customWidth="1"/>
  </cols>
  <sheetData>
    <row r="1" spans="1:8">
      <c r="A1" t="s">
        <v>11405</v>
      </c>
      <c r="B1" t="s">
        <v>11406</v>
      </c>
      <c r="C1" t="s">
        <v>11407</v>
      </c>
      <c r="D1" t="s">
        <v>11408</v>
      </c>
      <c r="E1" t="s">
        <v>11409</v>
      </c>
      <c r="F1" t="s">
        <v>11410</v>
      </c>
      <c r="G1" t="s">
        <v>11411</v>
      </c>
      <c r="H1" t="s">
        <v>11412</v>
      </c>
    </row>
    <row r="2" spans="1:8">
      <c r="A2">
        <v>1</v>
      </c>
      <c r="B2" s="2">
        <v>42039</v>
      </c>
      <c r="C2" s="2">
        <v>42039</v>
      </c>
      <c r="D2" t="s">
        <v>4124</v>
      </c>
      <c r="E2" t="s">
        <v>2180</v>
      </c>
      <c r="F2">
        <v>300000</v>
      </c>
      <c r="G2">
        <v>0</v>
      </c>
      <c r="H2">
        <v>946145</v>
      </c>
    </row>
    <row r="3" spans="1:8" hidden="1">
      <c r="A3">
        <v>2</v>
      </c>
      <c r="B3" s="2">
        <v>42039</v>
      </c>
      <c r="C3" s="2">
        <v>42039</v>
      </c>
      <c r="D3" t="s">
        <v>4124</v>
      </c>
      <c r="E3" t="s">
        <v>2181</v>
      </c>
      <c r="F3">
        <v>0</v>
      </c>
      <c r="G3">
        <v>711.44</v>
      </c>
      <c r="H3">
        <v>946856.44</v>
      </c>
    </row>
    <row r="4" spans="1:8">
      <c r="A4">
        <v>3</v>
      </c>
      <c r="B4" s="2">
        <v>42039</v>
      </c>
      <c r="C4" s="2">
        <v>42039</v>
      </c>
      <c r="D4" t="s">
        <v>4124</v>
      </c>
      <c r="E4" t="s">
        <v>2154</v>
      </c>
      <c r="F4">
        <v>40000</v>
      </c>
      <c r="G4">
        <v>0</v>
      </c>
      <c r="H4">
        <v>906856.44</v>
      </c>
    </row>
    <row r="5" spans="1:8" hidden="1">
      <c r="A5">
        <v>4</v>
      </c>
      <c r="B5" s="2">
        <v>42251</v>
      </c>
      <c r="C5" s="2">
        <v>42251</v>
      </c>
      <c r="D5" t="s">
        <v>4124</v>
      </c>
      <c r="E5" t="s">
        <v>2182</v>
      </c>
      <c r="F5">
        <v>0</v>
      </c>
      <c r="G5">
        <v>1211</v>
      </c>
      <c r="H5">
        <v>908067.44</v>
      </c>
    </row>
    <row r="6" spans="1:8">
      <c r="A6">
        <v>5</v>
      </c>
      <c r="B6" s="2">
        <v>42281</v>
      </c>
      <c r="C6" s="2">
        <v>42281</v>
      </c>
      <c r="D6" t="s">
        <v>4124</v>
      </c>
      <c r="E6" t="s">
        <v>2183</v>
      </c>
      <c r="F6">
        <v>2000</v>
      </c>
      <c r="G6">
        <v>0</v>
      </c>
      <c r="H6">
        <v>906067.44</v>
      </c>
    </row>
    <row r="7" spans="1:8">
      <c r="A7">
        <v>6</v>
      </c>
      <c r="B7" t="s">
        <v>11413</v>
      </c>
      <c r="C7" t="s">
        <v>11413</v>
      </c>
      <c r="D7" t="s">
        <v>4124</v>
      </c>
      <c r="E7" t="s">
        <v>2171</v>
      </c>
      <c r="F7">
        <v>25000</v>
      </c>
      <c r="G7">
        <v>0</v>
      </c>
      <c r="H7">
        <v>881067.44</v>
      </c>
    </row>
    <row r="8" spans="1:8">
      <c r="A8">
        <v>7</v>
      </c>
      <c r="B8" t="s">
        <v>11414</v>
      </c>
      <c r="C8" t="s">
        <v>11414</v>
      </c>
      <c r="D8" t="s">
        <v>4124</v>
      </c>
      <c r="E8" t="s">
        <v>2184</v>
      </c>
      <c r="F8">
        <v>1500</v>
      </c>
      <c r="G8">
        <v>0</v>
      </c>
      <c r="H8">
        <v>879567.44</v>
      </c>
    </row>
    <row r="9" spans="1:8">
      <c r="A9">
        <v>8</v>
      </c>
      <c r="B9" t="s">
        <v>11414</v>
      </c>
      <c r="C9" t="s">
        <v>11414</v>
      </c>
      <c r="D9" t="s">
        <v>4124</v>
      </c>
      <c r="E9" t="s">
        <v>2185</v>
      </c>
      <c r="F9">
        <v>368.49</v>
      </c>
      <c r="G9">
        <v>0</v>
      </c>
      <c r="H9">
        <v>879198.95</v>
      </c>
    </row>
    <row r="10" spans="1:8">
      <c r="A10">
        <v>9</v>
      </c>
      <c r="B10" t="s">
        <v>11415</v>
      </c>
      <c r="C10" t="s">
        <v>11415</v>
      </c>
      <c r="D10" t="s">
        <v>4124</v>
      </c>
      <c r="E10" t="s">
        <v>2186</v>
      </c>
      <c r="F10">
        <v>48134</v>
      </c>
      <c r="G10">
        <v>0</v>
      </c>
      <c r="H10">
        <v>831064.95</v>
      </c>
    </row>
    <row r="11" spans="1:8" hidden="1">
      <c r="A11">
        <v>10</v>
      </c>
      <c r="B11" t="s">
        <v>11415</v>
      </c>
      <c r="C11" t="s">
        <v>11415</v>
      </c>
      <c r="D11" t="s">
        <v>4124</v>
      </c>
      <c r="E11" t="s">
        <v>2187</v>
      </c>
      <c r="F11">
        <v>0</v>
      </c>
      <c r="G11">
        <v>285030</v>
      </c>
      <c r="H11">
        <v>1116094.95</v>
      </c>
    </row>
    <row r="12" spans="1:8">
      <c r="A12">
        <v>11</v>
      </c>
      <c r="B12" t="s">
        <v>11416</v>
      </c>
      <c r="C12" t="s">
        <v>11416</v>
      </c>
      <c r="D12" t="s">
        <v>4124</v>
      </c>
      <c r="E12" t="s">
        <v>2188</v>
      </c>
      <c r="F12">
        <v>2000</v>
      </c>
      <c r="G12">
        <v>0</v>
      </c>
      <c r="H12">
        <v>1114094.95</v>
      </c>
    </row>
    <row r="13" spans="1:8">
      <c r="A13">
        <v>12</v>
      </c>
      <c r="B13" t="s">
        <v>11417</v>
      </c>
      <c r="C13" t="s">
        <v>11417</v>
      </c>
      <c r="D13" t="s">
        <v>4124</v>
      </c>
      <c r="E13" t="s">
        <v>2189</v>
      </c>
      <c r="F13">
        <v>5000</v>
      </c>
      <c r="G13">
        <v>0</v>
      </c>
      <c r="H13">
        <v>1109094.95</v>
      </c>
    </row>
    <row r="14" spans="1:8">
      <c r="A14">
        <v>13</v>
      </c>
      <c r="B14" s="2">
        <v>42040</v>
      </c>
      <c r="C14" s="2">
        <v>42040</v>
      </c>
      <c r="D14" t="s">
        <v>4124</v>
      </c>
      <c r="E14" t="s">
        <v>2154</v>
      </c>
      <c r="F14">
        <v>40000</v>
      </c>
      <c r="G14">
        <v>0</v>
      </c>
      <c r="H14">
        <v>1069094.95</v>
      </c>
    </row>
    <row r="15" spans="1:8">
      <c r="A15">
        <v>14</v>
      </c>
      <c r="B15" s="2">
        <v>42160</v>
      </c>
      <c r="C15" s="2">
        <v>42160</v>
      </c>
      <c r="D15" t="s">
        <v>4124</v>
      </c>
      <c r="E15" t="s">
        <v>2190</v>
      </c>
      <c r="F15">
        <v>270570</v>
      </c>
      <c r="G15">
        <v>0</v>
      </c>
      <c r="H15">
        <v>798524.95</v>
      </c>
    </row>
    <row r="16" spans="1:8">
      <c r="A16">
        <v>15</v>
      </c>
      <c r="B16" s="2">
        <v>42221</v>
      </c>
      <c r="C16" s="2">
        <v>42221</v>
      </c>
      <c r="D16" t="s">
        <v>4124</v>
      </c>
      <c r="E16" t="s">
        <v>2191</v>
      </c>
      <c r="F16">
        <v>10000</v>
      </c>
      <c r="G16">
        <v>0</v>
      </c>
      <c r="H16">
        <v>788524.95</v>
      </c>
    </row>
    <row r="17" spans="1:8">
      <c r="A17">
        <v>16</v>
      </c>
      <c r="B17" s="2">
        <v>42313</v>
      </c>
      <c r="C17" s="2">
        <v>42313</v>
      </c>
      <c r="D17" t="s">
        <v>4124</v>
      </c>
      <c r="E17" t="s">
        <v>2192</v>
      </c>
      <c r="F17">
        <v>2000</v>
      </c>
      <c r="G17">
        <v>0</v>
      </c>
      <c r="H17">
        <v>786524.95</v>
      </c>
    </row>
    <row r="18" spans="1:8">
      <c r="A18">
        <v>17</v>
      </c>
      <c r="B18" t="s">
        <v>11418</v>
      </c>
      <c r="C18" t="s">
        <v>11418</v>
      </c>
      <c r="D18" t="s">
        <v>4124</v>
      </c>
      <c r="E18" t="s">
        <v>2171</v>
      </c>
      <c r="F18">
        <v>25000</v>
      </c>
      <c r="G18">
        <v>0</v>
      </c>
      <c r="H18">
        <v>761524.95</v>
      </c>
    </row>
    <row r="19" spans="1:8">
      <c r="A19">
        <v>18</v>
      </c>
      <c r="B19" t="s">
        <v>11419</v>
      </c>
      <c r="C19" t="s">
        <v>11419</v>
      </c>
      <c r="D19" t="s">
        <v>4124</v>
      </c>
      <c r="E19" t="s">
        <v>2193</v>
      </c>
      <c r="F19">
        <v>5000</v>
      </c>
      <c r="G19">
        <v>0</v>
      </c>
      <c r="H19">
        <v>756524.95</v>
      </c>
    </row>
    <row r="20" spans="1:8">
      <c r="A20">
        <v>19</v>
      </c>
      <c r="B20" t="s">
        <v>11420</v>
      </c>
      <c r="C20" t="s">
        <v>11420</v>
      </c>
      <c r="D20" t="s">
        <v>4124</v>
      </c>
      <c r="E20" t="s">
        <v>2194</v>
      </c>
      <c r="F20">
        <v>5000</v>
      </c>
      <c r="G20">
        <v>0</v>
      </c>
      <c r="H20">
        <v>751524.95</v>
      </c>
    </row>
    <row r="21" spans="1:8">
      <c r="A21">
        <v>20</v>
      </c>
      <c r="B21" t="s">
        <v>11420</v>
      </c>
      <c r="C21" t="s">
        <v>11420</v>
      </c>
      <c r="D21" t="s">
        <v>4124</v>
      </c>
      <c r="E21" t="s">
        <v>2195</v>
      </c>
      <c r="F21">
        <v>5000</v>
      </c>
      <c r="G21">
        <v>0</v>
      </c>
      <c r="H21">
        <v>746524.95</v>
      </c>
    </row>
    <row r="22" spans="1:8">
      <c r="A22">
        <v>21</v>
      </c>
      <c r="B22" t="s">
        <v>11421</v>
      </c>
      <c r="C22" t="s">
        <v>11421</v>
      </c>
      <c r="D22" t="s">
        <v>4124</v>
      </c>
      <c r="E22" t="s">
        <v>2196</v>
      </c>
      <c r="F22">
        <v>5000</v>
      </c>
      <c r="G22">
        <v>0</v>
      </c>
      <c r="H22">
        <v>741524.95</v>
      </c>
    </row>
    <row r="23" spans="1:8">
      <c r="A23">
        <v>22</v>
      </c>
      <c r="B23" t="s">
        <v>11422</v>
      </c>
      <c r="C23" t="s">
        <v>11423</v>
      </c>
      <c r="D23" t="s">
        <v>4124</v>
      </c>
      <c r="E23" t="s">
        <v>2197</v>
      </c>
      <c r="F23">
        <v>30</v>
      </c>
      <c r="G23">
        <v>0</v>
      </c>
      <c r="H23">
        <v>741494.95</v>
      </c>
    </row>
    <row r="24" spans="1:8" hidden="1">
      <c r="A24">
        <v>23</v>
      </c>
      <c r="B24" t="s">
        <v>11424</v>
      </c>
      <c r="C24" t="s">
        <v>11424</v>
      </c>
      <c r="D24" t="s">
        <v>4124</v>
      </c>
      <c r="E24" t="s">
        <v>2198</v>
      </c>
      <c r="F24">
        <v>0</v>
      </c>
      <c r="G24">
        <v>202626</v>
      </c>
      <c r="H24">
        <v>944120.95</v>
      </c>
    </row>
    <row r="25" spans="1:8">
      <c r="A25">
        <v>24</v>
      </c>
      <c r="B25" t="s">
        <v>11425</v>
      </c>
      <c r="C25" t="s">
        <v>11425</v>
      </c>
      <c r="D25" t="s">
        <v>4124</v>
      </c>
      <c r="E25" t="s">
        <v>2199</v>
      </c>
      <c r="F25">
        <v>48134</v>
      </c>
      <c r="G25">
        <v>0</v>
      </c>
      <c r="H25">
        <v>895986.95</v>
      </c>
    </row>
    <row r="26" spans="1:8">
      <c r="A26">
        <v>25</v>
      </c>
      <c r="B26" t="s">
        <v>11426</v>
      </c>
      <c r="C26" t="s">
        <v>11426</v>
      </c>
      <c r="D26" t="s">
        <v>4124</v>
      </c>
      <c r="E26" t="s">
        <v>2200</v>
      </c>
      <c r="F26">
        <v>2000</v>
      </c>
      <c r="G26">
        <v>0</v>
      </c>
      <c r="H26">
        <v>893986.95</v>
      </c>
    </row>
    <row r="27" spans="1:8">
      <c r="A27">
        <v>26</v>
      </c>
      <c r="B27" s="2">
        <v>42010</v>
      </c>
      <c r="C27" s="2">
        <v>42010</v>
      </c>
      <c r="D27" t="s">
        <v>4124</v>
      </c>
      <c r="E27" t="s">
        <v>2154</v>
      </c>
      <c r="F27">
        <v>40000</v>
      </c>
      <c r="G27">
        <v>0</v>
      </c>
      <c r="H27">
        <v>853986.95</v>
      </c>
    </row>
    <row r="28" spans="1:8" hidden="1">
      <c r="A28">
        <v>27</v>
      </c>
      <c r="B28" s="2">
        <v>42069</v>
      </c>
      <c r="C28" s="2">
        <v>42069</v>
      </c>
      <c r="D28" t="s">
        <v>4124</v>
      </c>
      <c r="E28" t="s">
        <v>2201</v>
      </c>
      <c r="F28">
        <v>0</v>
      </c>
      <c r="G28">
        <v>2822</v>
      </c>
      <c r="H28">
        <v>856808.95</v>
      </c>
    </row>
    <row r="29" spans="1:8">
      <c r="A29">
        <v>28</v>
      </c>
      <c r="B29" s="2">
        <v>42130</v>
      </c>
      <c r="C29" s="2">
        <v>42130</v>
      </c>
      <c r="D29" t="s">
        <v>4124</v>
      </c>
      <c r="E29" t="s">
        <v>2202</v>
      </c>
      <c r="F29">
        <v>5000</v>
      </c>
      <c r="G29">
        <v>0</v>
      </c>
      <c r="H29">
        <v>851808.95</v>
      </c>
    </row>
    <row r="30" spans="1:8">
      <c r="A30">
        <v>29</v>
      </c>
      <c r="B30" s="2">
        <v>42283</v>
      </c>
      <c r="C30" s="2">
        <v>42283</v>
      </c>
      <c r="D30" t="s">
        <v>4124</v>
      </c>
      <c r="E30" t="s">
        <v>2203</v>
      </c>
      <c r="F30">
        <v>2000</v>
      </c>
      <c r="G30">
        <v>0</v>
      </c>
      <c r="H30">
        <v>849808.95</v>
      </c>
    </row>
    <row r="31" spans="1:8">
      <c r="A31">
        <v>30</v>
      </c>
      <c r="B31" s="2">
        <v>42283</v>
      </c>
      <c r="C31" s="2">
        <v>42283</v>
      </c>
      <c r="D31" t="s">
        <v>4124</v>
      </c>
      <c r="E31" t="s">
        <v>2204</v>
      </c>
      <c r="F31">
        <v>5000</v>
      </c>
      <c r="G31">
        <v>0</v>
      </c>
      <c r="H31">
        <v>844808.95</v>
      </c>
    </row>
    <row r="32" spans="1:8">
      <c r="A32">
        <v>31</v>
      </c>
      <c r="B32" t="s">
        <v>11427</v>
      </c>
      <c r="C32" t="s">
        <v>11427</v>
      </c>
      <c r="D32" t="s">
        <v>4124</v>
      </c>
      <c r="E32" t="s">
        <v>2171</v>
      </c>
      <c r="F32">
        <v>25000</v>
      </c>
      <c r="G32">
        <v>0</v>
      </c>
      <c r="H32">
        <v>819808.95</v>
      </c>
    </row>
    <row r="33" spans="1:8" hidden="1">
      <c r="A33">
        <v>32</v>
      </c>
      <c r="B33" t="s">
        <v>11428</v>
      </c>
      <c r="C33" t="s">
        <v>11428</v>
      </c>
      <c r="D33" t="s">
        <v>4124</v>
      </c>
      <c r="E33" t="s">
        <v>2205</v>
      </c>
      <c r="F33">
        <v>0</v>
      </c>
      <c r="G33">
        <v>208626</v>
      </c>
      <c r="H33">
        <v>1028434.95</v>
      </c>
    </row>
    <row r="34" spans="1:8">
      <c r="A34">
        <v>33</v>
      </c>
      <c r="B34" t="s">
        <v>11429</v>
      </c>
      <c r="C34" t="s">
        <v>11429</v>
      </c>
      <c r="D34" t="s">
        <v>4124</v>
      </c>
      <c r="E34" t="s">
        <v>2206</v>
      </c>
      <c r="F34">
        <v>48134</v>
      </c>
      <c r="G34">
        <v>0</v>
      </c>
      <c r="H34">
        <v>980300.95</v>
      </c>
    </row>
    <row r="35" spans="1:8">
      <c r="A35">
        <v>34</v>
      </c>
      <c r="B35" t="s">
        <v>11430</v>
      </c>
      <c r="C35" t="s">
        <v>11430</v>
      </c>
      <c r="D35" t="s">
        <v>4124</v>
      </c>
      <c r="E35" t="s">
        <v>2207</v>
      </c>
      <c r="F35">
        <v>2000</v>
      </c>
      <c r="G35">
        <v>0</v>
      </c>
      <c r="H35">
        <v>978300.95</v>
      </c>
    </row>
    <row r="36" spans="1:8" hidden="1">
      <c r="A36">
        <v>35</v>
      </c>
      <c r="B36" t="s">
        <v>11431</v>
      </c>
      <c r="C36" t="s">
        <v>11431</v>
      </c>
      <c r="D36" t="s">
        <v>4124</v>
      </c>
      <c r="E36" t="s">
        <v>2208</v>
      </c>
      <c r="F36">
        <v>0</v>
      </c>
      <c r="G36">
        <v>13535</v>
      </c>
      <c r="H36">
        <v>991835.95</v>
      </c>
    </row>
    <row r="37" spans="1:8">
      <c r="A37">
        <v>36</v>
      </c>
      <c r="B37" s="2">
        <v>42011</v>
      </c>
      <c r="C37" s="2">
        <v>42011</v>
      </c>
      <c r="D37" t="s">
        <v>4124</v>
      </c>
      <c r="E37" t="s">
        <v>2154</v>
      </c>
      <c r="F37">
        <v>40000</v>
      </c>
      <c r="G37">
        <v>0</v>
      </c>
      <c r="H37">
        <v>951835.95</v>
      </c>
    </row>
    <row r="38" spans="1:8">
      <c r="A38">
        <v>37</v>
      </c>
      <c r="B38" s="2">
        <v>42042</v>
      </c>
      <c r="C38" s="2">
        <v>42042</v>
      </c>
      <c r="D38" t="s">
        <v>4124</v>
      </c>
      <c r="E38" t="s">
        <v>2209</v>
      </c>
      <c r="F38">
        <v>7510</v>
      </c>
      <c r="G38">
        <v>0</v>
      </c>
      <c r="H38">
        <v>944325.95</v>
      </c>
    </row>
    <row r="39" spans="1:8">
      <c r="A39">
        <v>38</v>
      </c>
      <c r="B39" s="2">
        <v>42042</v>
      </c>
      <c r="C39" s="2">
        <v>42042</v>
      </c>
      <c r="D39" t="s">
        <v>4124</v>
      </c>
      <c r="E39" t="s">
        <v>2210</v>
      </c>
      <c r="F39">
        <v>30000</v>
      </c>
      <c r="G39">
        <v>0</v>
      </c>
      <c r="H39">
        <v>914325.95</v>
      </c>
    </row>
    <row r="40" spans="1:8">
      <c r="A40">
        <v>39</v>
      </c>
      <c r="B40" s="2">
        <v>42192</v>
      </c>
      <c r="C40" s="2">
        <v>42192</v>
      </c>
      <c r="D40" t="s">
        <v>4124</v>
      </c>
      <c r="E40" t="s">
        <v>2211</v>
      </c>
      <c r="F40">
        <v>5000</v>
      </c>
      <c r="G40">
        <v>0</v>
      </c>
      <c r="H40">
        <v>909325.95</v>
      </c>
    </row>
    <row r="41" spans="1:8">
      <c r="A41">
        <v>40</v>
      </c>
      <c r="B41" s="2">
        <v>42284</v>
      </c>
      <c r="C41" s="2">
        <v>42284</v>
      </c>
      <c r="D41" t="s">
        <v>4124</v>
      </c>
      <c r="E41" t="s">
        <v>2212</v>
      </c>
      <c r="F41">
        <v>2000</v>
      </c>
      <c r="G41">
        <v>0</v>
      </c>
      <c r="H41">
        <v>907325.95</v>
      </c>
    </row>
    <row r="42" spans="1:8">
      <c r="A42">
        <v>41</v>
      </c>
      <c r="B42" t="s">
        <v>11432</v>
      </c>
      <c r="C42" t="s">
        <v>11432</v>
      </c>
      <c r="D42" t="s">
        <v>4124</v>
      </c>
      <c r="E42" t="s">
        <v>2171</v>
      </c>
      <c r="F42">
        <v>25000</v>
      </c>
      <c r="G42">
        <v>0</v>
      </c>
      <c r="H42">
        <v>882325.95</v>
      </c>
    </row>
    <row r="43" spans="1:8" hidden="1">
      <c r="A43">
        <v>42</v>
      </c>
      <c r="B43" t="s">
        <v>11433</v>
      </c>
      <c r="C43" t="s">
        <v>11433</v>
      </c>
      <c r="D43" t="s">
        <v>4124</v>
      </c>
      <c r="E43" t="s">
        <v>2214</v>
      </c>
      <c r="F43">
        <v>0</v>
      </c>
      <c r="G43">
        <v>251645.77</v>
      </c>
      <c r="H43">
        <v>1133971.72</v>
      </c>
    </row>
    <row r="44" spans="1:8" hidden="1">
      <c r="A44">
        <v>43</v>
      </c>
      <c r="B44" t="s">
        <v>11433</v>
      </c>
      <c r="C44" t="s">
        <v>11433</v>
      </c>
      <c r="D44" t="s">
        <v>4124</v>
      </c>
      <c r="E44" t="s">
        <v>2215</v>
      </c>
      <c r="F44">
        <v>0</v>
      </c>
      <c r="G44">
        <v>208626</v>
      </c>
      <c r="H44">
        <v>1342597.72</v>
      </c>
    </row>
    <row r="45" spans="1:8">
      <c r="A45">
        <v>44</v>
      </c>
      <c r="B45" t="s">
        <v>11434</v>
      </c>
      <c r="C45" t="s">
        <v>11434</v>
      </c>
      <c r="D45" t="s">
        <v>4124</v>
      </c>
      <c r="E45" t="s">
        <v>2216</v>
      </c>
      <c r="F45">
        <v>300000</v>
      </c>
      <c r="G45">
        <v>0</v>
      </c>
      <c r="H45">
        <v>1042597.72</v>
      </c>
    </row>
    <row r="46" spans="1:8">
      <c r="A46">
        <v>45</v>
      </c>
      <c r="B46" t="s">
        <v>11433</v>
      </c>
      <c r="C46" t="s">
        <v>11435</v>
      </c>
      <c r="D46" t="s">
        <v>4124</v>
      </c>
      <c r="E46" t="s">
        <v>2217</v>
      </c>
      <c r="F46">
        <v>40000</v>
      </c>
      <c r="G46">
        <v>0</v>
      </c>
      <c r="H46">
        <v>1002597.72</v>
      </c>
    </row>
    <row r="47" spans="1:8">
      <c r="A47">
        <v>46</v>
      </c>
      <c r="B47" t="s">
        <v>11435</v>
      </c>
      <c r="C47" t="s">
        <v>11435</v>
      </c>
      <c r="D47" t="s">
        <v>4124</v>
      </c>
      <c r="E47" t="s">
        <v>2218</v>
      </c>
      <c r="F47">
        <v>17730</v>
      </c>
      <c r="G47">
        <v>0</v>
      </c>
      <c r="H47">
        <v>984867.72</v>
      </c>
    </row>
    <row r="48" spans="1:8">
      <c r="A48">
        <v>47</v>
      </c>
      <c r="B48" t="s">
        <v>11436</v>
      </c>
      <c r="C48" t="s">
        <v>11436</v>
      </c>
      <c r="D48" t="s">
        <v>4124</v>
      </c>
      <c r="E48" t="s">
        <v>2219</v>
      </c>
      <c r="F48">
        <v>2000</v>
      </c>
      <c r="G48">
        <v>0</v>
      </c>
      <c r="H48">
        <v>982867.72</v>
      </c>
    </row>
    <row r="49" spans="1:8">
      <c r="A49">
        <v>48</v>
      </c>
      <c r="B49" t="s">
        <v>11437</v>
      </c>
      <c r="C49" t="s">
        <v>11437</v>
      </c>
      <c r="D49" t="s">
        <v>4124</v>
      </c>
      <c r="E49" t="s">
        <v>2220</v>
      </c>
      <c r="F49">
        <v>10000</v>
      </c>
      <c r="G49">
        <v>0</v>
      </c>
      <c r="H49">
        <v>972867.72</v>
      </c>
    </row>
    <row r="50" spans="1:8">
      <c r="A50">
        <v>49</v>
      </c>
      <c r="B50" t="s">
        <v>11437</v>
      </c>
      <c r="C50" t="s">
        <v>11437</v>
      </c>
      <c r="D50" t="s">
        <v>4124</v>
      </c>
      <c r="E50" t="s">
        <v>2220</v>
      </c>
      <c r="F50">
        <v>10000</v>
      </c>
      <c r="G50">
        <v>0</v>
      </c>
      <c r="H50">
        <v>962867.72</v>
      </c>
    </row>
    <row r="51" spans="1:8">
      <c r="A51">
        <v>50</v>
      </c>
      <c r="B51" s="2">
        <v>42012</v>
      </c>
      <c r="C51" s="2">
        <v>42012</v>
      </c>
      <c r="D51" t="s">
        <v>4124</v>
      </c>
      <c r="E51" t="s">
        <v>2154</v>
      </c>
      <c r="F51">
        <v>40000</v>
      </c>
      <c r="G51">
        <v>0</v>
      </c>
      <c r="H51">
        <v>922867.72</v>
      </c>
    </row>
    <row r="52" spans="1:8">
      <c r="A52">
        <v>51</v>
      </c>
      <c r="B52" s="2">
        <v>42071</v>
      </c>
      <c r="C52" s="2">
        <v>42071</v>
      </c>
      <c r="D52" t="s">
        <v>4124</v>
      </c>
      <c r="E52" t="s">
        <v>2221</v>
      </c>
      <c r="F52">
        <v>30000</v>
      </c>
      <c r="G52">
        <v>0</v>
      </c>
      <c r="H52">
        <v>892867.72</v>
      </c>
    </row>
    <row r="53" spans="1:8" hidden="1">
      <c r="A53">
        <v>52</v>
      </c>
      <c r="B53" s="2">
        <v>42071</v>
      </c>
      <c r="C53" s="2">
        <v>42071</v>
      </c>
      <c r="D53" t="s">
        <v>4124</v>
      </c>
      <c r="E53" t="s">
        <v>2222</v>
      </c>
      <c r="F53">
        <v>0</v>
      </c>
      <c r="G53">
        <v>2226</v>
      </c>
      <c r="H53">
        <v>895093.72</v>
      </c>
    </row>
    <row r="54" spans="1:8">
      <c r="A54">
        <v>53</v>
      </c>
      <c r="B54" s="2">
        <v>42102</v>
      </c>
      <c r="C54" s="2">
        <v>42102</v>
      </c>
      <c r="D54" t="s">
        <v>4124</v>
      </c>
      <c r="E54" t="s">
        <v>2223</v>
      </c>
      <c r="F54">
        <v>8523</v>
      </c>
      <c r="G54">
        <v>0</v>
      </c>
      <c r="H54">
        <v>886570.72</v>
      </c>
    </row>
    <row r="55" spans="1:8">
      <c r="A55">
        <v>54</v>
      </c>
      <c r="B55" s="2">
        <v>42163</v>
      </c>
      <c r="C55" s="2">
        <v>42163</v>
      </c>
      <c r="D55" t="s">
        <v>4124</v>
      </c>
      <c r="E55" t="s">
        <v>2224</v>
      </c>
      <c r="F55">
        <v>15505</v>
      </c>
      <c r="G55">
        <v>0</v>
      </c>
      <c r="H55">
        <v>871065.72</v>
      </c>
    </row>
    <row r="56" spans="1:8">
      <c r="A56">
        <v>55</v>
      </c>
      <c r="B56" s="2">
        <v>42255</v>
      </c>
      <c r="C56" s="2">
        <v>42285</v>
      </c>
      <c r="D56" t="s">
        <v>4124</v>
      </c>
      <c r="E56" t="s">
        <v>2225</v>
      </c>
      <c r="F56">
        <v>9000</v>
      </c>
      <c r="G56">
        <v>0</v>
      </c>
      <c r="H56">
        <v>862065.72</v>
      </c>
    </row>
    <row r="57" spans="1:8">
      <c r="A57">
        <v>56</v>
      </c>
      <c r="B57" s="2">
        <v>42285</v>
      </c>
      <c r="C57" s="2">
        <v>42285</v>
      </c>
      <c r="D57">
        <v>520509</v>
      </c>
      <c r="E57" t="s">
        <v>2227</v>
      </c>
      <c r="F57">
        <v>1000</v>
      </c>
      <c r="G57">
        <v>0</v>
      </c>
      <c r="H57">
        <v>861065.72</v>
      </c>
    </row>
    <row r="58" spans="1:8">
      <c r="A58">
        <v>57</v>
      </c>
      <c r="B58" s="2">
        <v>42285</v>
      </c>
      <c r="C58" s="2">
        <v>42285</v>
      </c>
      <c r="D58" t="s">
        <v>4124</v>
      </c>
      <c r="E58" t="s">
        <v>2228</v>
      </c>
      <c r="F58">
        <v>2000</v>
      </c>
      <c r="G58">
        <v>0</v>
      </c>
      <c r="H58">
        <v>859065.72</v>
      </c>
    </row>
    <row r="59" spans="1:8">
      <c r="A59">
        <v>58</v>
      </c>
      <c r="B59" t="s">
        <v>11438</v>
      </c>
      <c r="C59" t="s">
        <v>11438</v>
      </c>
      <c r="D59">
        <v>520510</v>
      </c>
      <c r="E59" t="s">
        <v>2230</v>
      </c>
      <c r="F59">
        <v>100000</v>
      </c>
      <c r="G59">
        <v>0</v>
      </c>
      <c r="H59">
        <v>759065.72</v>
      </c>
    </row>
    <row r="60" spans="1:8">
      <c r="A60">
        <v>59</v>
      </c>
      <c r="B60" t="s">
        <v>11439</v>
      </c>
      <c r="C60" t="s">
        <v>11440</v>
      </c>
      <c r="D60" t="s">
        <v>4124</v>
      </c>
      <c r="E60" t="s">
        <v>2231</v>
      </c>
      <c r="F60">
        <v>6000</v>
      </c>
      <c r="G60">
        <v>0</v>
      </c>
      <c r="H60">
        <v>753065.72</v>
      </c>
    </row>
    <row r="61" spans="1:8">
      <c r="A61">
        <v>60</v>
      </c>
      <c r="B61" t="s">
        <v>11440</v>
      </c>
      <c r="C61" t="s">
        <v>11440</v>
      </c>
      <c r="D61" t="s">
        <v>4124</v>
      </c>
      <c r="E61" t="s">
        <v>2171</v>
      </c>
      <c r="F61">
        <v>25000</v>
      </c>
      <c r="G61">
        <v>0</v>
      </c>
      <c r="H61">
        <v>728065.72</v>
      </c>
    </row>
    <row r="62" spans="1:8">
      <c r="A62">
        <v>61</v>
      </c>
      <c r="B62" t="s">
        <v>11441</v>
      </c>
      <c r="C62" t="s">
        <v>11441</v>
      </c>
      <c r="D62" t="s">
        <v>4124</v>
      </c>
      <c r="E62" t="s">
        <v>2232</v>
      </c>
      <c r="F62">
        <v>100</v>
      </c>
      <c r="G62">
        <v>0</v>
      </c>
      <c r="H62">
        <v>727965.72</v>
      </c>
    </row>
    <row r="63" spans="1:8">
      <c r="A63">
        <v>62</v>
      </c>
      <c r="B63" t="s">
        <v>11442</v>
      </c>
      <c r="C63" t="s">
        <v>11442</v>
      </c>
      <c r="D63" t="s">
        <v>4124</v>
      </c>
      <c r="E63" t="s">
        <v>2233</v>
      </c>
      <c r="F63">
        <v>100000</v>
      </c>
      <c r="G63">
        <v>0</v>
      </c>
      <c r="H63">
        <v>627965.72</v>
      </c>
    </row>
    <row r="64" spans="1:8" hidden="1">
      <c r="A64">
        <v>63</v>
      </c>
      <c r="B64" t="s">
        <v>11443</v>
      </c>
      <c r="C64" t="s">
        <v>11443</v>
      </c>
      <c r="D64" t="s">
        <v>4124</v>
      </c>
      <c r="E64" t="s">
        <v>2234</v>
      </c>
      <c r="F64">
        <v>0</v>
      </c>
      <c r="G64">
        <v>208626</v>
      </c>
      <c r="H64">
        <v>836591.72</v>
      </c>
    </row>
    <row r="65" spans="1:8">
      <c r="A65">
        <v>64</v>
      </c>
      <c r="B65" t="s">
        <v>11443</v>
      </c>
      <c r="C65" t="s">
        <v>11443</v>
      </c>
      <c r="D65" t="s">
        <v>4124</v>
      </c>
      <c r="E65" t="s">
        <v>2235</v>
      </c>
      <c r="F65">
        <v>113900</v>
      </c>
      <c r="G65">
        <v>0</v>
      </c>
      <c r="H65">
        <v>722691.72</v>
      </c>
    </row>
    <row r="66" spans="1:8">
      <c r="A66">
        <v>65</v>
      </c>
      <c r="B66" t="s">
        <v>11444</v>
      </c>
      <c r="C66" t="s">
        <v>11444</v>
      </c>
      <c r="D66" t="s">
        <v>4124</v>
      </c>
      <c r="E66" t="s">
        <v>2236</v>
      </c>
      <c r="F66">
        <v>17730</v>
      </c>
      <c r="G66">
        <v>0</v>
      </c>
      <c r="H66">
        <v>704961.72</v>
      </c>
    </row>
    <row r="67" spans="1:8">
      <c r="A67">
        <v>66</v>
      </c>
      <c r="B67" t="s">
        <v>11445</v>
      </c>
      <c r="C67" t="s">
        <v>11445</v>
      </c>
      <c r="D67" t="s">
        <v>4124</v>
      </c>
      <c r="E67" t="s">
        <v>2237</v>
      </c>
      <c r="F67">
        <v>2000</v>
      </c>
      <c r="G67">
        <v>0</v>
      </c>
      <c r="H67">
        <v>702961.72</v>
      </c>
    </row>
    <row r="68" spans="1:8">
      <c r="A68">
        <v>67</v>
      </c>
      <c r="B68" s="2">
        <v>42013</v>
      </c>
      <c r="C68" s="2">
        <v>42013</v>
      </c>
      <c r="D68" t="s">
        <v>4124</v>
      </c>
      <c r="E68" t="s">
        <v>2154</v>
      </c>
      <c r="F68">
        <v>40000</v>
      </c>
      <c r="G68">
        <v>0</v>
      </c>
      <c r="H68">
        <v>662961.72</v>
      </c>
    </row>
    <row r="69" spans="1:8">
      <c r="A69">
        <v>68</v>
      </c>
      <c r="B69" s="2">
        <v>42044</v>
      </c>
      <c r="C69" s="2">
        <v>42044</v>
      </c>
      <c r="D69" t="s">
        <v>4124</v>
      </c>
      <c r="E69" t="s">
        <v>2238</v>
      </c>
      <c r="F69">
        <v>8023</v>
      </c>
      <c r="G69">
        <v>0</v>
      </c>
      <c r="H69">
        <v>654938.72</v>
      </c>
    </row>
    <row r="70" spans="1:8">
      <c r="A70">
        <v>69</v>
      </c>
      <c r="B70" s="2">
        <v>42072</v>
      </c>
      <c r="C70" s="2">
        <v>42072</v>
      </c>
      <c r="D70" t="s">
        <v>4124</v>
      </c>
      <c r="E70" t="s">
        <v>2239</v>
      </c>
      <c r="F70">
        <v>30000</v>
      </c>
      <c r="G70">
        <v>0</v>
      </c>
      <c r="H70">
        <v>624938.72</v>
      </c>
    </row>
    <row r="71" spans="1:8">
      <c r="A71">
        <v>70</v>
      </c>
      <c r="B71" s="2">
        <v>42286</v>
      </c>
      <c r="C71" s="2">
        <v>42286</v>
      </c>
      <c r="D71" t="s">
        <v>4124</v>
      </c>
      <c r="E71" t="s">
        <v>2240</v>
      </c>
      <c r="F71">
        <v>2000</v>
      </c>
      <c r="G71">
        <v>0</v>
      </c>
      <c r="H71">
        <v>622938.72</v>
      </c>
    </row>
    <row r="72" spans="1:8" hidden="1">
      <c r="A72">
        <v>71</v>
      </c>
      <c r="B72" t="s">
        <v>11446</v>
      </c>
      <c r="C72" t="s">
        <v>11446</v>
      </c>
      <c r="D72" t="s">
        <v>4124</v>
      </c>
      <c r="E72" t="s">
        <v>2241</v>
      </c>
      <c r="F72">
        <v>0</v>
      </c>
      <c r="G72">
        <v>180572</v>
      </c>
      <c r="H72">
        <v>803510.72</v>
      </c>
    </row>
    <row r="73" spans="1:8">
      <c r="A73">
        <v>72</v>
      </c>
      <c r="B73" t="s">
        <v>11446</v>
      </c>
      <c r="C73" t="s">
        <v>11446</v>
      </c>
      <c r="D73" t="s">
        <v>4124</v>
      </c>
      <c r="E73" t="s">
        <v>2171</v>
      </c>
      <c r="F73">
        <v>25000</v>
      </c>
      <c r="G73">
        <v>0</v>
      </c>
      <c r="H73">
        <v>778510.72</v>
      </c>
    </row>
    <row r="74" spans="1:8">
      <c r="A74">
        <v>73</v>
      </c>
      <c r="B74" t="s">
        <v>11447</v>
      </c>
      <c r="C74" t="s">
        <v>11447</v>
      </c>
      <c r="D74" t="s">
        <v>4124</v>
      </c>
      <c r="E74" t="s">
        <v>2242</v>
      </c>
      <c r="F74">
        <v>5000</v>
      </c>
      <c r="G74">
        <v>0</v>
      </c>
      <c r="H74">
        <v>773510.72</v>
      </c>
    </row>
    <row r="75" spans="1:8" hidden="1">
      <c r="A75">
        <v>74</v>
      </c>
      <c r="B75" t="s">
        <v>11448</v>
      </c>
      <c r="C75" t="s">
        <v>11448</v>
      </c>
      <c r="D75" t="s">
        <v>4124</v>
      </c>
      <c r="E75" t="s">
        <v>2243</v>
      </c>
      <c r="F75">
        <v>0</v>
      </c>
      <c r="G75">
        <v>213980</v>
      </c>
      <c r="H75">
        <v>987490.72</v>
      </c>
    </row>
    <row r="76" spans="1:8" hidden="1">
      <c r="A76">
        <v>75</v>
      </c>
      <c r="B76" t="s">
        <v>11449</v>
      </c>
      <c r="C76" t="s">
        <v>11449</v>
      </c>
      <c r="D76" t="s">
        <v>4124</v>
      </c>
      <c r="E76" t="s">
        <v>2244</v>
      </c>
      <c r="F76">
        <v>0</v>
      </c>
      <c r="G76">
        <v>2830.19</v>
      </c>
      <c r="H76">
        <v>990320.91</v>
      </c>
    </row>
    <row r="77" spans="1:8">
      <c r="A77">
        <v>76</v>
      </c>
      <c r="B77" t="s">
        <v>11449</v>
      </c>
      <c r="C77" t="s">
        <v>11449</v>
      </c>
      <c r="D77" t="s">
        <v>4124</v>
      </c>
      <c r="E77" t="s">
        <v>2245</v>
      </c>
      <c r="F77">
        <v>2000</v>
      </c>
      <c r="G77">
        <v>0</v>
      </c>
      <c r="H77">
        <v>988320.91</v>
      </c>
    </row>
    <row r="78" spans="1:8">
      <c r="A78">
        <v>77</v>
      </c>
      <c r="B78" t="s">
        <v>11449</v>
      </c>
      <c r="C78" t="s">
        <v>11449</v>
      </c>
      <c r="D78" t="s">
        <v>4124</v>
      </c>
      <c r="E78" t="s">
        <v>2246</v>
      </c>
      <c r="F78">
        <v>17730</v>
      </c>
      <c r="G78">
        <v>0</v>
      </c>
      <c r="H78">
        <v>970590.91</v>
      </c>
    </row>
    <row r="79" spans="1:8">
      <c r="A79">
        <v>78</v>
      </c>
      <c r="B79" s="2">
        <v>42014</v>
      </c>
      <c r="C79" s="2">
        <v>42014</v>
      </c>
      <c r="D79" t="s">
        <v>4124</v>
      </c>
      <c r="E79" t="s">
        <v>2154</v>
      </c>
      <c r="F79">
        <v>40000</v>
      </c>
      <c r="G79">
        <v>0</v>
      </c>
      <c r="H79">
        <v>930590.91</v>
      </c>
    </row>
    <row r="80" spans="1:8">
      <c r="A80">
        <v>79</v>
      </c>
      <c r="B80" s="2">
        <v>42045</v>
      </c>
      <c r="C80" s="2">
        <v>42073</v>
      </c>
      <c r="D80" t="s">
        <v>4124</v>
      </c>
      <c r="E80" t="s">
        <v>2247</v>
      </c>
      <c r="F80">
        <v>8233</v>
      </c>
      <c r="G80">
        <v>0</v>
      </c>
      <c r="H80">
        <v>922357.91</v>
      </c>
    </row>
    <row r="81" spans="1:8">
      <c r="A81">
        <v>80</v>
      </c>
      <c r="B81" s="2">
        <v>42073</v>
      </c>
      <c r="C81" s="2">
        <v>42073</v>
      </c>
      <c r="D81" t="s">
        <v>4124</v>
      </c>
      <c r="E81" t="s">
        <v>2248</v>
      </c>
      <c r="F81">
        <v>30000</v>
      </c>
      <c r="G81">
        <v>0</v>
      </c>
      <c r="H81">
        <v>892357.91</v>
      </c>
    </row>
    <row r="82" spans="1:8">
      <c r="A82">
        <v>81</v>
      </c>
      <c r="B82" s="2">
        <v>42195</v>
      </c>
      <c r="C82" s="2">
        <v>42195</v>
      </c>
      <c r="D82" t="s">
        <v>4124</v>
      </c>
      <c r="E82" t="s">
        <v>2249</v>
      </c>
      <c r="F82">
        <v>4000</v>
      </c>
      <c r="G82">
        <v>0</v>
      </c>
      <c r="H82">
        <v>888357.91</v>
      </c>
    </row>
    <row r="83" spans="1:8">
      <c r="A83">
        <v>82</v>
      </c>
      <c r="B83" s="2">
        <v>42348</v>
      </c>
      <c r="C83" s="2">
        <v>42348</v>
      </c>
      <c r="D83" t="s">
        <v>4124</v>
      </c>
      <c r="E83" t="s">
        <v>2250</v>
      </c>
      <c r="F83">
        <v>2000</v>
      </c>
      <c r="G83">
        <v>0</v>
      </c>
      <c r="H83">
        <v>886357.91</v>
      </c>
    </row>
    <row r="84" spans="1:8">
      <c r="A84">
        <v>83</v>
      </c>
      <c r="B84" t="s">
        <v>11450</v>
      </c>
      <c r="C84" t="s">
        <v>11450</v>
      </c>
      <c r="D84" t="s">
        <v>4124</v>
      </c>
      <c r="E84" t="s">
        <v>2171</v>
      </c>
      <c r="F84">
        <v>25000</v>
      </c>
      <c r="G84">
        <v>0</v>
      </c>
      <c r="H84">
        <v>861357.91</v>
      </c>
    </row>
    <row r="85" spans="1:8">
      <c r="A85">
        <v>84</v>
      </c>
      <c r="B85" t="s">
        <v>11451</v>
      </c>
      <c r="C85" t="s">
        <v>11451</v>
      </c>
      <c r="D85" t="s">
        <v>4124</v>
      </c>
      <c r="E85" t="s">
        <v>2251</v>
      </c>
      <c r="F85">
        <v>5000</v>
      </c>
      <c r="G85">
        <v>0</v>
      </c>
      <c r="H85">
        <v>856357.91</v>
      </c>
    </row>
    <row r="86" spans="1:8">
      <c r="A86">
        <v>85</v>
      </c>
      <c r="B86" t="s">
        <v>11451</v>
      </c>
      <c r="C86" t="s">
        <v>11451</v>
      </c>
      <c r="D86" t="s">
        <v>4124</v>
      </c>
      <c r="E86" t="s">
        <v>2252</v>
      </c>
      <c r="F86">
        <v>561</v>
      </c>
      <c r="G86">
        <v>0</v>
      </c>
      <c r="H86">
        <v>855796.91</v>
      </c>
    </row>
    <row r="87" spans="1:8" hidden="1">
      <c r="A87">
        <v>86</v>
      </c>
      <c r="B87" t="s">
        <v>11452</v>
      </c>
      <c r="C87" t="s">
        <v>11452</v>
      </c>
      <c r="D87" t="s">
        <v>4124</v>
      </c>
      <c r="E87" t="s">
        <v>2253</v>
      </c>
      <c r="F87">
        <v>0</v>
      </c>
      <c r="G87">
        <v>211171</v>
      </c>
      <c r="H87">
        <v>1066967.9099999999</v>
      </c>
    </row>
    <row r="88" spans="1:8">
      <c r="A88">
        <v>87</v>
      </c>
      <c r="B88" t="s">
        <v>11453</v>
      </c>
      <c r="C88" t="s">
        <v>11453</v>
      </c>
      <c r="D88" t="s">
        <v>4124</v>
      </c>
      <c r="E88" t="s">
        <v>2254</v>
      </c>
      <c r="F88">
        <v>17730</v>
      </c>
      <c r="G88">
        <v>0</v>
      </c>
      <c r="H88">
        <v>1049237.9099999999</v>
      </c>
    </row>
    <row r="89" spans="1:8">
      <c r="A89">
        <v>88</v>
      </c>
      <c r="B89" t="s">
        <v>11454</v>
      </c>
      <c r="C89" t="s">
        <v>11454</v>
      </c>
      <c r="D89" t="s">
        <v>4124</v>
      </c>
      <c r="E89" t="s">
        <v>2255</v>
      </c>
      <c r="F89">
        <v>2000</v>
      </c>
      <c r="G89">
        <v>0</v>
      </c>
      <c r="H89">
        <v>1047237.91</v>
      </c>
    </row>
    <row r="90" spans="1:8">
      <c r="A90">
        <v>89</v>
      </c>
      <c r="B90" s="2">
        <v>42046</v>
      </c>
      <c r="C90" s="2">
        <v>42046</v>
      </c>
      <c r="D90" t="s">
        <v>4124</v>
      </c>
      <c r="E90" t="s">
        <v>2154</v>
      </c>
      <c r="F90">
        <v>40000</v>
      </c>
      <c r="G90">
        <v>0</v>
      </c>
      <c r="H90">
        <v>1007237.91</v>
      </c>
    </row>
    <row r="91" spans="1:8">
      <c r="A91">
        <v>90</v>
      </c>
      <c r="B91" s="2">
        <v>42074</v>
      </c>
      <c r="C91" s="2">
        <v>42074</v>
      </c>
      <c r="D91" t="s">
        <v>4124</v>
      </c>
      <c r="E91" t="s">
        <v>2256</v>
      </c>
      <c r="F91">
        <v>13093</v>
      </c>
      <c r="G91">
        <v>0</v>
      </c>
      <c r="H91">
        <v>994144.91</v>
      </c>
    </row>
    <row r="92" spans="1:8">
      <c r="A92">
        <v>91</v>
      </c>
      <c r="B92" s="2">
        <v>42074</v>
      </c>
      <c r="C92" s="2">
        <v>42074</v>
      </c>
      <c r="D92" t="s">
        <v>4124</v>
      </c>
      <c r="E92" t="s">
        <v>2257</v>
      </c>
      <c r="F92">
        <v>105</v>
      </c>
      <c r="G92">
        <v>0</v>
      </c>
      <c r="H92">
        <v>994039.91</v>
      </c>
    </row>
    <row r="93" spans="1:8">
      <c r="A93">
        <v>92</v>
      </c>
      <c r="B93" s="2">
        <v>42074</v>
      </c>
      <c r="C93" s="2">
        <v>42074</v>
      </c>
      <c r="D93" t="s">
        <v>4124</v>
      </c>
      <c r="E93" t="s">
        <v>2258</v>
      </c>
      <c r="F93">
        <v>30000</v>
      </c>
      <c r="G93">
        <v>0</v>
      </c>
      <c r="H93">
        <v>964039.91</v>
      </c>
    </row>
    <row r="94" spans="1:8">
      <c r="A94">
        <v>93</v>
      </c>
      <c r="B94" s="2">
        <v>42227</v>
      </c>
      <c r="C94" s="2">
        <v>42258</v>
      </c>
      <c r="D94" t="s">
        <v>4124</v>
      </c>
      <c r="E94" t="s">
        <v>2259</v>
      </c>
      <c r="F94">
        <v>10000</v>
      </c>
      <c r="G94">
        <v>0</v>
      </c>
      <c r="H94">
        <v>954039.91</v>
      </c>
    </row>
    <row r="95" spans="1:8">
      <c r="A95">
        <v>94</v>
      </c>
      <c r="B95" s="2">
        <v>42288</v>
      </c>
      <c r="C95" s="2">
        <v>42288</v>
      </c>
      <c r="D95" t="s">
        <v>4124</v>
      </c>
      <c r="E95" t="s">
        <v>2260</v>
      </c>
      <c r="F95">
        <v>2000</v>
      </c>
      <c r="G95">
        <v>0</v>
      </c>
      <c r="H95">
        <v>952039.91</v>
      </c>
    </row>
    <row r="96" spans="1:8">
      <c r="A96">
        <v>95</v>
      </c>
      <c r="B96" t="s">
        <v>11455</v>
      </c>
      <c r="C96" t="s">
        <v>11455</v>
      </c>
      <c r="D96" t="s">
        <v>4124</v>
      </c>
      <c r="E96" t="s">
        <v>2261</v>
      </c>
      <c r="F96">
        <v>6000</v>
      </c>
      <c r="G96">
        <v>0</v>
      </c>
      <c r="H96">
        <v>946039.91</v>
      </c>
    </row>
    <row r="97" spans="1:8">
      <c r="A97">
        <v>96</v>
      </c>
      <c r="B97" t="s">
        <v>11456</v>
      </c>
      <c r="C97" t="s">
        <v>11457</v>
      </c>
      <c r="D97" t="s">
        <v>4124</v>
      </c>
      <c r="E97" t="s">
        <v>2262</v>
      </c>
      <c r="F97">
        <v>125000</v>
      </c>
      <c r="G97">
        <v>0</v>
      </c>
      <c r="H97">
        <v>821039.91</v>
      </c>
    </row>
    <row r="98" spans="1:8">
      <c r="A98">
        <v>97</v>
      </c>
      <c r="B98" t="s">
        <v>11456</v>
      </c>
      <c r="C98" t="s">
        <v>11457</v>
      </c>
      <c r="D98" t="s">
        <v>4124</v>
      </c>
      <c r="E98" t="s">
        <v>2263</v>
      </c>
      <c r="F98">
        <v>125000</v>
      </c>
      <c r="G98">
        <v>0</v>
      </c>
      <c r="H98">
        <v>696039.91</v>
      </c>
    </row>
    <row r="99" spans="1:8">
      <c r="A99">
        <v>98</v>
      </c>
      <c r="B99" t="s">
        <v>11457</v>
      </c>
      <c r="C99" t="s">
        <v>11457</v>
      </c>
      <c r="D99" t="s">
        <v>4124</v>
      </c>
      <c r="E99" t="s">
        <v>2171</v>
      </c>
      <c r="F99">
        <v>25000</v>
      </c>
      <c r="G99">
        <v>0</v>
      </c>
      <c r="H99">
        <v>671039.91</v>
      </c>
    </row>
    <row r="100" spans="1:8">
      <c r="A100">
        <v>99</v>
      </c>
      <c r="B100" t="s">
        <v>11458</v>
      </c>
      <c r="C100" t="s">
        <v>11458</v>
      </c>
      <c r="D100" t="s">
        <v>4124</v>
      </c>
      <c r="E100" t="s">
        <v>2264</v>
      </c>
      <c r="F100">
        <v>7000</v>
      </c>
      <c r="G100">
        <v>0</v>
      </c>
      <c r="H100">
        <v>664039.91</v>
      </c>
    </row>
    <row r="101" spans="1:8">
      <c r="A101">
        <v>100</v>
      </c>
      <c r="B101" t="s">
        <v>11459</v>
      </c>
      <c r="C101" t="s">
        <v>11460</v>
      </c>
      <c r="D101" t="s">
        <v>4124</v>
      </c>
      <c r="E101" t="s">
        <v>2265</v>
      </c>
      <c r="F101">
        <v>6097.25</v>
      </c>
      <c r="G101">
        <v>0</v>
      </c>
      <c r="H101">
        <v>657942.66</v>
      </c>
    </row>
    <row r="102" spans="1:8">
      <c r="A102">
        <v>101</v>
      </c>
      <c r="B102" t="s">
        <v>11459</v>
      </c>
      <c r="C102" t="s">
        <v>11460</v>
      </c>
      <c r="D102" t="s">
        <v>4124</v>
      </c>
      <c r="E102" t="s">
        <v>2266</v>
      </c>
      <c r="F102">
        <v>6097.25</v>
      </c>
      <c r="G102">
        <v>0</v>
      </c>
      <c r="H102">
        <v>651845.41</v>
      </c>
    </row>
    <row r="103" spans="1:8" hidden="1">
      <c r="A103">
        <v>102</v>
      </c>
      <c r="B103" t="s">
        <v>11461</v>
      </c>
      <c r="C103" t="s">
        <v>11461</v>
      </c>
      <c r="D103" t="s">
        <v>4124</v>
      </c>
      <c r="E103" t="s">
        <v>2267</v>
      </c>
      <c r="F103">
        <v>0</v>
      </c>
      <c r="G103">
        <v>245122</v>
      </c>
      <c r="H103">
        <v>896967.41</v>
      </c>
    </row>
    <row r="104" spans="1:8">
      <c r="A104">
        <v>103</v>
      </c>
      <c r="B104" t="s">
        <v>11462</v>
      </c>
      <c r="C104" t="s">
        <v>11462</v>
      </c>
      <c r="D104" t="s">
        <v>4124</v>
      </c>
      <c r="E104" t="s">
        <v>2268</v>
      </c>
      <c r="F104">
        <v>2000</v>
      </c>
      <c r="G104">
        <v>0</v>
      </c>
      <c r="H104">
        <v>894967.41</v>
      </c>
    </row>
    <row r="105" spans="1:8">
      <c r="A105">
        <v>104</v>
      </c>
      <c r="B105" s="2">
        <v>42016</v>
      </c>
      <c r="C105" s="2">
        <v>42016</v>
      </c>
      <c r="D105" t="s">
        <v>4124</v>
      </c>
      <c r="E105" t="s">
        <v>2154</v>
      </c>
      <c r="F105">
        <v>40000</v>
      </c>
      <c r="G105">
        <v>0</v>
      </c>
      <c r="H105">
        <v>854967.41</v>
      </c>
    </row>
    <row r="106" spans="1:8">
      <c r="A106">
        <v>105</v>
      </c>
      <c r="B106" s="2">
        <v>42047</v>
      </c>
      <c r="C106" s="2">
        <v>42047</v>
      </c>
      <c r="D106" t="s">
        <v>4124</v>
      </c>
      <c r="E106" t="s">
        <v>2269</v>
      </c>
      <c r="F106">
        <v>8269</v>
      </c>
      <c r="G106">
        <v>0</v>
      </c>
      <c r="H106">
        <v>846698.41</v>
      </c>
    </row>
    <row r="107" spans="1:8">
      <c r="A107">
        <v>106</v>
      </c>
      <c r="B107" s="2">
        <v>42075</v>
      </c>
      <c r="C107" s="2">
        <v>42075</v>
      </c>
      <c r="D107" t="s">
        <v>4124</v>
      </c>
      <c r="E107" t="s">
        <v>2270</v>
      </c>
      <c r="F107">
        <v>30000</v>
      </c>
      <c r="G107">
        <v>0</v>
      </c>
      <c r="H107">
        <v>816698.41</v>
      </c>
    </row>
    <row r="108" spans="1:8">
      <c r="A108">
        <v>107</v>
      </c>
      <c r="B108" s="2">
        <v>42136</v>
      </c>
      <c r="C108" s="2">
        <v>42136</v>
      </c>
      <c r="D108" t="s">
        <v>4124</v>
      </c>
      <c r="E108" t="s">
        <v>2271</v>
      </c>
      <c r="F108">
        <v>8000</v>
      </c>
      <c r="G108">
        <v>0</v>
      </c>
      <c r="H108">
        <v>808698.41</v>
      </c>
    </row>
    <row r="109" spans="1:8" hidden="1">
      <c r="A109">
        <v>108</v>
      </c>
      <c r="B109" s="2">
        <v>42197</v>
      </c>
      <c r="C109" s="2">
        <v>42197</v>
      </c>
      <c r="D109" t="s">
        <v>4124</v>
      </c>
      <c r="E109" t="s">
        <v>2272</v>
      </c>
      <c r="F109">
        <v>0</v>
      </c>
      <c r="G109">
        <v>26794.53</v>
      </c>
      <c r="H109">
        <v>835492.94</v>
      </c>
    </row>
    <row r="110" spans="1:8" hidden="1">
      <c r="A110">
        <v>109</v>
      </c>
      <c r="B110" s="2">
        <v>42228</v>
      </c>
      <c r="C110" s="2">
        <v>42228</v>
      </c>
      <c r="D110" t="s">
        <v>4124</v>
      </c>
      <c r="E110" t="s">
        <v>2273</v>
      </c>
      <c r="F110">
        <v>0</v>
      </c>
      <c r="G110">
        <v>87874.33</v>
      </c>
      <c r="H110">
        <v>923367.27</v>
      </c>
    </row>
    <row r="111" spans="1:8">
      <c r="A111">
        <v>110</v>
      </c>
      <c r="B111" s="2">
        <v>42289</v>
      </c>
      <c r="C111" s="2">
        <v>42289</v>
      </c>
      <c r="D111" t="s">
        <v>4124</v>
      </c>
      <c r="E111" t="s">
        <v>2274</v>
      </c>
      <c r="F111">
        <v>2000</v>
      </c>
      <c r="G111">
        <v>0</v>
      </c>
      <c r="H111">
        <v>921367.27</v>
      </c>
    </row>
    <row r="112" spans="1:8" hidden="1">
      <c r="A112">
        <v>111</v>
      </c>
      <c r="B112" s="2">
        <v>42289</v>
      </c>
      <c r="C112" s="2">
        <v>42289</v>
      </c>
      <c r="D112" t="s">
        <v>4124</v>
      </c>
      <c r="E112" t="s">
        <v>2275</v>
      </c>
      <c r="F112">
        <v>0</v>
      </c>
      <c r="G112">
        <v>2028</v>
      </c>
      <c r="H112">
        <v>923395.27</v>
      </c>
    </row>
    <row r="113" spans="1:8">
      <c r="A113">
        <v>112</v>
      </c>
      <c r="B113" t="s">
        <v>11463</v>
      </c>
      <c r="C113" t="s">
        <v>11463</v>
      </c>
      <c r="D113" t="s">
        <v>4124</v>
      </c>
      <c r="E113" t="s">
        <v>2171</v>
      </c>
      <c r="F113">
        <v>25000</v>
      </c>
      <c r="G113">
        <v>0</v>
      </c>
      <c r="H113">
        <v>898395.27</v>
      </c>
    </row>
    <row r="114" spans="1:8">
      <c r="A114">
        <v>113</v>
      </c>
      <c r="B114" t="s">
        <v>11464</v>
      </c>
      <c r="C114" t="s">
        <v>11464</v>
      </c>
      <c r="D114" t="s">
        <v>4124</v>
      </c>
      <c r="E114" t="s">
        <v>2276</v>
      </c>
      <c r="F114">
        <v>5000</v>
      </c>
      <c r="G114">
        <v>0</v>
      </c>
      <c r="H114">
        <v>893395.27</v>
      </c>
    </row>
    <row r="115" spans="1:8" hidden="1">
      <c r="A115">
        <v>114</v>
      </c>
      <c r="B115" t="s">
        <v>11465</v>
      </c>
      <c r="C115" t="s">
        <v>11465</v>
      </c>
      <c r="D115" t="s">
        <v>4124</v>
      </c>
      <c r="E115" t="s">
        <v>2277</v>
      </c>
      <c r="F115">
        <v>0</v>
      </c>
      <c r="G115">
        <v>238947</v>
      </c>
      <c r="H115">
        <v>1132342.27</v>
      </c>
    </row>
    <row r="116" spans="1:8">
      <c r="A116">
        <v>115</v>
      </c>
      <c r="B116" t="s">
        <v>11466</v>
      </c>
      <c r="C116" t="s">
        <v>11466</v>
      </c>
      <c r="D116" t="s">
        <v>4124</v>
      </c>
      <c r="E116" t="s">
        <v>2278</v>
      </c>
      <c r="F116">
        <v>2000</v>
      </c>
      <c r="G116">
        <v>0</v>
      </c>
      <c r="H116">
        <v>1130342.27</v>
      </c>
    </row>
    <row r="117" spans="1:8" hidden="1">
      <c r="A117">
        <v>116</v>
      </c>
      <c r="B117" t="s">
        <v>11467</v>
      </c>
      <c r="C117" t="s">
        <v>11467</v>
      </c>
      <c r="D117" t="s">
        <v>4124</v>
      </c>
      <c r="E117" t="s">
        <v>2279</v>
      </c>
      <c r="F117">
        <v>0</v>
      </c>
      <c r="G117">
        <v>1017</v>
      </c>
      <c r="H117">
        <v>1131359.27</v>
      </c>
    </row>
    <row r="118" spans="1:8" hidden="1">
      <c r="A118">
        <v>117</v>
      </c>
      <c r="B118" t="s">
        <v>11468</v>
      </c>
      <c r="C118" t="s">
        <v>11468</v>
      </c>
      <c r="D118" t="s">
        <v>4124</v>
      </c>
      <c r="E118" t="s">
        <v>2280</v>
      </c>
      <c r="F118">
        <v>0</v>
      </c>
      <c r="G118">
        <v>17370</v>
      </c>
      <c r="H118">
        <v>1148729.27</v>
      </c>
    </row>
    <row r="119" spans="1:8">
      <c r="A119">
        <v>118</v>
      </c>
      <c r="B119" s="2">
        <v>42370</v>
      </c>
      <c r="C119" s="2">
        <v>42370</v>
      </c>
      <c r="D119" t="s">
        <v>4124</v>
      </c>
      <c r="E119" t="s">
        <v>2154</v>
      </c>
      <c r="F119">
        <v>40000</v>
      </c>
      <c r="G119">
        <v>0</v>
      </c>
      <c r="H119">
        <v>1108729.27</v>
      </c>
    </row>
    <row r="120" spans="1:8">
      <c r="A120">
        <v>119</v>
      </c>
      <c r="B120" s="2">
        <v>42430</v>
      </c>
      <c r="C120" s="2">
        <v>42461</v>
      </c>
      <c r="D120" t="s">
        <v>4124</v>
      </c>
      <c r="E120" t="s">
        <v>2281</v>
      </c>
      <c r="F120">
        <v>30000</v>
      </c>
      <c r="G120">
        <v>0</v>
      </c>
      <c r="H120">
        <v>1078729.27</v>
      </c>
    </row>
    <row r="121" spans="1:8">
      <c r="A121">
        <v>120</v>
      </c>
      <c r="B121" s="2">
        <v>42430</v>
      </c>
      <c r="C121" s="2">
        <v>42461</v>
      </c>
      <c r="D121" t="s">
        <v>4124</v>
      </c>
      <c r="E121" t="s">
        <v>2282</v>
      </c>
      <c r="F121">
        <v>4000</v>
      </c>
      <c r="G121">
        <v>0</v>
      </c>
      <c r="H121">
        <v>1074729.27</v>
      </c>
    </row>
    <row r="122" spans="1:8">
      <c r="A122">
        <v>121</v>
      </c>
      <c r="B122" s="2">
        <v>42430</v>
      </c>
      <c r="C122" s="2">
        <v>42461</v>
      </c>
      <c r="D122" t="s">
        <v>4124</v>
      </c>
      <c r="E122" t="s">
        <v>2282</v>
      </c>
      <c r="F122">
        <v>500</v>
      </c>
      <c r="G122">
        <v>0</v>
      </c>
      <c r="H122">
        <v>1074229.27</v>
      </c>
    </row>
    <row r="123" spans="1:8">
      <c r="A123">
        <v>122</v>
      </c>
      <c r="B123" s="2">
        <v>42461</v>
      </c>
      <c r="C123" s="2">
        <v>42461</v>
      </c>
      <c r="D123" t="s">
        <v>4124</v>
      </c>
      <c r="E123" t="s">
        <v>2283</v>
      </c>
      <c r="F123">
        <v>300000</v>
      </c>
      <c r="G123">
        <v>0</v>
      </c>
      <c r="H123">
        <v>774229.27</v>
      </c>
    </row>
    <row r="124" spans="1:8">
      <c r="A124">
        <v>123</v>
      </c>
      <c r="B124" s="2">
        <v>42461</v>
      </c>
      <c r="C124" s="2">
        <v>42461</v>
      </c>
      <c r="D124" t="s">
        <v>4124</v>
      </c>
      <c r="E124" t="s">
        <v>2284</v>
      </c>
      <c r="F124">
        <v>30142</v>
      </c>
      <c r="G124">
        <v>0</v>
      </c>
      <c r="H124">
        <v>744087.27</v>
      </c>
    </row>
    <row r="125" spans="1:8">
      <c r="A125">
        <v>124</v>
      </c>
      <c r="B125" s="2">
        <v>42552</v>
      </c>
      <c r="C125" s="2">
        <v>42552</v>
      </c>
      <c r="D125" t="s">
        <v>4124</v>
      </c>
      <c r="E125" t="s">
        <v>2285</v>
      </c>
      <c r="F125">
        <v>5000</v>
      </c>
      <c r="G125">
        <v>0</v>
      </c>
      <c r="H125">
        <v>739087.27</v>
      </c>
    </row>
    <row r="126" spans="1:8">
      <c r="A126">
        <v>125</v>
      </c>
      <c r="B126" s="2">
        <v>42675</v>
      </c>
      <c r="C126" s="2">
        <v>42675</v>
      </c>
      <c r="D126" t="s">
        <v>4124</v>
      </c>
      <c r="E126" t="s">
        <v>2286</v>
      </c>
      <c r="F126">
        <v>2000</v>
      </c>
      <c r="G126">
        <v>0</v>
      </c>
      <c r="H126">
        <v>737087.27</v>
      </c>
    </row>
    <row r="127" spans="1:8">
      <c r="A127">
        <v>126</v>
      </c>
      <c r="B127" s="2">
        <v>42705</v>
      </c>
      <c r="C127" s="2">
        <v>42705</v>
      </c>
      <c r="D127" t="s">
        <v>4124</v>
      </c>
      <c r="E127" t="s">
        <v>2287</v>
      </c>
      <c r="F127">
        <v>4000</v>
      </c>
      <c r="G127">
        <v>0</v>
      </c>
      <c r="H127">
        <v>733087.27</v>
      </c>
    </row>
    <row r="128" spans="1:8">
      <c r="A128">
        <v>127</v>
      </c>
      <c r="B128" t="s">
        <v>11469</v>
      </c>
      <c r="C128" t="s">
        <v>11469</v>
      </c>
      <c r="D128" t="s">
        <v>4124</v>
      </c>
      <c r="E128" t="s">
        <v>2171</v>
      </c>
      <c r="F128">
        <v>25000</v>
      </c>
      <c r="G128">
        <v>0</v>
      </c>
      <c r="H128">
        <v>708087.27</v>
      </c>
    </row>
    <row r="129" spans="1:8" hidden="1">
      <c r="A129">
        <v>128</v>
      </c>
      <c r="B129" t="s">
        <v>11470</v>
      </c>
      <c r="C129" t="s">
        <v>11470</v>
      </c>
      <c r="D129" t="s">
        <v>4124</v>
      </c>
      <c r="E129" t="s">
        <v>2288</v>
      </c>
      <c r="F129">
        <v>0</v>
      </c>
      <c r="G129">
        <v>238947</v>
      </c>
      <c r="H129">
        <v>947034.27</v>
      </c>
    </row>
    <row r="130" spans="1:8">
      <c r="A130">
        <v>129</v>
      </c>
      <c r="B130" t="s">
        <v>11471</v>
      </c>
      <c r="C130" t="s">
        <v>11471</v>
      </c>
      <c r="D130" t="s">
        <v>4124</v>
      </c>
      <c r="E130" t="s">
        <v>2289</v>
      </c>
      <c r="F130">
        <v>2000</v>
      </c>
      <c r="G130">
        <v>0</v>
      </c>
      <c r="H130">
        <v>945034.27</v>
      </c>
    </row>
    <row r="131" spans="1:8">
      <c r="A131">
        <v>130</v>
      </c>
      <c r="B131" s="2">
        <v>42371</v>
      </c>
      <c r="C131" s="2">
        <v>42371</v>
      </c>
      <c r="D131" t="s">
        <v>4124</v>
      </c>
      <c r="E131" t="s">
        <v>2154</v>
      </c>
      <c r="F131">
        <v>40000</v>
      </c>
      <c r="G131">
        <v>0</v>
      </c>
      <c r="H131">
        <v>905034.27</v>
      </c>
    </row>
    <row r="132" spans="1:8">
      <c r="A132">
        <v>131</v>
      </c>
      <c r="B132" s="2">
        <v>42431</v>
      </c>
      <c r="C132" s="2">
        <v>42431</v>
      </c>
      <c r="D132" t="s">
        <v>4124</v>
      </c>
      <c r="E132" t="s">
        <v>2290</v>
      </c>
      <c r="F132">
        <v>30000</v>
      </c>
      <c r="G132">
        <v>0</v>
      </c>
      <c r="H132">
        <v>875034.27</v>
      </c>
    </row>
    <row r="133" spans="1:8">
      <c r="A133">
        <v>132</v>
      </c>
      <c r="B133" s="2">
        <v>42431</v>
      </c>
      <c r="C133" s="2">
        <v>42431</v>
      </c>
      <c r="D133" t="s">
        <v>4124</v>
      </c>
      <c r="E133" t="s">
        <v>2291</v>
      </c>
      <c r="F133">
        <v>7697</v>
      </c>
      <c r="G133">
        <v>0</v>
      </c>
      <c r="H133">
        <v>867337.27</v>
      </c>
    </row>
    <row r="134" spans="1:8">
      <c r="A134">
        <v>133</v>
      </c>
      <c r="B134" s="2">
        <v>42645</v>
      </c>
      <c r="C134" s="2">
        <v>42645</v>
      </c>
      <c r="D134" t="s">
        <v>4124</v>
      </c>
      <c r="E134" t="s">
        <v>2292</v>
      </c>
      <c r="F134">
        <v>2000</v>
      </c>
      <c r="G134">
        <v>0</v>
      </c>
      <c r="H134">
        <v>865337.27</v>
      </c>
    </row>
    <row r="135" spans="1:8">
      <c r="A135">
        <v>134</v>
      </c>
      <c r="B135" t="s">
        <v>11472</v>
      </c>
      <c r="C135" t="s">
        <v>11473</v>
      </c>
      <c r="D135" t="s">
        <v>4124</v>
      </c>
      <c r="E135" t="s">
        <v>2293</v>
      </c>
      <c r="F135">
        <v>5000</v>
      </c>
      <c r="G135">
        <v>0</v>
      </c>
      <c r="H135">
        <v>860337.27</v>
      </c>
    </row>
    <row r="136" spans="1:8">
      <c r="A136">
        <v>135</v>
      </c>
      <c r="B136" t="s">
        <v>11473</v>
      </c>
      <c r="C136" t="s">
        <v>11473</v>
      </c>
      <c r="D136" t="s">
        <v>4124</v>
      </c>
      <c r="E136" t="s">
        <v>2171</v>
      </c>
      <c r="F136">
        <v>25000</v>
      </c>
      <c r="G136">
        <v>0</v>
      </c>
      <c r="H136">
        <v>835337.27</v>
      </c>
    </row>
    <row r="137" spans="1:8">
      <c r="A137">
        <v>136</v>
      </c>
      <c r="B137" t="s">
        <v>11474</v>
      </c>
      <c r="C137" t="s">
        <v>11474</v>
      </c>
      <c r="D137">
        <v>520512</v>
      </c>
      <c r="E137" t="s">
        <v>2295</v>
      </c>
      <c r="F137">
        <v>2000</v>
      </c>
      <c r="G137">
        <v>0</v>
      </c>
      <c r="H137">
        <v>833337.27</v>
      </c>
    </row>
    <row r="138" spans="1:8">
      <c r="A138">
        <v>137</v>
      </c>
      <c r="B138" t="s">
        <v>11475</v>
      </c>
      <c r="C138" t="s">
        <v>11475</v>
      </c>
      <c r="D138" t="s">
        <v>4124</v>
      </c>
      <c r="E138" t="s">
        <v>2296</v>
      </c>
      <c r="F138">
        <v>5000</v>
      </c>
      <c r="G138">
        <v>0</v>
      </c>
      <c r="H138">
        <v>828337.27</v>
      </c>
    </row>
    <row r="139" spans="1:8" hidden="1">
      <c r="A139">
        <v>138</v>
      </c>
      <c r="B139" t="s">
        <v>11476</v>
      </c>
      <c r="C139" t="s">
        <v>11476</v>
      </c>
      <c r="D139" t="s">
        <v>4124</v>
      </c>
      <c r="E139" t="s">
        <v>2297</v>
      </c>
      <c r="F139">
        <v>0</v>
      </c>
      <c r="G139">
        <v>235784</v>
      </c>
      <c r="H139">
        <v>1064121.27</v>
      </c>
    </row>
    <row r="140" spans="1:8">
      <c r="A140">
        <v>139</v>
      </c>
      <c r="B140" t="s">
        <v>11476</v>
      </c>
      <c r="C140" t="s">
        <v>11476</v>
      </c>
      <c r="D140" t="s">
        <v>4124</v>
      </c>
      <c r="E140" t="s">
        <v>2298</v>
      </c>
      <c r="F140">
        <v>10000</v>
      </c>
      <c r="G140">
        <v>0</v>
      </c>
      <c r="H140">
        <v>1054121.27</v>
      </c>
    </row>
    <row r="141" spans="1:8">
      <c r="A141">
        <v>140</v>
      </c>
      <c r="B141" t="s">
        <v>11477</v>
      </c>
      <c r="C141" t="s">
        <v>11477</v>
      </c>
      <c r="D141" t="s">
        <v>4124</v>
      </c>
      <c r="E141" t="s">
        <v>2299</v>
      </c>
      <c r="F141">
        <v>2000</v>
      </c>
      <c r="G141">
        <v>0</v>
      </c>
      <c r="H141">
        <v>1052121.27</v>
      </c>
    </row>
    <row r="142" spans="1:8">
      <c r="A142">
        <v>141</v>
      </c>
      <c r="B142" s="2">
        <v>42372</v>
      </c>
      <c r="C142" s="2">
        <v>42372</v>
      </c>
      <c r="D142" t="s">
        <v>4124</v>
      </c>
      <c r="E142" t="s">
        <v>2154</v>
      </c>
      <c r="F142">
        <v>40000</v>
      </c>
      <c r="G142">
        <v>0</v>
      </c>
      <c r="H142">
        <v>1012121.27</v>
      </c>
    </row>
    <row r="143" spans="1:8">
      <c r="A143">
        <v>142</v>
      </c>
      <c r="B143" s="2">
        <v>42432</v>
      </c>
      <c r="C143" s="2">
        <v>42432</v>
      </c>
      <c r="D143" t="s">
        <v>4124</v>
      </c>
      <c r="E143" t="s">
        <v>2300</v>
      </c>
      <c r="F143">
        <v>30000</v>
      </c>
      <c r="G143">
        <v>0</v>
      </c>
      <c r="H143">
        <v>982121.27</v>
      </c>
    </row>
    <row r="144" spans="1:8">
      <c r="A144">
        <v>143</v>
      </c>
      <c r="B144" s="2">
        <v>42646</v>
      </c>
      <c r="C144" s="2">
        <v>42646</v>
      </c>
      <c r="D144" t="s">
        <v>4124</v>
      </c>
      <c r="E144" t="s">
        <v>2301</v>
      </c>
      <c r="F144">
        <v>2000</v>
      </c>
      <c r="G144">
        <v>0</v>
      </c>
      <c r="H144">
        <v>980121.27</v>
      </c>
    </row>
    <row r="145" spans="1:8" hidden="1">
      <c r="A145">
        <v>144</v>
      </c>
      <c r="B145" s="2">
        <v>42677</v>
      </c>
      <c r="C145" s="2">
        <v>42677</v>
      </c>
      <c r="D145" t="s">
        <v>4124</v>
      </c>
      <c r="E145" t="s">
        <v>2302</v>
      </c>
      <c r="F145">
        <v>0</v>
      </c>
      <c r="G145">
        <v>2032</v>
      </c>
      <c r="H145">
        <v>982153.27</v>
      </c>
    </row>
    <row r="146" spans="1:8">
      <c r="A146">
        <v>145</v>
      </c>
      <c r="B146" t="s">
        <v>11478</v>
      </c>
      <c r="C146" t="s">
        <v>11478</v>
      </c>
      <c r="D146" t="s">
        <v>4124</v>
      </c>
      <c r="E146" t="s">
        <v>2303</v>
      </c>
      <c r="F146">
        <v>5000</v>
      </c>
      <c r="G146">
        <v>0</v>
      </c>
      <c r="H146">
        <v>977153.27</v>
      </c>
    </row>
    <row r="147" spans="1:8">
      <c r="A147">
        <v>146</v>
      </c>
      <c r="B147" t="s">
        <v>11479</v>
      </c>
      <c r="C147" t="s">
        <v>11479</v>
      </c>
      <c r="D147" t="s">
        <v>4124</v>
      </c>
      <c r="E147" t="s">
        <v>2171</v>
      </c>
      <c r="F147">
        <v>25000</v>
      </c>
      <c r="G147">
        <v>0</v>
      </c>
      <c r="H147">
        <v>952153.27</v>
      </c>
    </row>
    <row r="148" spans="1:8">
      <c r="A148">
        <v>147</v>
      </c>
      <c r="B148" t="s">
        <v>11480</v>
      </c>
      <c r="C148" t="s">
        <v>11481</v>
      </c>
      <c r="D148" t="s">
        <v>4124</v>
      </c>
      <c r="E148" t="s">
        <v>2304</v>
      </c>
      <c r="F148">
        <v>5000</v>
      </c>
      <c r="G148">
        <v>0</v>
      </c>
      <c r="H148">
        <v>947153.27</v>
      </c>
    </row>
    <row r="149" spans="1:8">
      <c r="A149">
        <v>148</v>
      </c>
      <c r="B149" t="s">
        <v>11481</v>
      </c>
      <c r="C149" t="s">
        <v>11481</v>
      </c>
      <c r="D149" t="s">
        <v>4124</v>
      </c>
      <c r="E149" t="s">
        <v>2305</v>
      </c>
      <c r="F149">
        <v>2000</v>
      </c>
      <c r="G149">
        <v>0</v>
      </c>
      <c r="H149">
        <v>945153.27</v>
      </c>
    </row>
    <row r="150" spans="1:8" hidden="1">
      <c r="A150">
        <v>149</v>
      </c>
      <c r="B150" t="s">
        <v>11481</v>
      </c>
      <c r="C150" t="s">
        <v>11481</v>
      </c>
      <c r="D150" t="s">
        <v>4124</v>
      </c>
      <c r="E150" t="s">
        <v>2306</v>
      </c>
      <c r="F150">
        <v>0</v>
      </c>
      <c r="G150">
        <v>803838</v>
      </c>
      <c r="H150">
        <v>1748991.27</v>
      </c>
    </row>
    <row r="151" spans="1:8" hidden="1">
      <c r="A151">
        <v>150</v>
      </c>
      <c r="B151" t="s">
        <v>11482</v>
      </c>
      <c r="C151" t="s">
        <v>11482</v>
      </c>
      <c r="D151" t="s">
        <v>4124</v>
      </c>
      <c r="E151" t="s">
        <v>2307</v>
      </c>
      <c r="F151">
        <v>0</v>
      </c>
      <c r="G151">
        <v>8931</v>
      </c>
      <c r="H151">
        <v>1757922.27</v>
      </c>
    </row>
  </sheetData>
  <autoFilter ref="A1:H151" xr:uid="{00000000-0009-0000-0000-00001A000000}">
    <filterColumn colId="6">
      <filters>
        <filter val="0"/>
      </filters>
    </filterColumn>
  </autoFilter>
  <pageMargins left="0.7" right="0.7" top="0.75" bottom="0.75" header="0.3" footer="0.3"/>
  <pageSetup orientation="portrait" horizontalDpi="200" verticalDpi="200" r:id="rId1"/>
</worksheet>
</file>

<file path=xl/worksheets/sheet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B00-000000000000}">
  <dimension ref="A1:I414"/>
  <sheetViews>
    <sheetView workbookViewId="0">
      <pane xSplit="3" topLeftCell="D1" activePane="topRight" state="frozen"/>
      <selection pane="topRight" activeCell="L1" sqref="L1:M1048576"/>
    </sheetView>
  </sheetViews>
  <sheetFormatPr defaultRowHeight="15"/>
  <cols>
    <col min="1" max="1" width="5.7109375" bestFit="1" customWidth="1"/>
    <col min="2" max="2" width="11" bestFit="1" customWidth="1"/>
    <col min="3" max="3" width="16.42578125" bestFit="1" customWidth="1"/>
    <col min="4" max="4" width="15.7109375" bestFit="1" customWidth="1"/>
    <col min="5" max="5" width="52.28515625" bestFit="1" customWidth="1"/>
    <col min="6" max="6" width="24.7109375" bestFit="1" customWidth="1"/>
    <col min="7" max="7" width="21" bestFit="1" customWidth="1"/>
    <col min="8" max="8" width="14" bestFit="1" customWidth="1"/>
    <col min="9" max="9" width="9.42578125" bestFit="1" customWidth="1"/>
    <col min="12" max="12" width="13.140625" bestFit="1" customWidth="1"/>
    <col min="13" max="13" width="31.7109375" bestFit="1" customWidth="1"/>
  </cols>
  <sheetData>
    <row r="1" spans="1:9" ht="25.5">
      <c r="A1" s="12" t="s">
        <v>11405</v>
      </c>
      <c r="B1" s="12" t="s">
        <v>11406</v>
      </c>
      <c r="C1" s="12" t="s">
        <v>11407</v>
      </c>
      <c r="D1" s="13" t="s">
        <v>11408</v>
      </c>
      <c r="E1" s="13" t="s">
        <v>11409</v>
      </c>
      <c r="F1" s="14" t="s">
        <v>11410</v>
      </c>
      <c r="G1" s="14" t="s">
        <v>11411</v>
      </c>
      <c r="H1" s="14" t="s">
        <v>11412</v>
      </c>
      <c r="I1" t="s">
        <v>10868</v>
      </c>
    </row>
    <row r="2" spans="1:9">
      <c r="A2" s="15" t="s">
        <v>11483</v>
      </c>
      <c r="B2" s="16" t="s">
        <v>11484</v>
      </c>
      <c r="C2" s="16" t="s">
        <v>11485</v>
      </c>
      <c r="D2" s="17" t="s">
        <v>4124</v>
      </c>
      <c r="E2" s="17" t="s">
        <v>5044</v>
      </c>
      <c r="F2" s="18">
        <v>7000</v>
      </c>
      <c r="G2" s="18">
        <v>0</v>
      </c>
      <c r="H2" s="18">
        <v>331760.15000000002</v>
      </c>
      <c r="I2" s="5">
        <v>39904</v>
      </c>
    </row>
    <row r="3" spans="1:9">
      <c r="A3" s="15" t="s">
        <v>11486</v>
      </c>
      <c r="B3" s="16" t="s">
        <v>11485</v>
      </c>
      <c r="C3" s="16" t="s">
        <v>11485</v>
      </c>
      <c r="D3" s="17" t="s">
        <v>4124</v>
      </c>
      <c r="E3" s="17" t="s">
        <v>5045</v>
      </c>
      <c r="F3" s="18">
        <v>432</v>
      </c>
      <c r="G3" s="18">
        <v>0</v>
      </c>
      <c r="H3" s="18">
        <v>331328.15000000002</v>
      </c>
      <c r="I3" s="5">
        <v>39904</v>
      </c>
    </row>
    <row r="4" spans="1:9">
      <c r="A4" s="15" t="s">
        <v>11487</v>
      </c>
      <c r="B4" s="16" t="s">
        <v>11485</v>
      </c>
      <c r="C4" s="16" t="s">
        <v>11485</v>
      </c>
      <c r="D4" s="17" t="s">
        <v>4124</v>
      </c>
      <c r="E4" s="17" t="s">
        <v>5046</v>
      </c>
      <c r="F4" s="18">
        <v>375</v>
      </c>
      <c r="G4" s="18">
        <v>0</v>
      </c>
      <c r="H4" s="18">
        <v>330953.15000000002</v>
      </c>
      <c r="I4" s="5">
        <v>39904</v>
      </c>
    </row>
    <row r="5" spans="1:9">
      <c r="A5" s="15" t="s">
        <v>11488</v>
      </c>
      <c r="B5" s="16" t="s">
        <v>11489</v>
      </c>
      <c r="C5" s="16" t="s">
        <v>11489</v>
      </c>
      <c r="D5" s="17" t="s">
        <v>11490</v>
      </c>
      <c r="E5" s="17" t="s">
        <v>5047</v>
      </c>
      <c r="F5" s="18">
        <v>5896.01</v>
      </c>
      <c r="G5" s="18">
        <v>0</v>
      </c>
      <c r="H5" s="18">
        <v>325057.14</v>
      </c>
      <c r="I5" s="5">
        <v>39904</v>
      </c>
    </row>
    <row r="6" spans="1:9">
      <c r="A6" s="15" t="s">
        <v>11491</v>
      </c>
      <c r="B6" s="16" t="s">
        <v>11492</v>
      </c>
      <c r="C6" s="16" t="s">
        <v>11492</v>
      </c>
      <c r="D6" s="17" t="s">
        <v>4124</v>
      </c>
      <c r="E6" s="17" t="s">
        <v>5048</v>
      </c>
      <c r="F6" s="18">
        <v>8000</v>
      </c>
      <c r="G6" s="18">
        <v>0</v>
      </c>
      <c r="H6" s="18">
        <v>684634.14</v>
      </c>
      <c r="I6" s="5">
        <v>39934</v>
      </c>
    </row>
    <row r="7" spans="1:9">
      <c r="A7" s="15" t="s">
        <v>11493</v>
      </c>
      <c r="B7" s="16" t="s">
        <v>11492</v>
      </c>
      <c r="C7" s="16" t="s">
        <v>11492</v>
      </c>
      <c r="D7" s="17" t="s">
        <v>4124</v>
      </c>
      <c r="E7" s="17" t="s">
        <v>11494</v>
      </c>
      <c r="F7" s="18">
        <v>2816.7</v>
      </c>
      <c r="G7" s="18">
        <v>0</v>
      </c>
      <c r="H7" s="18">
        <v>685317.44</v>
      </c>
      <c r="I7" s="5">
        <v>39934</v>
      </c>
    </row>
    <row r="8" spans="1:9">
      <c r="A8" s="15" t="s">
        <v>11495</v>
      </c>
      <c r="B8" s="16" t="s">
        <v>11496</v>
      </c>
      <c r="C8" s="16" t="s">
        <v>11496</v>
      </c>
      <c r="D8" s="17" t="s">
        <v>11497</v>
      </c>
      <c r="E8" s="17" t="s">
        <v>5047</v>
      </c>
      <c r="F8" s="18">
        <v>4406.84</v>
      </c>
      <c r="G8" s="18">
        <v>0</v>
      </c>
      <c r="H8" s="18">
        <v>682635.6</v>
      </c>
      <c r="I8" s="5">
        <v>39934</v>
      </c>
    </row>
    <row r="9" spans="1:9">
      <c r="A9" s="15" t="s">
        <v>11498</v>
      </c>
      <c r="B9" s="16" t="s">
        <v>11499</v>
      </c>
      <c r="C9" s="16" t="s">
        <v>11499</v>
      </c>
      <c r="D9" s="17" t="s">
        <v>4124</v>
      </c>
      <c r="E9" s="17" t="s">
        <v>11494</v>
      </c>
      <c r="F9" s="18">
        <v>17052</v>
      </c>
      <c r="G9" s="18">
        <v>0</v>
      </c>
      <c r="H9" s="18">
        <v>744232.48</v>
      </c>
      <c r="I9" s="5">
        <v>39965</v>
      </c>
    </row>
    <row r="10" spans="1:9">
      <c r="A10" s="15" t="s">
        <v>11500</v>
      </c>
      <c r="B10" s="16" t="s">
        <v>11501</v>
      </c>
      <c r="C10" s="16" t="s">
        <v>11501</v>
      </c>
      <c r="D10" s="17" t="s">
        <v>4124</v>
      </c>
      <c r="E10" s="17" t="s">
        <v>5051</v>
      </c>
      <c r="F10" s="18">
        <v>10000</v>
      </c>
      <c r="G10" s="18">
        <v>0</v>
      </c>
      <c r="H10" s="18">
        <v>534232.48</v>
      </c>
      <c r="I10" s="5">
        <v>39965</v>
      </c>
    </row>
    <row r="11" spans="1:9">
      <c r="A11" s="15" t="s">
        <v>11502</v>
      </c>
      <c r="B11" s="16" t="s">
        <v>11503</v>
      </c>
      <c r="C11" s="16" t="s">
        <v>11503</v>
      </c>
      <c r="D11" s="17" t="s">
        <v>4124</v>
      </c>
      <c r="E11" s="17" t="s">
        <v>11494</v>
      </c>
      <c r="F11" s="18">
        <v>25977</v>
      </c>
      <c r="G11" s="18">
        <v>0</v>
      </c>
      <c r="H11" s="18">
        <v>448986.61</v>
      </c>
      <c r="I11" s="5">
        <v>39995</v>
      </c>
    </row>
    <row r="12" spans="1:9">
      <c r="A12" s="15" t="s">
        <v>11504</v>
      </c>
      <c r="B12" s="16" t="s">
        <v>11505</v>
      </c>
      <c r="C12" s="16" t="s">
        <v>11505</v>
      </c>
      <c r="D12" s="17" t="s">
        <v>11506</v>
      </c>
      <c r="E12" s="17" t="s">
        <v>1425</v>
      </c>
      <c r="F12" s="18">
        <v>3360</v>
      </c>
      <c r="G12" s="18">
        <v>0</v>
      </c>
      <c r="H12" s="18">
        <v>445902.08000000002</v>
      </c>
      <c r="I12" s="5">
        <v>39995</v>
      </c>
    </row>
    <row r="13" spans="1:9">
      <c r="A13" s="15" t="s">
        <v>11507</v>
      </c>
      <c r="B13" s="16" t="s">
        <v>11508</v>
      </c>
      <c r="C13" s="16" t="s">
        <v>11508</v>
      </c>
      <c r="D13" s="17" t="s">
        <v>4124</v>
      </c>
      <c r="E13" s="17" t="s">
        <v>11494</v>
      </c>
      <c r="F13" s="18">
        <v>3457</v>
      </c>
      <c r="G13" s="18">
        <v>0</v>
      </c>
      <c r="H13" s="18">
        <v>533327.07999999996</v>
      </c>
      <c r="I13" s="5">
        <v>40026</v>
      </c>
    </row>
    <row r="14" spans="1:9">
      <c r="A14" s="15" t="s">
        <v>11509</v>
      </c>
      <c r="B14" s="16" t="s">
        <v>11508</v>
      </c>
      <c r="C14" s="16" t="s">
        <v>11508</v>
      </c>
      <c r="D14" s="17" t="s">
        <v>11510</v>
      </c>
      <c r="E14" s="17" t="s">
        <v>1424</v>
      </c>
      <c r="F14" s="18">
        <v>10960.61</v>
      </c>
      <c r="G14" s="18">
        <v>0</v>
      </c>
      <c r="H14" s="18">
        <v>522366.47</v>
      </c>
      <c r="I14" s="5">
        <v>40026</v>
      </c>
    </row>
    <row r="15" spans="1:9">
      <c r="A15" s="15" t="s">
        <v>11511</v>
      </c>
      <c r="B15" s="16" t="s">
        <v>11512</v>
      </c>
      <c r="C15" s="16" t="s">
        <v>11512</v>
      </c>
      <c r="D15" s="17" t="s">
        <v>11513</v>
      </c>
      <c r="E15" s="17" t="s">
        <v>1581</v>
      </c>
      <c r="F15" s="18">
        <v>1650</v>
      </c>
      <c r="G15" s="18">
        <v>0</v>
      </c>
      <c r="H15" s="18">
        <v>520716.47</v>
      </c>
      <c r="I15" s="5">
        <v>40026</v>
      </c>
    </row>
    <row r="16" spans="1:9">
      <c r="A16" s="15" t="s">
        <v>11514</v>
      </c>
      <c r="B16" s="16" t="s">
        <v>11515</v>
      </c>
      <c r="C16" s="16" t="s">
        <v>11515</v>
      </c>
      <c r="D16" s="17" t="s">
        <v>4124</v>
      </c>
      <c r="E16" s="17" t="s">
        <v>5055</v>
      </c>
      <c r="F16" s="18">
        <v>746</v>
      </c>
      <c r="G16" s="18">
        <v>0</v>
      </c>
      <c r="H16" s="18">
        <v>519970.47</v>
      </c>
      <c r="I16" s="5">
        <v>40026</v>
      </c>
    </row>
    <row r="17" spans="1:9">
      <c r="A17" s="15" t="s">
        <v>11516</v>
      </c>
      <c r="B17" s="16" t="s">
        <v>11515</v>
      </c>
      <c r="C17" s="16" t="s">
        <v>11515</v>
      </c>
      <c r="D17" s="17" t="s">
        <v>4124</v>
      </c>
      <c r="E17" s="17" t="s">
        <v>5056</v>
      </c>
      <c r="F17" s="18">
        <v>885</v>
      </c>
      <c r="G17" s="18">
        <v>0</v>
      </c>
      <c r="H17" s="18">
        <v>519085.47</v>
      </c>
      <c r="I17" s="5">
        <v>40026</v>
      </c>
    </row>
    <row r="18" spans="1:9">
      <c r="A18" s="15" t="s">
        <v>11517</v>
      </c>
      <c r="B18" s="16" t="s">
        <v>11518</v>
      </c>
      <c r="C18" s="16" t="s">
        <v>11518</v>
      </c>
      <c r="D18" s="17" t="s">
        <v>4124</v>
      </c>
      <c r="E18" s="17" t="s">
        <v>5057</v>
      </c>
      <c r="F18" s="18">
        <v>930</v>
      </c>
      <c r="G18" s="18">
        <v>0</v>
      </c>
      <c r="H18" s="18">
        <v>518743.47</v>
      </c>
      <c r="I18" s="5">
        <v>40026</v>
      </c>
    </row>
    <row r="19" spans="1:9">
      <c r="A19" s="15" t="s">
        <v>11519</v>
      </c>
      <c r="B19" s="16" t="s">
        <v>11520</v>
      </c>
      <c r="C19" s="16" t="s">
        <v>11520</v>
      </c>
      <c r="D19" s="17" t="s">
        <v>4124</v>
      </c>
      <c r="E19" s="17" t="s">
        <v>5060</v>
      </c>
      <c r="F19" s="18">
        <v>5000</v>
      </c>
      <c r="G19" s="18">
        <v>0</v>
      </c>
      <c r="H19" s="18">
        <v>621690.12</v>
      </c>
      <c r="I19" s="5">
        <v>40057</v>
      </c>
    </row>
    <row r="20" spans="1:9">
      <c r="A20" s="15" t="s">
        <v>11521</v>
      </c>
      <c r="B20" s="16" t="s">
        <v>11520</v>
      </c>
      <c r="C20" s="16" t="s">
        <v>11520</v>
      </c>
      <c r="D20" s="17" t="s">
        <v>4124</v>
      </c>
      <c r="E20" s="17" t="s">
        <v>5061</v>
      </c>
      <c r="F20" s="18">
        <v>5000</v>
      </c>
      <c r="G20" s="18">
        <v>0</v>
      </c>
      <c r="H20" s="18">
        <v>616690.12</v>
      </c>
      <c r="I20" s="5">
        <v>40057</v>
      </c>
    </row>
    <row r="21" spans="1:9">
      <c r="A21" s="15" t="s">
        <v>11522</v>
      </c>
      <c r="B21" s="16" t="s">
        <v>11520</v>
      </c>
      <c r="C21" s="16" t="s">
        <v>11520</v>
      </c>
      <c r="D21" s="17" t="s">
        <v>4124</v>
      </c>
      <c r="E21" s="17" t="s">
        <v>5062</v>
      </c>
      <c r="F21" s="18">
        <v>10000</v>
      </c>
      <c r="G21" s="18">
        <v>0</v>
      </c>
      <c r="H21" s="18">
        <v>606690.12</v>
      </c>
      <c r="I21" s="5">
        <v>40057</v>
      </c>
    </row>
    <row r="22" spans="1:9">
      <c r="A22" s="15" t="s">
        <v>11523</v>
      </c>
      <c r="B22" s="16" t="s">
        <v>11524</v>
      </c>
      <c r="C22" s="16" t="s">
        <v>11524</v>
      </c>
      <c r="D22" s="17" t="s">
        <v>4124</v>
      </c>
      <c r="E22" s="17" t="s">
        <v>11494</v>
      </c>
      <c r="F22" s="18">
        <v>7283</v>
      </c>
      <c r="G22" s="18">
        <v>0</v>
      </c>
      <c r="H22" s="18">
        <v>606662.12</v>
      </c>
      <c r="I22" s="5">
        <v>40057</v>
      </c>
    </row>
    <row r="23" spans="1:9">
      <c r="A23" s="15" t="s">
        <v>11525</v>
      </c>
      <c r="B23" s="16" t="s">
        <v>11526</v>
      </c>
      <c r="C23" s="16" t="s">
        <v>11526</v>
      </c>
      <c r="D23" s="17" t="s">
        <v>11527</v>
      </c>
      <c r="E23" s="17" t="s">
        <v>5065</v>
      </c>
      <c r="F23" s="18">
        <v>3000</v>
      </c>
      <c r="G23" s="18">
        <v>0</v>
      </c>
      <c r="H23" s="18">
        <v>605238.65</v>
      </c>
      <c r="I23" s="5">
        <v>40057</v>
      </c>
    </row>
    <row r="24" spans="1:9">
      <c r="A24" s="15" t="s">
        <v>11528</v>
      </c>
      <c r="B24" s="16" t="s">
        <v>11529</v>
      </c>
      <c r="C24" s="16" t="s">
        <v>11529</v>
      </c>
      <c r="D24" s="17" t="s">
        <v>4124</v>
      </c>
      <c r="E24" s="17" t="s">
        <v>5067</v>
      </c>
      <c r="F24" s="18">
        <v>4196</v>
      </c>
      <c r="G24" s="18">
        <v>0</v>
      </c>
      <c r="H24" s="18">
        <v>595430.65</v>
      </c>
      <c r="I24" s="5">
        <v>40057</v>
      </c>
    </row>
    <row r="25" spans="1:9">
      <c r="A25" s="15" t="s">
        <v>11530</v>
      </c>
      <c r="B25" s="16" t="s">
        <v>11531</v>
      </c>
      <c r="C25" s="16" t="s">
        <v>11531</v>
      </c>
      <c r="D25" s="17" t="s">
        <v>4124</v>
      </c>
      <c r="E25" s="17" t="s">
        <v>5069</v>
      </c>
      <c r="F25" s="18">
        <v>885</v>
      </c>
      <c r="G25" s="18">
        <v>0</v>
      </c>
      <c r="H25" s="18">
        <v>580485.80000000005</v>
      </c>
      <c r="I25" s="5">
        <v>40057</v>
      </c>
    </row>
    <row r="26" spans="1:9">
      <c r="A26" s="15" t="s">
        <v>11532</v>
      </c>
      <c r="B26" s="16" t="s">
        <v>11531</v>
      </c>
      <c r="C26" s="16" t="s">
        <v>11531</v>
      </c>
      <c r="D26" s="17" t="s">
        <v>4124</v>
      </c>
      <c r="E26" s="17" t="s">
        <v>5070</v>
      </c>
      <c r="F26" s="18">
        <v>936</v>
      </c>
      <c r="G26" s="18">
        <v>0</v>
      </c>
      <c r="H26" s="18">
        <v>579549.80000000005</v>
      </c>
      <c r="I26" s="5">
        <v>40057</v>
      </c>
    </row>
    <row r="27" spans="1:9">
      <c r="A27" s="15" t="s">
        <v>11533</v>
      </c>
      <c r="B27" s="16" t="s">
        <v>11534</v>
      </c>
      <c r="C27" s="16" t="s">
        <v>11534</v>
      </c>
      <c r="D27" s="17" t="s">
        <v>11535</v>
      </c>
      <c r="E27" s="17" t="s">
        <v>5073</v>
      </c>
      <c r="F27" s="18">
        <v>7500</v>
      </c>
      <c r="G27" s="18">
        <v>0</v>
      </c>
      <c r="H27" s="18">
        <v>556116.80000000005</v>
      </c>
      <c r="I27" s="5">
        <v>40087</v>
      </c>
    </row>
    <row r="28" spans="1:9">
      <c r="A28" s="15" t="s">
        <v>11536</v>
      </c>
      <c r="B28" s="16" t="s">
        <v>11537</v>
      </c>
      <c r="C28" s="16" t="s">
        <v>11537</v>
      </c>
      <c r="D28" s="17" t="s">
        <v>4124</v>
      </c>
      <c r="E28" s="17" t="s">
        <v>11494</v>
      </c>
      <c r="F28" s="18">
        <v>18426.82</v>
      </c>
      <c r="G28" s="18">
        <v>0</v>
      </c>
      <c r="H28" s="18">
        <v>526659.98</v>
      </c>
      <c r="I28" s="5">
        <v>40087</v>
      </c>
    </row>
    <row r="29" spans="1:9">
      <c r="A29" s="15" t="s">
        <v>11538</v>
      </c>
      <c r="B29" s="16" t="s">
        <v>11539</v>
      </c>
      <c r="C29" s="16" t="s">
        <v>11539</v>
      </c>
      <c r="D29" s="17" t="s">
        <v>11540</v>
      </c>
      <c r="E29" s="17" t="s">
        <v>1630</v>
      </c>
      <c r="F29" s="18">
        <v>3000</v>
      </c>
      <c r="G29" s="18">
        <v>0</v>
      </c>
      <c r="H29" s="18">
        <v>561146.98</v>
      </c>
      <c r="I29" s="5">
        <v>40087</v>
      </c>
    </row>
    <row r="30" spans="1:9">
      <c r="A30" s="15" t="s">
        <v>11541</v>
      </c>
      <c r="B30" s="16" t="s">
        <v>11542</v>
      </c>
      <c r="C30" s="16" t="s">
        <v>11542</v>
      </c>
      <c r="D30" s="17" t="s">
        <v>4124</v>
      </c>
      <c r="E30" s="17" t="s">
        <v>11494</v>
      </c>
      <c r="F30" s="18">
        <v>799</v>
      </c>
      <c r="G30" s="18">
        <v>0</v>
      </c>
      <c r="H30" s="18">
        <v>631862.13</v>
      </c>
      <c r="I30" s="5">
        <v>40118</v>
      </c>
    </row>
    <row r="31" spans="1:9">
      <c r="A31" s="15" t="s">
        <v>11543</v>
      </c>
      <c r="B31" s="16" t="s">
        <v>11544</v>
      </c>
      <c r="C31" s="16" t="s">
        <v>11544</v>
      </c>
      <c r="D31" s="17" t="s">
        <v>11545</v>
      </c>
      <c r="E31" s="17" t="s">
        <v>1630</v>
      </c>
      <c r="F31" s="18">
        <v>3000</v>
      </c>
      <c r="G31" s="18">
        <v>0</v>
      </c>
      <c r="H31" s="18">
        <v>628862.13</v>
      </c>
      <c r="I31" s="5">
        <v>40118</v>
      </c>
    </row>
    <row r="32" spans="1:9">
      <c r="A32" s="15" t="s">
        <v>11546</v>
      </c>
      <c r="B32" s="16" t="s">
        <v>11547</v>
      </c>
      <c r="C32" s="16" t="s">
        <v>11548</v>
      </c>
      <c r="D32" s="17" t="s">
        <v>4124</v>
      </c>
      <c r="E32" s="17" t="s">
        <v>5078</v>
      </c>
      <c r="F32" s="18">
        <v>15000</v>
      </c>
      <c r="G32" s="18">
        <v>0</v>
      </c>
      <c r="H32" s="18">
        <v>1087850.68</v>
      </c>
      <c r="I32" s="5">
        <v>40118</v>
      </c>
    </row>
    <row r="33" spans="1:9">
      <c r="A33" s="15" t="s">
        <v>11549</v>
      </c>
      <c r="B33" s="16" t="s">
        <v>11550</v>
      </c>
      <c r="C33" s="16" t="s">
        <v>11550</v>
      </c>
      <c r="D33" s="17" t="s">
        <v>11551</v>
      </c>
      <c r="E33" s="17" t="s">
        <v>5081</v>
      </c>
      <c r="F33" s="18">
        <v>3000</v>
      </c>
      <c r="G33" s="18">
        <v>0</v>
      </c>
      <c r="H33" s="18">
        <v>565253.68000000005</v>
      </c>
      <c r="I33" s="5">
        <v>40148</v>
      </c>
    </row>
    <row r="34" spans="1:9">
      <c r="A34" s="15" t="s">
        <v>11552</v>
      </c>
      <c r="B34" s="16" t="s">
        <v>11553</v>
      </c>
      <c r="C34" s="16" t="s">
        <v>11553</v>
      </c>
      <c r="D34" s="17" t="s">
        <v>4124</v>
      </c>
      <c r="E34" s="17" t="s">
        <v>11494</v>
      </c>
      <c r="F34" s="18">
        <v>16147.46</v>
      </c>
      <c r="G34" s="18">
        <v>0</v>
      </c>
      <c r="H34" s="18">
        <v>549106.22</v>
      </c>
      <c r="I34" s="5">
        <v>40148</v>
      </c>
    </row>
    <row r="35" spans="1:9">
      <c r="A35" s="15" t="s">
        <v>11554</v>
      </c>
      <c r="B35" s="16" t="s">
        <v>11555</v>
      </c>
      <c r="C35" s="16" t="s">
        <v>11555</v>
      </c>
      <c r="D35" s="17" t="s">
        <v>4124</v>
      </c>
      <c r="E35" s="17" t="s">
        <v>5082</v>
      </c>
      <c r="F35" s="18">
        <v>10000</v>
      </c>
      <c r="G35" s="18">
        <v>0</v>
      </c>
      <c r="H35" s="18">
        <v>539106.22</v>
      </c>
      <c r="I35" s="5">
        <v>40148</v>
      </c>
    </row>
    <row r="36" spans="1:9">
      <c r="A36" s="15" t="s">
        <v>11556</v>
      </c>
      <c r="B36" s="16" t="s">
        <v>11557</v>
      </c>
      <c r="C36" s="16" t="s">
        <v>11557</v>
      </c>
      <c r="D36" s="17" t="s">
        <v>4124</v>
      </c>
      <c r="E36" s="17" t="s">
        <v>11494</v>
      </c>
      <c r="F36" s="18">
        <v>28205.82</v>
      </c>
      <c r="G36" s="18">
        <v>0</v>
      </c>
      <c r="H36" s="18">
        <v>547816.91</v>
      </c>
      <c r="I36" s="5">
        <v>40179</v>
      </c>
    </row>
    <row r="37" spans="1:9">
      <c r="A37" s="15" t="s">
        <v>11558</v>
      </c>
      <c r="B37" s="16" t="s">
        <v>11559</v>
      </c>
      <c r="C37" s="16" t="s">
        <v>11560</v>
      </c>
      <c r="D37" s="17" t="s">
        <v>4124</v>
      </c>
      <c r="E37" s="17" t="s">
        <v>5087</v>
      </c>
      <c r="F37" s="18">
        <v>618</v>
      </c>
      <c r="G37" s="18">
        <v>0</v>
      </c>
      <c r="H37" s="18">
        <v>547198.91</v>
      </c>
      <c r="I37" s="5">
        <v>40179</v>
      </c>
    </row>
    <row r="38" spans="1:9">
      <c r="A38" s="15" t="s">
        <v>11561</v>
      </c>
      <c r="B38" s="16" t="s">
        <v>11562</v>
      </c>
      <c r="C38" s="16" t="s">
        <v>11562</v>
      </c>
      <c r="D38" s="17" t="s">
        <v>4124</v>
      </c>
      <c r="E38" s="17" t="s">
        <v>5089</v>
      </c>
      <c r="F38" s="18">
        <v>20000</v>
      </c>
      <c r="G38" s="18">
        <v>0</v>
      </c>
      <c r="H38" s="18">
        <v>520505.1</v>
      </c>
      <c r="I38" s="5">
        <v>40179</v>
      </c>
    </row>
    <row r="39" spans="1:9">
      <c r="A39" s="15" t="s">
        <v>11563</v>
      </c>
      <c r="B39" s="16" t="s">
        <v>11564</v>
      </c>
      <c r="C39" s="16" t="s">
        <v>11564</v>
      </c>
      <c r="D39" s="17" t="s">
        <v>4124</v>
      </c>
      <c r="E39" s="17" t="s">
        <v>5090</v>
      </c>
      <c r="F39" s="18">
        <v>881</v>
      </c>
      <c r="G39" s="18">
        <v>0</v>
      </c>
      <c r="H39" s="18">
        <v>519624.1</v>
      </c>
      <c r="I39" s="5">
        <v>40179</v>
      </c>
    </row>
    <row r="40" spans="1:9">
      <c r="A40" s="15" t="s">
        <v>11565</v>
      </c>
      <c r="B40" s="16" t="s">
        <v>11566</v>
      </c>
      <c r="C40" s="16" t="s">
        <v>11566</v>
      </c>
      <c r="D40" s="17" t="s">
        <v>4124</v>
      </c>
      <c r="E40" s="17" t="s">
        <v>5091</v>
      </c>
      <c r="F40" s="18">
        <v>712</v>
      </c>
      <c r="G40" s="18">
        <v>0</v>
      </c>
      <c r="H40" s="18">
        <v>518912.1</v>
      </c>
      <c r="I40" s="5">
        <v>40179</v>
      </c>
    </row>
    <row r="41" spans="1:9">
      <c r="A41" s="15" t="s">
        <v>11567</v>
      </c>
      <c r="B41" s="16" t="s">
        <v>11566</v>
      </c>
      <c r="C41" s="16" t="s">
        <v>11566</v>
      </c>
      <c r="D41" s="17" t="s">
        <v>4124</v>
      </c>
      <c r="E41" s="17" t="s">
        <v>5092</v>
      </c>
      <c r="F41" s="18">
        <v>882</v>
      </c>
      <c r="G41" s="18">
        <v>0</v>
      </c>
      <c r="H41" s="18">
        <v>518030.1</v>
      </c>
      <c r="I41" s="5">
        <v>40179</v>
      </c>
    </row>
    <row r="42" spans="1:9">
      <c r="A42" s="15" t="s">
        <v>11568</v>
      </c>
      <c r="B42" s="16" t="s">
        <v>11569</v>
      </c>
      <c r="C42" s="16" t="s">
        <v>11569</v>
      </c>
      <c r="D42" s="17" t="s">
        <v>4124</v>
      </c>
      <c r="E42" s="17" t="s">
        <v>11494</v>
      </c>
      <c r="F42" s="18">
        <v>9052</v>
      </c>
      <c r="G42" s="18">
        <v>0</v>
      </c>
      <c r="H42" s="18">
        <v>563343.34</v>
      </c>
      <c r="I42" s="5">
        <v>40210</v>
      </c>
    </row>
    <row r="43" spans="1:9">
      <c r="A43" s="15" t="s">
        <v>11570</v>
      </c>
      <c r="B43" s="16" t="s">
        <v>11571</v>
      </c>
      <c r="C43" s="16" t="s">
        <v>11571</v>
      </c>
      <c r="D43" s="17" t="s">
        <v>4124</v>
      </c>
      <c r="E43" s="17" t="s">
        <v>5094</v>
      </c>
      <c r="F43" s="18">
        <v>349.64</v>
      </c>
      <c r="G43" s="18">
        <v>0</v>
      </c>
      <c r="H43" s="18">
        <v>562993.69999999995</v>
      </c>
      <c r="I43" s="5">
        <v>40210</v>
      </c>
    </row>
    <row r="44" spans="1:9">
      <c r="A44" s="15" t="s">
        <v>11572</v>
      </c>
      <c r="B44" s="16" t="s">
        <v>11573</v>
      </c>
      <c r="C44" s="16" t="s">
        <v>11573</v>
      </c>
      <c r="D44" s="17" t="s">
        <v>4124</v>
      </c>
      <c r="E44" s="17" t="s">
        <v>5096</v>
      </c>
      <c r="F44" s="18">
        <v>881</v>
      </c>
      <c r="G44" s="18">
        <v>0</v>
      </c>
      <c r="H44" s="18">
        <v>555794.93000000005</v>
      </c>
      <c r="I44" s="5">
        <v>40210</v>
      </c>
    </row>
    <row r="45" spans="1:9">
      <c r="A45" s="15" t="s">
        <v>11574</v>
      </c>
      <c r="B45" s="16" t="s">
        <v>11573</v>
      </c>
      <c r="C45" s="16" t="s">
        <v>11573</v>
      </c>
      <c r="D45" s="17" t="s">
        <v>4124</v>
      </c>
      <c r="E45" s="17" t="s">
        <v>5097</v>
      </c>
      <c r="F45" s="18">
        <v>881</v>
      </c>
      <c r="G45" s="18">
        <v>0</v>
      </c>
      <c r="H45" s="18">
        <v>554913.93000000005</v>
      </c>
      <c r="I45" s="5">
        <v>40210</v>
      </c>
    </row>
    <row r="46" spans="1:9">
      <c r="A46" s="15" t="s">
        <v>11575</v>
      </c>
      <c r="B46" s="16" t="s">
        <v>11573</v>
      </c>
      <c r="C46" s="16" t="s">
        <v>11573</v>
      </c>
      <c r="D46" s="17" t="s">
        <v>4124</v>
      </c>
      <c r="E46" s="17" t="s">
        <v>5098</v>
      </c>
      <c r="F46" s="18">
        <v>10000</v>
      </c>
      <c r="G46" s="18">
        <v>0</v>
      </c>
      <c r="H46" s="18">
        <v>544913.93000000005</v>
      </c>
      <c r="I46" s="5">
        <v>40210</v>
      </c>
    </row>
    <row r="47" spans="1:9">
      <c r="A47" s="15" t="s">
        <v>11576</v>
      </c>
      <c r="B47" s="16" t="s">
        <v>11573</v>
      </c>
      <c r="C47" s="16" t="s">
        <v>11573</v>
      </c>
      <c r="D47" s="17" t="s">
        <v>4124</v>
      </c>
      <c r="E47" s="17" t="s">
        <v>5099</v>
      </c>
      <c r="F47" s="18">
        <v>15000</v>
      </c>
      <c r="G47" s="18">
        <v>0</v>
      </c>
      <c r="H47" s="18">
        <v>529913.93000000005</v>
      </c>
      <c r="I47" s="5">
        <v>40210</v>
      </c>
    </row>
    <row r="48" spans="1:9">
      <c r="A48" s="15" t="s">
        <v>11577</v>
      </c>
      <c r="B48" s="16" t="s">
        <v>11578</v>
      </c>
      <c r="C48" s="16" t="s">
        <v>11578</v>
      </c>
      <c r="D48" s="17" t="s">
        <v>11579</v>
      </c>
      <c r="E48" s="17" t="s">
        <v>1630</v>
      </c>
      <c r="F48" s="18">
        <v>6000</v>
      </c>
      <c r="G48" s="18">
        <v>0</v>
      </c>
      <c r="H48" s="18">
        <v>523913.93</v>
      </c>
      <c r="I48" s="5">
        <v>40210</v>
      </c>
    </row>
    <row r="49" spans="1:9">
      <c r="A49" s="15" t="s">
        <v>11580</v>
      </c>
      <c r="B49" s="16" t="s">
        <v>11581</v>
      </c>
      <c r="C49" s="16" t="s">
        <v>11581</v>
      </c>
      <c r="D49" s="17" t="s">
        <v>4124</v>
      </c>
      <c r="E49" s="17" t="s">
        <v>5102</v>
      </c>
      <c r="F49" s="18">
        <v>1476</v>
      </c>
      <c r="G49" s="18">
        <v>0</v>
      </c>
      <c r="H49" s="18">
        <v>572667.82999999996</v>
      </c>
      <c r="I49" s="5">
        <v>40238</v>
      </c>
    </row>
    <row r="50" spans="1:9">
      <c r="A50" s="15" t="s">
        <v>11582</v>
      </c>
      <c r="B50" s="16" t="s">
        <v>11583</v>
      </c>
      <c r="C50" s="16" t="s">
        <v>11583</v>
      </c>
      <c r="D50" s="17" t="s">
        <v>4124</v>
      </c>
      <c r="E50" s="17" t="s">
        <v>5104</v>
      </c>
      <c r="F50" s="18">
        <v>20000</v>
      </c>
      <c r="G50" s="18">
        <v>0</v>
      </c>
      <c r="H50" s="18">
        <v>585923.82999999996</v>
      </c>
      <c r="I50" s="5">
        <v>40238</v>
      </c>
    </row>
    <row r="51" spans="1:9">
      <c r="A51" s="15" t="s">
        <v>11584</v>
      </c>
      <c r="B51" s="16" t="s">
        <v>11583</v>
      </c>
      <c r="C51" s="16" t="s">
        <v>11583</v>
      </c>
      <c r="D51" s="17" t="s">
        <v>4124</v>
      </c>
      <c r="E51" s="17" t="s">
        <v>5105</v>
      </c>
      <c r="F51" s="18">
        <v>881</v>
      </c>
      <c r="G51" s="18">
        <v>0</v>
      </c>
      <c r="H51" s="18">
        <v>585042.82999999996</v>
      </c>
      <c r="I51" s="5">
        <v>40238</v>
      </c>
    </row>
    <row r="52" spans="1:9">
      <c r="A52" s="15" t="s">
        <v>11585</v>
      </c>
      <c r="B52" s="16" t="s">
        <v>11583</v>
      </c>
      <c r="C52" s="16" t="s">
        <v>11583</v>
      </c>
      <c r="D52" s="17" t="s">
        <v>4124</v>
      </c>
      <c r="E52" s="17" t="s">
        <v>5106</v>
      </c>
      <c r="F52" s="18">
        <v>881</v>
      </c>
      <c r="G52" s="18">
        <v>0</v>
      </c>
      <c r="H52" s="18">
        <v>584161.82999999996</v>
      </c>
      <c r="I52" s="5">
        <v>40238</v>
      </c>
    </row>
    <row r="53" spans="1:9">
      <c r="A53" s="15" t="s">
        <v>11586</v>
      </c>
      <c r="B53" s="16" t="s">
        <v>11587</v>
      </c>
      <c r="C53" s="16" t="s">
        <v>11587</v>
      </c>
      <c r="D53" s="17" t="s">
        <v>4124</v>
      </c>
      <c r="E53" s="17" t="s">
        <v>5107</v>
      </c>
      <c r="F53" s="18">
        <v>3000</v>
      </c>
      <c r="G53" s="18">
        <v>0</v>
      </c>
      <c r="H53" s="18">
        <v>588478.82999999996</v>
      </c>
      <c r="I53" s="5">
        <v>40238</v>
      </c>
    </row>
    <row r="54" spans="1:9">
      <c r="A54" s="15" t="s">
        <v>11588</v>
      </c>
      <c r="B54" s="16" t="s">
        <v>11589</v>
      </c>
      <c r="C54" s="16" t="s">
        <v>11589</v>
      </c>
      <c r="D54" s="17" t="s">
        <v>4124</v>
      </c>
      <c r="E54" s="17" t="s">
        <v>5111</v>
      </c>
      <c r="F54" s="18">
        <v>3970.95</v>
      </c>
      <c r="G54" s="18">
        <v>0</v>
      </c>
      <c r="H54" s="18">
        <v>688903.6</v>
      </c>
      <c r="I54" s="5">
        <v>40269</v>
      </c>
    </row>
    <row r="55" spans="1:9">
      <c r="A55" s="15" t="s">
        <v>11486</v>
      </c>
      <c r="B55" s="16" t="s">
        <v>11590</v>
      </c>
      <c r="C55" s="16" t="s">
        <v>11590</v>
      </c>
      <c r="D55" s="17" t="s">
        <v>4124</v>
      </c>
      <c r="E55" s="17" t="s">
        <v>5113</v>
      </c>
      <c r="F55" s="18">
        <v>906</v>
      </c>
      <c r="G55" s="18">
        <v>0</v>
      </c>
      <c r="H55" s="18">
        <v>667997.6</v>
      </c>
      <c r="I55" s="5">
        <v>40269</v>
      </c>
    </row>
    <row r="56" spans="1:9">
      <c r="A56" s="15" t="s">
        <v>11591</v>
      </c>
      <c r="B56" s="16" t="s">
        <v>11592</v>
      </c>
      <c r="C56" s="16" t="s">
        <v>11592</v>
      </c>
      <c r="D56" s="17" t="s">
        <v>4124</v>
      </c>
      <c r="E56" s="17" t="s">
        <v>5117</v>
      </c>
      <c r="F56" s="18">
        <v>20000</v>
      </c>
      <c r="G56" s="18">
        <v>0</v>
      </c>
      <c r="H56" s="18">
        <v>1066124.28</v>
      </c>
      <c r="I56" s="5">
        <v>40299</v>
      </c>
    </row>
    <row r="57" spans="1:9">
      <c r="A57" s="15" t="s">
        <v>11493</v>
      </c>
      <c r="B57" s="16" t="s">
        <v>11593</v>
      </c>
      <c r="C57" s="16" t="s">
        <v>11593</v>
      </c>
      <c r="D57" s="17" t="s">
        <v>4124</v>
      </c>
      <c r="E57" s="17" t="s">
        <v>5118</v>
      </c>
      <c r="F57" s="18">
        <v>15479</v>
      </c>
      <c r="G57" s="18">
        <v>0</v>
      </c>
      <c r="H57" s="18">
        <v>1050645.28</v>
      </c>
      <c r="I57" s="5">
        <v>40299</v>
      </c>
    </row>
    <row r="58" spans="1:9">
      <c r="A58" s="15" t="s">
        <v>11594</v>
      </c>
      <c r="B58" s="16" t="s">
        <v>11595</v>
      </c>
      <c r="C58" s="16" t="s">
        <v>11595</v>
      </c>
      <c r="D58" s="17" t="s">
        <v>4124</v>
      </c>
      <c r="E58" s="17" t="s">
        <v>5119</v>
      </c>
      <c r="F58" s="18">
        <v>886</v>
      </c>
      <c r="G58" s="18">
        <v>0</v>
      </c>
      <c r="H58" s="18">
        <v>1049759.28</v>
      </c>
      <c r="I58" s="5">
        <v>40299</v>
      </c>
    </row>
    <row r="59" spans="1:9">
      <c r="A59" s="15" t="s">
        <v>11596</v>
      </c>
      <c r="B59" s="16" t="s">
        <v>11595</v>
      </c>
      <c r="C59" s="16" t="s">
        <v>11595</v>
      </c>
      <c r="D59" s="17" t="s">
        <v>4124</v>
      </c>
      <c r="E59" s="17" t="s">
        <v>5120</v>
      </c>
      <c r="F59" s="18">
        <v>881</v>
      </c>
      <c r="G59" s="18">
        <v>0</v>
      </c>
      <c r="H59" s="18">
        <v>1048878.28</v>
      </c>
      <c r="I59" s="5">
        <v>40299</v>
      </c>
    </row>
    <row r="60" spans="1:9">
      <c r="A60" s="15" t="s">
        <v>11495</v>
      </c>
      <c r="B60" s="16" t="s">
        <v>11597</v>
      </c>
      <c r="C60" s="16" t="s">
        <v>11597</v>
      </c>
      <c r="D60" s="17" t="s">
        <v>11598</v>
      </c>
      <c r="E60" s="17" t="s">
        <v>1526</v>
      </c>
      <c r="F60" s="18">
        <v>3000</v>
      </c>
      <c r="G60" s="18">
        <v>0</v>
      </c>
      <c r="H60" s="18">
        <v>1045878.28</v>
      </c>
      <c r="I60" s="5">
        <v>40299</v>
      </c>
    </row>
    <row r="61" spans="1:9">
      <c r="A61" s="15" t="s">
        <v>11599</v>
      </c>
      <c r="B61" s="16" t="s">
        <v>11600</v>
      </c>
      <c r="C61" s="16" t="s">
        <v>11601</v>
      </c>
      <c r="D61" s="17" t="s">
        <v>4124</v>
      </c>
      <c r="E61" s="17" t="s">
        <v>5122</v>
      </c>
      <c r="F61" s="18">
        <v>5000</v>
      </c>
      <c r="G61" s="18">
        <v>0</v>
      </c>
      <c r="H61" s="18">
        <v>630878.28</v>
      </c>
      <c r="I61" s="5">
        <v>40299</v>
      </c>
    </row>
    <row r="62" spans="1:9">
      <c r="A62" s="15" t="s">
        <v>11498</v>
      </c>
      <c r="B62" s="16" t="s">
        <v>11602</v>
      </c>
      <c r="C62" s="16" t="s">
        <v>11602</v>
      </c>
      <c r="D62" s="17" t="s">
        <v>4124</v>
      </c>
      <c r="E62" s="17" t="s">
        <v>5123</v>
      </c>
      <c r="F62" s="18">
        <v>1537.5</v>
      </c>
      <c r="G62" s="18">
        <v>0</v>
      </c>
      <c r="H62" s="18">
        <v>629340.78</v>
      </c>
      <c r="I62" s="5">
        <v>40299</v>
      </c>
    </row>
    <row r="63" spans="1:9">
      <c r="A63" s="15" t="s">
        <v>11603</v>
      </c>
      <c r="B63" s="16" t="s">
        <v>11604</v>
      </c>
      <c r="C63" s="16" t="s">
        <v>11604</v>
      </c>
      <c r="D63" s="17" t="s">
        <v>4124</v>
      </c>
      <c r="E63" s="17" t="s">
        <v>5125</v>
      </c>
      <c r="F63" s="18">
        <v>1249.3599999999999</v>
      </c>
      <c r="G63" s="18">
        <v>0</v>
      </c>
      <c r="H63" s="18">
        <v>488627.71</v>
      </c>
      <c r="I63" s="5">
        <v>40299</v>
      </c>
    </row>
    <row r="64" spans="1:9">
      <c r="A64" s="15" t="s">
        <v>11605</v>
      </c>
      <c r="B64" s="16" t="s">
        <v>11606</v>
      </c>
      <c r="C64" s="16" t="s">
        <v>11606</v>
      </c>
      <c r="D64" s="17" t="s">
        <v>4124</v>
      </c>
      <c r="E64" s="17" t="s">
        <v>5126</v>
      </c>
      <c r="F64" s="18">
        <v>7705.5</v>
      </c>
      <c r="G64" s="18">
        <v>0</v>
      </c>
      <c r="H64" s="18">
        <v>480922.21</v>
      </c>
      <c r="I64" s="5">
        <v>40330</v>
      </c>
    </row>
    <row r="65" spans="1:9">
      <c r="A65" s="15" t="s">
        <v>11502</v>
      </c>
      <c r="B65" s="16" t="s">
        <v>11607</v>
      </c>
      <c r="C65" s="16" t="s">
        <v>11607</v>
      </c>
      <c r="D65" s="17" t="s">
        <v>4124</v>
      </c>
      <c r="E65" s="17" t="s">
        <v>5127</v>
      </c>
      <c r="F65" s="18">
        <v>881</v>
      </c>
      <c r="G65" s="18">
        <v>0</v>
      </c>
      <c r="H65" s="18">
        <v>480041.21</v>
      </c>
      <c r="I65" s="5">
        <v>40330</v>
      </c>
    </row>
    <row r="66" spans="1:9">
      <c r="A66" s="15" t="s">
        <v>11608</v>
      </c>
      <c r="B66" s="16" t="s">
        <v>11607</v>
      </c>
      <c r="C66" s="16" t="s">
        <v>11607</v>
      </c>
      <c r="D66" s="17" t="s">
        <v>4124</v>
      </c>
      <c r="E66" s="17" t="s">
        <v>5128</v>
      </c>
      <c r="F66" s="18">
        <v>881</v>
      </c>
      <c r="G66" s="18">
        <v>0</v>
      </c>
      <c r="H66" s="18">
        <v>479160.21</v>
      </c>
      <c r="I66" s="5">
        <v>40330</v>
      </c>
    </row>
    <row r="67" spans="1:9">
      <c r="A67" s="15" t="s">
        <v>11609</v>
      </c>
      <c r="B67" s="16" t="s">
        <v>11610</v>
      </c>
      <c r="C67" s="16" t="s">
        <v>11610</v>
      </c>
      <c r="D67" s="17" t="s">
        <v>11611</v>
      </c>
      <c r="E67" s="17" t="s">
        <v>5129</v>
      </c>
      <c r="F67" s="18">
        <v>19463</v>
      </c>
      <c r="G67" s="18">
        <v>0</v>
      </c>
      <c r="H67" s="18">
        <v>459697.21</v>
      </c>
      <c r="I67" s="5">
        <v>40330</v>
      </c>
    </row>
    <row r="68" spans="1:9">
      <c r="A68" s="15" t="s">
        <v>11511</v>
      </c>
      <c r="B68" s="16" t="s">
        <v>11612</v>
      </c>
      <c r="C68" s="16" t="s">
        <v>11612</v>
      </c>
      <c r="D68" s="17" t="s">
        <v>4124</v>
      </c>
      <c r="E68" s="17" t="s">
        <v>5132</v>
      </c>
      <c r="F68" s="18">
        <v>5000</v>
      </c>
      <c r="G68" s="18">
        <v>0</v>
      </c>
      <c r="H68" s="18">
        <v>560480.44999999995</v>
      </c>
      <c r="I68" s="5">
        <v>40360</v>
      </c>
    </row>
    <row r="69" spans="1:9">
      <c r="A69" s="15" t="s">
        <v>11514</v>
      </c>
      <c r="B69" s="16" t="s">
        <v>11612</v>
      </c>
      <c r="C69" s="16" t="s">
        <v>11612</v>
      </c>
      <c r="D69" s="17" t="s">
        <v>4124</v>
      </c>
      <c r="E69" s="17" t="s">
        <v>5133</v>
      </c>
      <c r="F69" s="18">
        <v>5000</v>
      </c>
      <c r="G69" s="18">
        <v>0</v>
      </c>
      <c r="H69" s="18">
        <v>555480.44999999995</v>
      </c>
      <c r="I69" s="5">
        <v>40360</v>
      </c>
    </row>
    <row r="70" spans="1:9">
      <c r="A70" s="15" t="s">
        <v>11516</v>
      </c>
      <c r="B70" s="16" t="s">
        <v>11613</v>
      </c>
      <c r="C70" s="16" t="s">
        <v>11613</v>
      </c>
      <c r="D70" s="17" t="s">
        <v>4124</v>
      </c>
      <c r="E70" s="17" t="s">
        <v>5134</v>
      </c>
      <c r="F70" s="18">
        <v>4403.72</v>
      </c>
      <c r="G70" s="18">
        <v>0</v>
      </c>
      <c r="H70" s="18">
        <v>551076.73</v>
      </c>
      <c r="I70" s="5">
        <v>40360</v>
      </c>
    </row>
    <row r="71" spans="1:9">
      <c r="A71" s="15" t="s">
        <v>11517</v>
      </c>
      <c r="B71" s="16" t="s">
        <v>11614</v>
      </c>
      <c r="C71" s="16" t="s">
        <v>11614</v>
      </c>
      <c r="D71" s="17" t="s">
        <v>4124</v>
      </c>
      <c r="E71" s="17" t="s">
        <v>5136</v>
      </c>
      <c r="F71" s="18">
        <v>9019.8799999999992</v>
      </c>
      <c r="G71" s="18">
        <v>0</v>
      </c>
      <c r="H71" s="18">
        <v>242056.85</v>
      </c>
      <c r="I71" s="5">
        <v>40360</v>
      </c>
    </row>
    <row r="72" spans="1:9">
      <c r="A72" s="15" t="s">
        <v>11615</v>
      </c>
      <c r="B72" s="16" t="s">
        <v>11616</v>
      </c>
      <c r="C72" s="16" t="s">
        <v>11616</v>
      </c>
      <c r="D72" s="17" t="s">
        <v>11617</v>
      </c>
      <c r="E72" s="17" t="s">
        <v>5138</v>
      </c>
      <c r="F72" s="18">
        <v>1000</v>
      </c>
      <c r="G72" s="18">
        <v>0</v>
      </c>
      <c r="H72" s="18">
        <v>240895.85</v>
      </c>
      <c r="I72" s="5">
        <v>40360</v>
      </c>
    </row>
    <row r="73" spans="1:9">
      <c r="A73" s="15" t="s">
        <v>11618</v>
      </c>
      <c r="B73" s="16" t="s">
        <v>11619</v>
      </c>
      <c r="C73" s="16" t="s">
        <v>11620</v>
      </c>
      <c r="D73" s="17" t="s">
        <v>4124</v>
      </c>
      <c r="E73" s="17" t="s">
        <v>5139</v>
      </c>
      <c r="F73" s="18">
        <v>881</v>
      </c>
      <c r="G73" s="18">
        <v>0</v>
      </c>
      <c r="H73" s="18">
        <v>240014.85</v>
      </c>
      <c r="I73" s="5">
        <v>40360</v>
      </c>
    </row>
    <row r="74" spans="1:9">
      <c r="A74" s="15" t="s">
        <v>11621</v>
      </c>
      <c r="B74" s="16" t="s">
        <v>11619</v>
      </c>
      <c r="C74" s="16" t="s">
        <v>11620</v>
      </c>
      <c r="D74" s="17" t="s">
        <v>4124</v>
      </c>
      <c r="E74" s="17" t="s">
        <v>5140</v>
      </c>
      <c r="F74" s="18">
        <v>881</v>
      </c>
      <c r="G74" s="18">
        <v>0</v>
      </c>
      <c r="H74" s="18">
        <v>239133.85</v>
      </c>
      <c r="I74" s="5">
        <v>40360</v>
      </c>
    </row>
    <row r="75" spans="1:9">
      <c r="A75" s="15" t="s">
        <v>11521</v>
      </c>
      <c r="B75" s="16" t="s">
        <v>11622</v>
      </c>
      <c r="C75" s="16" t="s">
        <v>11622</v>
      </c>
      <c r="D75" s="17" t="s">
        <v>4124</v>
      </c>
      <c r="E75" s="17" t="s">
        <v>5141</v>
      </c>
      <c r="F75" s="18">
        <v>3277.25</v>
      </c>
      <c r="G75" s="18">
        <v>0</v>
      </c>
      <c r="H75" s="18">
        <v>335763.6</v>
      </c>
      <c r="I75" s="5">
        <v>40391</v>
      </c>
    </row>
    <row r="76" spans="1:9">
      <c r="A76" s="15" t="s">
        <v>11623</v>
      </c>
      <c r="B76" s="16" t="s">
        <v>11624</v>
      </c>
      <c r="C76" s="16" t="s">
        <v>11625</v>
      </c>
      <c r="D76" s="17" t="s">
        <v>4124</v>
      </c>
      <c r="E76" s="17" t="s">
        <v>5142</v>
      </c>
      <c r="F76" s="18">
        <v>17835.25</v>
      </c>
      <c r="G76" s="18">
        <v>0</v>
      </c>
      <c r="H76" s="18">
        <v>318809.34999999998</v>
      </c>
      <c r="I76" s="5">
        <v>40391</v>
      </c>
    </row>
    <row r="77" spans="1:9">
      <c r="A77" s="15" t="s">
        <v>11523</v>
      </c>
      <c r="B77" s="16" t="s">
        <v>11626</v>
      </c>
      <c r="C77" s="16" t="s">
        <v>11626</v>
      </c>
      <c r="D77" s="17" t="s">
        <v>4124</v>
      </c>
      <c r="E77" s="17" t="s">
        <v>5143</v>
      </c>
      <c r="F77" s="18">
        <v>882</v>
      </c>
      <c r="G77" s="18">
        <v>0</v>
      </c>
      <c r="H77" s="18">
        <v>317927.34999999998</v>
      </c>
      <c r="I77" s="5">
        <v>40391</v>
      </c>
    </row>
    <row r="78" spans="1:9">
      <c r="A78" s="15" t="s">
        <v>11627</v>
      </c>
      <c r="B78" s="16" t="s">
        <v>11626</v>
      </c>
      <c r="C78" s="16" t="s">
        <v>11626</v>
      </c>
      <c r="D78" s="17" t="s">
        <v>4124</v>
      </c>
      <c r="E78" s="17" t="s">
        <v>5144</v>
      </c>
      <c r="F78" s="18">
        <v>882</v>
      </c>
      <c r="G78" s="18">
        <v>0</v>
      </c>
      <c r="H78" s="18">
        <v>317045.34999999998</v>
      </c>
      <c r="I78" s="5">
        <v>40391</v>
      </c>
    </row>
    <row r="79" spans="1:9">
      <c r="A79" s="15" t="s">
        <v>11528</v>
      </c>
      <c r="B79" s="16" t="s">
        <v>11628</v>
      </c>
      <c r="C79" s="16" t="s">
        <v>11629</v>
      </c>
      <c r="D79" s="17" t="s">
        <v>4124</v>
      </c>
      <c r="E79" s="17" t="s">
        <v>5146</v>
      </c>
      <c r="F79" s="18">
        <v>10000</v>
      </c>
      <c r="G79" s="18">
        <v>0</v>
      </c>
      <c r="H79" s="18">
        <v>415454.35</v>
      </c>
      <c r="I79" s="5">
        <v>40422</v>
      </c>
    </row>
    <row r="80" spans="1:9">
      <c r="A80" s="15" t="s">
        <v>11530</v>
      </c>
      <c r="B80" s="16" t="s">
        <v>11630</v>
      </c>
      <c r="C80" s="16" t="s">
        <v>11630</v>
      </c>
      <c r="D80" s="17" t="s">
        <v>11631</v>
      </c>
      <c r="E80" s="17" t="s">
        <v>1550</v>
      </c>
      <c r="F80" s="18">
        <v>3000</v>
      </c>
      <c r="G80" s="18">
        <v>0</v>
      </c>
      <c r="H80" s="18">
        <v>418998.62</v>
      </c>
      <c r="I80" s="5">
        <v>40422</v>
      </c>
    </row>
    <row r="81" spans="1:9">
      <c r="A81" s="15" t="s">
        <v>11532</v>
      </c>
      <c r="B81" s="16" t="s">
        <v>11632</v>
      </c>
      <c r="C81" s="16" t="s">
        <v>11632</v>
      </c>
      <c r="D81" s="17" t="s">
        <v>4124</v>
      </c>
      <c r="E81" s="17" t="s">
        <v>5148</v>
      </c>
      <c r="F81" s="18">
        <v>15417.85</v>
      </c>
      <c r="G81" s="18">
        <v>0</v>
      </c>
      <c r="H81" s="18">
        <v>403580.77</v>
      </c>
      <c r="I81" s="5">
        <v>40422</v>
      </c>
    </row>
    <row r="82" spans="1:9">
      <c r="A82" s="15" t="s">
        <v>11633</v>
      </c>
      <c r="B82" s="16" t="s">
        <v>11634</v>
      </c>
      <c r="C82" s="16" t="s">
        <v>11634</v>
      </c>
      <c r="D82" s="17" t="s">
        <v>11635</v>
      </c>
      <c r="E82" s="17" t="s">
        <v>1630</v>
      </c>
      <c r="F82" s="18">
        <v>1250</v>
      </c>
      <c r="G82" s="18">
        <v>0</v>
      </c>
      <c r="H82" s="18">
        <v>402330.77</v>
      </c>
      <c r="I82" s="5">
        <v>40422</v>
      </c>
    </row>
    <row r="83" spans="1:9">
      <c r="A83" s="15" t="s">
        <v>11636</v>
      </c>
      <c r="B83" s="16" t="s">
        <v>11637</v>
      </c>
      <c r="C83" s="16" t="s">
        <v>11637</v>
      </c>
      <c r="D83" s="17" t="s">
        <v>4124</v>
      </c>
      <c r="E83" s="17" t="s">
        <v>5149</v>
      </c>
      <c r="F83" s="18">
        <v>889</v>
      </c>
      <c r="G83" s="18">
        <v>0</v>
      </c>
      <c r="H83" s="18">
        <v>401441.77</v>
      </c>
      <c r="I83" s="5">
        <v>40422</v>
      </c>
    </row>
    <row r="84" spans="1:9">
      <c r="A84" s="15" t="s">
        <v>11638</v>
      </c>
      <c r="B84" s="16" t="s">
        <v>11637</v>
      </c>
      <c r="C84" s="16" t="s">
        <v>11637</v>
      </c>
      <c r="D84" s="17" t="s">
        <v>4124</v>
      </c>
      <c r="E84" s="17" t="s">
        <v>5150</v>
      </c>
      <c r="F84" s="18">
        <v>881</v>
      </c>
      <c r="G84" s="18">
        <v>0</v>
      </c>
      <c r="H84" s="18">
        <v>400560.77</v>
      </c>
      <c r="I84" s="5">
        <v>40422</v>
      </c>
    </row>
    <row r="85" spans="1:9">
      <c r="A85" s="15" t="s">
        <v>11536</v>
      </c>
      <c r="B85" s="16" t="s">
        <v>11639</v>
      </c>
      <c r="C85" s="16" t="s">
        <v>11639</v>
      </c>
      <c r="D85" s="17" t="s">
        <v>4124</v>
      </c>
      <c r="E85" s="17" t="s">
        <v>5152</v>
      </c>
      <c r="F85" s="18">
        <v>28015</v>
      </c>
      <c r="G85" s="18">
        <v>0</v>
      </c>
      <c r="H85" s="18">
        <v>469577.77</v>
      </c>
      <c r="I85" s="5">
        <v>40452</v>
      </c>
    </row>
    <row r="86" spans="1:9">
      <c r="A86" s="15" t="s">
        <v>11640</v>
      </c>
      <c r="B86" s="16" t="s">
        <v>11641</v>
      </c>
      <c r="C86" s="16" t="s">
        <v>11641</v>
      </c>
      <c r="D86" s="17" t="s">
        <v>4124</v>
      </c>
      <c r="E86" s="17" t="s">
        <v>5153</v>
      </c>
      <c r="F86" s="18">
        <v>887</v>
      </c>
      <c r="G86" s="18">
        <v>0</v>
      </c>
      <c r="H86" s="18">
        <v>469579.77</v>
      </c>
      <c r="I86" s="5">
        <v>40452</v>
      </c>
    </row>
    <row r="87" spans="1:9">
      <c r="A87" s="15" t="s">
        <v>11538</v>
      </c>
      <c r="B87" s="16" t="s">
        <v>11641</v>
      </c>
      <c r="C87" s="16" t="s">
        <v>11641</v>
      </c>
      <c r="D87" s="17" t="s">
        <v>4124</v>
      </c>
      <c r="E87" s="17" t="s">
        <v>5154</v>
      </c>
      <c r="F87" s="18">
        <v>883</v>
      </c>
      <c r="G87" s="18">
        <v>0</v>
      </c>
      <c r="H87" s="18">
        <v>468696.77</v>
      </c>
      <c r="I87" s="5">
        <v>40452</v>
      </c>
    </row>
    <row r="88" spans="1:9">
      <c r="A88" s="15" t="s">
        <v>11642</v>
      </c>
      <c r="B88" s="16" t="s">
        <v>11643</v>
      </c>
      <c r="C88" s="16" t="s">
        <v>11644</v>
      </c>
      <c r="D88" s="17" t="s">
        <v>4124</v>
      </c>
      <c r="E88" s="17" t="s">
        <v>5155</v>
      </c>
      <c r="F88" s="18">
        <v>10000</v>
      </c>
      <c r="G88" s="18">
        <v>0</v>
      </c>
      <c r="H88" s="18">
        <v>458696.77</v>
      </c>
      <c r="I88" s="5">
        <v>40452</v>
      </c>
    </row>
    <row r="89" spans="1:9">
      <c r="A89" s="15" t="s">
        <v>11645</v>
      </c>
      <c r="B89" s="16" t="s">
        <v>11646</v>
      </c>
      <c r="C89" s="16" t="s">
        <v>11646</v>
      </c>
      <c r="D89" s="17" t="s">
        <v>4124</v>
      </c>
      <c r="E89" s="17" t="s">
        <v>5156</v>
      </c>
      <c r="F89" s="18">
        <v>9587.89</v>
      </c>
      <c r="G89" s="18">
        <v>0</v>
      </c>
      <c r="H89" s="18">
        <v>449108.88</v>
      </c>
      <c r="I89" s="5">
        <v>40452</v>
      </c>
    </row>
    <row r="90" spans="1:9">
      <c r="A90" s="15" t="s">
        <v>11541</v>
      </c>
      <c r="B90" s="16" t="s">
        <v>11647</v>
      </c>
      <c r="C90" s="16" t="s">
        <v>11647</v>
      </c>
      <c r="D90" s="17" t="s">
        <v>4124</v>
      </c>
      <c r="E90" s="17" t="s">
        <v>5157</v>
      </c>
      <c r="F90" s="18">
        <v>10000</v>
      </c>
      <c r="G90" s="18">
        <v>0</v>
      </c>
      <c r="H90" s="18">
        <v>468996.88</v>
      </c>
      <c r="I90" s="5">
        <v>40452</v>
      </c>
    </row>
    <row r="91" spans="1:9">
      <c r="A91" s="15" t="s">
        <v>11648</v>
      </c>
      <c r="B91" s="16" t="s">
        <v>11649</v>
      </c>
      <c r="C91" s="16" t="s">
        <v>11649</v>
      </c>
      <c r="D91" s="17" t="s">
        <v>4124</v>
      </c>
      <c r="E91" s="17" t="s">
        <v>5159</v>
      </c>
      <c r="F91" s="18">
        <v>10000</v>
      </c>
      <c r="G91" s="18">
        <v>0</v>
      </c>
      <c r="H91" s="18">
        <v>529903.37</v>
      </c>
      <c r="I91" s="5">
        <v>40483</v>
      </c>
    </row>
    <row r="92" spans="1:9">
      <c r="A92" s="15" t="s">
        <v>11546</v>
      </c>
      <c r="B92" s="16" t="s">
        <v>11650</v>
      </c>
      <c r="C92" s="16" t="s">
        <v>11650</v>
      </c>
      <c r="D92" s="17" t="s">
        <v>4124</v>
      </c>
      <c r="E92" s="17" t="s">
        <v>5160</v>
      </c>
      <c r="F92" s="18">
        <v>1938</v>
      </c>
      <c r="G92" s="18">
        <v>0</v>
      </c>
      <c r="H92" s="18">
        <v>527965.37</v>
      </c>
      <c r="I92" s="5">
        <v>40483</v>
      </c>
    </row>
    <row r="93" spans="1:9">
      <c r="A93" s="15" t="s">
        <v>11651</v>
      </c>
      <c r="B93" s="16" t="s">
        <v>11652</v>
      </c>
      <c r="C93" s="16" t="s">
        <v>11652</v>
      </c>
      <c r="D93" s="17" t="s">
        <v>4124</v>
      </c>
      <c r="E93" s="17" t="s">
        <v>5161</v>
      </c>
      <c r="F93" s="18">
        <v>881</v>
      </c>
      <c r="G93" s="18">
        <v>0</v>
      </c>
      <c r="H93" s="18">
        <v>527084.37</v>
      </c>
      <c r="I93" s="5">
        <v>40483</v>
      </c>
    </row>
    <row r="94" spans="1:9">
      <c r="A94" s="15" t="s">
        <v>11653</v>
      </c>
      <c r="B94" s="16" t="s">
        <v>11652</v>
      </c>
      <c r="C94" s="16" t="s">
        <v>11652</v>
      </c>
      <c r="D94" s="17" t="s">
        <v>4124</v>
      </c>
      <c r="E94" s="17" t="s">
        <v>5162</v>
      </c>
      <c r="F94" s="18">
        <v>881</v>
      </c>
      <c r="G94" s="18">
        <v>0</v>
      </c>
      <c r="H94" s="18">
        <v>526203.37</v>
      </c>
      <c r="I94" s="5">
        <v>40483</v>
      </c>
    </row>
    <row r="95" spans="1:9">
      <c r="A95" s="15" t="s">
        <v>11654</v>
      </c>
      <c r="B95" s="16" t="s">
        <v>11655</v>
      </c>
      <c r="C95" s="16" t="s">
        <v>11655</v>
      </c>
      <c r="D95" s="17" t="s">
        <v>4124</v>
      </c>
      <c r="E95" s="17" t="s">
        <v>5163</v>
      </c>
      <c r="F95" s="18">
        <v>425.42</v>
      </c>
      <c r="G95" s="18">
        <v>0</v>
      </c>
      <c r="H95" s="18">
        <v>525777.94999999995</v>
      </c>
      <c r="I95" s="5">
        <v>40483</v>
      </c>
    </row>
    <row r="96" spans="1:9">
      <c r="A96" s="15" t="s">
        <v>11549</v>
      </c>
      <c r="B96" s="16" t="s">
        <v>11656</v>
      </c>
      <c r="C96" s="16" t="s">
        <v>11656</v>
      </c>
      <c r="D96" s="17" t="s">
        <v>4124</v>
      </c>
      <c r="E96" s="17" t="s">
        <v>5164</v>
      </c>
      <c r="F96" s="18">
        <v>13474.05</v>
      </c>
      <c r="G96" s="18">
        <v>0</v>
      </c>
      <c r="H96" s="18">
        <v>512303.9</v>
      </c>
      <c r="I96" s="5">
        <v>40483</v>
      </c>
    </row>
    <row r="97" spans="1:9">
      <c r="A97" s="15" t="s">
        <v>11657</v>
      </c>
      <c r="B97" s="16" t="s">
        <v>11658</v>
      </c>
      <c r="C97" s="16" t="s">
        <v>11658</v>
      </c>
      <c r="D97" s="17" t="s">
        <v>4124</v>
      </c>
      <c r="E97" s="17" t="s">
        <v>5166</v>
      </c>
      <c r="F97" s="18">
        <v>51255.5</v>
      </c>
      <c r="G97" s="18">
        <v>0</v>
      </c>
      <c r="H97" s="18">
        <v>565291.4</v>
      </c>
      <c r="I97" s="5">
        <v>40513</v>
      </c>
    </row>
    <row r="98" spans="1:9">
      <c r="A98" s="15" t="s">
        <v>11659</v>
      </c>
      <c r="B98" s="16" t="s">
        <v>11660</v>
      </c>
      <c r="C98" s="16" t="s">
        <v>11660</v>
      </c>
      <c r="D98" s="17" t="s">
        <v>4124</v>
      </c>
      <c r="E98" s="17" t="s">
        <v>5168</v>
      </c>
      <c r="F98" s="18">
        <v>170</v>
      </c>
      <c r="G98" s="18">
        <v>0</v>
      </c>
      <c r="H98" s="18">
        <v>555121.4</v>
      </c>
      <c r="I98" s="5">
        <v>40513</v>
      </c>
    </row>
    <row r="99" spans="1:9">
      <c r="A99" s="15" t="s">
        <v>11661</v>
      </c>
      <c r="B99" s="16" t="s">
        <v>11660</v>
      </c>
      <c r="C99" s="16" t="s">
        <v>11660</v>
      </c>
      <c r="D99" s="17" t="s">
        <v>4124</v>
      </c>
      <c r="E99" s="17" t="s">
        <v>5169</v>
      </c>
      <c r="F99" s="18">
        <v>50000</v>
      </c>
      <c r="G99" s="18">
        <v>0</v>
      </c>
      <c r="H99" s="18">
        <v>505121.4</v>
      </c>
      <c r="I99" s="5">
        <v>40513</v>
      </c>
    </row>
    <row r="100" spans="1:9">
      <c r="A100" s="15" t="s">
        <v>11662</v>
      </c>
      <c r="B100" s="16" t="s">
        <v>11663</v>
      </c>
      <c r="C100" s="16" t="s">
        <v>11663</v>
      </c>
      <c r="D100" s="17" t="s">
        <v>4124</v>
      </c>
      <c r="E100" s="17" t="s">
        <v>5172</v>
      </c>
      <c r="F100" s="18">
        <v>100</v>
      </c>
      <c r="G100" s="18">
        <v>0</v>
      </c>
      <c r="H100" s="18">
        <v>582832.4</v>
      </c>
      <c r="I100" s="5">
        <v>40513</v>
      </c>
    </row>
    <row r="101" spans="1:9">
      <c r="A101" s="15" t="s">
        <v>11561</v>
      </c>
      <c r="B101" s="16" t="s">
        <v>11664</v>
      </c>
      <c r="C101" s="16" t="s">
        <v>11664</v>
      </c>
      <c r="D101" s="17" t="s">
        <v>4124</v>
      </c>
      <c r="E101" s="17" t="s">
        <v>5174</v>
      </c>
      <c r="F101" s="18">
        <v>474.99</v>
      </c>
      <c r="G101" s="18">
        <v>0</v>
      </c>
      <c r="H101" s="18">
        <v>482357.41</v>
      </c>
      <c r="I101" s="5">
        <v>40544</v>
      </c>
    </row>
    <row r="102" spans="1:9">
      <c r="A102" s="15" t="s">
        <v>11565</v>
      </c>
      <c r="B102" s="16" t="s">
        <v>11665</v>
      </c>
      <c r="C102" s="16" t="s">
        <v>11665</v>
      </c>
      <c r="D102" s="17" t="s">
        <v>4124</v>
      </c>
      <c r="E102" s="17" t="s">
        <v>5175</v>
      </c>
      <c r="F102" s="18">
        <v>884</v>
      </c>
      <c r="G102" s="18">
        <v>0</v>
      </c>
      <c r="H102" s="18">
        <v>482354.41</v>
      </c>
      <c r="I102" s="5">
        <v>40544</v>
      </c>
    </row>
    <row r="103" spans="1:9">
      <c r="A103" s="15" t="s">
        <v>11567</v>
      </c>
      <c r="B103" s="16" t="s">
        <v>11666</v>
      </c>
      <c r="C103" s="16" t="s">
        <v>11666</v>
      </c>
      <c r="D103" s="17" t="s">
        <v>4124</v>
      </c>
      <c r="E103" s="17" t="s">
        <v>5176</v>
      </c>
      <c r="F103" s="18">
        <v>15000</v>
      </c>
      <c r="G103" s="18">
        <v>0</v>
      </c>
      <c r="H103" s="18">
        <v>467354.41</v>
      </c>
      <c r="I103" s="5">
        <v>40544</v>
      </c>
    </row>
    <row r="104" spans="1:9">
      <c r="A104" s="15" t="s">
        <v>11667</v>
      </c>
      <c r="B104" s="16" t="s">
        <v>11668</v>
      </c>
      <c r="C104" s="16" t="s">
        <v>11668</v>
      </c>
      <c r="D104" s="17" t="s">
        <v>4124</v>
      </c>
      <c r="E104" s="17" t="s">
        <v>5177</v>
      </c>
      <c r="F104" s="18">
        <v>4000</v>
      </c>
      <c r="G104" s="18">
        <v>0</v>
      </c>
      <c r="H104" s="18">
        <v>463354.41</v>
      </c>
      <c r="I104" s="5">
        <v>40544</v>
      </c>
    </row>
    <row r="105" spans="1:9">
      <c r="A105" s="15" t="s">
        <v>11669</v>
      </c>
      <c r="B105" s="16" t="s">
        <v>11668</v>
      </c>
      <c r="C105" s="16" t="s">
        <v>11668</v>
      </c>
      <c r="D105" s="17" t="s">
        <v>4124</v>
      </c>
      <c r="E105" s="17" t="s">
        <v>5178</v>
      </c>
      <c r="F105" s="18">
        <v>10000</v>
      </c>
      <c r="G105" s="18">
        <v>0</v>
      </c>
      <c r="H105" s="18">
        <v>453354.41</v>
      </c>
      <c r="I105" s="5">
        <v>40544</v>
      </c>
    </row>
    <row r="106" spans="1:9">
      <c r="A106" s="15" t="s">
        <v>11670</v>
      </c>
      <c r="B106" s="16" t="s">
        <v>11671</v>
      </c>
      <c r="C106" s="16" t="s">
        <v>11671</v>
      </c>
      <c r="D106" s="17" t="s">
        <v>4124</v>
      </c>
      <c r="E106" s="17" t="s">
        <v>5182</v>
      </c>
      <c r="F106" s="18">
        <v>500</v>
      </c>
      <c r="G106" s="18">
        <v>0</v>
      </c>
      <c r="H106" s="18">
        <v>417858.58</v>
      </c>
      <c r="I106" s="5">
        <v>40575</v>
      </c>
    </row>
    <row r="107" spans="1:9">
      <c r="A107" s="15" t="s">
        <v>11574</v>
      </c>
      <c r="B107" s="16" t="s">
        <v>11672</v>
      </c>
      <c r="C107" s="16" t="s">
        <v>11672</v>
      </c>
      <c r="D107" s="17" t="s">
        <v>4124</v>
      </c>
      <c r="E107" s="17" t="s">
        <v>5184</v>
      </c>
      <c r="F107" s="18">
        <v>10000</v>
      </c>
      <c r="G107" s="18">
        <v>0</v>
      </c>
      <c r="H107" s="18">
        <v>408739.58</v>
      </c>
      <c r="I107" s="5">
        <v>40575</v>
      </c>
    </row>
    <row r="108" spans="1:9">
      <c r="A108" s="15" t="s">
        <v>11575</v>
      </c>
      <c r="B108" s="16" t="s">
        <v>11673</v>
      </c>
      <c r="C108" s="16" t="s">
        <v>11673</v>
      </c>
      <c r="D108" s="17" t="s">
        <v>4124</v>
      </c>
      <c r="E108" s="17" t="s">
        <v>5185</v>
      </c>
      <c r="F108" s="18">
        <v>5000</v>
      </c>
      <c r="G108" s="18">
        <v>0</v>
      </c>
      <c r="H108" s="18">
        <v>403739.58</v>
      </c>
      <c r="I108" s="5">
        <v>40575</v>
      </c>
    </row>
    <row r="109" spans="1:9">
      <c r="A109" s="15" t="s">
        <v>11576</v>
      </c>
      <c r="B109" s="16" t="s">
        <v>11674</v>
      </c>
      <c r="C109" s="16" t="s">
        <v>11674</v>
      </c>
      <c r="D109" s="17" t="s">
        <v>4124</v>
      </c>
      <c r="E109" s="17" t="s">
        <v>5186</v>
      </c>
      <c r="F109" s="18">
        <v>592</v>
      </c>
      <c r="G109" s="18">
        <v>0</v>
      </c>
      <c r="H109" s="18">
        <v>403147.58</v>
      </c>
      <c r="I109" s="5">
        <v>40575</v>
      </c>
    </row>
    <row r="110" spans="1:9">
      <c r="A110" s="15" t="s">
        <v>11580</v>
      </c>
      <c r="B110" s="16" t="s">
        <v>11675</v>
      </c>
      <c r="C110" s="16" t="s">
        <v>11675</v>
      </c>
      <c r="D110" s="17" t="s">
        <v>4124</v>
      </c>
      <c r="E110" s="17" t="s">
        <v>5191</v>
      </c>
      <c r="F110" s="18">
        <v>9480</v>
      </c>
      <c r="G110" s="18">
        <v>0</v>
      </c>
      <c r="H110" s="18">
        <v>382768.1</v>
      </c>
      <c r="I110" s="5">
        <v>40603</v>
      </c>
    </row>
    <row r="111" spans="1:9">
      <c r="A111" s="15" t="s">
        <v>11676</v>
      </c>
      <c r="B111" s="16" t="s">
        <v>11677</v>
      </c>
      <c r="C111" s="16" t="s">
        <v>11677</v>
      </c>
      <c r="D111" s="17" t="s">
        <v>4124</v>
      </c>
      <c r="E111" s="17" t="s">
        <v>5193</v>
      </c>
      <c r="F111" s="18">
        <v>1000</v>
      </c>
      <c r="G111" s="18">
        <v>0</v>
      </c>
      <c r="H111" s="18">
        <v>385516.64</v>
      </c>
      <c r="I111" s="5">
        <v>40603</v>
      </c>
    </row>
    <row r="112" spans="1:9">
      <c r="A112" s="15" t="s">
        <v>11584</v>
      </c>
      <c r="B112" s="16" t="s">
        <v>11678</v>
      </c>
      <c r="C112" s="16" t="s">
        <v>11678</v>
      </c>
      <c r="D112" s="17" t="s">
        <v>4124</v>
      </c>
      <c r="E112" s="17" t="s">
        <v>5195</v>
      </c>
      <c r="F112" s="18">
        <v>3178.83</v>
      </c>
      <c r="G112" s="18">
        <v>0</v>
      </c>
      <c r="H112" s="18">
        <v>379127.81</v>
      </c>
      <c r="I112" s="5">
        <v>40603</v>
      </c>
    </row>
    <row r="113" spans="1:9">
      <c r="A113" s="15" t="s">
        <v>11588</v>
      </c>
      <c r="B113" s="16" t="s">
        <v>11679</v>
      </c>
      <c r="C113" s="16" t="s">
        <v>11679</v>
      </c>
      <c r="D113" s="17" t="s">
        <v>4124</v>
      </c>
      <c r="E113" s="17" t="s">
        <v>5196</v>
      </c>
      <c r="F113" s="18">
        <v>8335</v>
      </c>
      <c r="G113" s="18">
        <v>0</v>
      </c>
      <c r="H113" s="18">
        <v>487083.81</v>
      </c>
      <c r="I113" s="5">
        <v>40634</v>
      </c>
    </row>
    <row r="114" spans="1:9">
      <c r="A114" s="15" t="s">
        <v>11487</v>
      </c>
      <c r="B114" s="16" t="s">
        <v>11680</v>
      </c>
      <c r="C114" s="16" t="s">
        <v>11681</v>
      </c>
      <c r="D114" s="17" t="s">
        <v>4124</v>
      </c>
      <c r="E114" s="17" t="s">
        <v>5198</v>
      </c>
      <c r="F114" s="18">
        <v>5660</v>
      </c>
      <c r="G114" s="18">
        <v>0</v>
      </c>
      <c r="H114" s="18">
        <v>487579.34</v>
      </c>
      <c r="I114" s="5">
        <v>40634</v>
      </c>
    </row>
    <row r="115" spans="1:9">
      <c r="A115" s="15" t="s">
        <v>11682</v>
      </c>
      <c r="B115" s="16" t="s">
        <v>11683</v>
      </c>
      <c r="C115" s="16" t="s">
        <v>11683</v>
      </c>
      <c r="D115" s="17" t="s">
        <v>4124</v>
      </c>
      <c r="E115" s="17" t="s">
        <v>5199</v>
      </c>
      <c r="F115" s="18">
        <v>5000</v>
      </c>
      <c r="G115" s="18">
        <v>0</v>
      </c>
      <c r="H115" s="18">
        <v>483403.34</v>
      </c>
      <c r="I115" s="5">
        <v>40634</v>
      </c>
    </row>
    <row r="116" spans="1:9">
      <c r="A116" s="15" t="s">
        <v>11491</v>
      </c>
      <c r="B116" s="16" t="s">
        <v>11683</v>
      </c>
      <c r="C116" s="16" t="s">
        <v>11683</v>
      </c>
      <c r="D116" s="17" t="s">
        <v>4124</v>
      </c>
      <c r="E116" s="17" t="s">
        <v>5200</v>
      </c>
      <c r="F116" s="18">
        <v>5000</v>
      </c>
      <c r="G116" s="18">
        <v>0</v>
      </c>
      <c r="H116" s="18">
        <v>478403.34</v>
      </c>
      <c r="I116" s="5">
        <v>40634</v>
      </c>
    </row>
    <row r="117" spans="1:9">
      <c r="A117" s="15" t="s">
        <v>11591</v>
      </c>
      <c r="B117" s="16" t="s">
        <v>11684</v>
      </c>
      <c r="C117" s="16" t="s">
        <v>11684</v>
      </c>
      <c r="D117" s="17" t="s">
        <v>4124</v>
      </c>
      <c r="E117" s="17" t="s">
        <v>5201</v>
      </c>
      <c r="F117" s="18">
        <v>879</v>
      </c>
      <c r="G117" s="18">
        <v>0</v>
      </c>
      <c r="H117" s="18">
        <v>477524.34</v>
      </c>
      <c r="I117" s="5">
        <v>40634</v>
      </c>
    </row>
    <row r="118" spans="1:9">
      <c r="A118" s="15" t="s">
        <v>11594</v>
      </c>
      <c r="B118" s="16" t="s">
        <v>11685</v>
      </c>
      <c r="C118" s="16" t="s">
        <v>11685</v>
      </c>
      <c r="D118" s="17" t="s">
        <v>4124</v>
      </c>
      <c r="E118" s="17" t="s">
        <v>5202</v>
      </c>
      <c r="F118" s="18">
        <v>400</v>
      </c>
      <c r="G118" s="18">
        <v>0</v>
      </c>
      <c r="H118" s="18">
        <v>919025.34</v>
      </c>
      <c r="I118" s="5">
        <v>40634</v>
      </c>
    </row>
    <row r="119" spans="1:9">
      <c r="A119" s="15" t="s">
        <v>11596</v>
      </c>
      <c r="B119" s="16" t="s">
        <v>11686</v>
      </c>
      <c r="C119" s="16" t="s">
        <v>11686</v>
      </c>
      <c r="D119" s="17" t="s">
        <v>4124</v>
      </c>
      <c r="E119" s="17" t="s">
        <v>5203</v>
      </c>
      <c r="F119" s="18">
        <v>1491</v>
      </c>
      <c r="G119" s="18">
        <v>0</v>
      </c>
      <c r="H119" s="18">
        <v>917534.34</v>
      </c>
      <c r="I119" s="5">
        <v>40634</v>
      </c>
    </row>
    <row r="120" spans="1:9">
      <c r="A120" s="15" t="s">
        <v>11495</v>
      </c>
      <c r="B120" s="16" t="s">
        <v>11687</v>
      </c>
      <c r="C120" s="16" t="s">
        <v>11687</v>
      </c>
      <c r="D120" s="17" t="s">
        <v>4124</v>
      </c>
      <c r="E120" s="17" t="s">
        <v>5204</v>
      </c>
      <c r="F120" s="18">
        <v>400</v>
      </c>
      <c r="G120" s="18">
        <v>0</v>
      </c>
      <c r="H120" s="18">
        <v>917134.34</v>
      </c>
      <c r="I120" s="5">
        <v>40664</v>
      </c>
    </row>
    <row r="121" spans="1:9">
      <c r="A121" s="15" t="s">
        <v>11498</v>
      </c>
      <c r="B121" s="16" t="s">
        <v>11688</v>
      </c>
      <c r="C121" s="16" t="s">
        <v>11688</v>
      </c>
      <c r="D121" s="17" t="s">
        <v>4124</v>
      </c>
      <c r="E121" s="17" t="s">
        <v>5207</v>
      </c>
      <c r="F121" s="18">
        <v>8976.9</v>
      </c>
      <c r="G121" s="18">
        <v>0</v>
      </c>
      <c r="H121" s="18">
        <v>908184.82</v>
      </c>
      <c r="I121" s="5">
        <v>40695</v>
      </c>
    </row>
    <row r="122" spans="1:9">
      <c r="A122" s="15" t="s">
        <v>11689</v>
      </c>
      <c r="B122" s="16" t="s">
        <v>11690</v>
      </c>
      <c r="C122" s="16" t="s">
        <v>11690</v>
      </c>
      <c r="D122" s="17" t="s">
        <v>4124</v>
      </c>
      <c r="E122" s="17" t="s">
        <v>5209</v>
      </c>
      <c r="F122" s="18">
        <v>10000</v>
      </c>
      <c r="G122" s="18">
        <v>0</v>
      </c>
      <c r="H122" s="18">
        <v>729344.82</v>
      </c>
      <c r="I122" s="5">
        <v>40695</v>
      </c>
    </row>
    <row r="123" spans="1:9">
      <c r="A123" s="15" t="s">
        <v>11608</v>
      </c>
      <c r="B123" s="16" t="s">
        <v>11691</v>
      </c>
      <c r="C123" s="16" t="s">
        <v>11692</v>
      </c>
      <c r="D123" s="17" t="s">
        <v>4124</v>
      </c>
      <c r="E123" s="17" t="s">
        <v>5212</v>
      </c>
      <c r="F123" s="18">
        <v>1540</v>
      </c>
      <c r="G123" s="18">
        <v>0</v>
      </c>
      <c r="H123" s="18">
        <v>744838.78</v>
      </c>
      <c r="I123" s="5">
        <v>40725</v>
      </c>
    </row>
    <row r="124" spans="1:9">
      <c r="A124" s="15" t="s">
        <v>11609</v>
      </c>
      <c r="B124" s="16" t="s">
        <v>11693</v>
      </c>
      <c r="C124" s="16" t="s">
        <v>11693</v>
      </c>
      <c r="D124" s="17" t="s">
        <v>4124</v>
      </c>
      <c r="E124" s="17" t="s">
        <v>5213</v>
      </c>
      <c r="F124" s="18">
        <v>400</v>
      </c>
      <c r="G124" s="18">
        <v>0</v>
      </c>
      <c r="H124" s="18">
        <v>744438.78</v>
      </c>
      <c r="I124" s="5">
        <v>40725</v>
      </c>
    </row>
    <row r="125" spans="1:9">
      <c r="A125" s="15" t="s">
        <v>11504</v>
      </c>
      <c r="B125" s="16" t="s">
        <v>11694</v>
      </c>
      <c r="C125" s="16" t="s">
        <v>11694</v>
      </c>
      <c r="D125" s="17" t="s">
        <v>4124</v>
      </c>
      <c r="E125" s="17" t="s">
        <v>5214</v>
      </c>
      <c r="F125" s="18">
        <v>10000</v>
      </c>
      <c r="G125" s="18">
        <v>0</v>
      </c>
      <c r="H125" s="18">
        <v>734438.78</v>
      </c>
      <c r="I125" s="5">
        <v>40725</v>
      </c>
    </row>
    <row r="126" spans="1:9">
      <c r="A126" s="15" t="s">
        <v>11695</v>
      </c>
      <c r="B126" s="16" t="s">
        <v>11696</v>
      </c>
      <c r="C126" s="16" t="s">
        <v>11696</v>
      </c>
      <c r="D126" s="17" t="s">
        <v>4124</v>
      </c>
      <c r="E126" s="17" t="s">
        <v>5215</v>
      </c>
      <c r="F126" s="18">
        <v>3110</v>
      </c>
      <c r="G126" s="18">
        <v>0</v>
      </c>
      <c r="H126" s="18">
        <v>731328.78</v>
      </c>
      <c r="I126" s="5">
        <v>40725</v>
      </c>
    </row>
    <row r="127" spans="1:9">
      <c r="A127" s="15" t="s">
        <v>11697</v>
      </c>
      <c r="B127" s="16" t="s">
        <v>11698</v>
      </c>
      <c r="C127" s="16" t="s">
        <v>11698</v>
      </c>
      <c r="D127" s="17" t="s">
        <v>4124</v>
      </c>
      <c r="E127" s="17" t="s">
        <v>5216</v>
      </c>
      <c r="F127" s="18">
        <v>5000</v>
      </c>
      <c r="G127" s="18">
        <v>0</v>
      </c>
      <c r="H127" s="18">
        <v>726328.78</v>
      </c>
      <c r="I127" s="5">
        <v>40725</v>
      </c>
    </row>
    <row r="128" spans="1:9">
      <c r="A128" s="15" t="s">
        <v>11516</v>
      </c>
      <c r="B128" s="16" t="s">
        <v>11699</v>
      </c>
      <c r="C128" s="16" t="s">
        <v>11699</v>
      </c>
      <c r="D128" s="17" t="s">
        <v>4124</v>
      </c>
      <c r="E128" s="17" t="s">
        <v>5219</v>
      </c>
      <c r="F128" s="18">
        <v>1459.03</v>
      </c>
      <c r="G128" s="18">
        <v>0</v>
      </c>
      <c r="H128" s="18">
        <v>732048.48</v>
      </c>
      <c r="I128" s="5">
        <v>40756</v>
      </c>
    </row>
    <row r="129" spans="1:9">
      <c r="A129" s="15" t="s">
        <v>11519</v>
      </c>
      <c r="B129" s="16" t="s">
        <v>11700</v>
      </c>
      <c r="C129" s="16" t="s">
        <v>11700</v>
      </c>
      <c r="D129" s="17" t="s">
        <v>4124</v>
      </c>
      <c r="E129" s="17" t="s">
        <v>5224</v>
      </c>
      <c r="F129" s="18">
        <v>20000</v>
      </c>
      <c r="G129" s="18">
        <v>0</v>
      </c>
      <c r="H129" s="18">
        <v>520983.08</v>
      </c>
      <c r="I129" s="5">
        <v>40756</v>
      </c>
    </row>
    <row r="130" spans="1:9">
      <c r="A130" s="15" t="s">
        <v>11522</v>
      </c>
      <c r="B130" s="16" t="s">
        <v>11701</v>
      </c>
      <c r="C130" s="16" t="s">
        <v>11701</v>
      </c>
      <c r="D130" s="17" t="s">
        <v>4124</v>
      </c>
      <c r="E130" s="17" t="s">
        <v>5225</v>
      </c>
      <c r="F130" s="18">
        <v>1239</v>
      </c>
      <c r="G130" s="18">
        <v>0</v>
      </c>
      <c r="H130" s="18">
        <v>629305.07999999996</v>
      </c>
      <c r="I130" s="5">
        <v>40756</v>
      </c>
    </row>
    <row r="131" spans="1:9">
      <c r="A131" s="15" t="s">
        <v>11523</v>
      </c>
      <c r="B131" s="16" t="s">
        <v>11702</v>
      </c>
      <c r="C131" s="16" t="s">
        <v>11702</v>
      </c>
      <c r="D131" s="17" t="s">
        <v>4124</v>
      </c>
      <c r="E131" s="17" t="s">
        <v>5227</v>
      </c>
      <c r="F131" s="18">
        <v>17898</v>
      </c>
      <c r="G131" s="18">
        <v>0</v>
      </c>
      <c r="H131" s="18">
        <v>624661.07999999996</v>
      </c>
      <c r="I131" s="5">
        <v>40787</v>
      </c>
    </row>
    <row r="132" spans="1:9">
      <c r="A132" s="15" t="s">
        <v>11627</v>
      </c>
      <c r="B132" s="16" t="s">
        <v>11703</v>
      </c>
      <c r="C132" s="16" t="s">
        <v>11703</v>
      </c>
      <c r="D132" s="17" t="s">
        <v>4124</v>
      </c>
      <c r="E132" s="17" t="s">
        <v>5228</v>
      </c>
      <c r="F132" s="18">
        <v>400</v>
      </c>
      <c r="G132" s="18">
        <v>0</v>
      </c>
      <c r="H132" s="18">
        <v>624261.07999999996</v>
      </c>
      <c r="I132" s="5">
        <v>40787</v>
      </c>
    </row>
    <row r="133" spans="1:9">
      <c r="A133" s="15" t="s">
        <v>11704</v>
      </c>
      <c r="B133" s="16" t="s">
        <v>11705</v>
      </c>
      <c r="C133" s="16" t="s">
        <v>11705</v>
      </c>
      <c r="D133" s="17" t="s">
        <v>4124</v>
      </c>
      <c r="E133" s="17" t="s">
        <v>5229</v>
      </c>
      <c r="F133" s="18">
        <v>20000</v>
      </c>
      <c r="G133" s="18">
        <v>0</v>
      </c>
      <c r="H133" s="18">
        <v>604261.07999999996</v>
      </c>
      <c r="I133" s="5">
        <v>40787</v>
      </c>
    </row>
    <row r="134" spans="1:9">
      <c r="A134" s="15" t="s">
        <v>11525</v>
      </c>
      <c r="B134" s="16" t="s">
        <v>11705</v>
      </c>
      <c r="C134" s="16" t="s">
        <v>11705</v>
      </c>
      <c r="D134" s="17" t="s">
        <v>4124</v>
      </c>
      <c r="E134" s="17" t="s">
        <v>5230</v>
      </c>
      <c r="F134" s="18">
        <v>4000</v>
      </c>
      <c r="G134" s="18">
        <v>0</v>
      </c>
      <c r="H134" s="18">
        <v>600261.07999999996</v>
      </c>
      <c r="I134" s="5">
        <v>40787</v>
      </c>
    </row>
    <row r="135" spans="1:9">
      <c r="A135" s="15" t="s">
        <v>11706</v>
      </c>
      <c r="B135" s="16" t="s">
        <v>11707</v>
      </c>
      <c r="C135" s="16" t="s">
        <v>11707</v>
      </c>
      <c r="D135" s="17" t="s">
        <v>11708</v>
      </c>
      <c r="E135" s="17" t="s">
        <v>5231</v>
      </c>
      <c r="F135" s="18">
        <v>8200</v>
      </c>
      <c r="G135" s="18">
        <v>0</v>
      </c>
      <c r="H135" s="18">
        <v>592061.07999999996</v>
      </c>
      <c r="I135" s="5">
        <v>40787</v>
      </c>
    </row>
    <row r="136" spans="1:9">
      <c r="A136" s="15" t="s">
        <v>11528</v>
      </c>
      <c r="B136" s="16" t="s">
        <v>11707</v>
      </c>
      <c r="C136" s="16" t="s">
        <v>11707</v>
      </c>
      <c r="D136" s="17" t="s">
        <v>11709</v>
      </c>
      <c r="E136" s="17" t="s">
        <v>5232</v>
      </c>
      <c r="F136" s="18">
        <v>20000</v>
      </c>
      <c r="G136" s="18">
        <v>0</v>
      </c>
      <c r="H136" s="18">
        <v>572061.07999999996</v>
      </c>
      <c r="I136" s="5">
        <v>40787</v>
      </c>
    </row>
    <row r="137" spans="1:9">
      <c r="A137" s="15" t="s">
        <v>11530</v>
      </c>
      <c r="B137" s="16" t="s">
        <v>11710</v>
      </c>
      <c r="C137" s="16" t="s">
        <v>11710</v>
      </c>
      <c r="D137" s="17" t="s">
        <v>4124</v>
      </c>
      <c r="E137" s="17" t="s">
        <v>5233</v>
      </c>
      <c r="F137" s="18">
        <v>10000</v>
      </c>
      <c r="G137" s="18">
        <v>0</v>
      </c>
      <c r="H137" s="18">
        <v>563171.07999999996</v>
      </c>
      <c r="I137" s="5">
        <v>40787</v>
      </c>
    </row>
    <row r="138" spans="1:9">
      <c r="A138" s="15" t="s">
        <v>11636</v>
      </c>
      <c r="B138" s="16" t="s">
        <v>11711</v>
      </c>
      <c r="C138" s="16" t="s">
        <v>11712</v>
      </c>
      <c r="D138" s="17" t="s">
        <v>4124</v>
      </c>
      <c r="E138" s="17" t="s">
        <v>5235</v>
      </c>
      <c r="F138" s="18">
        <v>1956.41</v>
      </c>
      <c r="G138" s="18">
        <v>0</v>
      </c>
      <c r="H138" s="18">
        <v>665163.67000000004</v>
      </c>
      <c r="I138" s="5">
        <v>40817</v>
      </c>
    </row>
    <row r="139" spans="1:9">
      <c r="A139" s="15" t="s">
        <v>11533</v>
      </c>
      <c r="B139" s="16" t="s">
        <v>11713</v>
      </c>
      <c r="C139" s="16" t="s">
        <v>11713</v>
      </c>
      <c r="D139" s="17" t="s">
        <v>4124</v>
      </c>
      <c r="E139" s="17" t="s">
        <v>5236</v>
      </c>
      <c r="F139" s="18">
        <v>5000</v>
      </c>
      <c r="G139" s="18">
        <v>0</v>
      </c>
      <c r="H139" s="18">
        <v>661181.67000000004</v>
      </c>
      <c r="I139" s="5">
        <v>40817</v>
      </c>
    </row>
    <row r="140" spans="1:9">
      <c r="A140" s="15" t="s">
        <v>11714</v>
      </c>
      <c r="B140" s="16" t="s">
        <v>11715</v>
      </c>
      <c r="C140" s="16" t="s">
        <v>11715</v>
      </c>
      <c r="D140" s="17" t="s">
        <v>4124</v>
      </c>
      <c r="E140" s="17" t="s">
        <v>5237</v>
      </c>
      <c r="F140" s="18">
        <v>881</v>
      </c>
      <c r="G140" s="18">
        <v>0</v>
      </c>
      <c r="H140" s="18">
        <v>660300.67000000004</v>
      </c>
      <c r="I140" s="5">
        <v>40817</v>
      </c>
    </row>
    <row r="141" spans="1:9">
      <c r="A141" s="15" t="s">
        <v>11536</v>
      </c>
      <c r="B141" s="16" t="s">
        <v>11715</v>
      </c>
      <c r="C141" s="16" t="s">
        <v>11715</v>
      </c>
      <c r="D141" s="17" t="s">
        <v>4124</v>
      </c>
      <c r="E141" s="17" t="s">
        <v>5238</v>
      </c>
      <c r="F141" s="18">
        <v>881</v>
      </c>
      <c r="G141" s="18">
        <v>0</v>
      </c>
      <c r="H141" s="18">
        <v>659419.67000000004</v>
      </c>
      <c r="I141" s="5">
        <v>40817</v>
      </c>
    </row>
    <row r="142" spans="1:9">
      <c r="A142" s="15" t="s">
        <v>11538</v>
      </c>
      <c r="B142" s="16" t="s">
        <v>11716</v>
      </c>
      <c r="C142" s="16" t="s">
        <v>11716</v>
      </c>
      <c r="D142" s="17" t="s">
        <v>4124</v>
      </c>
      <c r="E142" s="17" t="s">
        <v>5241</v>
      </c>
      <c r="F142" s="18">
        <v>10000</v>
      </c>
      <c r="G142" s="18">
        <v>0</v>
      </c>
      <c r="H142" s="18">
        <v>494463.67</v>
      </c>
      <c r="I142" s="5">
        <v>40817</v>
      </c>
    </row>
    <row r="143" spans="1:9">
      <c r="A143" s="15" t="s">
        <v>11645</v>
      </c>
      <c r="B143" s="16" t="s">
        <v>11717</v>
      </c>
      <c r="C143" s="16" t="s">
        <v>11717</v>
      </c>
      <c r="D143" s="17" t="s">
        <v>4124</v>
      </c>
      <c r="E143" s="17" t="s">
        <v>5242</v>
      </c>
      <c r="F143" s="18">
        <v>10000</v>
      </c>
      <c r="G143" s="18">
        <v>0</v>
      </c>
      <c r="H143" s="18">
        <v>594024.67000000004</v>
      </c>
      <c r="I143" s="5">
        <v>40817</v>
      </c>
    </row>
    <row r="144" spans="1:9">
      <c r="A144" s="15" t="s">
        <v>11718</v>
      </c>
      <c r="B144" s="16" t="s">
        <v>11719</v>
      </c>
      <c r="C144" s="16" t="s">
        <v>11719</v>
      </c>
      <c r="D144" s="17" t="s">
        <v>4124</v>
      </c>
      <c r="E144" s="17" t="s">
        <v>5243</v>
      </c>
      <c r="F144" s="18">
        <v>23175</v>
      </c>
      <c r="G144" s="18">
        <v>0</v>
      </c>
      <c r="H144" s="18">
        <v>570849.67000000004</v>
      </c>
      <c r="I144" s="5">
        <v>40848</v>
      </c>
    </row>
    <row r="145" spans="1:9">
      <c r="A145" s="15" t="s">
        <v>11541</v>
      </c>
      <c r="B145" s="16" t="s">
        <v>11719</v>
      </c>
      <c r="C145" s="16" t="s">
        <v>11719</v>
      </c>
      <c r="D145" s="17" t="s">
        <v>4124</v>
      </c>
      <c r="E145" s="17" t="s">
        <v>5244</v>
      </c>
      <c r="F145" s="18">
        <v>13262</v>
      </c>
      <c r="G145" s="18">
        <v>0</v>
      </c>
      <c r="H145" s="18">
        <v>557587.67000000004</v>
      </c>
      <c r="I145" s="5">
        <v>40848</v>
      </c>
    </row>
    <row r="146" spans="1:9">
      <c r="A146" s="15" t="s">
        <v>11720</v>
      </c>
      <c r="B146" s="16" t="s">
        <v>11721</v>
      </c>
      <c r="C146" s="16" t="s">
        <v>11721</v>
      </c>
      <c r="D146" s="17" t="s">
        <v>4124</v>
      </c>
      <c r="E146" s="17" t="s">
        <v>5246</v>
      </c>
      <c r="F146" s="18">
        <v>1361.88</v>
      </c>
      <c r="G146" s="18">
        <v>0</v>
      </c>
      <c r="H146" s="18">
        <v>579400.79</v>
      </c>
      <c r="I146" s="5">
        <v>40848</v>
      </c>
    </row>
    <row r="147" spans="1:9">
      <c r="A147" s="15" t="s">
        <v>11546</v>
      </c>
      <c r="B147" s="16" t="s">
        <v>11722</v>
      </c>
      <c r="C147" s="16" t="s">
        <v>11722</v>
      </c>
      <c r="D147" s="17" t="s">
        <v>4124</v>
      </c>
      <c r="E147" s="17" t="s">
        <v>5247</v>
      </c>
      <c r="F147" s="18">
        <v>1033</v>
      </c>
      <c r="G147" s="18">
        <v>0</v>
      </c>
      <c r="H147" s="18">
        <v>580365.79</v>
      </c>
      <c r="I147" s="5">
        <v>40848</v>
      </c>
    </row>
    <row r="148" spans="1:9">
      <c r="A148" s="15" t="s">
        <v>11654</v>
      </c>
      <c r="B148" s="16" t="s">
        <v>11723</v>
      </c>
      <c r="C148" s="16" t="s">
        <v>11723</v>
      </c>
      <c r="D148" s="17" t="s">
        <v>4124</v>
      </c>
      <c r="E148" s="17" t="s">
        <v>5248</v>
      </c>
      <c r="F148" s="18">
        <v>1500</v>
      </c>
      <c r="G148" s="18">
        <v>0</v>
      </c>
      <c r="H148" s="18">
        <v>689438.59</v>
      </c>
      <c r="I148" s="5">
        <v>40878</v>
      </c>
    </row>
    <row r="149" spans="1:9">
      <c r="A149" s="15" t="s">
        <v>11549</v>
      </c>
      <c r="B149" s="16" t="s">
        <v>11724</v>
      </c>
      <c r="C149" s="16" t="s">
        <v>11724</v>
      </c>
      <c r="D149" s="17" t="s">
        <v>4124</v>
      </c>
      <c r="E149" s="17" t="s">
        <v>5249</v>
      </c>
      <c r="F149" s="18">
        <v>45789.4</v>
      </c>
      <c r="G149" s="18">
        <v>0</v>
      </c>
      <c r="H149" s="18">
        <v>643649.18999999994</v>
      </c>
      <c r="I149" s="5">
        <v>40878</v>
      </c>
    </row>
    <row r="150" spans="1:9">
      <c r="A150" s="15" t="s">
        <v>11659</v>
      </c>
      <c r="B150" s="16" t="s">
        <v>11725</v>
      </c>
      <c r="C150" s="16" t="s">
        <v>11725</v>
      </c>
      <c r="D150" s="17" t="s">
        <v>4124</v>
      </c>
      <c r="E150" s="17" t="s">
        <v>5253</v>
      </c>
      <c r="F150" s="18">
        <v>1221</v>
      </c>
      <c r="G150" s="18">
        <v>0</v>
      </c>
      <c r="H150" s="18">
        <v>508262.19</v>
      </c>
      <c r="I150" s="5">
        <v>40878</v>
      </c>
    </row>
    <row r="151" spans="1:9">
      <c r="A151" s="15" t="s">
        <v>11726</v>
      </c>
      <c r="B151" s="16" t="s">
        <v>11727</v>
      </c>
      <c r="C151" s="16" t="s">
        <v>11727</v>
      </c>
      <c r="D151" s="17" t="s">
        <v>4124</v>
      </c>
      <c r="E151" s="17" t="s">
        <v>5256</v>
      </c>
      <c r="F151" s="18">
        <v>1500</v>
      </c>
      <c r="G151" s="18">
        <v>0</v>
      </c>
      <c r="H151" s="18">
        <v>269307.19</v>
      </c>
      <c r="I151" s="5">
        <v>40909</v>
      </c>
    </row>
    <row r="152" spans="1:9">
      <c r="A152" s="15" t="s">
        <v>11565</v>
      </c>
      <c r="B152" s="16" t="s">
        <v>11728</v>
      </c>
      <c r="C152" s="16" t="s">
        <v>11728</v>
      </c>
      <c r="D152" s="17" t="s">
        <v>4124</v>
      </c>
      <c r="E152" s="17" t="s">
        <v>5257</v>
      </c>
      <c r="F152" s="18">
        <v>500</v>
      </c>
      <c r="G152" s="18">
        <v>0</v>
      </c>
      <c r="H152" s="18">
        <v>378866.19</v>
      </c>
      <c r="I152" s="5">
        <v>40940</v>
      </c>
    </row>
    <row r="153" spans="1:9">
      <c r="A153" s="15" t="s">
        <v>11567</v>
      </c>
      <c r="B153" s="16" t="s">
        <v>11729</v>
      </c>
      <c r="C153" s="16" t="s">
        <v>11729</v>
      </c>
      <c r="D153" s="17" t="s">
        <v>4124</v>
      </c>
      <c r="E153" s="17" t="s">
        <v>5258</v>
      </c>
      <c r="F153" s="18">
        <v>15000</v>
      </c>
      <c r="G153" s="18">
        <v>0</v>
      </c>
      <c r="H153" s="18">
        <v>363866.19</v>
      </c>
      <c r="I153" s="5">
        <v>40940</v>
      </c>
    </row>
    <row r="154" spans="1:9">
      <c r="A154" s="15" t="s">
        <v>11669</v>
      </c>
      <c r="B154" s="16" t="s">
        <v>11730</v>
      </c>
      <c r="C154" s="16" t="s">
        <v>11730</v>
      </c>
      <c r="D154" s="17" t="s">
        <v>11731</v>
      </c>
      <c r="E154" s="17" t="s">
        <v>1630</v>
      </c>
      <c r="F154" s="18">
        <v>1000</v>
      </c>
      <c r="G154" s="18">
        <v>0</v>
      </c>
      <c r="H154" s="18">
        <v>364866.19</v>
      </c>
      <c r="I154" s="5">
        <v>40940</v>
      </c>
    </row>
    <row r="155" spans="1:9">
      <c r="A155" s="15" t="s">
        <v>11570</v>
      </c>
      <c r="B155" s="16" t="s">
        <v>11732</v>
      </c>
      <c r="C155" s="16" t="s">
        <v>11732</v>
      </c>
      <c r="D155" s="17" t="s">
        <v>4124</v>
      </c>
      <c r="E155" s="17" t="s">
        <v>5262</v>
      </c>
      <c r="F155" s="18">
        <v>2000</v>
      </c>
      <c r="G155" s="18">
        <v>0</v>
      </c>
      <c r="H155" s="18">
        <v>430884.19</v>
      </c>
      <c r="I155" s="5">
        <v>40969</v>
      </c>
    </row>
    <row r="156" spans="1:9">
      <c r="A156" s="15" t="s">
        <v>11588</v>
      </c>
      <c r="B156" s="16" t="s">
        <v>11733</v>
      </c>
      <c r="C156" s="16" t="s">
        <v>11734</v>
      </c>
      <c r="D156" s="17" t="s">
        <v>4124</v>
      </c>
      <c r="E156" s="17" t="s">
        <v>5266</v>
      </c>
      <c r="F156" s="18">
        <v>525</v>
      </c>
      <c r="G156" s="18">
        <v>0</v>
      </c>
      <c r="H156" s="18">
        <v>629132.92000000004</v>
      </c>
      <c r="I156" s="5">
        <v>40969</v>
      </c>
    </row>
    <row r="157" spans="1:9">
      <c r="A157" s="15" t="s">
        <v>11487</v>
      </c>
      <c r="B157" s="16" t="s">
        <v>11735</v>
      </c>
      <c r="C157" s="16" t="s">
        <v>11735</v>
      </c>
      <c r="D157" s="17" t="s">
        <v>11736</v>
      </c>
      <c r="E157" s="17" t="s">
        <v>1630</v>
      </c>
      <c r="F157" s="18">
        <v>2000</v>
      </c>
      <c r="G157" s="18">
        <v>0</v>
      </c>
      <c r="H157" s="18">
        <v>423905.92</v>
      </c>
      <c r="I157" s="5">
        <v>41000</v>
      </c>
    </row>
    <row r="158" spans="1:9">
      <c r="A158" s="15" t="s">
        <v>11488</v>
      </c>
      <c r="B158" s="16" t="s">
        <v>11737</v>
      </c>
      <c r="C158" s="16" t="s">
        <v>11738</v>
      </c>
      <c r="D158" s="17" t="s">
        <v>4124</v>
      </c>
      <c r="E158" s="17" t="s">
        <v>1739</v>
      </c>
      <c r="F158" s="18">
        <v>5000</v>
      </c>
      <c r="G158" s="18">
        <v>0</v>
      </c>
      <c r="H158" s="18">
        <v>418905.92</v>
      </c>
      <c r="I158" s="5">
        <v>41000</v>
      </c>
    </row>
    <row r="159" spans="1:9">
      <c r="A159" s="15" t="s">
        <v>11591</v>
      </c>
      <c r="B159" s="16" t="s">
        <v>11739</v>
      </c>
      <c r="C159" s="16" t="s">
        <v>11739</v>
      </c>
      <c r="D159" s="17" t="s">
        <v>4124</v>
      </c>
      <c r="E159" s="17" t="s">
        <v>5270</v>
      </c>
      <c r="F159" s="18">
        <v>1179.18</v>
      </c>
      <c r="G159" s="18">
        <v>0</v>
      </c>
      <c r="H159" s="18">
        <v>992291.74</v>
      </c>
      <c r="I159" s="5">
        <v>41030</v>
      </c>
    </row>
    <row r="160" spans="1:9">
      <c r="A160" s="15" t="s">
        <v>11596</v>
      </c>
      <c r="B160" s="16" t="s">
        <v>11740</v>
      </c>
      <c r="C160" s="16" t="s">
        <v>11740</v>
      </c>
      <c r="D160" s="17" t="s">
        <v>11741</v>
      </c>
      <c r="E160" s="17" t="s">
        <v>1855</v>
      </c>
      <c r="F160" s="18">
        <v>2000</v>
      </c>
      <c r="G160" s="18">
        <v>0</v>
      </c>
      <c r="H160" s="18">
        <v>790263.74</v>
      </c>
      <c r="I160" s="5">
        <v>41030</v>
      </c>
    </row>
    <row r="161" spans="1:9">
      <c r="A161" s="15" t="s">
        <v>11742</v>
      </c>
      <c r="B161" s="16" t="s">
        <v>11743</v>
      </c>
      <c r="C161" s="16" t="s">
        <v>11743</v>
      </c>
      <c r="D161" s="17" t="s">
        <v>4124</v>
      </c>
      <c r="E161" s="17" t="s">
        <v>5274</v>
      </c>
      <c r="F161" s="18">
        <v>10000</v>
      </c>
      <c r="G161" s="18">
        <v>0</v>
      </c>
      <c r="H161" s="18">
        <v>580246.74</v>
      </c>
      <c r="I161" s="5">
        <v>41030</v>
      </c>
    </row>
    <row r="162" spans="1:9">
      <c r="A162" s="15" t="s">
        <v>11599</v>
      </c>
      <c r="B162" s="16" t="s">
        <v>11744</v>
      </c>
      <c r="C162" s="16" t="s">
        <v>11744</v>
      </c>
      <c r="D162" s="17" t="s">
        <v>4124</v>
      </c>
      <c r="E162" s="17" t="s">
        <v>5275</v>
      </c>
      <c r="F162" s="18">
        <v>1020</v>
      </c>
      <c r="G162" s="18">
        <v>0</v>
      </c>
      <c r="H162" s="18">
        <v>580224.74</v>
      </c>
      <c r="I162" s="5">
        <v>41030</v>
      </c>
    </row>
    <row r="163" spans="1:9">
      <c r="A163" s="15" t="s">
        <v>11498</v>
      </c>
      <c r="B163" s="16" t="s">
        <v>11744</v>
      </c>
      <c r="C163" s="16" t="s">
        <v>11744</v>
      </c>
      <c r="D163" s="17" t="s">
        <v>4124</v>
      </c>
      <c r="E163" s="17" t="s">
        <v>5276</v>
      </c>
      <c r="F163" s="18">
        <v>500</v>
      </c>
      <c r="G163" s="18">
        <v>0</v>
      </c>
      <c r="H163" s="18">
        <v>579724.74</v>
      </c>
      <c r="I163" s="5">
        <v>41030</v>
      </c>
    </row>
    <row r="164" spans="1:9">
      <c r="A164" s="15" t="s">
        <v>11500</v>
      </c>
      <c r="B164" s="16" t="s">
        <v>11745</v>
      </c>
      <c r="C164" s="16" t="s">
        <v>11745</v>
      </c>
      <c r="D164" s="17" t="s">
        <v>4124</v>
      </c>
      <c r="E164" s="17" t="s">
        <v>5277</v>
      </c>
      <c r="F164" s="18">
        <v>1600</v>
      </c>
      <c r="G164" s="18">
        <v>0</v>
      </c>
      <c r="H164" s="18">
        <v>716350.74</v>
      </c>
      <c r="I164" s="5">
        <v>41061</v>
      </c>
    </row>
    <row r="165" spans="1:9">
      <c r="A165" s="15" t="s">
        <v>11605</v>
      </c>
      <c r="B165" s="16" t="s">
        <v>11746</v>
      </c>
      <c r="C165" s="16" t="s">
        <v>11746</v>
      </c>
      <c r="D165" s="17" t="s">
        <v>4124</v>
      </c>
      <c r="E165" s="17" t="s">
        <v>5281</v>
      </c>
      <c r="F165" s="18">
        <v>1463</v>
      </c>
      <c r="G165" s="18">
        <v>0</v>
      </c>
      <c r="H165" s="18">
        <v>169447.74</v>
      </c>
      <c r="I165" s="5">
        <v>41061</v>
      </c>
    </row>
    <row r="166" spans="1:9">
      <c r="A166" s="15" t="s">
        <v>11502</v>
      </c>
      <c r="B166" s="16" t="s">
        <v>11747</v>
      </c>
      <c r="C166" s="16" t="s">
        <v>11747</v>
      </c>
      <c r="D166" s="17" t="s">
        <v>11748</v>
      </c>
      <c r="E166" s="17" t="s">
        <v>1553</v>
      </c>
      <c r="F166" s="18">
        <v>7500</v>
      </c>
      <c r="G166" s="18">
        <v>0</v>
      </c>
      <c r="H166" s="18">
        <v>161947.74</v>
      </c>
      <c r="I166" s="5">
        <v>41061</v>
      </c>
    </row>
    <row r="167" spans="1:9">
      <c r="A167" s="15" t="s">
        <v>11608</v>
      </c>
      <c r="B167" s="16" t="s">
        <v>11749</v>
      </c>
      <c r="C167" s="16" t="s">
        <v>11749</v>
      </c>
      <c r="D167" s="17" t="s">
        <v>4124</v>
      </c>
      <c r="E167" s="17" t="s">
        <v>5282</v>
      </c>
      <c r="F167" s="18">
        <v>1490</v>
      </c>
      <c r="G167" s="18">
        <v>0</v>
      </c>
      <c r="H167" s="18">
        <v>160457.74</v>
      </c>
      <c r="I167" s="5">
        <v>41061</v>
      </c>
    </row>
    <row r="168" spans="1:9">
      <c r="A168" s="15" t="s">
        <v>11609</v>
      </c>
      <c r="B168" s="16" t="s">
        <v>11749</v>
      </c>
      <c r="C168" s="16" t="s">
        <v>11749</v>
      </c>
      <c r="D168" s="17" t="s">
        <v>4124</v>
      </c>
      <c r="E168" s="17" t="s">
        <v>5283</v>
      </c>
      <c r="F168" s="18">
        <v>1490</v>
      </c>
      <c r="G168" s="18">
        <v>0</v>
      </c>
      <c r="H168" s="18">
        <v>158967.74</v>
      </c>
      <c r="I168" s="5">
        <v>41061</v>
      </c>
    </row>
    <row r="169" spans="1:9">
      <c r="A169" s="15" t="s">
        <v>11504</v>
      </c>
      <c r="B169" s="16" t="s">
        <v>11750</v>
      </c>
      <c r="C169" s="16" t="s">
        <v>11750</v>
      </c>
      <c r="D169" s="17" t="s">
        <v>4124</v>
      </c>
      <c r="E169" s="17" t="s">
        <v>5284</v>
      </c>
      <c r="F169" s="18">
        <v>10000</v>
      </c>
      <c r="G169" s="18">
        <v>0</v>
      </c>
      <c r="H169" s="18">
        <v>148967.74</v>
      </c>
      <c r="I169" s="5">
        <v>41061</v>
      </c>
    </row>
    <row r="170" spans="1:9">
      <c r="A170" s="15" t="s">
        <v>11695</v>
      </c>
      <c r="B170" s="16" t="s">
        <v>11751</v>
      </c>
      <c r="C170" s="16" t="s">
        <v>11751</v>
      </c>
      <c r="D170" s="17" t="s">
        <v>4124</v>
      </c>
      <c r="E170" s="17" t="s">
        <v>5285</v>
      </c>
      <c r="F170" s="18">
        <v>1020</v>
      </c>
      <c r="G170" s="18">
        <v>0</v>
      </c>
      <c r="H170" s="18">
        <v>147947.74</v>
      </c>
      <c r="I170" s="5">
        <v>41061</v>
      </c>
    </row>
    <row r="171" spans="1:9">
      <c r="A171" s="15" t="s">
        <v>11511</v>
      </c>
      <c r="B171" s="16" t="s">
        <v>11752</v>
      </c>
      <c r="C171" s="16" t="s">
        <v>11752</v>
      </c>
      <c r="D171" s="17" t="s">
        <v>4124</v>
      </c>
      <c r="E171" s="17" t="s">
        <v>5287</v>
      </c>
      <c r="F171" s="18">
        <v>2098.6999999999998</v>
      </c>
      <c r="G171" s="18">
        <v>0</v>
      </c>
      <c r="H171" s="18">
        <v>283863.03999999998</v>
      </c>
      <c r="I171" s="5">
        <v>41091</v>
      </c>
    </row>
    <row r="172" spans="1:9">
      <c r="A172" s="15" t="s">
        <v>11514</v>
      </c>
      <c r="B172" s="16" t="s">
        <v>11753</v>
      </c>
      <c r="C172" s="16" t="s">
        <v>11753</v>
      </c>
      <c r="D172" s="17" t="s">
        <v>4124</v>
      </c>
      <c r="E172" s="17" t="s">
        <v>5288</v>
      </c>
      <c r="F172" s="18">
        <v>760</v>
      </c>
      <c r="G172" s="18">
        <v>0</v>
      </c>
      <c r="H172" s="18">
        <v>283103.03999999998</v>
      </c>
      <c r="I172" s="5">
        <v>41091</v>
      </c>
    </row>
    <row r="173" spans="1:9">
      <c r="A173" s="15" t="s">
        <v>11517</v>
      </c>
      <c r="B173" s="16" t="s">
        <v>11754</v>
      </c>
      <c r="C173" s="16" t="s">
        <v>11755</v>
      </c>
      <c r="D173" s="17" t="s">
        <v>4124</v>
      </c>
      <c r="E173" s="17" t="s">
        <v>5291</v>
      </c>
      <c r="F173" s="18">
        <v>1020</v>
      </c>
      <c r="G173" s="18">
        <v>0</v>
      </c>
      <c r="H173" s="18">
        <v>107903.03999999999</v>
      </c>
      <c r="I173" s="5">
        <v>41091</v>
      </c>
    </row>
    <row r="174" spans="1:9">
      <c r="A174" s="15" t="s">
        <v>11615</v>
      </c>
      <c r="B174" s="16" t="s">
        <v>11756</v>
      </c>
      <c r="C174" s="16" t="s">
        <v>11756</v>
      </c>
      <c r="D174" s="17" t="s">
        <v>4124</v>
      </c>
      <c r="E174" s="17" t="s">
        <v>5292</v>
      </c>
      <c r="F174" s="18">
        <v>28218.46</v>
      </c>
      <c r="G174" s="18">
        <v>0</v>
      </c>
      <c r="H174" s="18">
        <v>217910.58</v>
      </c>
      <c r="I174" s="5">
        <v>41122</v>
      </c>
    </row>
    <row r="175" spans="1:9">
      <c r="A175" s="15" t="s">
        <v>11618</v>
      </c>
      <c r="B175" s="16" t="s">
        <v>11757</v>
      </c>
      <c r="C175" s="16" t="s">
        <v>11758</v>
      </c>
      <c r="D175" s="17" t="s">
        <v>4124</v>
      </c>
      <c r="E175" s="17" t="s">
        <v>5293</v>
      </c>
      <c r="F175" s="18">
        <v>1315.51</v>
      </c>
      <c r="G175" s="18">
        <v>0</v>
      </c>
      <c r="H175" s="18">
        <v>216595.07</v>
      </c>
      <c r="I175" s="5">
        <v>41122</v>
      </c>
    </row>
    <row r="176" spans="1:9">
      <c r="A176" s="15" t="s">
        <v>11621</v>
      </c>
      <c r="B176" s="16" t="s">
        <v>11758</v>
      </c>
      <c r="C176" s="16" t="s">
        <v>11758</v>
      </c>
      <c r="D176" s="17" t="s">
        <v>4124</v>
      </c>
      <c r="E176" s="17" t="s">
        <v>5294</v>
      </c>
      <c r="F176" s="18">
        <v>1020</v>
      </c>
      <c r="G176" s="18">
        <v>0</v>
      </c>
      <c r="H176" s="18">
        <v>215575.07</v>
      </c>
      <c r="I176" s="5">
        <v>41122</v>
      </c>
    </row>
    <row r="177" spans="1:9">
      <c r="A177" s="15" t="s">
        <v>11642</v>
      </c>
      <c r="B177" s="16" t="s">
        <v>11759</v>
      </c>
      <c r="C177" s="16" t="s">
        <v>11759</v>
      </c>
      <c r="D177" s="17" t="s">
        <v>4124</v>
      </c>
      <c r="E177" s="17" t="s">
        <v>5308</v>
      </c>
      <c r="F177" s="18">
        <v>1271.1400000000001</v>
      </c>
      <c r="G177" s="18">
        <v>0</v>
      </c>
      <c r="H177" s="18">
        <v>599869.81000000006</v>
      </c>
      <c r="I177" s="5">
        <v>41122</v>
      </c>
    </row>
    <row r="178" spans="1:9">
      <c r="A178" s="15" t="s">
        <v>11645</v>
      </c>
      <c r="B178" s="16" t="s">
        <v>11759</v>
      </c>
      <c r="C178" s="16" t="s">
        <v>11759</v>
      </c>
      <c r="D178" s="17" t="s">
        <v>4124</v>
      </c>
      <c r="E178" s="17" t="s">
        <v>5309</v>
      </c>
      <c r="F178" s="18">
        <v>10000</v>
      </c>
      <c r="G178" s="18">
        <v>0</v>
      </c>
      <c r="H178" s="18">
        <v>589869.81000000006</v>
      </c>
      <c r="I178" s="5">
        <v>41153</v>
      </c>
    </row>
    <row r="179" spans="1:9">
      <c r="A179" s="15" t="s">
        <v>11718</v>
      </c>
      <c r="B179" s="16" t="s">
        <v>11760</v>
      </c>
      <c r="C179" s="16" t="s">
        <v>11760</v>
      </c>
      <c r="D179" s="17" t="s">
        <v>4124</v>
      </c>
      <c r="E179" s="17" t="s">
        <v>5310</v>
      </c>
      <c r="F179" s="18">
        <v>1020</v>
      </c>
      <c r="G179" s="18">
        <v>0</v>
      </c>
      <c r="H179" s="18">
        <v>588849.81000000006</v>
      </c>
      <c r="I179" s="5">
        <v>41153</v>
      </c>
    </row>
    <row r="180" spans="1:9">
      <c r="A180" s="15" t="s">
        <v>11541</v>
      </c>
      <c r="B180" s="16" t="s">
        <v>11760</v>
      </c>
      <c r="C180" s="16" t="s">
        <v>11760</v>
      </c>
      <c r="D180" s="17" t="s">
        <v>4124</v>
      </c>
      <c r="E180" s="17" t="s">
        <v>5311</v>
      </c>
      <c r="F180" s="18">
        <v>4993</v>
      </c>
      <c r="G180" s="18">
        <v>0</v>
      </c>
      <c r="H180" s="18">
        <v>583856.81000000006</v>
      </c>
      <c r="I180" s="5">
        <v>41153</v>
      </c>
    </row>
    <row r="181" spans="1:9">
      <c r="A181" s="15" t="s">
        <v>11720</v>
      </c>
      <c r="B181" s="16" t="s">
        <v>11761</v>
      </c>
      <c r="C181" s="16" t="s">
        <v>11762</v>
      </c>
      <c r="D181" s="17" t="s">
        <v>4124</v>
      </c>
      <c r="E181" s="17" t="s">
        <v>1785</v>
      </c>
      <c r="F181" s="18">
        <v>10000</v>
      </c>
      <c r="G181" s="18">
        <v>0</v>
      </c>
      <c r="H181" s="18">
        <v>575902.81000000006</v>
      </c>
      <c r="I181" s="5">
        <v>41153</v>
      </c>
    </row>
    <row r="182" spans="1:9">
      <c r="A182" s="15" t="s">
        <v>11651</v>
      </c>
      <c r="B182" s="16" t="s">
        <v>11763</v>
      </c>
      <c r="C182" s="16" t="s">
        <v>11763</v>
      </c>
      <c r="D182" s="17" t="s">
        <v>4124</v>
      </c>
      <c r="E182" s="17" t="s">
        <v>5313</v>
      </c>
      <c r="F182" s="18">
        <v>1367.87</v>
      </c>
      <c r="G182" s="18">
        <v>0</v>
      </c>
      <c r="H182" s="18">
        <v>707148.94</v>
      </c>
      <c r="I182" s="5">
        <v>41183</v>
      </c>
    </row>
    <row r="183" spans="1:9">
      <c r="A183" s="15" t="s">
        <v>11653</v>
      </c>
      <c r="B183" s="16" t="s">
        <v>11764</v>
      </c>
      <c r="C183" s="16" t="s">
        <v>11764</v>
      </c>
      <c r="D183" s="17" t="s">
        <v>4124</v>
      </c>
      <c r="E183" s="17" t="s">
        <v>5314</v>
      </c>
      <c r="F183" s="18">
        <v>1110</v>
      </c>
      <c r="G183" s="18">
        <v>0</v>
      </c>
      <c r="H183" s="18">
        <v>706038.94</v>
      </c>
      <c r="I183" s="5">
        <v>41183</v>
      </c>
    </row>
    <row r="184" spans="1:9">
      <c r="A184" s="15" t="s">
        <v>11654</v>
      </c>
      <c r="B184" s="16" t="s">
        <v>11764</v>
      </c>
      <c r="C184" s="16" t="s">
        <v>11764</v>
      </c>
      <c r="D184" s="17" t="s">
        <v>4124</v>
      </c>
      <c r="E184" s="17" t="s">
        <v>5315</v>
      </c>
      <c r="F184" s="18">
        <v>3897.5</v>
      </c>
      <c r="G184" s="18">
        <v>0</v>
      </c>
      <c r="H184" s="18">
        <v>702141.43999999994</v>
      </c>
      <c r="I184" s="5">
        <v>41183</v>
      </c>
    </row>
    <row r="185" spans="1:9">
      <c r="A185" s="15" t="s">
        <v>11765</v>
      </c>
      <c r="B185" s="16" t="s">
        <v>11766</v>
      </c>
      <c r="C185" s="16" t="s">
        <v>11766</v>
      </c>
      <c r="D185" s="17" t="s">
        <v>11767</v>
      </c>
      <c r="E185" s="17" t="s">
        <v>1630</v>
      </c>
      <c r="F185" s="18">
        <v>5000</v>
      </c>
      <c r="G185" s="18">
        <v>0</v>
      </c>
      <c r="H185" s="18">
        <v>681414.37</v>
      </c>
      <c r="I185" s="5">
        <v>41214</v>
      </c>
    </row>
    <row r="186" spans="1:9">
      <c r="A186" s="15" t="s">
        <v>11556</v>
      </c>
      <c r="B186" s="16" t="s">
        <v>11768</v>
      </c>
      <c r="C186" s="16" t="s">
        <v>11768</v>
      </c>
      <c r="D186" s="17" t="s">
        <v>4124</v>
      </c>
      <c r="E186" s="17" t="s">
        <v>5320</v>
      </c>
      <c r="F186" s="18">
        <v>1305.4100000000001</v>
      </c>
      <c r="G186" s="18">
        <v>0</v>
      </c>
      <c r="H186" s="18">
        <v>680108.96</v>
      </c>
      <c r="I186" s="5">
        <v>41214</v>
      </c>
    </row>
    <row r="187" spans="1:9">
      <c r="A187" s="15" t="s">
        <v>11558</v>
      </c>
      <c r="B187" s="16" t="s">
        <v>11768</v>
      </c>
      <c r="C187" s="16" t="s">
        <v>11768</v>
      </c>
      <c r="D187" s="17" t="s">
        <v>4124</v>
      </c>
      <c r="E187" s="17" t="s">
        <v>5321</v>
      </c>
      <c r="F187" s="18">
        <v>1110</v>
      </c>
      <c r="G187" s="18">
        <v>0</v>
      </c>
      <c r="H187" s="18">
        <v>678998.96</v>
      </c>
      <c r="I187" s="5">
        <v>41214</v>
      </c>
    </row>
    <row r="188" spans="1:9">
      <c r="A188" s="15" t="s">
        <v>11662</v>
      </c>
      <c r="B188" s="16" t="s">
        <v>11768</v>
      </c>
      <c r="C188" s="16" t="s">
        <v>11768</v>
      </c>
      <c r="D188" s="17" t="s">
        <v>4124</v>
      </c>
      <c r="E188" s="17" t="s">
        <v>5322</v>
      </c>
      <c r="F188" s="18">
        <v>5578.64</v>
      </c>
      <c r="G188" s="18">
        <v>0</v>
      </c>
      <c r="H188" s="18">
        <v>673420.32</v>
      </c>
      <c r="I188" s="5">
        <v>41214</v>
      </c>
    </row>
    <row r="189" spans="1:9">
      <c r="A189" s="15" t="s">
        <v>11726</v>
      </c>
      <c r="B189" s="16" t="s">
        <v>11769</v>
      </c>
      <c r="C189" s="16" t="s">
        <v>11769</v>
      </c>
      <c r="D189" s="17" t="s">
        <v>4124</v>
      </c>
      <c r="E189" s="17" t="s">
        <v>5323</v>
      </c>
      <c r="F189" s="18">
        <v>5000</v>
      </c>
      <c r="G189" s="18">
        <v>0</v>
      </c>
      <c r="H189" s="18">
        <v>668420.31999999995</v>
      </c>
      <c r="I189" s="5">
        <v>41214</v>
      </c>
    </row>
    <row r="190" spans="1:9">
      <c r="A190" s="15" t="s">
        <v>11565</v>
      </c>
      <c r="B190" s="16" t="s">
        <v>11770</v>
      </c>
      <c r="C190" s="16" t="s">
        <v>11770</v>
      </c>
      <c r="D190" s="17" t="s">
        <v>4124</v>
      </c>
      <c r="E190" s="17" t="s">
        <v>5325</v>
      </c>
      <c r="F190" s="18">
        <v>10000</v>
      </c>
      <c r="G190" s="18">
        <v>0</v>
      </c>
      <c r="H190" s="18">
        <v>10418.32</v>
      </c>
      <c r="I190" s="5">
        <v>41214</v>
      </c>
    </row>
    <row r="191" spans="1:9">
      <c r="A191" s="15" t="s">
        <v>11667</v>
      </c>
      <c r="B191" s="16" t="s">
        <v>11771</v>
      </c>
      <c r="C191" s="16" t="s">
        <v>11772</v>
      </c>
      <c r="D191" s="17" t="s">
        <v>4124</v>
      </c>
      <c r="E191" s="17" t="s">
        <v>5326</v>
      </c>
      <c r="F191" s="18">
        <v>1765.64</v>
      </c>
      <c r="G191" s="18">
        <v>0</v>
      </c>
      <c r="H191" s="18">
        <v>146878.68</v>
      </c>
      <c r="I191" s="5">
        <v>41244</v>
      </c>
    </row>
    <row r="192" spans="1:9">
      <c r="A192" s="15" t="s">
        <v>11669</v>
      </c>
      <c r="B192" s="16" t="s">
        <v>11771</v>
      </c>
      <c r="C192" s="16" t="s">
        <v>11772</v>
      </c>
      <c r="D192" s="17" t="s">
        <v>4124</v>
      </c>
      <c r="E192" s="17" t="s">
        <v>5327</v>
      </c>
      <c r="F192" s="18">
        <v>1110</v>
      </c>
      <c r="G192" s="18">
        <v>0</v>
      </c>
      <c r="H192" s="18">
        <v>145768.68</v>
      </c>
      <c r="I192" s="5">
        <v>41244</v>
      </c>
    </row>
    <row r="193" spans="1:9">
      <c r="A193" s="15" t="s">
        <v>11773</v>
      </c>
      <c r="B193" s="16" t="s">
        <v>11771</v>
      </c>
      <c r="C193" s="16" t="s">
        <v>11772</v>
      </c>
      <c r="D193" s="17" t="s">
        <v>4124</v>
      </c>
      <c r="E193" s="17" t="s">
        <v>5328</v>
      </c>
      <c r="F193" s="18">
        <v>500</v>
      </c>
      <c r="G193" s="18">
        <v>0</v>
      </c>
      <c r="H193" s="18">
        <v>145268.68</v>
      </c>
      <c r="I193" s="5">
        <v>41244</v>
      </c>
    </row>
    <row r="194" spans="1:9">
      <c r="A194" s="15" t="s">
        <v>11774</v>
      </c>
      <c r="B194" s="16" t="s">
        <v>11771</v>
      </c>
      <c r="C194" s="16" t="s">
        <v>11772</v>
      </c>
      <c r="D194" s="17" t="s">
        <v>4124</v>
      </c>
      <c r="E194" s="17" t="s">
        <v>5329</v>
      </c>
      <c r="F194" s="18">
        <v>1000</v>
      </c>
      <c r="G194" s="18">
        <v>0</v>
      </c>
      <c r="H194" s="18">
        <v>144268.68</v>
      </c>
      <c r="I194" s="5">
        <v>41244</v>
      </c>
    </row>
    <row r="195" spans="1:9">
      <c r="A195" s="15" t="s">
        <v>11568</v>
      </c>
      <c r="B195" s="16" t="s">
        <v>11775</v>
      </c>
      <c r="C195" s="16" t="s">
        <v>11775</v>
      </c>
      <c r="D195" s="17" t="s">
        <v>4124</v>
      </c>
      <c r="E195" s="17" t="s">
        <v>5330</v>
      </c>
      <c r="F195" s="18">
        <v>8808.5</v>
      </c>
      <c r="G195" s="18">
        <v>0</v>
      </c>
      <c r="H195" s="18">
        <v>135460.18</v>
      </c>
      <c r="I195" s="5">
        <v>41244</v>
      </c>
    </row>
    <row r="196" spans="1:9">
      <c r="A196" s="15" t="s">
        <v>11570</v>
      </c>
      <c r="B196" s="16" t="s">
        <v>11775</v>
      </c>
      <c r="C196" s="16" t="s">
        <v>11775</v>
      </c>
      <c r="D196" s="17" t="s">
        <v>4124</v>
      </c>
      <c r="E196" s="17" t="s">
        <v>5331</v>
      </c>
      <c r="F196" s="18">
        <v>20000</v>
      </c>
      <c r="G196" s="18">
        <v>0</v>
      </c>
      <c r="H196" s="18">
        <v>115460.18</v>
      </c>
      <c r="I196" s="5">
        <v>41244</v>
      </c>
    </row>
    <row r="197" spans="1:9">
      <c r="A197" s="15" t="s">
        <v>11670</v>
      </c>
      <c r="B197" s="16" t="s">
        <v>11775</v>
      </c>
      <c r="C197" s="16" t="s">
        <v>11775</v>
      </c>
      <c r="D197" s="17" t="s">
        <v>4124</v>
      </c>
      <c r="E197" s="17" t="s">
        <v>5332</v>
      </c>
      <c r="F197" s="18">
        <v>20000</v>
      </c>
      <c r="G197" s="18">
        <v>0</v>
      </c>
      <c r="H197" s="18">
        <v>95460.18</v>
      </c>
      <c r="I197" s="5">
        <v>41244</v>
      </c>
    </row>
    <row r="198" spans="1:9">
      <c r="A198" s="15" t="s">
        <v>11776</v>
      </c>
      <c r="B198" s="16" t="s">
        <v>11777</v>
      </c>
      <c r="C198" s="16" t="s">
        <v>11777</v>
      </c>
      <c r="D198" s="17" t="s">
        <v>4124</v>
      </c>
      <c r="E198" s="17" t="s">
        <v>5340</v>
      </c>
      <c r="F198" s="18">
        <v>1263</v>
      </c>
      <c r="G198" s="18">
        <v>0</v>
      </c>
      <c r="H198" s="18">
        <v>175466.75</v>
      </c>
      <c r="I198" s="5">
        <v>41275</v>
      </c>
    </row>
    <row r="199" spans="1:9">
      <c r="A199" s="15" t="s">
        <v>11580</v>
      </c>
      <c r="B199" s="16" t="s">
        <v>11778</v>
      </c>
      <c r="C199" s="16" t="s">
        <v>11778</v>
      </c>
      <c r="D199" s="17" t="s">
        <v>4124</v>
      </c>
      <c r="E199" s="17" t="s">
        <v>5341</v>
      </c>
      <c r="F199" s="18">
        <v>26748.45</v>
      </c>
      <c r="G199" s="18">
        <v>0</v>
      </c>
      <c r="H199" s="18">
        <v>148718.29999999999</v>
      </c>
      <c r="I199" s="5">
        <v>41275</v>
      </c>
    </row>
    <row r="200" spans="1:9">
      <c r="A200" s="15" t="s">
        <v>11779</v>
      </c>
      <c r="B200" s="16" t="s">
        <v>11780</v>
      </c>
      <c r="C200" s="16" t="s">
        <v>11780</v>
      </c>
      <c r="D200" s="17" t="s">
        <v>4124</v>
      </c>
      <c r="E200" s="17" t="s">
        <v>5342</v>
      </c>
      <c r="F200" s="18">
        <v>2500</v>
      </c>
      <c r="G200" s="18">
        <v>0</v>
      </c>
      <c r="H200" s="18">
        <v>146218.29999999999</v>
      </c>
      <c r="I200" s="5">
        <v>41275</v>
      </c>
    </row>
    <row r="201" spans="1:9">
      <c r="A201" s="15" t="s">
        <v>11584</v>
      </c>
      <c r="B201" s="16" t="s">
        <v>11781</v>
      </c>
      <c r="C201" s="16" t="s">
        <v>11781</v>
      </c>
      <c r="D201" s="17" t="s">
        <v>4124</v>
      </c>
      <c r="E201" s="17" t="s">
        <v>5345</v>
      </c>
      <c r="F201" s="18">
        <v>7000</v>
      </c>
      <c r="G201" s="18">
        <v>0</v>
      </c>
      <c r="H201" s="18">
        <v>193249.98</v>
      </c>
      <c r="I201" s="5">
        <v>41275</v>
      </c>
    </row>
    <row r="202" spans="1:9">
      <c r="A202" s="15" t="s">
        <v>11585</v>
      </c>
      <c r="B202" s="16" t="s">
        <v>11782</v>
      </c>
      <c r="C202" s="16" t="s">
        <v>11782</v>
      </c>
      <c r="D202" s="17" t="s">
        <v>4124</v>
      </c>
      <c r="E202" s="17" t="s">
        <v>5346</v>
      </c>
      <c r="F202" s="18">
        <v>7000</v>
      </c>
      <c r="G202" s="18">
        <v>0</v>
      </c>
      <c r="H202" s="18">
        <v>186249.98</v>
      </c>
      <c r="I202" s="5">
        <v>41275</v>
      </c>
    </row>
    <row r="203" spans="1:9">
      <c r="A203" s="15" t="s">
        <v>11783</v>
      </c>
      <c r="B203" s="16" t="s">
        <v>11784</v>
      </c>
      <c r="C203" s="16" t="s">
        <v>11784</v>
      </c>
      <c r="D203" s="17" t="s">
        <v>4124</v>
      </c>
      <c r="E203" s="17" t="s">
        <v>5347</v>
      </c>
      <c r="F203" s="18">
        <v>6386</v>
      </c>
      <c r="G203" s="18">
        <v>0</v>
      </c>
      <c r="H203" s="18">
        <v>322092.38</v>
      </c>
      <c r="I203" s="5">
        <v>41306</v>
      </c>
    </row>
    <row r="204" spans="1:9">
      <c r="A204" s="15" t="s">
        <v>11785</v>
      </c>
      <c r="B204" s="16" t="s">
        <v>11786</v>
      </c>
      <c r="C204" s="16" t="s">
        <v>11786</v>
      </c>
      <c r="D204" s="17" t="s">
        <v>4124</v>
      </c>
      <c r="E204" s="17" t="s">
        <v>11787</v>
      </c>
      <c r="F204" s="18">
        <v>1372</v>
      </c>
      <c r="G204" s="18">
        <v>0</v>
      </c>
      <c r="H204" s="18">
        <v>320720.38</v>
      </c>
      <c r="I204" s="5">
        <v>41306</v>
      </c>
    </row>
    <row r="205" spans="1:9">
      <c r="A205" s="15" t="s">
        <v>11788</v>
      </c>
      <c r="B205" s="16" t="s">
        <v>11789</v>
      </c>
      <c r="C205" s="16" t="s">
        <v>11789</v>
      </c>
      <c r="D205" s="17" t="s">
        <v>4124</v>
      </c>
      <c r="E205" s="17" t="s">
        <v>1850</v>
      </c>
      <c r="F205" s="18">
        <v>10000</v>
      </c>
      <c r="G205" s="18">
        <v>0</v>
      </c>
      <c r="H205" s="18">
        <v>328924.38</v>
      </c>
      <c r="I205" s="5">
        <v>41334</v>
      </c>
    </row>
    <row r="206" spans="1:9">
      <c r="A206" s="15" t="s">
        <v>11790</v>
      </c>
      <c r="B206" s="16" t="s">
        <v>11789</v>
      </c>
      <c r="C206" s="16" t="s">
        <v>11789</v>
      </c>
      <c r="D206" s="17" t="s">
        <v>4124</v>
      </c>
      <c r="E206" s="17" t="s">
        <v>1850</v>
      </c>
      <c r="F206" s="18">
        <v>10000</v>
      </c>
      <c r="G206" s="18">
        <v>0</v>
      </c>
      <c r="H206" s="18">
        <v>318924.38</v>
      </c>
      <c r="I206" s="5">
        <v>41334</v>
      </c>
    </row>
    <row r="207" spans="1:9">
      <c r="A207" s="15" t="s">
        <v>11791</v>
      </c>
      <c r="B207" s="16" t="s">
        <v>11792</v>
      </c>
      <c r="C207" s="16" t="s">
        <v>11792</v>
      </c>
      <c r="D207" s="17" t="s">
        <v>4124</v>
      </c>
      <c r="E207" s="17" t="s">
        <v>5351</v>
      </c>
      <c r="F207" s="18">
        <v>1383</v>
      </c>
      <c r="G207" s="18">
        <v>0</v>
      </c>
      <c r="H207" s="18">
        <v>317541.38</v>
      </c>
      <c r="I207" s="5">
        <v>41334</v>
      </c>
    </row>
    <row r="208" spans="1:9">
      <c r="A208" s="15" t="s">
        <v>11793</v>
      </c>
      <c r="B208" s="16" t="s">
        <v>11792</v>
      </c>
      <c r="C208" s="16" t="s">
        <v>11792</v>
      </c>
      <c r="D208" s="17" t="s">
        <v>4124</v>
      </c>
      <c r="E208" s="17" t="s">
        <v>1851</v>
      </c>
      <c r="F208" s="18">
        <v>10000</v>
      </c>
      <c r="G208" s="18">
        <v>0</v>
      </c>
      <c r="H208" s="18">
        <v>307541.38</v>
      </c>
      <c r="I208" s="5">
        <v>41334</v>
      </c>
    </row>
    <row r="209" spans="1:9">
      <c r="A209" s="15" t="s">
        <v>11794</v>
      </c>
      <c r="B209" s="16" t="s">
        <v>11792</v>
      </c>
      <c r="C209" s="16" t="s">
        <v>11792</v>
      </c>
      <c r="D209" s="17" t="s">
        <v>4124</v>
      </c>
      <c r="E209" s="17" t="s">
        <v>1851</v>
      </c>
      <c r="F209" s="18">
        <v>10000</v>
      </c>
      <c r="G209" s="18">
        <v>0</v>
      </c>
      <c r="H209" s="18">
        <v>297541.38</v>
      </c>
      <c r="I209" s="5">
        <v>41334</v>
      </c>
    </row>
    <row r="210" spans="1:9">
      <c r="A210" s="15" t="s">
        <v>11795</v>
      </c>
      <c r="B210" s="16" t="s">
        <v>11796</v>
      </c>
      <c r="C210" s="16" t="s">
        <v>11796</v>
      </c>
      <c r="D210" s="17" t="s">
        <v>4124</v>
      </c>
      <c r="E210" s="17" t="s">
        <v>5352</v>
      </c>
      <c r="F210" s="18">
        <v>4455.5</v>
      </c>
      <c r="G210" s="18">
        <v>0</v>
      </c>
      <c r="H210" s="18">
        <v>293085.88</v>
      </c>
      <c r="I210" s="5">
        <v>41334</v>
      </c>
    </row>
    <row r="211" spans="1:9">
      <c r="A211" s="15" t="s">
        <v>11588</v>
      </c>
      <c r="B211" s="16" t="s">
        <v>11797</v>
      </c>
      <c r="C211" s="16" t="s">
        <v>11797</v>
      </c>
      <c r="D211" s="17" t="s">
        <v>4124</v>
      </c>
      <c r="E211" s="17" t="s">
        <v>5355</v>
      </c>
      <c r="F211" s="18">
        <v>5759.35</v>
      </c>
      <c r="G211" s="18">
        <v>0</v>
      </c>
      <c r="H211" s="18">
        <v>512497.91</v>
      </c>
      <c r="I211" s="5">
        <v>41365</v>
      </c>
    </row>
    <row r="212" spans="1:9">
      <c r="A212" s="15" t="s">
        <v>11483</v>
      </c>
      <c r="B212" s="16" t="s">
        <v>11798</v>
      </c>
      <c r="C212" s="16" t="s">
        <v>11798</v>
      </c>
      <c r="D212" s="17" t="s">
        <v>4124</v>
      </c>
      <c r="E212" s="17" t="s">
        <v>5356</v>
      </c>
      <c r="F212" s="18">
        <v>1428.8</v>
      </c>
      <c r="G212" s="18">
        <v>0</v>
      </c>
      <c r="H212" s="18">
        <v>511069.11</v>
      </c>
      <c r="I212" s="5">
        <v>41365</v>
      </c>
    </row>
    <row r="213" spans="1:9">
      <c r="A213" s="15" t="s">
        <v>11486</v>
      </c>
      <c r="B213" s="16" t="s">
        <v>11799</v>
      </c>
      <c r="C213" s="16" t="s">
        <v>11799</v>
      </c>
      <c r="D213" s="17" t="s">
        <v>4124</v>
      </c>
      <c r="E213" s="17" t="s">
        <v>1869</v>
      </c>
      <c r="F213" s="18">
        <v>5000</v>
      </c>
      <c r="G213" s="18">
        <v>0</v>
      </c>
      <c r="H213" s="18">
        <v>506069.11</v>
      </c>
      <c r="I213" s="5">
        <v>41365</v>
      </c>
    </row>
    <row r="214" spans="1:9">
      <c r="A214" s="15" t="s">
        <v>11487</v>
      </c>
      <c r="B214" s="16" t="s">
        <v>11800</v>
      </c>
      <c r="C214" s="16" t="s">
        <v>11800</v>
      </c>
      <c r="D214" s="17" t="s">
        <v>11801</v>
      </c>
      <c r="E214" s="17" t="s">
        <v>5357</v>
      </c>
      <c r="F214" s="18">
        <v>4700</v>
      </c>
      <c r="G214" s="18">
        <v>0</v>
      </c>
      <c r="H214" s="18">
        <v>501369.11</v>
      </c>
      <c r="I214" s="5">
        <v>41365</v>
      </c>
    </row>
    <row r="215" spans="1:9">
      <c r="A215" s="15" t="s">
        <v>11488</v>
      </c>
      <c r="B215" s="16" t="s">
        <v>11802</v>
      </c>
      <c r="C215" s="16" t="s">
        <v>11802</v>
      </c>
      <c r="D215" s="17" t="s">
        <v>4124</v>
      </c>
      <c r="E215" s="17" t="s">
        <v>5358</v>
      </c>
      <c r="F215" s="18">
        <v>10000</v>
      </c>
      <c r="G215" s="18">
        <v>0</v>
      </c>
      <c r="H215" s="18">
        <v>491369.11</v>
      </c>
      <c r="I215" s="5">
        <v>41365</v>
      </c>
    </row>
    <row r="216" spans="1:9">
      <c r="A216" s="15" t="s">
        <v>11491</v>
      </c>
      <c r="B216" s="16" t="s">
        <v>11803</v>
      </c>
      <c r="C216" s="16" t="s">
        <v>11803</v>
      </c>
      <c r="D216" s="17" t="s">
        <v>4124</v>
      </c>
      <c r="E216" s="17" t="s">
        <v>5359</v>
      </c>
      <c r="F216" s="18">
        <v>1275.07</v>
      </c>
      <c r="G216" s="18">
        <v>0</v>
      </c>
      <c r="H216" s="18">
        <v>1072398.04</v>
      </c>
      <c r="I216" s="5">
        <v>41395</v>
      </c>
    </row>
    <row r="217" spans="1:9">
      <c r="A217" s="15" t="s">
        <v>11493</v>
      </c>
      <c r="B217" s="16" t="s">
        <v>11804</v>
      </c>
      <c r="C217" s="16" t="s">
        <v>11804</v>
      </c>
      <c r="D217" s="17" t="s">
        <v>4124</v>
      </c>
      <c r="E217" s="17" t="s">
        <v>5361</v>
      </c>
      <c r="F217" s="18">
        <v>1110</v>
      </c>
      <c r="G217" s="18">
        <v>0</v>
      </c>
      <c r="H217" s="18">
        <v>1437849.04</v>
      </c>
      <c r="I217" s="5">
        <v>41395</v>
      </c>
    </row>
    <row r="218" spans="1:9">
      <c r="A218" s="15" t="s">
        <v>11594</v>
      </c>
      <c r="B218" s="16" t="s">
        <v>11805</v>
      </c>
      <c r="C218" s="16" t="s">
        <v>11805</v>
      </c>
      <c r="D218" s="17" t="s">
        <v>4124</v>
      </c>
      <c r="E218" s="17" t="s">
        <v>5362</v>
      </c>
      <c r="F218" s="18">
        <v>6210</v>
      </c>
      <c r="G218" s="18">
        <v>0</v>
      </c>
      <c r="H218" s="18">
        <v>1431639.04</v>
      </c>
      <c r="I218" s="5">
        <v>41395</v>
      </c>
    </row>
    <row r="219" spans="1:9">
      <c r="A219" s="15" t="s">
        <v>11596</v>
      </c>
      <c r="B219" s="16" t="s">
        <v>11806</v>
      </c>
      <c r="C219" s="16" t="s">
        <v>11806</v>
      </c>
      <c r="D219" s="17" t="s">
        <v>4124</v>
      </c>
      <c r="E219" s="17" t="s">
        <v>5363</v>
      </c>
      <c r="F219" s="18">
        <v>5000</v>
      </c>
      <c r="G219" s="18">
        <v>0</v>
      </c>
      <c r="H219" s="18">
        <v>1426639.04</v>
      </c>
      <c r="I219" s="5">
        <v>41395</v>
      </c>
    </row>
    <row r="220" spans="1:9">
      <c r="A220" s="15" t="s">
        <v>11495</v>
      </c>
      <c r="B220" s="16" t="s">
        <v>11807</v>
      </c>
      <c r="C220" s="16" t="s">
        <v>11807</v>
      </c>
      <c r="D220" s="17" t="s">
        <v>4124</v>
      </c>
      <c r="E220" s="17" t="s">
        <v>1883</v>
      </c>
      <c r="F220" s="18">
        <v>10000</v>
      </c>
      <c r="G220" s="18">
        <v>0</v>
      </c>
      <c r="H220" s="18">
        <v>1416639.04</v>
      </c>
      <c r="I220" s="5">
        <v>41395</v>
      </c>
    </row>
    <row r="221" spans="1:9">
      <c r="A221" s="15" t="s">
        <v>11808</v>
      </c>
      <c r="B221" s="16" t="s">
        <v>11809</v>
      </c>
      <c r="C221" s="16" t="s">
        <v>11809</v>
      </c>
      <c r="D221" s="17" t="s">
        <v>11810</v>
      </c>
      <c r="E221" s="17" t="s">
        <v>5365</v>
      </c>
      <c r="F221" s="18">
        <v>16250</v>
      </c>
      <c r="G221" s="18">
        <v>0</v>
      </c>
      <c r="H221" s="18">
        <v>1393386.23</v>
      </c>
      <c r="I221" s="5">
        <v>41395</v>
      </c>
    </row>
    <row r="222" spans="1:9">
      <c r="A222" s="15" t="s">
        <v>11811</v>
      </c>
      <c r="B222" s="16" t="s">
        <v>11812</v>
      </c>
      <c r="C222" s="16" t="s">
        <v>11812</v>
      </c>
      <c r="D222" s="17" t="s">
        <v>4124</v>
      </c>
      <c r="E222" s="17" t="s">
        <v>5370</v>
      </c>
      <c r="F222" s="18">
        <v>2105.29</v>
      </c>
      <c r="G222" s="18">
        <v>0</v>
      </c>
      <c r="H222" s="18">
        <v>1393451.13</v>
      </c>
      <c r="I222" s="5">
        <v>41426</v>
      </c>
    </row>
    <row r="223" spans="1:9">
      <c r="A223" s="15" t="s">
        <v>11603</v>
      </c>
      <c r="B223" s="16" t="s">
        <v>11813</v>
      </c>
      <c r="C223" s="16" t="s">
        <v>11813</v>
      </c>
      <c r="D223" s="17" t="s">
        <v>4124</v>
      </c>
      <c r="E223" s="17" t="s">
        <v>1891</v>
      </c>
      <c r="F223" s="18">
        <v>5000</v>
      </c>
      <c r="G223" s="18">
        <v>0</v>
      </c>
      <c r="H223" s="18">
        <v>1388451.13</v>
      </c>
      <c r="I223" s="5">
        <v>41426</v>
      </c>
    </row>
    <row r="224" spans="1:9">
      <c r="A224" s="15" t="s">
        <v>11605</v>
      </c>
      <c r="B224" s="16" t="s">
        <v>11814</v>
      </c>
      <c r="C224" s="16" t="s">
        <v>11814</v>
      </c>
      <c r="D224" s="17" t="s">
        <v>4124</v>
      </c>
      <c r="E224" s="17" t="s">
        <v>5371</v>
      </c>
      <c r="F224" s="18">
        <v>20864</v>
      </c>
      <c r="G224" s="18">
        <v>0</v>
      </c>
      <c r="H224" s="18">
        <v>1367587.13</v>
      </c>
      <c r="I224" s="5">
        <v>41426</v>
      </c>
    </row>
    <row r="225" spans="1:9">
      <c r="A225" s="15" t="s">
        <v>11504</v>
      </c>
      <c r="B225" s="16" t="s">
        <v>11815</v>
      </c>
      <c r="C225" s="16" t="s">
        <v>11815</v>
      </c>
      <c r="D225" s="17" t="s">
        <v>4124</v>
      </c>
      <c r="E225" s="17" t="s">
        <v>5374</v>
      </c>
      <c r="F225" s="18">
        <v>1386</v>
      </c>
      <c r="G225" s="18">
        <v>0</v>
      </c>
      <c r="H225" s="18">
        <v>867835.78</v>
      </c>
      <c r="I225" s="5">
        <v>41456</v>
      </c>
    </row>
    <row r="226" spans="1:9">
      <c r="A226" s="15" t="s">
        <v>11697</v>
      </c>
      <c r="B226" s="16" t="s">
        <v>11816</v>
      </c>
      <c r="C226" s="16" t="s">
        <v>11816</v>
      </c>
      <c r="D226" s="17" t="s">
        <v>4124</v>
      </c>
      <c r="E226" s="17" t="s">
        <v>5376</v>
      </c>
      <c r="F226" s="18">
        <v>12157.56</v>
      </c>
      <c r="G226" s="18">
        <v>0</v>
      </c>
      <c r="H226" s="18">
        <v>846637.41</v>
      </c>
      <c r="I226" s="5">
        <v>41456</v>
      </c>
    </row>
    <row r="227" spans="1:9">
      <c r="A227" s="15" t="s">
        <v>11507</v>
      </c>
      <c r="B227" s="16" t="s">
        <v>11817</v>
      </c>
      <c r="C227" s="16" t="s">
        <v>11818</v>
      </c>
      <c r="D227" s="17" t="s">
        <v>4124</v>
      </c>
      <c r="E227" s="17" t="s">
        <v>1903</v>
      </c>
      <c r="F227" s="18">
        <v>5000</v>
      </c>
      <c r="G227" s="18">
        <v>0</v>
      </c>
      <c r="H227" s="18">
        <v>841637.41</v>
      </c>
      <c r="I227" s="5">
        <v>41456</v>
      </c>
    </row>
    <row r="228" spans="1:9">
      <c r="A228" s="15" t="s">
        <v>11509</v>
      </c>
      <c r="B228" s="16" t="s">
        <v>11819</v>
      </c>
      <c r="C228" s="16" t="s">
        <v>11819</v>
      </c>
      <c r="D228" s="17" t="s">
        <v>4124</v>
      </c>
      <c r="E228" s="17" t="s">
        <v>5377</v>
      </c>
      <c r="F228" s="18">
        <v>1110</v>
      </c>
      <c r="G228" s="18">
        <v>0</v>
      </c>
      <c r="H228" s="18">
        <v>840527.41</v>
      </c>
      <c r="I228" s="5">
        <v>41456</v>
      </c>
    </row>
    <row r="229" spans="1:9">
      <c r="A229" s="15" t="s">
        <v>11511</v>
      </c>
      <c r="B229" s="16" t="s">
        <v>11820</v>
      </c>
      <c r="C229" s="16" t="s">
        <v>11820</v>
      </c>
      <c r="D229" s="17" t="s">
        <v>4124</v>
      </c>
      <c r="E229" s="17" t="s">
        <v>5378</v>
      </c>
      <c r="F229" s="18">
        <v>2573</v>
      </c>
      <c r="G229" s="18">
        <v>0</v>
      </c>
      <c r="H229" s="18">
        <v>837954.41</v>
      </c>
      <c r="I229" s="5">
        <v>41456</v>
      </c>
    </row>
    <row r="230" spans="1:9">
      <c r="A230" s="15" t="s">
        <v>11516</v>
      </c>
      <c r="B230" s="16" t="s">
        <v>11821</v>
      </c>
      <c r="C230" s="16" t="s">
        <v>11821</v>
      </c>
      <c r="D230" s="17" t="s">
        <v>4124</v>
      </c>
      <c r="E230" s="17" t="s">
        <v>5380</v>
      </c>
      <c r="F230" s="18">
        <v>7814</v>
      </c>
      <c r="G230" s="18">
        <v>0</v>
      </c>
      <c r="H230" s="18">
        <v>962893.41</v>
      </c>
      <c r="I230" s="5">
        <v>41487</v>
      </c>
    </row>
    <row r="231" spans="1:9">
      <c r="A231" s="15" t="s">
        <v>11822</v>
      </c>
      <c r="B231" s="16" t="s">
        <v>11823</v>
      </c>
      <c r="C231" s="16" t="s">
        <v>11823</v>
      </c>
      <c r="D231" s="17" t="s">
        <v>4124</v>
      </c>
      <c r="E231" s="17" t="s">
        <v>1917</v>
      </c>
      <c r="F231" s="18">
        <v>5000</v>
      </c>
      <c r="G231" s="18">
        <v>0</v>
      </c>
      <c r="H231" s="18">
        <v>957893.41</v>
      </c>
      <c r="I231" s="5">
        <v>41487</v>
      </c>
    </row>
    <row r="232" spans="1:9">
      <c r="A232" s="15" t="s">
        <v>11517</v>
      </c>
      <c r="B232" s="16" t="s">
        <v>11824</v>
      </c>
      <c r="C232" s="16" t="s">
        <v>11824</v>
      </c>
      <c r="D232" s="17" t="s">
        <v>4124</v>
      </c>
      <c r="E232" s="17" t="s">
        <v>5381</v>
      </c>
      <c r="F232" s="18">
        <v>10000</v>
      </c>
      <c r="G232" s="18">
        <v>0</v>
      </c>
      <c r="H232" s="18">
        <v>947893.41</v>
      </c>
      <c r="I232" s="5">
        <v>41487</v>
      </c>
    </row>
    <row r="233" spans="1:9">
      <c r="A233" s="15" t="s">
        <v>11825</v>
      </c>
      <c r="B233" s="16" t="s">
        <v>11824</v>
      </c>
      <c r="C233" s="16" t="s">
        <v>11824</v>
      </c>
      <c r="D233" s="17" t="s">
        <v>4124</v>
      </c>
      <c r="E233" s="17" t="s">
        <v>5381</v>
      </c>
      <c r="F233" s="18">
        <v>5000</v>
      </c>
      <c r="G233" s="18">
        <v>0</v>
      </c>
      <c r="H233" s="18">
        <v>942893.41</v>
      </c>
      <c r="I233" s="5">
        <v>41487</v>
      </c>
    </row>
    <row r="234" spans="1:9">
      <c r="A234" s="15" t="s">
        <v>11615</v>
      </c>
      <c r="B234" s="16" t="s">
        <v>11826</v>
      </c>
      <c r="C234" s="16" t="s">
        <v>11826</v>
      </c>
      <c r="D234" s="17" t="s">
        <v>11827</v>
      </c>
      <c r="E234" s="17" t="s">
        <v>1553</v>
      </c>
      <c r="F234" s="18">
        <v>5000</v>
      </c>
      <c r="G234" s="18">
        <v>0</v>
      </c>
      <c r="H234" s="18">
        <v>937893.41</v>
      </c>
      <c r="I234" s="5">
        <v>41487</v>
      </c>
    </row>
    <row r="235" spans="1:9">
      <c r="A235" s="15" t="s">
        <v>11519</v>
      </c>
      <c r="B235" s="16" t="s">
        <v>11828</v>
      </c>
      <c r="C235" s="16" t="s">
        <v>11828</v>
      </c>
      <c r="D235" s="17" t="s">
        <v>4124</v>
      </c>
      <c r="E235" s="17" t="s">
        <v>1925</v>
      </c>
      <c r="F235" s="18">
        <v>10000</v>
      </c>
      <c r="G235" s="18">
        <v>0</v>
      </c>
      <c r="H235" s="18">
        <v>940163.62</v>
      </c>
      <c r="I235" s="5">
        <v>41487</v>
      </c>
    </row>
    <row r="236" spans="1:9">
      <c r="A236" s="15" t="s">
        <v>11522</v>
      </c>
      <c r="B236" s="16" t="s">
        <v>11829</v>
      </c>
      <c r="C236" s="16" t="s">
        <v>11829</v>
      </c>
      <c r="D236" s="17" t="s">
        <v>4124</v>
      </c>
      <c r="E236" s="17" t="s">
        <v>5385</v>
      </c>
      <c r="F236" s="18">
        <v>22373</v>
      </c>
      <c r="G236" s="18">
        <v>0</v>
      </c>
      <c r="H236" s="18">
        <v>934287.62</v>
      </c>
      <c r="I236" s="5">
        <v>41518</v>
      </c>
    </row>
    <row r="237" spans="1:9">
      <c r="A237" s="15" t="s">
        <v>11623</v>
      </c>
      <c r="B237" s="16" t="s">
        <v>11830</v>
      </c>
      <c r="C237" s="16" t="s">
        <v>11830</v>
      </c>
      <c r="D237" s="17" t="s">
        <v>4124</v>
      </c>
      <c r="E237" s="17" t="s">
        <v>5386</v>
      </c>
      <c r="F237" s="18">
        <v>836.94</v>
      </c>
      <c r="G237" s="18">
        <v>0</v>
      </c>
      <c r="H237" s="18">
        <v>933450.68</v>
      </c>
      <c r="I237" s="5">
        <v>41518</v>
      </c>
    </row>
    <row r="238" spans="1:9">
      <c r="A238" s="15" t="s">
        <v>11523</v>
      </c>
      <c r="B238" s="16" t="s">
        <v>11831</v>
      </c>
      <c r="C238" s="16" t="s">
        <v>11831</v>
      </c>
      <c r="D238" s="17" t="s">
        <v>4124</v>
      </c>
      <c r="E238" s="17" t="s">
        <v>5387</v>
      </c>
      <c r="F238" s="18">
        <v>5000</v>
      </c>
      <c r="G238" s="18">
        <v>0</v>
      </c>
      <c r="H238" s="18">
        <v>928450.68</v>
      </c>
      <c r="I238" s="5">
        <v>41518</v>
      </c>
    </row>
    <row r="239" spans="1:9">
      <c r="A239" s="15" t="s">
        <v>11627</v>
      </c>
      <c r="B239" s="16" t="s">
        <v>11831</v>
      </c>
      <c r="C239" s="16" t="s">
        <v>11831</v>
      </c>
      <c r="D239" s="17" t="s">
        <v>4124</v>
      </c>
      <c r="E239" s="17" t="s">
        <v>5387</v>
      </c>
      <c r="F239" s="18">
        <v>5000</v>
      </c>
      <c r="G239" s="18">
        <v>0</v>
      </c>
      <c r="H239" s="18">
        <v>923450.68</v>
      </c>
      <c r="I239" s="5">
        <v>41518</v>
      </c>
    </row>
    <row r="240" spans="1:9">
      <c r="A240" s="15" t="s">
        <v>11704</v>
      </c>
      <c r="B240" s="16" t="s">
        <v>11832</v>
      </c>
      <c r="C240" s="16" t="s">
        <v>11832</v>
      </c>
      <c r="D240" s="17" t="s">
        <v>4124</v>
      </c>
      <c r="E240" s="17" t="s">
        <v>5388</v>
      </c>
      <c r="F240" s="18">
        <v>435</v>
      </c>
      <c r="G240" s="18">
        <v>0</v>
      </c>
      <c r="H240" s="18">
        <v>923015.68000000005</v>
      </c>
      <c r="I240" s="5">
        <v>41518</v>
      </c>
    </row>
    <row r="241" spans="1:9">
      <c r="A241" s="15" t="s">
        <v>11706</v>
      </c>
      <c r="B241" s="16" t="s">
        <v>11833</v>
      </c>
      <c r="C241" s="16" t="s">
        <v>11833</v>
      </c>
      <c r="D241" s="17" t="s">
        <v>4124</v>
      </c>
      <c r="E241" s="17" t="s">
        <v>5389</v>
      </c>
      <c r="F241" s="18">
        <v>435</v>
      </c>
      <c r="G241" s="18">
        <v>0</v>
      </c>
      <c r="H241" s="18">
        <v>1075475.68</v>
      </c>
      <c r="I241" s="5">
        <v>41518</v>
      </c>
    </row>
    <row r="242" spans="1:9">
      <c r="A242" s="15" t="s">
        <v>11834</v>
      </c>
      <c r="B242" s="16" t="s">
        <v>11835</v>
      </c>
      <c r="C242" s="16" t="s">
        <v>11835</v>
      </c>
      <c r="D242" s="17" t="s">
        <v>4124</v>
      </c>
      <c r="E242" s="17" t="s">
        <v>5390</v>
      </c>
      <c r="F242" s="18">
        <v>1281</v>
      </c>
      <c r="G242" s="18">
        <v>0</v>
      </c>
      <c r="H242" s="18">
        <v>1230388.68</v>
      </c>
      <c r="I242" s="5">
        <v>41548</v>
      </c>
    </row>
    <row r="243" spans="1:9">
      <c r="A243" s="15" t="s">
        <v>11530</v>
      </c>
      <c r="B243" s="16" t="s">
        <v>11836</v>
      </c>
      <c r="C243" s="16" t="s">
        <v>11836</v>
      </c>
      <c r="D243" s="17" t="s">
        <v>4124</v>
      </c>
      <c r="E243" s="17" t="s">
        <v>5391</v>
      </c>
      <c r="F243" s="18">
        <v>1281</v>
      </c>
      <c r="G243" s="18">
        <v>0</v>
      </c>
      <c r="H243" s="18">
        <v>1229107.68</v>
      </c>
      <c r="I243" s="5">
        <v>41548</v>
      </c>
    </row>
    <row r="244" spans="1:9">
      <c r="A244" s="15" t="s">
        <v>11633</v>
      </c>
      <c r="B244" s="16" t="s">
        <v>11836</v>
      </c>
      <c r="C244" s="16" t="s">
        <v>11836</v>
      </c>
      <c r="D244" s="17" t="s">
        <v>4124</v>
      </c>
      <c r="E244" s="17" t="s">
        <v>5393</v>
      </c>
      <c r="F244" s="18">
        <v>9187</v>
      </c>
      <c r="G244" s="18">
        <v>0</v>
      </c>
      <c r="H244" s="18">
        <v>919892.59</v>
      </c>
      <c r="I244" s="5">
        <v>41548</v>
      </c>
    </row>
    <row r="245" spans="1:9">
      <c r="A245" s="15" t="s">
        <v>11638</v>
      </c>
      <c r="B245" s="16" t="s">
        <v>11837</v>
      </c>
      <c r="C245" s="16" t="s">
        <v>11837</v>
      </c>
      <c r="D245" s="17" t="s">
        <v>11838</v>
      </c>
      <c r="E245" s="17" t="s">
        <v>5395</v>
      </c>
      <c r="F245" s="18">
        <v>2500</v>
      </c>
      <c r="G245" s="18">
        <v>0</v>
      </c>
      <c r="H245" s="18">
        <v>913061.53</v>
      </c>
      <c r="I245" s="5">
        <v>41548</v>
      </c>
    </row>
    <row r="246" spans="1:9">
      <c r="A246" s="15" t="s">
        <v>11839</v>
      </c>
      <c r="B246" s="16" t="s">
        <v>11840</v>
      </c>
      <c r="C246" s="16" t="s">
        <v>11840</v>
      </c>
      <c r="D246" s="17" t="s">
        <v>4124</v>
      </c>
      <c r="E246" s="17" t="s">
        <v>5399</v>
      </c>
      <c r="F246" s="18">
        <v>10000</v>
      </c>
      <c r="G246" s="18">
        <v>0</v>
      </c>
      <c r="H246" s="18">
        <v>1096032.83</v>
      </c>
      <c r="I246" s="5">
        <v>41548</v>
      </c>
    </row>
    <row r="247" spans="1:9">
      <c r="A247" s="15" t="s">
        <v>11640</v>
      </c>
      <c r="B247" s="16" t="s">
        <v>11841</v>
      </c>
      <c r="C247" s="16" t="s">
        <v>11841</v>
      </c>
      <c r="D247" s="17" t="s">
        <v>4124</v>
      </c>
      <c r="E247" s="17" t="s">
        <v>5400</v>
      </c>
      <c r="F247" s="18">
        <v>5298</v>
      </c>
      <c r="G247" s="18">
        <v>0</v>
      </c>
      <c r="H247" s="18">
        <v>1090734.83</v>
      </c>
      <c r="I247" s="5">
        <v>41579</v>
      </c>
    </row>
    <row r="248" spans="1:9">
      <c r="A248" s="15" t="s">
        <v>11538</v>
      </c>
      <c r="B248" s="16" t="s">
        <v>11842</v>
      </c>
      <c r="C248" s="16" t="s">
        <v>11842</v>
      </c>
      <c r="D248" s="17" t="s">
        <v>4124</v>
      </c>
      <c r="E248" s="17" t="s">
        <v>5401</v>
      </c>
      <c r="F248" s="18">
        <v>10000</v>
      </c>
      <c r="G248" s="18">
        <v>0</v>
      </c>
      <c r="H248" s="18">
        <v>1080734.83</v>
      </c>
      <c r="I248" s="5">
        <v>41579</v>
      </c>
    </row>
    <row r="249" spans="1:9">
      <c r="A249" s="15" t="s">
        <v>11642</v>
      </c>
      <c r="B249" s="16" t="s">
        <v>11843</v>
      </c>
      <c r="C249" s="16" t="s">
        <v>11843</v>
      </c>
      <c r="D249" s="17" t="s">
        <v>4124</v>
      </c>
      <c r="E249" s="17" t="s">
        <v>5402</v>
      </c>
      <c r="F249" s="18">
        <v>1110</v>
      </c>
      <c r="G249" s="18">
        <v>0</v>
      </c>
      <c r="H249" s="18">
        <v>1079624.83</v>
      </c>
      <c r="I249" s="5">
        <v>41579</v>
      </c>
    </row>
    <row r="250" spans="1:9">
      <c r="A250" s="15" t="s">
        <v>11541</v>
      </c>
      <c r="B250" s="16" t="s">
        <v>11844</v>
      </c>
      <c r="C250" s="16" t="s">
        <v>11844</v>
      </c>
      <c r="D250" s="17" t="s">
        <v>4124</v>
      </c>
      <c r="E250" s="17" t="s">
        <v>5405</v>
      </c>
      <c r="F250" s="18">
        <v>5000</v>
      </c>
      <c r="G250" s="18">
        <v>0</v>
      </c>
      <c r="H250" s="18">
        <v>1239148.6299999999</v>
      </c>
      <c r="I250" s="5">
        <v>41579</v>
      </c>
    </row>
    <row r="251" spans="1:9">
      <c r="A251" s="15" t="s">
        <v>11543</v>
      </c>
      <c r="B251" s="16" t="s">
        <v>11845</v>
      </c>
      <c r="C251" s="16" t="s">
        <v>11845</v>
      </c>
      <c r="D251" s="17" t="s">
        <v>4124</v>
      </c>
      <c r="E251" s="17" t="s">
        <v>5406</v>
      </c>
      <c r="F251" s="18">
        <v>1132.44</v>
      </c>
      <c r="G251" s="18">
        <v>0</v>
      </c>
      <c r="H251" s="18">
        <v>1238016.19</v>
      </c>
      <c r="I251" s="5">
        <v>41609</v>
      </c>
    </row>
    <row r="252" spans="1:9">
      <c r="A252" s="15" t="s">
        <v>11720</v>
      </c>
      <c r="B252" s="16" t="s">
        <v>11846</v>
      </c>
      <c r="C252" s="16" t="s">
        <v>11846</v>
      </c>
      <c r="D252" s="17" t="s">
        <v>4124</v>
      </c>
      <c r="E252" s="17" t="s">
        <v>5407</v>
      </c>
      <c r="F252" s="18">
        <v>17837</v>
      </c>
      <c r="G252" s="18">
        <v>0</v>
      </c>
      <c r="H252" s="18">
        <v>1220179.19</v>
      </c>
      <c r="I252" s="5">
        <v>41609</v>
      </c>
    </row>
    <row r="253" spans="1:9">
      <c r="A253" s="15" t="s">
        <v>11651</v>
      </c>
      <c r="B253" s="16" t="s">
        <v>11847</v>
      </c>
      <c r="C253" s="16" t="s">
        <v>11847</v>
      </c>
      <c r="D253" s="17" t="s">
        <v>4124</v>
      </c>
      <c r="E253" s="17" t="s">
        <v>1980</v>
      </c>
      <c r="F253" s="18">
        <v>10000</v>
      </c>
      <c r="G253" s="18">
        <v>0</v>
      </c>
      <c r="H253" s="18">
        <v>1189110.19</v>
      </c>
      <c r="I253" s="5">
        <v>41609</v>
      </c>
    </row>
    <row r="254" spans="1:9">
      <c r="A254" s="15" t="s">
        <v>11654</v>
      </c>
      <c r="B254" s="16" t="s">
        <v>11848</v>
      </c>
      <c r="C254" s="16" t="s">
        <v>11848</v>
      </c>
      <c r="D254" s="17" t="s">
        <v>4124</v>
      </c>
      <c r="E254" s="17" t="s">
        <v>5410</v>
      </c>
      <c r="F254" s="18">
        <v>837.3</v>
      </c>
      <c r="G254" s="18">
        <v>0</v>
      </c>
      <c r="H254" s="18">
        <v>1344466.89</v>
      </c>
      <c r="I254" s="5">
        <v>41609</v>
      </c>
    </row>
    <row r="255" spans="1:9">
      <c r="A255" s="15" t="s">
        <v>11549</v>
      </c>
      <c r="B255" s="16" t="s">
        <v>11849</v>
      </c>
      <c r="C255" s="16" t="s">
        <v>11849</v>
      </c>
      <c r="D255" s="17" t="s">
        <v>4124</v>
      </c>
      <c r="E255" s="17" t="s">
        <v>5411</v>
      </c>
      <c r="F255" s="18">
        <v>1234</v>
      </c>
      <c r="G255" s="18">
        <v>0</v>
      </c>
      <c r="H255" s="18">
        <v>1343232.89</v>
      </c>
      <c r="I255" s="5">
        <v>41609</v>
      </c>
    </row>
    <row r="256" spans="1:9">
      <c r="A256" s="15" t="s">
        <v>11659</v>
      </c>
      <c r="B256" s="16" t="s">
        <v>11850</v>
      </c>
      <c r="C256" s="16" t="s">
        <v>11850</v>
      </c>
      <c r="D256" s="17" t="s">
        <v>4124</v>
      </c>
      <c r="E256" s="17" t="s">
        <v>5413</v>
      </c>
      <c r="F256" s="18">
        <v>27330.9</v>
      </c>
      <c r="G256" s="18">
        <v>0</v>
      </c>
      <c r="H256" s="18">
        <v>472538.99</v>
      </c>
      <c r="I256" s="5">
        <v>41640</v>
      </c>
    </row>
    <row r="257" spans="1:9">
      <c r="A257" s="15" t="s">
        <v>11661</v>
      </c>
      <c r="B257" s="16" t="s">
        <v>11851</v>
      </c>
      <c r="C257" s="16" t="s">
        <v>11851</v>
      </c>
      <c r="D257" s="17" t="s">
        <v>4124</v>
      </c>
      <c r="E257" s="17" t="s">
        <v>5414</v>
      </c>
      <c r="F257" s="18">
        <v>5000</v>
      </c>
      <c r="G257" s="18">
        <v>0</v>
      </c>
      <c r="H257" s="18">
        <v>467538.99</v>
      </c>
      <c r="I257" s="5">
        <v>41640</v>
      </c>
    </row>
    <row r="258" spans="1:9">
      <c r="A258" s="15" t="s">
        <v>11556</v>
      </c>
      <c r="B258" s="16" t="s">
        <v>11852</v>
      </c>
      <c r="C258" s="16" t="s">
        <v>11853</v>
      </c>
      <c r="D258" s="17" t="s">
        <v>4124</v>
      </c>
      <c r="E258" s="17" t="s">
        <v>5415</v>
      </c>
      <c r="F258" s="18">
        <v>10000</v>
      </c>
      <c r="G258" s="18">
        <v>0</v>
      </c>
      <c r="H258" s="18">
        <v>459158.19</v>
      </c>
      <c r="I258" s="5">
        <v>41640</v>
      </c>
    </row>
    <row r="259" spans="1:9">
      <c r="A259" s="15" t="s">
        <v>11662</v>
      </c>
      <c r="B259" s="16" t="s">
        <v>11854</v>
      </c>
      <c r="C259" s="16" t="s">
        <v>11855</v>
      </c>
      <c r="D259" s="17" t="s">
        <v>4124</v>
      </c>
      <c r="E259" s="17" t="s">
        <v>2003</v>
      </c>
      <c r="F259" s="18">
        <v>10000</v>
      </c>
      <c r="G259" s="18">
        <v>0</v>
      </c>
      <c r="H259" s="18">
        <v>629768.18999999994</v>
      </c>
      <c r="I259" s="5">
        <v>41671</v>
      </c>
    </row>
    <row r="260" spans="1:9">
      <c r="A260" s="15" t="s">
        <v>11726</v>
      </c>
      <c r="B260" s="16" t="s">
        <v>11856</v>
      </c>
      <c r="C260" s="16" t="s">
        <v>11856</v>
      </c>
      <c r="D260" s="17" t="s">
        <v>4124</v>
      </c>
      <c r="E260" s="17" t="s">
        <v>5417</v>
      </c>
      <c r="F260" s="18">
        <v>1164.0999999999999</v>
      </c>
      <c r="G260" s="18">
        <v>0</v>
      </c>
      <c r="H260" s="18">
        <v>628604.09</v>
      </c>
      <c r="I260" s="5">
        <v>41671</v>
      </c>
    </row>
    <row r="261" spans="1:9">
      <c r="A261" s="15" t="s">
        <v>11563</v>
      </c>
      <c r="B261" s="16" t="s">
        <v>11857</v>
      </c>
      <c r="C261" s="16" t="s">
        <v>11857</v>
      </c>
      <c r="D261" s="17" t="s">
        <v>4124</v>
      </c>
      <c r="E261" s="17" t="s">
        <v>2011</v>
      </c>
      <c r="F261" s="18">
        <v>5000</v>
      </c>
      <c r="G261" s="18">
        <v>0</v>
      </c>
      <c r="H261" s="18">
        <v>564466.09</v>
      </c>
      <c r="I261" s="5">
        <v>41671</v>
      </c>
    </row>
    <row r="262" spans="1:9">
      <c r="A262" s="15" t="s">
        <v>11667</v>
      </c>
      <c r="B262" s="16" t="s">
        <v>11858</v>
      </c>
      <c r="C262" s="16" t="s">
        <v>11858</v>
      </c>
      <c r="D262" s="17" t="s">
        <v>4124</v>
      </c>
      <c r="E262" s="17" t="s">
        <v>5421</v>
      </c>
      <c r="F262" s="18">
        <v>1290.21</v>
      </c>
      <c r="G262" s="18">
        <v>0</v>
      </c>
      <c r="H262" s="18">
        <v>725785.08</v>
      </c>
      <c r="I262" s="5">
        <v>41699</v>
      </c>
    </row>
    <row r="263" spans="1:9">
      <c r="A263" s="15" t="s">
        <v>11669</v>
      </c>
      <c r="B263" s="16" t="s">
        <v>11859</v>
      </c>
      <c r="C263" s="16" t="s">
        <v>11859</v>
      </c>
      <c r="D263" s="17" t="s">
        <v>11860</v>
      </c>
      <c r="E263" s="17" t="s">
        <v>5422</v>
      </c>
      <c r="F263" s="18">
        <v>125</v>
      </c>
      <c r="G263" s="18">
        <v>0</v>
      </c>
      <c r="H263" s="18">
        <v>725660.08</v>
      </c>
      <c r="I263" s="5">
        <v>41699</v>
      </c>
    </row>
    <row r="264" spans="1:9">
      <c r="A264" s="15" t="s">
        <v>11774</v>
      </c>
      <c r="B264" s="16" t="s">
        <v>11861</v>
      </c>
      <c r="C264" s="16" t="s">
        <v>11861</v>
      </c>
      <c r="D264" s="17" t="s">
        <v>11862</v>
      </c>
      <c r="E264" s="17" t="s">
        <v>5424</v>
      </c>
      <c r="F264" s="18">
        <v>3000</v>
      </c>
      <c r="G264" s="18">
        <v>0</v>
      </c>
      <c r="H264" s="18">
        <v>728546.86</v>
      </c>
      <c r="I264" s="5">
        <v>41699</v>
      </c>
    </row>
    <row r="265" spans="1:9">
      <c r="A265" s="15" t="s">
        <v>11570</v>
      </c>
      <c r="B265" s="16" t="s">
        <v>11863</v>
      </c>
      <c r="C265" s="16" t="s">
        <v>11863</v>
      </c>
      <c r="D265" s="17" t="s">
        <v>4124</v>
      </c>
      <c r="E265" s="17" t="s">
        <v>5426</v>
      </c>
      <c r="F265" s="18">
        <v>5000</v>
      </c>
      <c r="G265" s="18">
        <v>0</v>
      </c>
      <c r="H265" s="18">
        <v>716544.05</v>
      </c>
      <c r="I265" s="5">
        <v>41699</v>
      </c>
    </row>
    <row r="266" spans="1:9">
      <c r="A266" s="15" t="s">
        <v>11572</v>
      </c>
      <c r="B266" s="16" t="s">
        <v>11864</v>
      </c>
      <c r="C266" s="16" t="s">
        <v>11864</v>
      </c>
      <c r="D266" s="17" t="s">
        <v>4124</v>
      </c>
      <c r="E266" s="17" t="s">
        <v>2028</v>
      </c>
      <c r="F266" s="18">
        <v>5000</v>
      </c>
      <c r="G266" s="18">
        <v>0</v>
      </c>
      <c r="H266" s="18">
        <v>873634.05</v>
      </c>
      <c r="I266" s="5">
        <v>41699</v>
      </c>
    </row>
    <row r="267" spans="1:9">
      <c r="A267" s="15" t="s">
        <v>11588</v>
      </c>
      <c r="B267" s="16" t="s">
        <v>11865</v>
      </c>
      <c r="C267" s="16" t="s">
        <v>11865</v>
      </c>
      <c r="D267" s="17" t="s">
        <v>4124</v>
      </c>
      <c r="E267" s="17" t="s">
        <v>5413</v>
      </c>
      <c r="F267" s="18">
        <v>24639.18</v>
      </c>
      <c r="G267" s="18">
        <v>0</v>
      </c>
      <c r="H267" s="18">
        <v>848994.87</v>
      </c>
      <c r="I267" s="5">
        <v>41730</v>
      </c>
    </row>
    <row r="268" spans="1:9">
      <c r="A268" s="15" t="s">
        <v>11486</v>
      </c>
      <c r="B268" s="16" t="s">
        <v>11866</v>
      </c>
      <c r="C268" s="16" t="s">
        <v>11866</v>
      </c>
      <c r="D268" s="17" t="s">
        <v>4124</v>
      </c>
      <c r="E268" s="17" t="s">
        <v>5429</v>
      </c>
      <c r="F268" s="18">
        <v>1243.42</v>
      </c>
      <c r="G268" s="18">
        <v>0</v>
      </c>
      <c r="H268" s="18">
        <v>844541.45</v>
      </c>
      <c r="I268" s="5">
        <v>41730</v>
      </c>
    </row>
    <row r="269" spans="1:9">
      <c r="A269" s="15" t="s">
        <v>11487</v>
      </c>
      <c r="B269" s="16" t="s">
        <v>11867</v>
      </c>
      <c r="C269" s="16" t="s">
        <v>11867</v>
      </c>
      <c r="D269" s="17" t="s">
        <v>4124</v>
      </c>
      <c r="E269" s="17" t="s">
        <v>2036</v>
      </c>
      <c r="F269" s="18">
        <v>10000</v>
      </c>
      <c r="G269" s="18">
        <v>0</v>
      </c>
      <c r="H269" s="18">
        <v>834541.45</v>
      </c>
      <c r="I269" s="5">
        <v>41730</v>
      </c>
    </row>
    <row r="270" spans="1:9">
      <c r="A270" s="15" t="s">
        <v>11488</v>
      </c>
      <c r="B270" s="16" t="s">
        <v>11867</v>
      </c>
      <c r="C270" s="16" t="s">
        <v>11867</v>
      </c>
      <c r="D270" s="17" t="s">
        <v>4124</v>
      </c>
      <c r="E270" s="17" t="s">
        <v>5430</v>
      </c>
      <c r="F270" s="18">
        <v>6910.49</v>
      </c>
      <c r="G270" s="18">
        <v>0</v>
      </c>
      <c r="H270" s="18">
        <v>827630.96</v>
      </c>
      <c r="I270" s="5">
        <v>41730</v>
      </c>
    </row>
    <row r="271" spans="1:9">
      <c r="A271" s="15" t="s">
        <v>11682</v>
      </c>
      <c r="B271" s="16" t="s">
        <v>11867</v>
      </c>
      <c r="C271" s="16" t="s">
        <v>11867</v>
      </c>
      <c r="D271" s="17" t="s">
        <v>4124</v>
      </c>
      <c r="E271" s="17" t="s">
        <v>5431</v>
      </c>
      <c r="F271" s="18">
        <v>2500</v>
      </c>
      <c r="G271" s="18">
        <v>0</v>
      </c>
      <c r="H271" s="18">
        <v>825130.96</v>
      </c>
      <c r="I271" s="5">
        <v>41730</v>
      </c>
    </row>
    <row r="272" spans="1:9">
      <c r="A272" s="15" t="s">
        <v>11594</v>
      </c>
      <c r="B272" s="16" t="s">
        <v>11868</v>
      </c>
      <c r="C272" s="16" t="s">
        <v>11868</v>
      </c>
      <c r="D272" s="17" t="s">
        <v>4124</v>
      </c>
      <c r="E272" s="17" t="s">
        <v>5434</v>
      </c>
      <c r="F272" s="18">
        <v>10000</v>
      </c>
      <c r="G272" s="18">
        <v>0</v>
      </c>
      <c r="H272" s="18">
        <v>1663105.61</v>
      </c>
      <c r="I272" s="5">
        <v>41730</v>
      </c>
    </row>
    <row r="273" spans="1:9">
      <c r="A273" s="15" t="s">
        <v>11596</v>
      </c>
      <c r="B273" s="16" t="s">
        <v>11868</v>
      </c>
      <c r="C273" s="16" t="s">
        <v>11868</v>
      </c>
      <c r="D273" s="17" t="s">
        <v>4124</v>
      </c>
      <c r="E273" s="17" t="s">
        <v>5434</v>
      </c>
      <c r="F273" s="18">
        <v>5000</v>
      </c>
      <c r="G273" s="18">
        <v>0</v>
      </c>
      <c r="H273" s="18">
        <v>1658105.61</v>
      </c>
      <c r="I273" s="5">
        <v>41730</v>
      </c>
    </row>
    <row r="274" spans="1:9">
      <c r="A274" s="15" t="s">
        <v>11495</v>
      </c>
      <c r="B274" s="16" t="s">
        <v>11869</v>
      </c>
      <c r="C274" s="16" t="s">
        <v>11870</v>
      </c>
      <c r="D274" s="17" t="s">
        <v>4124</v>
      </c>
      <c r="E274" s="17" t="s">
        <v>5435</v>
      </c>
      <c r="F274" s="18">
        <v>5000</v>
      </c>
      <c r="G274" s="18">
        <v>0</v>
      </c>
      <c r="H274" s="18">
        <v>1653105.61</v>
      </c>
      <c r="I274" s="5">
        <v>41760</v>
      </c>
    </row>
    <row r="275" spans="1:9">
      <c r="A275" s="15" t="s">
        <v>11742</v>
      </c>
      <c r="B275" s="16" t="s">
        <v>11871</v>
      </c>
      <c r="C275" s="16" t="s">
        <v>11871</v>
      </c>
      <c r="D275" s="17" t="s">
        <v>4124</v>
      </c>
      <c r="E275" s="17" t="s">
        <v>5436</v>
      </c>
      <c r="F275" s="18">
        <v>1241.81</v>
      </c>
      <c r="G275" s="18">
        <v>0</v>
      </c>
      <c r="H275" s="18">
        <v>1651863.8</v>
      </c>
      <c r="I275" s="5">
        <v>41760</v>
      </c>
    </row>
    <row r="276" spans="1:9">
      <c r="A276" s="15" t="s">
        <v>11808</v>
      </c>
      <c r="B276" s="16" t="s">
        <v>11872</v>
      </c>
      <c r="C276" s="16" t="s">
        <v>11872</v>
      </c>
      <c r="D276" s="17" t="s">
        <v>11873</v>
      </c>
      <c r="E276" s="17" t="s">
        <v>1630</v>
      </c>
      <c r="F276" s="18">
        <v>1500</v>
      </c>
      <c r="G276" s="18">
        <v>0</v>
      </c>
      <c r="H276" s="18">
        <v>1650363.8</v>
      </c>
      <c r="I276" s="5">
        <v>41760</v>
      </c>
    </row>
    <row r="277" spans="1:9">
      <c r="A277" s="15" t="s">
        <v>11599</v>
      </c>
      <c r="B277" s="16" t="s">
        <v>11874</v>
      </c>
      <c r="C277" s="16" t="s">
        <v>11874</v>
      </c>
      <c r="D277" s="17" t="s">
        <v>11875</v>
      </c>
      <c r="E277" s="17" t="s">
        <v>5439</v>
      </c>
      <c r="F277" s="18">
        <v>10000</v>
      </c>
      <c r="G277" s="18">
        <v>0</v>
      </c>
      <c r="H277" s="18">
        <v>1640363.8</v>
      </c>
      <c r="I277" s="5">
        <v>41760</v>
      </c>
    </row>
    <row r="278" spans="1:9">
      <c r="A278" s="15" t="s">
        <v>11500</v>
      </c>
      <c r="B278" s="16" t="s">
        <v>11876</v>
      </c>
      <c r="C278" s="16" t="s">
        <v>11876</v>
      </c>
      <c r="D278" s="17" t="s">
        <v>4124</v>
      </c>
      <c r="E278" s="17" t="s">
        <v>5441</v>
      </c>
      <c r="F278" s="18">
        <v>1512.75</v>
      </c>
      <c r="G278" s="18">
        <v>0</v>
      </c>
      <c r="H278" s="18">
        <v>1394432.05</v>
      </c>
      <c r="I278" s="5">
        <v>41760</v>
      </c>
    </row>
    <row r="279" spans="1:9">
      <c r="A279" s="15" t="s">
        <v>11689</v>
      </c>
      <c r="B279" s="16" t="s">
        <v>11876</v>
      </c>
      <c r="C279" s="16" t="s">
        <v>11876</v>
      </c>
      <c r="D279" s="17" t="s">
        <v>4124</v>
      </c>
      <c r="E279" s="17" t="s">
        <v>5442</v>
      </c>
      <c r="F279" s="18">
        <v>1512.75</v>
      </c>
      <c r="G279" s="18">
        <v>0</v>
      </c>
      <c r="H279" s="18">
        <v>1392919.3</v>
      </c>
      <c r="I279" s="5">
        <v>41760</v>
      </c>
    </row>
    <row r="280" spans="1:9">
      <c r="A280" s="15" t="s">
        <v>11603</v>
      </c>
      <c r="B280" s="16" t="s">
        <v>11877</v>
      </c>
      <c r="C280" s="16" t="s">
        <v>11877</v>
      </c>
      <c r="D280" s="17" t="s">
        <v>4124</v>
      </c>
      <c r="E280" s="17" t="s">
        <v>2056</v>
      </c>
      <c r="F280" s="18">
        <v>3000</v>
      </c>
      <c r="G280" s="18">
        <v>0</v>
      </c>
      <c r="H280" s="18">
        <v>1579448.3</v>
      </c>
      <c r="I280" s="5">
        <v>41760</v>
      </c>
    </row>
    <row r="281" spans="1:9">
      <c r="A281" s="15" t="s">
        <v>11605</v>
      </c>
      <c r="B281" s="16" t="s">
        <v>11878</v>
      </c>
      <c r="C281" s="16" t="s">
        <v>11879</v>
      </c>
      <c r="D281" s="17" t="s">
        <v>4124</v>
      </c>
      <c r="E281" s="17" t="s">
        <v>2059</v>
      </c>
      <c r="F281" s="18">
        <v>5000</v>
      </c>
      <c r="G281" s="18">
        <v>0</v>
      </c>
      <c r="H281" s="18">
        <v>1574448.3</v>
      </c>
      <c r="I281" s="5">
        <v>41791</v>
      </c>
    </row>
    <row r="282" spans="1:9">
      <c r="A282" s="15" t="s">
        <v>11502</v>
      </c>
      <c r="B282" s="16" t="s">
        <v>11880</v>
      </c>
      <c r="C282" s="16" t="s">
        <v>11880</v>
      </c>
      <c r="D282" s="17" t="s">
        <v>4124</v>
      </c>
      <c r="E282" s="17" t="s">
        <v>5444</v>
      </c>
      <c r="F282" s="18">
        <v>1241.81</v>
      </c>
      <c r="G282" s="18">
        <v>0</v>
      </c>
      <c r="H282" s="18">
        <v>1573206.49</v>
      </c>
      <c r="I282" s="5">
        <v>41791</v>
      </c>
    </row>
    <row r="283" spans="1:9">
      <c r="A283" s="15" t="s">
        <v>11608</v>
      </c>
      <c r="B283" s="16" t="s">
        <v>11880</v>
      </c>
      <c r="C283" s="16" t="s">
        <v>11880</v>
      </c>
      <c r="D283" s="17" t="s">
        <v>4124</v>
      </c>
      <c r="E283" s="17" t="s">
        <v>5413</v>
      </c>
      <c r="F283" s="18">
        <v>12732.74</v>
      </c>
      <c r="G283" s="18">
        <v>0</v>
      </c>
      <c r="H283" s="18">
        <v>1560473.75</v>
      </c>
      <c r="I283" s="5">
        <v>41791</v>
      </c>
    </row>
    <row r="284" spans="1:9">
      <c r="A284" s="15" t="s">
        <v>11609</v>
      </c>
      <c r="B284" s="16" t="s">
        <v>11881</v>
      </c>
      <c r="C284" s="16" t="s">
        <v>11881</v>
      </c>
      <c r="D284" s="17" t="s">
        <v>4124</v>
      </c>
      <c r="E284" s="17" t="s">
        <v>5445</v>
      </c>
      <c r="F284" s="18">
        <v>1110</v>
      </c>
      <c r="G284" s="18">
        <v>0</v>
      </c>
      <c r="H284" s="18">
        <v>1559363.75</v>
      </c>
      <c r="I284" s="5">
        <v>41791</v>
      </c>
    </row>
    <row r="285" spans="1:9">
      <c r="A285" s="15" t="s">
        <v>11695</v>
      </c>
      <c r="B285" s="16" t="s">
        <v>11881</v>
      </c>
      <c r="C285" s="16" t="s">
        <v>11881</v>
      </c>
      <c r="D285" s="17" t="s">
        <v>11882</v>
      </c>
      <c r="E285" s="17" t="s">
        <v>2098</v>
      </c>
      <c r="F285" s="18">
        <v>8800</v>
      </c>
      <c r="G285" s="18">
        <v>0</v>
      </c>
      <c r="H285" s="18">
        <v>550563.75</v>
      </c>
      <c r="I285" s="5">
        <v>41791</v>
      </c>
    </row>
    <row r="286" spans="1:9">
      <c r="A286" s="15" t="s">
        <v>11697</v>
      </c>
      <c r="B286" s="16" t="s">
        <v>11883</v>
      </c>
      <c r="C286" s="16" t="s">
        <v>11884</v>
      </c>
      <c r="D286" s="17" t="s">
        <v>4124</v>
      </c>
      <c r="E286" s="17" t="s">
        <v>5448</v>
      </c>
      <c r="F286" s="18">
        <v>7000</v>
      </c>
      <c r="G286" s="18">
        <v>0</v>
      </c>
      <c r="H286" s="18">
        <v>543563.75</v>
      </c>
      <c r="I286" s="5">
        <v>41791</v>
      </c>
    </row>
    <row r="287" spans="1:9">
      <c r="A287" s="15" t="s">
        <v>11507</v>
      </c>
      <c r="B287" s="16" t="s">
        <v>11885</v>
      </c>
      <c r="C287" s="16" t="s">
        <v>11885</v>
      </c>
      <c r="D287" s="17" t="s">
        <v>4124</v>
      </c>
      <c r="E287" s="17" t="s">
        <v>5449</v>
      </c>
      <c r="F287" s="18">
        <v>562</v>
      </c>
      <c r="G287" s="18">
        <v>0</v>
      </c>
      <c r="H287" s="18">
        <v>543001.75</v>
      </c>
      <c r="I287" s="5">
        <v>41791</v>
      </c>
    </row>
    <row r="288" spans="1:9">
      <c r="A288" s="15" t="s">
        <v>11509</v>
      </c>
      <c r="B288" s="16" t="s">
        <v>11886</v>
      </c>
      <c r="C288" s="16" t="s">
        <v>11886</v>
      </c>
      <c r="D288" s="17" t="s">
        <v>4124</v>
      </c>
      <c r="E288" s="17" t="s">
        <v>5450</v>
      </c>
      <c r="F288" s="18">
        <v>334.52</v>
      </c>
      <c r="G288" s="18">
        <v>0</v>
      </c>
      <c r="H288" s="18">
        <v>542667.23</v>
      </c>
      <c r="I288" s="5">
        <v>41791</v>
      </c>
    </row>
    <row r="289" spans="1:9">
      <c r="A289" s="15" t="s">
        <v>11516</v>
      </c>
      <c r="B289" s="16" t="s">
        <v>11887</v>
      </c>
      <c r="C289" s="16" t="s">
        <v>11887</v>
      </c>
      <c r="D289" s="17" t="s">
        <v>4124</v>
      </c>
      <c r="E289" s="17" t="s">
        <v>5453</v>
      </c>
      <c r="F289" s="18">
        <v>5000</v>
      </c>
      <c r="G289" s="18">
        <v>0</v>
      </c>
      <c r="H289" s="18">
        <v>739771.23</v>
      </c>
      <c r="I289" s="5">
        <v>41821</v>
      </c>
    </row>
    <row r="290" spans="1:9">
      <c r="A290" s="15" t="s">
        <v>11822</v>
      </c>
      <c r="B290" s="16" t="s">
        <v>11888</v>
      </c>
      <c r="C290" s="16" t="s">
        <v>11888</v>
      </c>
      <c r="D290" s="17" t="s">
        <v>4124</v>
      </c>
      <c r="E290" s="17" t="s">
        <v>5454</v>
      </c>
      <c r="F290" s="18">
        <v>10000</v>
      </c>
      <c r="G290" s="18">
        <v>0</v>
      </c>
      <c r="H290" s="18">
        <v>729771.23</v>
      </c>
      <c r="I290" s="5">
        <v>41821</v>
      </c>
    </row>
    <row r="291" spans="1:9">
      <c r="A291" s="15" t="s">
        <v>11517</v>
      </c>
      <c r="B291" s="16" t="s">
        <v>11889</v>
      </c>
      <c r="C291" s="16" t="s">
        <v>11889</v>
      </c>
      <c r="D291" s="17" t="s">
        <v>4124</v>
      </c>
      <c r="E291" s="17" t="s">
        <v>5413</v>
      </c>
      <c r="F291" s="18">
        <v>32262.26</v>
      </c>
      <c r="G291" s="18">
        <v>0</v>
      </c>
      <c r="H291" s="18">
        <v>697508.97</v>
      </c>
      <c r="I291" s="5">
        <v>41821</v>
      </c>
    </row>
    <row r="292" spans="1:9">
      <c r="A292" s="15" t="s">
        <v>11825</v>
      </c>
      <c r="B292" s="16" t="s">
        <v>11889</v>
      </c>
      <c r="C292" s="16" t="s">
        <v>11889</v>
      </c>
      <c r="D292" s="17" t="s">
        <v>4124</v>
      </c>
      <c r="E292" s="17" t="s">
        <v>2073</v>
      </c>
      <c r="F292" s="18">
        <v>10000</v>
      </c>
      <c r="G292" s="18">
        <v>0</v>
      </c>
      <c r="H292" s="18">
        <v>687508.97</v>
      </c>
      <c r="I292" s="5">
        <v>41821</v>
      </c>
    </row>
    <row r="293" spans="1:9">
      <c r="A293" s="15" t="s">
        <v>11615</v>
      </c>
      <c r="B293" s="16" t="s">
        <v>11889</v>
      </c>
      <c r="C293" s="16" t="s">
        <v>11889</v>
      </c>
      <c r="D293" s="17" t="s">
        <v>4124</v>
      </c>
      <c r="E293" s="17" t="s">
        <v>2073</v>
      </c>
      <c r="F293" s="18">
        <v>5000</v>
      </c>
      <c r="G293" s="18">
        <v>0</v>
      </c>
      <c r="H293" s="18">
        <v>682508.97</v>
      </c>
      <c r="I293" s="5">
        <v>41821</v>
      </c>
    </row>
    <row r="294" spans="1:9">
      <c r="A294" s="15" t="s">
        <v>11618</v>
      </c>
      <c r="B294" s="16" t="s">
        <v>11890</v>
      </c>
      <c r="C294" s="16" t="s">
        <v>11890</v>
      </c>
      <c r="D294" s="17" t="s">
        <v>4124</v>
      </c>
      <c r="E294" s="17" t="s">
        <v>5455</v>
      </c>
      <c r="F294" s="18">
        <v>1332</v>
      </c>
      <c r="G294" s="18">
        <v>0</v>
      </c>
      <c r="H294" s="18">
        <v>681176.97</v>
      </c>
      <c r="I294" s="5">
        <v>41821</v>
      </c>
    </row>
    <row r="295" spans="1:9">
      <c r="A295" s="15" t="s">
        <v>11621</v>
      </c>
      <c r="B295" s="16" t="s">
        <v>11891</v>
      </c>
      <c r="C295" s="16" t="s">
        <v>11891</v>
      </c>
      <c r="D295" s="17" t="s">
        <v>11892</v>
      </c>
      <c r="E295" s="17" t="s">
        <v>2098</v>
      </c>
      <c r="F295" s="18">
        <v>4400</v>
      </c>
      <c r="G295" s="18">
        <v>0</v>
      </c>
      <c r="H295" s="18">
        <v>676776.97</v>
      </c>
      <c r="I295" s="5">
        <v>41821</v>
      </c>
    </row>
    <row r="296" spans="1:9">
      <c r="A296" s="15" t="s">
        <v>11519</v>
      </c>
      <c r="B296" s="16" t="s">
        <v>11891</v>
      </c>
      <c r="C296" s="16" t="s">
        <v>11891</v>
      </c>
      <c r="D296" s="17" t="s">
        <v>4124</v>
      </c>
      <c r="E296" s="17" t="s">
        <v>5457</v>
      </c>
      <c r="F296" s="18">
        <v>1110</v>
      </c>
      <c r="G296" s="18">
        <v>0</v>
      </c>
      <c r="H296" s="18">
        <v>675666.97</v>
      </c>
      <c r="I296" s="5">
        <v>41821</v>
      </c>
    </row>
    <row r="297" spans="1:9">
      <c r="A297" s="15" t="s">
        <v>11521</v>
      </c>
      <c r="B297" s="16" t="s">
        <v>11893</v>
      </c>
      <c r="C297" s="16" t="s">
        <v>11893</v>
      </c>
      <c r="D297" s="17" t="s">
        <v>4124</v>
      </c>
      <c r="E297" s="17" t="s">
        <v>5458</v>
      </c>
      <c r="F297" s="18">
        <v>8470</v>
      </c>
      <c r="G297" s="18">
        <v>0</v>
      </c>
      <c r="H297" s="18">
        <v>667196.97</v>
      </c>
      <c r="I297" s="5">
        <v>41821</v>
      </c>
    </row>
    <row r="298" spans="1:9">
      <c r="A298" s="15" t="s">
        <v>11623</v>
      </c>
      <c r="B298" s="16" t="s">
        <v>11894</v>
      </c>
      <c r="C298" s="16" t="s">
        <v>11895</v>
      </c>
      <c r="D298" s="17" t="s">
        <v>4124</v>
      </c>
      <c r="E298" s="17" t="s">
        <v>5461</v>
      </c>
      <c r="F298" s="18">
        <v>5000</v>
      </c>
      <c r="G298" s="18">
        <v>0</v>
      </c>
      <c r="H298" s="18">
        <v>642196.97</v>
      </c>
      <c r="I298" s="5">
        <v>41821</v>
      </c>
    </row>
    <row r="299" spans="1:9">
      <c r="A299" s="15" t="s">
        <v>11627</v>
      </c>
      <c r="B299" s="16" t="s">
        <v>11896</v>
      </c>
      <c r="C299" s="16" t="s">
        <v>11896</v>
      </c>
      <c r="D299" s="17" t="s">
        <v>4124</v>
      </c>
      <c r="E299" s="17" t="s">
        <v>5463</v>
      </c>
      <c r="F299" s="18">
        <v>5000</v>
      </c>
      <c r="G299" s="18">
        <v>0</v>
      </c>
      <c r="H299" s="18">
        <v>826069.97</v>
      </c>
      <c r="I299" s="5">
        <v>41821</v>
      </c>
    </row>
    <row r="300" spans="1:9">
      <c r="A300" s="15" t="s">
        <v>11525</v>
      </c>
      <c r="B300" s="16" t="s">
        <v>11897</v>
      </c>
      <c r="C300" s="16" t="s">
        <v>11897</v>
      </c>
      <c r="D300" s="17" t="s">
        <v>4124</v>
      </c>
      <c r="E300" s="17" t="s">
        <v>5465</v>
      </c>
      <c r="F300" s="18">
        <v>10000</v>
      </c>
      <c r="G300" s="18">
        <v>0</v>
      </c>
      <c r="H300" s="18">
        <v>339616.88</v>
      </c>
      <c r="I300" s="5">
        <v>41852</v>
      </c>
    </row>
    <row r="301" spans="1:9">
      <c r="A301" s="15" t="s">
        <v>11706</v>
      </c>
      <c r="B301" s="16" t="s">
        <v>11898</v>
      </c>
      <c r="C301" s="16" t="s">
        <v>11898</v>
      </c>
      <c r="D301" s="17" t="s">
        <v>4124</v>
      </c>
      <c r="E301" s="17" t="s">
        <v>5466</v>
      </c>
      <c r="F301" s="18">
        <v>1196</v>
      </c>
      <c r="G301" s="18">
        <v>0</v>
      </c>
      <c r="H301" s="18">
        <v>338420.88</v>
      </c>
      <c r="I301" s="5">
        <v>41852</v>
      </c>
    </row>
    <row r="302" spans="1:9">
      <c r="A302" s="15" t="s">
        <v>11528</v>
      </c>
      <c r="B302" s="16" t="s">
        <v>11899</v>
      </c>
      <c r="C302" s="16" t="s">
        <v>11900</v>
      </c>
      <c r="D302" s="17" t="s">
        <v>4124</v>
      </c>
      <c r="E302" s="17" t="s">
        <v>5467</v>
      </c>
      <c r="F302" s="18">
        <v>10000</v>
      </c>
      <c r="G302" s="18">
        <v>0</v>
      </c>
      <c r="H302" s="18">
        <v>328420.88</v>
      </c>
      <c r="I302" s="5">
        <v>41852</v>
      </c>
    </row>
    <row r="303" spans="1:9">
      <c r="A303" s="15" t="s">
        <v>11532</v>
      </c>
      <c r="B303" s="16" t="s">
        <v>11901</v>
      </c>
      <c r="C303" s="16" t="s">
        <v>11901</v>
      </c>
      <c r="D303" s="17" t="s">
        <v>4124</v>
      </c>
      <c r="E303" s="17" t="s">
        <v>5413</v>
      </c>
      <c r="F303" s="18">
        <v>7000</v>
      </c>
      <c r="G303" s="18">
        <v>0</v>
      </c>
      <c r="H303" s="18">
        <v>519662.24</v>
      </c>
      <c r="I303" s="5">
        <v>41883</v>
      </c>
    </row>
    <row r="304" spans="1:9">
      <c r="A304" s="15" t="s">
        <v>11633</v>
      </c>
      <c r="B304" s="16" t="s">
        <v>11902</v>
      </c>
      <c r="C304" s="16" t="s">
        <v>11902</v>
      </c>
      <c r="D304" s="17" t="s">
        <v>4124</v>
      </c>
      <c r="E304" s="17" t="s">
        <v>5470</v>
      </c>
      <c r="F304" s="18">
        <v>10000</v>
      </c>
      <c r="G304" s="18">
        <v>0</v>
      </c>
      <c r="H304" s="18">
        <v>509662.24</v>
      </c>
      <c r="I304" s="5">
        <v>41883</v>
      </c>
    </row>
    <row r="305" spans="1:9">
      <c r="A305" s="15" t="s">
        <v>11636</v>
      </c>
      <c r="B305" s="16" t="s">
        <v>11902</v>
      </c>
      <c r="C305" s="16" t="s">
        <v>11902</v>
      </c>
      <c r="D305" s="17" t="s">
        <v>4124</v>
      </c>
      <c r="E305" s="17" t="s">
        <v>5471</v>
      </c>
      <c r="F305" s="18">
        <v>1196.77</v>
      </c>
      <c r="G305" s="18">
        <v>0</v>
      </c>
      <c r="H305" s="18">
        <v>508465.47</v>
      </c>
      <c r="I305" s="5">
        <v>41883</v>
      </c>
    </row>
    <row r="306" spans="1:9">
      <c r="A306" s="15" t="s">
        <v>11714</v>
      </c>
      <c r="B306" s="16" t="s">
        <v>11903</v>
      </c>
      <c r="C306" s="16" t="s">
        <v>11903</v>
      </c>
      <c r="D306" s="17" t="s">
        <v>4124</v>
      </c>
      <c r="E306" s="17" t="s">
        <v>5473</v>
      </c>
      <c r="F306" s="18">
        <v>10000</v>
      </c>
      <c r="G306" s="18">
        <v>0</v>
      </c>
      <c r="H306" s="18">
        <v>595361.38</v>
      </c>
      <c r="I306" s="5">
        <v>41883</v>
      </c>
    </row>
    <row r="307" spans="1:9">
      <c r="A307" s="15" t="s">
        <v>11536</v>
      </c>
      <c r="B307" s="16" t="s">
        <v>11903</v>
      </c>
      <c r="C307" s="16" t="s">
        <v>11903</v>
      </c>
      <c r="D307" s="17" t="s">
        <v>4124</v>
      </c>
      <c r="E307" s="17" t="s">
        <v>5473</v>
      </c>
      <c r="F307" s="18">
        <v>10000</v>
      </c>
      <c r="G307" s="18">
        <v>0</v>
      </c>
      <c r="H307" s="18">
        <v>585361.38</v>
      </c>
      <c r="I307" s="5">
        <v>41883</v>
      </c>
    </row>
    <row r="308" spans="1:9">
      <c r="A308" s="15" t="s">
        <v>11839</v>
      </c>
      <c r="B308" s="16" t="s">
        <v>11903</v>
      </c>
      <c r="C308" s="16" t="s">
        <v>11903</v>
      </c>
      <c r="D308" s="17" t="s">
        <v>4124</v>
      </c>
      <c r="E308" s="17" t="s">
        <v>5473</v>
      </c>
      <c r="F308" s="18">
        <v>5000</v>
      </c>
      <c r="G308" s="18">
        <v>0</v>
      </c>
      <c r="H308" s="18">
        <v>580361.38</v>
      </c>
      <c r="I308" s="5">
        <v>41883</v>
      </c>
    </row>
    <row r="309" spans="1:9">
      <c r="A309" s="15" t="s">
        <v>11538</v>
      </c>
      <c r="B309" s="16" t="s">
        <v>11904</v>
      </c>
      <c r="C309" s="16" t="s">
        <v>11905</v>
      </c>
      <c r="D309" s="17" t="s">
        <v>4124</v>
      </c>
      <c r="E309" s="17" t="s">
        <v>5475</v>
      </c>
      <c r="F309" s="18">
        <v>5000</v>
      </c>
      <c r="G309" s="18">
        <v>0</v>
      </c>
      <c r="H309" s="18">
        <v>777340.38</v>
      </c>
      <c r="I309" s="5">
        <v>41913</v>
      </c>
    </row>
    <row r="310" spans="1:9">
      <c r="A310" s="15" t="s">
        <v>11642</v>
      </c>
      <c r="B310" s="16" t="s">
        <v>11906</v>
      </c>
      <c r="C310" s="16" t="s">
        <v>11906</v>
      </c>
      <c r="D310" s="17" t="s">
        <v>4124</v>
      </c>
      <c r="E310" s="17" t="s">
        <v>5476</v>
      </c>
      <c r="F310" s="18">
        <v>1252.7</v>
      </c>
      <c r="G310" s="18">
        <v>0</v>
      </c>
      <c r="H310" s="18">
        <v>776087.68</v>
      </c>
      <c r="I310" s="5">
        <v>41913</v>
      </c>
    </row>
    <row r="311" spans="1:9">
      <c r="A311" s="15" t="s">
        <v>11645</v>
      </c>
      <c r="B311" s="16" t="s">
        <v>11907</v>
      </c>
      <c r="C311" s="16" t="s">
        <v>11907</v>
      </c>
      <c r="D311" s="17" t="s">
        <v>4124</v>
      </c>
      <c r="E311" s="17" t="s">
        <v>5413</v>
      </c>
      <c r="F311" s="18">
        <v>36274.300000000003</v>
      </c>
      <c r="G311" s="18">
        <v>0</v>
      </c>
      <c r="H311" s="18">
        <v>739813.38</v>
      </c>
      <c r="I311" s="5">
        <v>41913</v>
      </c>
    </row>
    <row r="312" spans="1:9">
      <c r="A312" s="15" t="s">
        <v>11718</v>
      </c>
      <c r="B312" s="16" t="s">
        <v>11908</v>
      </c>
      <c r="C312" s="16" t="s">
        <v>11908</v>
      </c>
      <c r="D312" s="17" t="s">
        <v>4124</v>
      </c>
      <c r="E312" s="17" t="s">
        <v>5477</v>
      </c>
      <c r="F312" s="18">
        <v>6000</v>
      </c>
      <c r="G312" s="18">
        <v>0</v>
      </c>
      <c r="H312" s="18">
        <v>733813.38</v>
      </c>
      <c r="I312" s="5">
        <v>41913</v>
      </c>
    </row>
    <row r="313" spans="1:9">
      <c r="A313" s="15" t="s">
        <v>11543</v>
      </c>
      <c r="B313" s="16" t="s">
        <v>11909</v>
      </c>
      <c r="C313" s="16" t="s">
        <v>11909</v>
      </c>
      <c r="D313" s="17" t="s">
        <v>4124</v>
      </c>
      <c r="E313" s="17" t="s">
        <v>5413</v>
      </c>
      <c r="F313" s="18">
        <v>23756.5</v>
      </c>
      <c r="G313" s="18">
        <v>0</v>
      </c>
      <c r="H313" s="18">
        <v>932211.88</v>
      </c>
      <c r="I313" s="5">
        <v>41944</v>
      </c>
    </row>
    <row r="314" spans="1:9">
      <c r="A314" s="15" t="s">
        <v>11651</v>
      </c>
      <c r="B314" s="16" t="s">
        <v>11910</v>
      </c>
      <c r="C314" s="16" t="s">
        <v>11910</v>
      </c>
      <c r="D314" s="17" t="s">
        <v>4124</v>
      </c>
      <c r="E314" s="17" t="s">
        <v>5413</v>
      </c>
      <c r="F314" s="18">
        <v>14244.1</v>
      </c>
      <c r="G314" s="18">
        <v>0</v>
      </c>
      <c r="H314" s="18">
        <v>1114073.42</v>
      </c>
      <c r="I314" s="5">
        <v>41974</v>
      </c>
    </row>
    <row r="315" spans="1:9">
      <c r="A315" s="15" t="s">
        <v>11653</v>
      </c>
      <c r="B315" s="16" t="s">
        <v>11910</v>
      </c>
      <c r="C315" s="16" t="s">
        <v>11910</v>
      </c>
      <c r="D315" s="17" t="s">
        <v>4124</v>
      </c>
      <c r="E315" s="17" t="s">
        <v>5482</v>
      </c>
      <c r="F315" s="18">
        <v>10000</v>
      </c>
      <c r="G315" s="18">
        <v>0</v>
      </c>
      <c r="H315" s="18">
        <v>1104073.42</v>
      </c>
      <c r="I315" s="5">
        <v>41974</v>
      </c>
    </row>
    <row r="316" spans="1:9">
      <c r="A316" s="15" t="s">
        <v>11654</v>
      </c>
      <c r="B316" s="16" t="s">
        <v>11911</v>
      </c>
      <c r="C316" s="16" t="s">
        <v>11911</v>
      </c>
      <c r="D316" s="17" t="s">
        <v>4124</v>
      </c>
      <c r="E316" s="17" t="s">
        <v>5483</v>
      </c>
      <c r="F316" s="18">
        <v>5000</v>
      </c>
      <c r="G316" s="18">
        <v>0</v>
      </c>
      <c r="H316" s="18">
        <v>1099073.42</v>
      </c>
      <c r="I316" s="5">
        <v>41974</v>
      </c>
    </row>
    <row r="317" spans="1:9">
      <c r="A317" s="15" t="s">
        <v>11657</v>
      </c>
      <c r="B317" s="16" t="s">
        <v>11912</v>
      </c>
      <c r="C317" s="16" t="s">
        <v>11912</v>
      </c>
      <c r="D317" s="17" t="s">
        <v>4124</v>
      </c>
      <c r="E317" s="17" t="s">
        <v>5487</v>
      </c>
      <c r="F317" s="18">
        <v>10000</v>
      </c>
      <c r="G317" s="18">
        <v>0</v>
      </c>
      <c r="H317" s="18">
        <v>1056957.52</v>
      </c>
      <c r="I317" s="5">
        <v>41974</v>
      </c>
    </row>
    <row r="318" spans="1:9">
      <c r="A318" s="15" t="s">
        <v>11661</v>
      </c>
      <c r="B318" s="16" t="s">
        <v>11913</v>
      </c>
      <c r="C318" s="16" t="s">
        <v>11913</v>
      </c>
      <c r="D318" s="17" t="s">
        <v>4124</v>
      </c>
      <c r="E318" s="17" t="s">
        <v>5413</v>
      </c>
      <c r="F318" s="18">
        <v>8798</v>
      </c>
      <c r="G318" s="18">
        <v>0</v>
      </c>
      <c r="H318" s="18">
        <v>1256399.52</v>
      </c>
      <c r="I318" s="5">
        <v>42005</v>
      </c>
    </row>
    <row r="319" spans="1:9">
      <c r="A319" s="15" t="s">
        <v>11765</v>
      </c>
      <c r="B319" s="16" t="s">
        <v>11913</v>
      </c>
      <c r="C319" s="16" t="s">
        <v>11913</v>
      </c>
      <c r="D319" s="17" t="s">
        <v>4124</v>
      </c>
      <c r="E319" s="17" t="s">
        <v>5490</v>
      </c>
      <c r="F319" s="18">
        <v>1262.7</v>
      </c>
      <c r="G319" s="18">
        <v>0</v>
      </c>
      <c r="H319" s="18">
        <v>1255136.82</v>
      </c>
      <c r="I319" s="5">
        <v>42005</v>
      </c>
    </row>
    <row r="320" spans="1:9">
      <c r="A320" s="15" t="s">
        <v>11556</v>
      </c>
      <c r="B320" s="16" t="s">
        <v>11914</v>
      </c>
      <c r="C320" s="16" t="s">
        <v>11914</v>
      </c>
      <c r="D320" s="17" t="s">
        <v>4124</v>
      </c>
      <c r="E320" s="17" t="s">
        <v>5491</v>
      </c>
      <c r="F320" s="18">
        <v>10000</v>
      </c>
      <c r="G320" s="18">
        <v>0</v>
      </c>
      <c r="H320" s="18">
        <v>1245136.82</v>
      </c>
      <c r="I320" s="5">
        <v>42005</v>
      </c>
    </row>
    <row r="321" spans="1:9">
      <c r="A321" s="15" t="s">
        <v>11558</v>
      </c>
      <c r="B321" s="16" t="s">
        <v>11914</v>
      </c>
      <c r="C321" s="16" t="s">
        <v>11914</v>
      </c>
      <c r="D321" s="17" t="s">
        <v>4124</v>
      </c>
      <c r="E321" s="17" t="s">
        <v>5491</v>
      </c>
      <c r="F321" s="18">
        <v>5000</v>
      </c>
      <c r="G321" s="18">
        <v>0</v>
      </c>
      <c r="H321" s="18">
        <v>1240136.82</v>
      </c>
      <c r="I321" s="5">
        <v>42005</v>
      </c>
    </row>
    <row r="322" spans="1:9">
      <c r="A322" s="15" t="s">
        <v>11563</v>
      </c>
      <c r="B322" s="16" t="s">
        <v>11915</v>
      </c>
      <c r="C322" s="16" t="s">
        <v>11916</v>
      </c>
      <c r="D322" s="17" t="s">
        <v>4124</v>
      </c>
      <c r="E322" s="17" t="s">
        <v>5495</v>
      </c>
      <c r="F322" s="18">
        <v>7000</v>
      </c>
      <c r="G322" s="18">
        <v>0</v>
      </c>
      <c r="H322" s="18">
        <v>1368585.82</v>
      </c>
      <c r="I322" s="5">
        <v>42036</v>
      </c>
    </row>
    <row r="323" spans="1:9">
      <c r="A323" s="15" t="s">
        <v>11565</v>
      </c>
      <c r="B323" s="16" t="s">
        <v>11917</v>
      </c>
      <c r="C323" s="16" t="s">
        <v>11917</v>
      </c>
      <c r="D323" s="17" t="s">
        <v>4124</v>
      </c>
      <c r="E323" s="17" t="s">
        <v>5413</v>
      </c>
      <c r="F323" s="18">
        <v>25835.8</v>
      </c>
      <c r="G323" s="18">
        <v>0</v>
      </c>
      <c r="H323" s="18">
        <v>1342750.02</v>
      </c>
      <c r="I323" s="5">
        <v>42036</v>
      </c>
    </row>
    <row r="324" spans="1:9">
      <c r="A324" s="15" t="s">
        <v>11567</v>
      </c>
      <c r="B324" s="16" t="s">
        <v>11918</v>
      </c>
      <c r="C324" s="16" t="s">
        <v>11918</v>
      </c>
      <c r="D324" s="17" t="s">
        <v>4124</v>
      </c>
      <c r="E324" s="17" t="s">
        <v>5496</v>
      </c>
      <c r="F324" s="18">
        <v>1115.96</v>
      </c>
      <c r="G324" s="18">
        <v>0</v>
      </c>
      <c r="H324" s="18">
        <v>1341634.06</v>
      </c>
      <c r="I324" s="5">
        <v>42036</v>
      </c>
    </row>
    <row r="325" spans="1:9">
      <c r="A325" s="15" t="s">
        <v>11667</v>
      </c>
      <c r="B325" s="16" t="s">
        <v>11919</v>
      </c>
      <c r="C325" s="16" t="s">
        <v>11920</v>
      </c>
      <c r="D325" s="17" t="s">
        <v>4124</v>
      </c>
      <c r="E325" s="17" t="s">
        <v>5497</v>
      </c>
      <c r="F325" s="18">
        <v>10000</v>
      </c>
      <c r="G325" s="18">
        <v>0</v>
      </c>
      <c r="H325" s="18">
        <v>1331634.06</v>
      </c>
      <c r="I325" s="5">
        <v>42036</v>
      </c>
    </row>
    <row r="326" spans="1:9">
      <c r="A326" s="15" t="s">
        <v>11570</v>
      </c>
      <c r="B326" s="16" t="s">
        <v>11921</v>
      </c>
      <c r="C326" s="16" t="s">
        <v>11922</v>
      </c>
      <c r="D326" s="17" t="s">
        <v>4124</v>
      </c>
      <c r="E326" s="17" t="s">
        <v>5502</v>
      </c>
      <c r="F326" s="18">
        <v>5000</v>
      </c>
      <c r="G326" s="18">
        <v>0</v>
      </c>
      <c r="H326" s="18">
        <v>1413204.92</v>
      </c>
      <c r="I326" s="5">
        <v>42064</v>
      </c>
    </row>
    <row r="327" spans="1:9">
      <c r="A327" s="15" t="s">
        <v>11574</v>
      </c>
      <c r="B327" s="16" t="s">
        <v>11923</v>
      </c>
      <c r="C327" s="16" t="s">
        <v>11923</v>
      </c>
      <c r="D327" s="17" t="s">
        <v>4124</v>
      </c>
      <c r="E327" s="17" t="s">
        <v>5505</v>
      </c>
      <c r="F327" s="18">
        <v>1110</v>
      </c>
      <c r="G327" s="18">
        <v>0</v>
      </c>
      <c r="H327" s="18">
        <v>1378973.11</v>
      </c>
      <c r="I327" s="5">
        <v>42064</v>
      </c>
    </row>
    <row r="328" spans="1:9">
      <c r="A328" s="15" t="s">
        <v>11575</v>
      </c>
      <c r="B328" s="16" t="s">
        <v>11923</v>
      </c>
      <c r="C328" s="16" t="s">
        <v>11923</v>
      </c>
      <c r="D328" s="17" t="s">
        <v>4124</v>
      </c>
      <c r="E328" s="17" t="s">
        <v>5506</v>
      </c>
      <c r="F328" s="18">
        <v>987.87</v>
      </c>
      <c r="G328" s="18">
        <v>0</v>
      </c>
      <c r="H328" s="18">
        <v>1377985.24</v>
      </c>
      <c r="I328" s="5">
        <v>42064</v>
      </c>
    </row>
    <row r="329" spans="1:9">
      <c r="A329" s="15" t="s">
        <v>11576</v>
      </c>
      <c r="B329" s="16" t="s">
        <v>11924</v>
      </c>
      <c r="C329" s="16" t="s">
        <v>11924</v>
      </c>
      <c r="D329" s="17" t="s">
        <v>4124</v>
      </c>
      <c r="E329" s="17" t="s">
        <v>5507</v>
      </c>
      <c r="F329" s="18">
        <v>5000</v>
      </c>
      <c r="G329" s="18">
        <v>0</v>
      </c>
      <c r="H329" s="18">
        <v>1372985.24</v>
      </c>
      <c r="I329" s="5">
        <v>42064</v>
      </c>
    </row>
    <row r="330" spans="1:9">
      <c r="A330" s="15" t="s">
        <v>11577</v>
      </c>
      <c r="B330" s="16" t="s">
        <v>11925</v>
      </c>
      <c r="C330" s="16" t="s">
        <v>11925</v>
      </c>
      <c r="D330" s="17" t="s">
        <v>4124</v>
      </c>
      <c r="E330" s="17" t="s">
        <v>5413</v>
      </c>
      <c r="F330" s="18">
        <v>21951.5</v>
      </c>
      <c r="G330" s="18">
        <v>0</v>
      </c>
      <c r="H330" s="18">
        <v>1351033.74</v>
      </c>
      <c r="I330" s="5">
        <v>42064</v>
      </c>
    </row>
    <row r="331" spans="1:9">
      <c r="A331" s="15" t="s">
        <v>11926</v>
      </c>
      <c r="B331" s="16" t="s">
        <v>11927</v>
      </c>
      <c r="C331" s="16" t="s">
        <v>11927</v>
      </c>
      <c r="D331" s="17" t="s">
        <v>4124</v>
      </c>
      <c r="E331" s="17" t="s">
        <v>5511</v>
      </c>
      <c r="F331" s="18">
        <v>3100</v>
      </c>
      <c r="G331" s="18">
        <v>0</v>
      </c>
      <c r="H331" s="18">
        <v>654605.47</v>
      </c>
      <c r="I331" s="5">
        <v>42064</v>
      </c>
    </row>
    <row r="332" spans="1:9">
      <c r="A332" s="15" t="s">
        <v>11580</v>
      </c>
      <c r="B332" s="16" t="s">
        <v>11928</v>
      </c>
      <c r="C332" s="16" t="s">
        <v>11929</v>
      </c>
      <c r="D332" s="17" t="s">
        <v>4124</v>
      </c>
      <c r="E332" s="17" t="s">
        <v>5513</v>
      </c>
      <c r="F332" s="18">
        <v>5000</v>
      </c>
      <c r="G332" s="18">
        <v>0</v>
      </c>
      <c r="H332" s="18">
        <v>599605.47</v>
      </c>
      <c r="I332" s="5">
        <v>42064</v>
      </c>
    </row>
    <row r="333" spans="1:9">
      <c r="A333" s="15" t="s">
        <v>11582</v>
      </c>
      <c r="B333" s="16" t="s">
        <v>11930</v>
      </c>
      <c r="C333" s="16" t="s">
        <v>11930</v>
      </c>
      <c r="D333" s="17" t="s">
        <v>4124</v>
      </c>
      <c r="E333" s="17" t="s">
        <v>5516</v>
      </c>
      <c r="F333" s="18">
        <v>7000</v>
      </c>
      <c r="G333" s="18">
        <v>0</v>
      </c>
      <c r="H333" s="18">
        <v>1329539.68</v>
      </c>
      <c r="I333" s="5">
        <v>42064</v>
      </c>
    </row>
    <row r="334" spans="1:9">
      <c r="A334" s="15" t="s">
        <v>11486</v>
      </c>
      <c r="B334" s="16" t="s">
        <v>11931</v>
      </c>
      <c r="C334" s="16" t="s">
        <v>11931</v>
      </c>
      <c r="D334" s="17" t="s">
        <v>4124</v>
      </c>
      <c r="E334" s="17" t="s">
        <v>5519</v>
      </c>
      <c r="F334" s="18">
        <v>1618.21</v>
      </c>
      <c r="G334" s="18">
        <v>0</v>
      </c>
      <c r="H334" s="18">
        <v>1294976.6599999999</v>
      </c>
      <c r="I334" s="5">
        <v>42095</v>
      </c>
    </row>
    <row r="335" spans="1:9">
      <c r="A335" s="15" t="s">
        <v>11487</v>
      </c>
      <c r="B335" s="16" t="s">
        <v>11932</v>
      </c>
      <c r="C335" s="16" t="s">
        <v>11932</v>
      </c>
      <c r="D335" s="17" t="s">
        <v>4124</v>
      </c>
      <c r="E335" s="17" t="s">
        <v>5413</v>
      </c>
      <c r="F335" s="18">
        <v>12714.78</v>
      </c>
      <c r="G335" s="18">
        <v>0</v>
      </c>
      <c r="H335" s="18">
        <v>1282261.8799999999</v>
      </c>
      <c r="I335" s="5">
        <v>42095</v>
      </c>
    </row>
    <row r="336" spans="1:9">
      <c r="A336" s="15" t="s">
        <v>11488</v>
      </c>
      <c r="B336" s="16" t="s">
        <v>11932</v>
      </c>
      <c r="C336" s="16" t="s">
        <v>11932</v>
      </c>
      <c r="D336" s="17" t="s">
        <v>4124</v>
      </c>
      <c r="E336" s="17" t="s">
        <v>5520</v>
      </c>
      <c r="F336" s="18">
        <v>10000</v>
      </c>
      <c r="G336" s="18">
        <v>0</v>
      </c>
      <c r="H336" s="18">
        <v>1272261.8799999999</v>
      </c>
      <c r="I336" s="5">
        <v>42095</v>
      </c>
    </row>
    <row r="337" spans="1:9">
      <c r="A337" s="15" t="s">
        <v>11591</v>
      </c>
      <c r="B337" s="16" t="s">
        <v>11413</v>
      </c>
      <c r="C337" s="16" t="s">
        <v>11413</v>
      </c>
      <c r="D337" s="17" t="s">
        <v>4124</v>
      </c>
      <c r="E337" s="17" t="s">
        <v>5523</v>
      </c>
      <c r="F337" s="18">
        <v>10000</v>
      </c>
      <c r="G337" s="18">
        <v>0</v>
      </c>
      <c r="H337" s="18">
        <v>812233.79</v>
      </c>
      <c r="I337" s="5">
        <v>42095</v>
      </c>
    </row>
    <row r="338" spans="1:9">
      <c r="A338" s="15" t="s">
        <v>11495</v>
      </c>
      <c r="B338" s="16" t="s">
        <v>11933</v>
      </c>
      <c r="C338" s="16" t="s">
        <v>11933</v>
      </c>
      <c r="D338" s="17" t="s">
        <v>4124</v>
      </c>
      <c r="E338" s="17" t="s">
        <v>5413</v>
      </c>
      <c r="F338" s="18">
        <v>8892.09</v>
      </c>
      <c r="G338" s="18">
        <v>0</v>
      </c>
      <c r="H338" s="18">
        <v>1073031.8799999999</v>
      </c>
      <c r="I338" s="5">
        <v>42125</v>
      </c>
    </row>
    <row r="339" spans="1:9">
      <c r="A339" s="15" t="s">
        <v>11742</v>
      </c>
      <c r="B339" s="16" t="s">
        <v>11934</v>
      </c>
      <c r="C339" s="16" t="s">
        <v>11934</v>
      </c>
      <c r="D339" s="17" t="s">
        <v>4124</v>
      </c>
      <c r="E339" s="17" t="s">
        <v>5527</v>
      </c>
      <c r="F339" s="18">
        <v>980</v>
      </c>
      <c r="G339" s="18">
        <v>0</v>
      </c>
      <c r="H339" s="18">
        <v>1072051.8799999999</v>
      </c>
      <c r="I339" s="5">
        <v>42125</v>
      </c>
    </row>
    <row r="340" spans="1:9">
      <c r="A340" s="15" t="s">
        <v>11599</v>
      </c>
      <c r="B340" s="16" t="s">
        <v>11935</v>
      </c>
      <c r="C340" s="16" t="s">
        <v>11935</v>
      </c>
      <c r="D340" s="17" t="s">
        <v>4124</v>
      </c>
      <c r="E340" s="17" t="s">
        <v>2191</v>
      </c>
      <c r="F340" s="18">
        <v>10000</v>
      </c>
      <c r="G340" s="18">
        <v>0</v>
      </c>
      <c r="H340" s="18">
        <v>813399.48</v>
      </c>
      <c r="I340" s="5">
        <v>42125</v>
      </c>
    </row>
    <row r="341" spans="1:9">
      <c r="A341" s="15" t="s">
        <v>11936</v>
      </c>
      <c r="B341" s="16" t="s">
        <v>11937</v>
      </c>
      <c r="C341" s="16" t="s">
        <v>11419</v>
      </c>
      <c r="D341" s="17" t="s">
        <v>4124</v>
      </c>
      <c r="E341" s="17" t="s">
        <v>5530</v>
      </c>
      <c r="F341" s="18">
        <v>165</v>
      </c>
      <c r="G341" s="18">
        <v>0</v>
      </c>
      <c r="H341" s="18">
        <v>763234.48</v>
      </c>
      <c r="I341" s="5">
        <v>42125</v>
      </c>
    </row>
    <row r="342" spans="1:9">
      <c r="A342" s="15" t="s">
        <v>11689</v>
      </c>
      <c r="B342" s="16" t="s">
        <v>11938</v>
      </c>
      <c r="C342" s="16" t="s">
        <v>11938</v>
      </c>
      <c r="D342" s="17" t="s">
        <v>4124</v>
      </c>
      <c r="E342" s="17" t="s">
        <v>5532</v>
      </c>
      <c r="F342" s="18">
        <v>10000</v>
      </c>
      <c r="G342" s="18">
        <v>0</v>
      </c>
      <c r="H342" s="18">
        <v>957154.48</v>
      </c>
      <c r="I342" s="5">
        <v>42125</v>
      </c>
    </row>
    <row r="343" spans="1:9">
      <c r="A343" s="15" t="s">
        <v>11811</v>
      </c>
      <c r="B343" s="16" t="s">
        <v>11938</v>
      </c>
      <c r="C343" s="16" t="s">
        <v>11938</v>
      </c>
      <c r="D343" s="17" t="s">
        <v>4124</v>
      </c>
      <c r="E343" s="17" t="s">
        <v>5532</v>
      </c>
      <c r="F343" s="18">
        <v>5000</v>
      </c>
      <c r="G343" s="18">
        <v>0</v>
      </c>
      <c r="H343" s="18">
        <v>952154.48</v>
      </c>
      <c r="I343" s="5">
        <v>42125</v>
      </c>
    </row>
    <row r="344" spans="1:9">
      <c r="A344" s="15" t="s">
        <v>11605</v>
      </c>
      <c r="B344" s="16" t="s">
        <v>11939</v>
      </c>
      <c r="C344" s="16" t="s">
        <v>11939</v>
      </c>
      <c r="D344" s="17" t="s">
        <v>4124</v>
      </c>
      <c r="E344" s="17" t="s">
        <v>5534</v>
      </c>
      <c r="F344" s="18">
        <v>502.53</v>
      </c>
      <c r="G344" s="18">
        <v>0</v>
      </c>
      <c r="H344" s="18">
        <v>925651.95</v>
      </c>
      <c r="I344" s="5">
        <v>42156</v>
      </c>
    </row>
    <row r="345" spans="1:9">
      <c r="A345" s="15" t="s">
        <v>11608</v>
      </c>
      <c r="B345" s="16" t="s">
        <v>11940</v>
      </c>
      <c r="C345" s="16" t="s">
        <v>11940</v>
      </c>
      <c r="D345" s="17" t="s">
        <v>4124</v>
      </c>
      <c r="E345" s="17" t="s">
        <v>5413</v>
      </c>
      <c r="F345" s="18">
        <v>10430.379999999999</v>
      </c>
      <c r="G345" s="18">
        <v>0</v>
      </c>
      <c r="H345" s="18">
        <v>907848.72</v>
      </c>
      <c r="I345" s="5">
        <v>42156</v>
      </c>
    </row>
    <row r="346" spans="1:9">
      <c r="A346" s="15" t="s">
        <v>11504</v>
      </c>
      <c r="B346" s="16" t="s">
        <v>11941</v>
      </c>
      <c r="C346" s="16" t="s">
        <v>11941</v>
      </c>
      <c r="D346" s="17" t="s">
        <v>4124</v>
      </c>
      <c r="E346" s="17" t="s">
        <v>5537</v>
      </c>
      <c r="F346" s="18">
        <v>1185.74</v>
      </c>
      <c r="G346" s="18">
        <v>0</v>
      </c>
      <c r="H346" s="18">
        <v>908745.78</v>
      </c>
      <c r="I346" s="5">
        <v>42156</v>
      </c>
    </row>
    <row r="347" spans="1:9">
      <c r="A347" s="15" t="s">
        <v>11695</v>
      </c>
      <c r="B347" s="16" t="s">
        <v>11942</v>
      </c>
      <c r="C347" s="16" t="s">
        <v>11942</v>
      </c>
      <c r="D347" s="17" t="s">
        <v>4124</v>
      </c>
      <c r="E347" s="17" t="s">
        <v>5538</v>
      </c>
      <c r="F347" s="18">
        <v>5000</v>
      </c>
      <c r="G347" s="18">
        <v>0</v>
      </c>
      <c r="H347" s="18">
        <v>903745.78</v>
      </c>
      <c r="I347" s="5">
        <v>42156</v>
      </c>
    </row>
    <row r="348" spans="1:9">
      <c r="A348" s="15" t="s">
        <v>11507</v>
      </c>
      <c r="B348" s="16" t="s">
        <v>11427</v>
      </c>
      <c r="C348" s="16" t="s">
        <v>11427</v>
      </c>
      <c r="D348" s="17" t="s">
        <v>4124</v>
      </c>
      <c r="E348" s="17" t="s">
        <v>5540</v>
      </c>
      <c r="F348" s="18">
        <v>6000</v>
      </c>
      <c r="G348" s="18">
        <v>0</v>
      </c>
      <c r="H348" s="18">
        <v>847745.78</v>
      </c>
      <c r="I348" s="5">
        <v>42156</v>
      </c>
    </row>
    <row r="349" spans="1:9">
      <c r="A349" s="15" t="s">
        <v>11509</v>
      </c>
      <c r="B349" s="16" t="s">
        <v>11943</v>
      </c>
      <c r="C349" s="16" t="s">
        <v>11943</v>
      </c>
      <c r="D349" s="17" t="s">
        <v>4124</v>
      </c>
      <c r="E349" s="17" t="s">
        <v>5541</v>
      </c>
      <c r="F349" s="18">
        <v>10000</v>
      </c>
      <c r="G349" s="18">
        <v>0</v>
      </c>
      <c r="H349" s="18">
        <v>837745.78</v>
      </c>
      <c r="I349" s="5">
        <v>42156</v>
      </c>
    </row>
    <row r="350" spans="1:9">
      <c r="A350" s="15" t="s">
        <v>11514</v>
      </c>
      <c r="B350" s="16" t="s">
        <v>11944</v>
      </c>
      <c r="C350" s="16" t="s">
        <v>11430</v>
      </c>
      <c r="D350" s="17" t="s">
        <v>4124</v>
      </c>
      <c r="E350" s="17" t="s">
        <v>5543</v>
      </c>
      <c r="F350" s="18">
        <v>10000</v>
      </c>
      <c r="G350" s="18">
        <v>0</v>
      </c>
      <c r="H350" s="18">
        <v>1037664.78</v>
      </c>
      <c r="I350" s="5">
        <v>42156</v>
      </c>
    </row>
    <row r="351" spans="1:9">
      <c r="A351" s="15" t="s">
        <v>11517</v>
      </c>
      <c r="B351" s="16" t="s">
        <v>11945</v>
      </c>
      <c r="C351" s="16" t="s">
        <v>11946</v>
      </c>
      <c r="D351" s="17" t="s">
        <v>4124</v>
      </c>
      <c r="E351" s="17" t="s">
        <v>5546</v>
      </c>
      <c r="F351" s="18">
        <v>1010.95</v>
      </c>
      <c r="G351" s="18">
        <v>0</v>
      </c>
      <c r="H351" s="18">
        <v>1030756.83</v>
      </c>
      <c r="I351" s="5">
        <v>42186</v>
      </c>
    </row>
    <row r="352" spans="1:9">
      <c r="A352" s="15" t="s">
        <v>11825</v>
      </c>
      <c r="B352" s="16" t="s">
        <v>11946</v>
      </c>
      <c r="C352" s="16" t="s">
        <v>11946</v>
      </c>
      <c r="D352" s="17" t="s">
        <v>4124</v>
      </c>
      <c r="E352" s="17" t="s">
        <v>5413</v>
      </c>
      <c r="F352" s="18">
        <v>4780.78</v>
      </c>
      <c r="G352" s="18">
        <v>0</v>
      </c>
      <c r="H352" s="18">
        <v>1025976.05</v>
      </c>
      <c r="I352" s="5">
        <v>42186</v>
      </c>
    </row>
    <row r="353" spans="1:9">
      <c r="A353" s="15" t="s">
        <v>11618</v>
      </c>
      <c r="B353" s="16" t="s">
        <v>11947</v>
      </c>
      <c r="C353" s="16" t="s">
        <v>11947</v>
      </c>
      <c r="D353" s="17" t="s">
        <v>4124</v>
      </c>
      <c r="E353" s="17" t="s">
        <v>5548</v>
      </c>
      <c r="F353" s="18">
        <v>10000</v>
      </c>
      <c r="G353" s="18">
        <v>0</v>
      </c>
      <c r="H353" s="18">
        <v>1018736.74</v>
      </c>
      <c r="I353" s="5">
        <v>42186</v>
      </c>
    </row>
    <row r="354" spans="1:9">
      <c r="A354" s="15" t="s">
        <v>11519</v>
      </c>
      <c r="B354" s="16" t="s">
        <v>11948</v>
      </c>
      <c r="C354" s="16" t="s">
        <v>11948</v>
      </c>
      <c r="D354" s="17" t="s">
        <v>4124</v>
      </c>
      <c r="E354" s="17" t="s">
        <v>5550</v>
      </c>
      <c r="F354" s="18">
        <v>10000</v>
      </c>
      <c r="G354" s="18">
        <v>0</v>
      </c>
      <c r="H354" s="18">
        <v>958736.74</v>
      </c>
      <c r="I354" s="5">
        <v>42186</v>
      </c>
    </row>
    <row r="355" spans="1:9">
      <c r="A355" s="15" t="s">
        <v>11523</v>
      </c>
      <c r="B355" s="16" t="s">
        <v>11949</v>
      </c>
      <c r="C355" s="16" t="s">
        <v>11949</v>
      </c>
      <c r="D355" s="17" t="s">
        <v>4124</v>
      </c>
      <c r="E355" s="17" t="s">
        <v>5413</v>
      </c>
      <c r="F355" s="18">
        <v>5481.55</v>
      </c>
      <c r="G355" s="18">
        <v>0</v>
      </c>
      <c r="H355" s="18">
        <v>840601.69</v>
      </c>
      <c r="I355" s="5">
        <v>42217</v>
      </c>
    </row>
    <row r="356" spans="1:9">
      <c r="A356" s="15" t="s">
        <v>11627</v>
      </c>
      <c r="B356" s="16" t="s">
        <v>11950</v>
      </c>
      <c r="C356" s="16" t="s">
        <v>11950</v>
      </c>
      <c r="D356" s="17" t="s">
        <v>4124</v>
      </c>
      <c r="E356" s="17" t="s">
        <v>5554</v>
      </c>
      <c r="F356" s="18">
        <v>1117.6600000000001</v>
      </c>
      <c r="G356" s="18">
        <v>0</v>
      </c>
      <c r="H356" s="18">
        <v>839484.03</v>
      </c>
      <c r="I356" s="5">
        <v>42217</v>
      </c>
    </row>
    <row r="357" spans="1:9">
      <c r="A357" s="15" t="s">
        <v>11525</v>
      </c>
      <c r="B357" s="16" t="s">
        <v>11438</v>
      </c>
      <c r="C357" s="16" t="s">
        <v>11438</v>
      </c>
      <c r="D357" s="17" t="s">
        <v>4124</v>
      </c>
      <c r="E357" s="17" t="s">
        <v>5556</v>
      </c>
      <c r="F357" s="18">
        <v>9184</v>
      </c>
      <c r="G357" s="18">
        <v>0</v>
      </c>
      <c r="H357" s="18">
        <v>831981.69</v>
      </c>
      <c r="I357" s="5">
        <v>42217</v>
      </c>
    </row>
    <row r="358" spans="1:9">
      <c r="A358" s="15" t="s">
        <v>11528</v>
      </c>
      <c r="B358" s="16" t="s">
        <v>11951</v>
      </c>
      <c r="C358" s="16" t="s">
        <v>11951</v>
      </c>
      <c r="D358" s="17" t="s">
        <v>4124</v>
      </c>
      <c r="E358" s="17" t="s">
        <v>5558</v>
      </c>
      <c r="F358" s="18">
        <v>10000</v>
      </c>
      <c r="G358" s="18">
        <v>0</v>
      </c>
      <c r="H358" s="18">
        <v>821878.84</v>
      </c>
      <c r="I358" s="5">
        <v>42217</v>
      </c>
    </row>
    <row r="359" spans="1:9">
      <c r="A359" s="15" t="s">
        <v>11714</v>
      </c>
      <c r="B359" s="16" t="s">
        <v>11952</v>
      </c>
      <c r="C359" s="16" t="s">
        <v>11952</v>
      </c>
      <c r="D359" s="17" t="s">
        <v>4124</v>
      </c>
      <c r="E359" s="17" t="s">
        <v>5413</v>
      </c>
      <c r="F359" s="18">
        <v>3340</v>
      </c>
      <c r="G359" s="18">
        <v>0</v>
      </c>
      <c r="H359" s="18">
        <v>993070.6</v>
      </c>
      <c r="I359" s="5">
        <v>42248</v>
      </c>
    </row>
    <row r="360" spans="1:9">
      <c r="A360" s="15" t="s">
        <v>11536</v>
      </c>
      <c r="B360" s="16" t="s">
        <v>11953</v>
      </c>
      <c r="C360" s="16" t="s">
        <v>11953</v>
      </c>
      <c r="D360" s="17" t="s">
        <v>4124</v>
      </c>
      <c r="E360" s="17" t="s">
        <v>5566</v>
      </c>
      <c r="F360" s="18">
        <v>1137.26</v>
      </c>
      <c r="G360" s="18">
        <v>0</v>
      </c>
      <c r="H360" s="18">
        <v>991933.34</v>
      </c>
      <c r="I360" s="5">
        <v>42248</v>
      </c>
    </row>
    <row r="361" spans="1:9">
      <c r="A361" s="15" t="s">
        <v>11839</v>
      </c>
      <c r="B361" s="16" t="s">
        <v>11954</v>
      </c>
      <c r="C361" s="16" t="s">
        <v>11954</v>
      </c>
      <c r="D361" s="17" t="s">
        <v>4124</v>
      </c>
      <c r="E361" s="17" t="s">
        <v>5567</v>
      </c>
      <c r="F361" s="18">
        <v>1197</v>
      </c>
      <c r="G361" s="18">
        <v>0</v>
      </c>
      <c r="H361" s="18">
        <v>990736.34</v>
      </c>
      <c r="I361" s="5">
        <v>42248</v>
      </c>
    </row>
    <row r="362" spans="1:9">
      <c r="A362" s="15" t="s">
        <v>11720</v>
      </c>
      <c r="B362" s="16" t="s">
        <v>11955</v>
      </c>
      <c r="C362" s="16" t="s">
        <v>11955</v>
      </c>
      <c r="D362" s="17" t="s">
        <v>4124</v>
      </c>
      <c r="E362" s="17" t="s">
        <v>5575</v>
      </c>
      <c r="F362" s="18">
        <v>10000</v>
      </c>
      <c r="G362" s="18">
        <v>0</v>
      </c>
      <c r="H362" s="18">
        <v>1102317.53</v>
      </c>
      <c r="I362" s="5">
        <v>42278</v>
      </c>
    </row>
    <row r="363" spans="1:9">
      <c r="A363" s="15" t="s">
        <v>11648</v>
      </c>
      <c r="B363" s="16" t="s">
        <v>11956</v>
      </c>
      <c r="C363" s="16" t="s">
        <v>11956</v>
      </c>
      <c r="D363" s="17" t="s">
        <v>4124</v>
      </c>
      <c r="E363" s="17" t="s">
        <v>5576</v>
      </c>
      <c r="F363" s="18">
        <v>2000</v>
      </c>
      <c r="G363" s="18">
        <v>0</v>
      </c>
      <c r="H363" s="18">
        <v>1100317.53</v>
      </c>
      <c r="I363" s="5">
        <v>42278</v>
      </c>
    </row>
    <row r="364" spans="1:9">
      <c r="A364" s="15" t="s">
        <v>11546</v>
      </c>
      <c r="B364" s="16" t="s">
        <v>11956</v>
      </c>
      <c r="C364" s="16" t="s">
        <v>11956</v>
      </c>
      <c r="D364" s="17" t="s">
        <v>4124</v>
      </c>
      <c r="E364" s="17" t="s">
        <v>5576</v>
      </c>
      <c r="F364" s="18">
        <v>2000</v>
      </c>
      <c r="G364" s="18">
        <v>0</v>
      </c>
      <c r="H364" s="18">
        <v>1098317.53</v>
      </c>
      <c r="I364" s="5">
        <v>42278</v>
      </c>
    </row>
    <row r="365" spans="1:9">
      <c r="A365" s="15" t="s">
        <v>11651</v>
      </c>
      <c r="B365" s="16" t="s">
        <v>11956</v>
      </c>
      <c r="C365" s="16" t="s">
        <v>11956</v>
      </c>
      <c r="D365" s="17" t="s">
        <v>4124</v>
      </c>
      <c r="E365" s="17" t="s">
        <v>5413</v>
      </c>
      <c r="F365" s="18">
        <v>3475</v>
      </c>
      <c r="G365" s="18">
        <v>0</v>
      </c>
      <c r="H365" s="18">
        <v>1094842.53</v>
      </c>
      <c r="I365" s="5">
        <v>42278</v>
      </c>
    </row>
    <row r="366" spans="1:9">
      <c r="A366" s="15" t="s">
        <v>11653</v>
      </c>
      <c r="B366" s="16" t="s">
        <v>11957</v>
      </c>
      <c r="C366" s="16" t="s">
        <v>11957</v>
      </c>
      <c r="D366" s="17" t="s">
        <v>4124</v>
      </c>
      <c r="E366" s="17" t="s">
        <v>5577</v>
      </c>
      <c r="F366" s="18">
        <v>10000</v>
      </c>
      <c r="G366" s="18">
        <v>0</v>
      </c>
      <c r="H366" s="18">
        <v>1084842.53</v>
      </c>
      <c r="I366" s="5">
        <v>42278</v>
      </c>
    </row>
    <row r="367" spans="1:9">
      <c r="A367" s="15" t="s">
        <v>11549</v>
      </c>
      <c r="B367" s="16" t="s">
        <v>11958</v>
      </c>
      <c r="C367" s="16" t="s">
        <v>11958</v>
      </c>
      <c r="D367" s="17" t="s">
        <v>4124</v>
      </c>
      <c r="E367" s="17" t="s">
        <v>5579</v>
      </c>
      <c r="F367" s="18">
        <v>10000</v>
      </c>
      <c r="G367" s="18">
        <v>0</v>
      </c>
      <c r="H367" s="18">
        <v>1024842.53</v>
      </c>
      <c r="I367" s="5">
        <v>42278</v>
      </c>
    </row>
    <row r="368" spans="1:9">
      <c r="A368" s="15" t="s">
        <v>11657</v>
      </c>
      <c r="B368" s="16" t="s">
        <v>11959</v>
      </c>
      <c r="C368" s="16" t="s">
        <v>11959</v>
      </c>
      <c r="D368" s="17" t="s">
        <v>4124</v>
      </c>
      <c r="E368" s="17" t="s">
        <v>5413</v>
      </c>
      <c r="F368" s="18">
        <v>9909.5</v>
      </c>
      <c r="G368" s="18">
        <v>0</v>
      </c>
      <c r="H368" s="18">
        <v>998310.03</v>
      </c>
      <c r="I368" s="5">
        <v>42309</v>
      </c>
    </row>
    <row r="369" spans="1:9">
      <c r="A369" s="15" t="s">
        <v>11765</v>
      </c>
      <c r="B369" s="16" t="s">
        <v>11960</v>
      </c>
      <c r="C369" s="16" t="s">
        <v>11960</v>
      </c>
      <c r="D369" s="17" t="s">
        <v>4124</v>
      </c>
      <c r="E369" s="17" t="s">
        <v>5585</v>
      </c>
      <c r="F369" s="18">
        <v>5000</v>
      </c>
      <c r="G369" s="18">
        <v>0</v>
      </c>
      <c r="H369" s="18">
        <v>2612502.33</v>
      </c>
      <c r="I369" s="5">
        <v>42309</v>
      </c>
    </row>
    <row r="370" spans="1:9">
      <c r="A370" s="15" t="s">
        <v>11563</v>
      </c>
      <c r="B370" s="16" t="s">
        <v>11961</v>
      </c>
      <c r="C370" s="16" t="s">
        <v>11961</v>
      </c>
      <c r="D370" s="17" t="s">
        <v>4124</v>
      </c>
      <c r="E370" s="17" t="s">
        <v>5590</v>
      </c>
      <c r="F370" s="18">
        <v>5000</v>
      </c>
      <c r="G370" s="18">
        <v>0</v>
      </c>
      <c r="H370" s="18">
        <v>929653.93</v>
      </c>
      <c r="I370" s="5">
        <v>42309</v>
      </c>
    </row>
    <row r="371" spans="1:9">
      <c r="A371" s="15" t="s">
        <v>11667</v>
      </c>
      <c r="B371" s="16" t="s">
        <v>11962</v>
      </c>
      <c r="C371" s="16" t="s">
        <v>11962</v>
      </c>
      <c r="D371" s="17" t="s">
        <v>4124</v>
      </c>
      <c r="E371" s="17" t="s">
        <v>5413</v>
      </c>
      <c r="F371" s="18">
        <v>1225.5</v>
      </c>
      <c r="G371" s="18">
        <v>0</v>
      </c>
      <c r="H371" s="18">
        <v>882422.7</v>
      </c>
      <c r="I371" s="5">
        <v>42339</v>
      </c>
    </row>
    <row r="372" spans="1:9">
      <c r="A372" s="15" t="s">
        <v>11669</v>
      </c>
      <c r="B372" s="16" t="s">
        <v>11963</v>
      </c>
      <c r="C372" s="16" t="s">
        <v>11963</v>
      </c>
      <c r="D372" s="17" t="s">
        <v>4124</v>
      </c>
      <c r="E372" s="17" t="s">
        <v>5593</v>
      </c>
      <c r="F372" s="18">
        <v>1202</v>
      </c>
      <c r="G372" s="18">
        <v>0</v>
      </c>
      <c r="H372" s="18">
        <v>881220.7</v>
      </c>
      <c r="I372" s="5">
        <v>42339</v>
      </c>
    </row>
    <row r="373" spans="1:9">
      <c r="A373" s="15" t="s">
        <v>11773</v>
      </c>
      <c r="B373" s="16" t="s">
        <v>11964</v>
      </c>
      <c r="C373" s="16" t="s">
        <v>11964</v>
      </c>
      <c r="D373" s="17" t="s">
        <v>4124</v>
      </c>
      <c r="E373" s="17" t="s">
        <v>5594</v>
      </c>
      <c r="F373" s="18">
        <v>571.36</v>
      </c>
      <c r="G373" s="18">
        <v>0</v>
      </c>
      <c r="H373" s="18">
        <v>880649.34</v>
      </c>
      <c r="I373" s="5">
        <v>42339</v>
      </c>
    </row>
    <row r="374" spans="1:9">
      <c r="A374" s="15" t="s">
        <v>11774</v>
      </c>
      <c r="B374" s="16" t="s">
        <v>11965</v>
      </c>
      <c r="C374" s="16" t="s">
        <v>11965</v>
      </c>
      <c r="D374" s="17" t="s">
        <v>4124</v>
      </c>
      <c r="E374" s="17" t="s">
        <v>5595</v>
      </c>
      <c r="F374" s="18">
        <v>5000</v>
      </c>
      <c r="G374" s="18">
        <v>0</v>
      </c>
      <c r="H374" s="18">
        <v>875649.34</v>
      </c>
      <c r="I374" s="5">
        <v>42339</v>
      </c>
    </row>
    <row r="375" spans="1:9">
      <c r="A375" s="15" t="s">
        <v>11568</v>
      </c>
      <c r="B375" s="16" t="s">
        <v>11965</v>
      </c>
      <c r="C375" s="16" t="s">
        <v>11965</v>
      </c>
      <c r="D375" s="17" t="s">
        <v>4124</v>
      </c>
      <c r="E375" s="17" t="s">
        <v>5595</v>
      </c>
      <c r="F375" s="18">
        <v>5000</v>
      </c>
      <c r="G375" s="18">
        <v>0</v>
      </c>
      <c r="H375" s="18">
        <v>870649.34</v>
      </c>
      <c r="I375" s="5">
        <v>42339</v>
      </c>
    </row>
    <row r="376" spans="1:9">
      <c r="A376" s="15" t="s">
        <v>11574</v>
      </c>
      <c r="B376" s="16" t="s">
        <v>11966</v>
      </c>
      <c r="C376" s="16" t="s">
        <v>11967</v>
      </c>
      <c r="D376" s="17" t="s">
        <v>4124</v>
      </c>
      <c r="E376" s="17" t="s">
        <v>5599</v>
      </c>
      <c r="F376" s="18">
        <v>5000</v>
      </c>
      <c r="G376" s="18">
        <v>0</v>
      </c>
      <c r="H376" s="18">
        <v>767009.34</v>
      </c>
      <c r="I376" s="5">
        <v>42339</v>
      </c>
    </row>
    <row r="377" spans="1:9">
      <c r="A377" s="15" t="s">
        <v>11575</v>
      </c>
      <c r="B377" s="16" t="s">
        <v>11464</v>
      </c>
      <c r="C377" s="16" t="s">
        <v>11464</v>
      </c>
      <c r="D377" s="17" t="s">
        <v>4124</v>
      </c>
      <c r="E377" s="17" t="s">
        <v>5600</v>
      </c>
      <c r="F377" s="18">
        <v>7000</v>
      </c>
      <c r="G377" s="18">
        <v>0</v>
      </c>
      <c r="H377" s="18">
        <v>760009.34</v>
      </c>
      <c r="I377" s="5">
        <v>42339</v>
      </c>
    </row>
    <row r="378" spans="1:9">
      <c r="A378" s="15" t="s">
        <v>11577</v>
      </c>
      <c r="B378" s="16" t="s">
        <v>11968</v>
      </c>
      <c r="C378" s="16" t="s">
        <v>11466</v>
      </c>
      <c r="D378" s="17" t="s">
        <v>4124</v>
      </c>
      <c r="E378" s="17" t="s">
        <v>5602</v>
      </c>
      <c r="F378" s="18">
        <v>5000</v>
      </c>
      <c r="G378" s="18">
        <v>0</v>
      </c>
      <c r="H378" s="18">
        <v>754209.34</v>
      </c>
      <c r="I378" s="5">
        <v>42339</v>
      </c>
    </row>
    <row r="379" spans="1:9">
      <c r="A379" s="15" t="s">
        <v>11969</v>
      </c>
      <c r="B379" s="16" t="s">
        <v>11970</v>
      </c>
      <c r="C379" s="16" t="s">
        <v>11970</v>
      </c>
      <c r="D379" s="17" t="s">
        <v>4124</v>
      </c>
      <c r="E379" s="17" t="s">
        <v>5603</v>
      </c>
      <c r="F379" s="18">
        <v>10000</v>
      </c>
      <c r="G379" s="18">
        <v>0</v>
      </c>
      <c r="H379" s="18">
        <v>744209.34</v>
      </c>
      <c r="I379" s="5">
        <v>42339</v>
      </c>
    </row>
    <row r="380" spans="1:9">
      <c r="A380" s="15" t="s">
        <v>11971</v>
      </c>
      <c r="B380" s="16" t="s">
        <v>11970</v>
      </c>
      <c r="C380" s="16" t="s">
        <v>11970</v>
      </c>
      <c r="D380" s="17" t="s">
        <v>4124</v>
      </c>
      <c r="E380" s="17" t="s">
        <v>5603</v>
      </c>
      <c r="F380" s="18">
        <v>10000</v>
      </c>
      <c r="G380" s="18">
        <v>0</v>
      </c>
      <c r="H380" s="18">
        <v>734209.34</v>
      </c>
      <c r="I380" s="5">
        <v>42339</v>
      </c>
    </row>
    <row r="381" spans="1:9">
      <c r="A381" s="15" t="s">
        <v>11580</v>
      </c>
      <c r="B381" s="16" t="s">
        <v>11972</v>
      </c>
      <c r="C381" s="16" t="s">
        <v>11972</v>
      </c>
      <c r="D381" s="17" t="s">
        <v>4124</v>
      </c>
      <c r="E381" s="17" t="s">
        <v>5607</v>
      </c>
      <c r="F381" s="18">
        <v>275</v>
      </c>
      <c r="G381" s="18">
        <v>0</v>
      </c>
      <c r="H381" s="18">
        <v>1130511.3400000001</v>
      </c>
      <c r="I381" s="5">
        <v>42370</v>
      </c>
    </row>
    <row r="382" spans="1:9">
      <c r="A382" s="15" t="s">
        <v>11676</v>
      </c>
      <c r="B382" s="16" t="s">
        <v>11972</v>
      </c>
      <c r="C382" s="16" t="s">
        <v>11972</v>
      </c>
      <c r="D382" s="17" t="s">
        <v>4124</v>
      </c>
      <c r="E382" s="17" t="s">
        <v>5609</v>
      </c>
      <c r="F382" s="18">
        <v>1202</v>
      </c>
      <c r="G382" s="18">
        <v>0</v>
      </c>
      <c r="H382" s="18">
        <v>1109309.3400000001</v>
      </c>
      <c r="I382" s="5">
        <v>42370</v>
      </c>
    </row>
    <row r="383" spans="1:9">
      <c r="A383" s="15" t="s">
        <v>11582</v>
      </c>
      <c r="B383" s="16" t="s">
        <v>11972</v>
      </c>
      <c r="C383" s="16" t="s">
        <v>11972</v>
      </c>
      <c r="D383" s="17" t="s">
        <v>4124</v>
      </c>
      <c r="E383" s="17" t="s">
        <v>5610</v>
      </c>
      <c r="F383" s="18">
        <v>8378</v>
      </c>
      <c r="G383" s="18">
        <v>0</v>
      </c>
      <c r="H383" s="18">
        <v>1100931.3400000001</v>
      </c>
      <c r="I383" s="5">
        <v>42370</v>
      </c>
    </row>
    <row r="384" spans="1:9">
      <c r="A384" s="15" t="s">
        <v>11584</v>
      </c>
      <c r="B384" s="16" t="s">
        <v>11972</v>
      </c>
      <c r="C384" s="16" t="s">
        <v>11972</v>
      </c>
      <c r="D384" s="17" t="s">
        <v>4124</v>
      </c>
      <c r="E384" s="17" t="s">
        <v>5611</v>
      </c>
      <c r="F384" s="18">
        <v>1533.06</v>
      </c>
      <c r="G384" s="18">
        <v>0</v>
      </c>
      <c r="H384" s="18">
        <v>1099398.28</v>
      </c>
      <c r="I384" s="5">
        <v>42370</v>
      </c>
    </row>
    <row r="385" spans="1:9">
      <c r="A385" s="15" t="s">
        <v>11973</v>
      </c>
      <c r="B385" s="16" t="s">
        <v>11974</v>
      </c>
      <c r="C385" s="16" t="s">
        <v>11974</v>
      </c>
      <c r="D385" s="17" t="s">
        <v>4124</v>
      </c>
      <c r="E385" s="17" t="s">
        <v>5413</v>
      </c>
      <c r="F385" s="18">
        <v>1149</v>
      </c>
      <c r="G385" s="18">
        <v>0</v>
      </c>
      <c r="H385" s="18">
        <v>1049249.28</v>
      </c>
      <c r="I385" s="5">
        <v>42370</v>
      </c>
    </row>
    <row r="386" spans="1:9">
      <c r="A386" s="15" t="s">
        <v>11785</v>
      </c>
      <c r="B386" s="16" t="s">
        <v>11975</v>
      </c>
      <c r="C386" s="16" t="s">
        <v>11975</v>
      </c>
      <c r="D386" s="17" t="s">
        <v>4124</v>
      </c>
      <c r="E386" s="17" t="s">
        <v>5615</v>
      </c>
      <c r="F386" s="18">
        <v>5000</v>
      </c>
      <c r="G386" s="18">
        <v>0</v>
      </c>
      <c r="H386" s="18">
        <v>1045034.28</v>
      </c>
      <c r="I386" s="5">
        <v>42370</v>
      </c>
    </row>
    <row r="387" spans="1:9">
      <c r="A387" s="15" t="s">
        <v>11976</v>
      </c>
      <c r="B387" s="16" t="s">
        <v>11977</v>
      </c>
      <c r="C387" s="16" t="s">
        <v>11978</v>
      </c>
      <c r="D387" s="17" t="s">
        <v>4124</v>
      </c>
      <c r="E387" s="17" t="s">
        <v>5618</v>
      </c>
      <c r="F387" s="18">
        <v>10000</v>
      </c>
      <c r="G387" s="18">
        <v>0</v>
      </c>
      <c r="H387" s="18">
        <v>1023034.28</v>
      </c>
      <c r="I387" s="5">
        <v>42370</v>
      </c>
    </row>
    <row r="388" spans="1:9">
      <c r="A388" s="15" t="s">
        <v>11791</v>
      </c>
      <c r="B388" s="16" t="s">
        <v>11979</v>
      </c>
      <c r="C388" s="16" t="s">
        <v>11979</v>
      </c>
      <c r="D388" s="17" t="s">
        <v>4124</v>
      </c>
      <c r="E388" s="17" t="s">
        <v>5622</v>
      </c>
      <c r="F388" s="18">
        <v>10000</v>
      </c>
      <c r="G388" s="18">
        <v>0</v>
      </c>
      <c r="H388" s="18">
        <v>1261632.8</v>
      </c>
      <c r="I388" s="5">
        <v>42370</v>
      </c>
    </row>
    <row r="389" spans="1:9">
      <c r="A389" s="15" t="s">
        <v>11795</v>
      </c>
      <c r="B389" s="16" t="s">
        <v>11471</v>
      </c>
      <c r="C389" s="16" t="s">
        <v>11471</v>
      </c>
      <c r="D389" s="17" t="s">
        <v>4124</v>
      </c>
      <c r="E389" s="17" t="s">
        <v>5626</v>
      </c>
      <c r="F389" s="18">
        <v>1503.88</v>
      </c>
      <c r="G389" s="18">
        <v>0</v>
      </c>
      <c r="H389" s="18">
        <v>1241143.92</v>
      </c>
      <c r="I389" s="5">
        <v>42370</v>
      </c>
    </row>
    <row r="390" spans="1:9">
      <c r="A390" s="15" t="s">
        <v>11980</v>
      </c>
      <c r="B390" s="16" t="s">
        <v>11981</v>
      </c>
      <c r="C390" s="16" t="s">
        <v>11981</v>
      </c>
      <c r="D390" s="17" t="s">
        <v>4124</v>
      </c>
      <c r="E390" s="17" t="s">
        <v>5627</v>
      </c>
      <c r="F390" s="18">
        <v>502.77</v>
      </c>
      <c r="G390" s="18">
        <v>0</v>
      </c>
      <c r="H390" s="18">
        <v>1240641.1499999999</v>
      </c>
      <c r="I390" s="5">
        <v>42370</v>
      </c>
    </row>
    <row r="391" spans="1:9">
      <c r="A391" s="15" t="s">
        <v>11982</v>
      </c>
      <c r="B391" s="16" t="s">
        <v>11983</v>
      </c>
      <c r="C391" s="16" t="s">
        <v>11983</v>
      </c>
      <c r="D391" s="17" t="s">
        <v>4124</v>
      </c>
      <c r="E391" s="17" t="s">
        <v>5632</v>
      </c>
      <c r="F391" s="18">
        <v>1202</v>
      </c>
      <c r="G391" s="18">
        <v>0</v>
      </c>
      <c r="H391" s="18">
        <v>1313849.1499999999</v>
      </c>
      <c r="I391" s="5">
        <v>42401</v>
      </c>
    </row>
    <row r="392" spans="1:9">
      <c r="A392" s="15" t="s">
        <v>11984</v>
      </c>
      <c r="B392" s="16" t="s">
        <v>11983</v>
      </c>
      <c r="C392" s="16" t="s">
        <v>11983</v>
      </c>
      <c r="D392" s="17" t="s">
        <v>4124</v>
      </c>
      <c r="E392" s="17" t="s">
        <v>5413</v>
      </c>
      <c r="F392" s="18">
        <v>15571.48</v>
      </c>
      <c r="G392" s="18">
        <v>0</v>
      </c>
      <c r="H392" s="18">
        <v>1298277.67</v>
      </c>
      <c r="I392" s="5">
        <v>42401</v>
      </c>
    </row>
    <row r="393" spans="1:9">
      <c r="A393" s="15" t="s">
        <v>11985</v>
      </c>
      <c r="B393" s="16" t="s">
        <v>11986</v>
      </c>
      <c r="C393" s="16" t="s">
        <v>11987</v>
      </c>
      <c r="D393" s="17" t="s">
        <v>4124</v>
      </c>
      <c r="E393" s="17" t="s">
        <v>5636</v>
      </c>
      <c r="F393" s="18">
        <v>15358</v>
      </c>
      <c r="G393" s="18">
        <v>0</v>
      </c>
      <c r="H393" s="18">
        <v>3165521.67</v>
      </c>
      <c r="I393" s="5">
        <v>42401</v>
      </c>
    </row>
    <row r="394" spans="1:9">
      <c r="A394" s="15" t="s">
        <v>11988</v>
      </c>
      <c r="B394" s="16" t="s">
        <v>11989</v>
      </c>
      <c r="C394" s="16" t="s">
        <v>11473</v>
      </c>
      <c r="D394" s="17" t="s">
        <v>4124</v>
      </c>
      <c r="E394" s="17" t="s">
        <v>5637</v>
      </c>
      <c r="F394" s="18">
        <v>10000</v>
      </c>
      <c r="G394" s="18">
        <v>0</v>
      </c>
      <c r="H394" s="18">
        <v>3155521.67</v>
      </c>
      <c r="I394" s="5">
        <v>42401</v>
      </c>
    </row>
    <row r="395" spans="1:9">
      <c r="A395" s="15" t="s">
        <v>11990</v>
      </c>
      <c r="B395" s="16" t="s">
        <v>11991</v>
      </c>
      <c r="C395" s="16" t="s">
        <v>11991</v>
      </c>
      <c r="D395" s="17" t="s">
        <v>4124</v>
      </c>
      <c r="E395" s="17" t="s">
        <v>5641</v>
      </c>
      <c r="F395" s="18">
        <v>3767.25</v>
      </c>
      <c r="G395" s="18">
        <v>0</v>
      </c>
      <c r="H395" s="18">
        <v>2842616.42</v>
      </c>
      <c r="I395" s="5">
        <v>42401</v>
      </c>
    </row>
    <row r="396" spans="1:9">
      <c r="A396" s="15" t="s">
        <v>11992</v>
      </c>
      <c r="B396" s="16" t="s">
        <v>11475</v>
      </c>
      <c r="C396" s="16" t="s">
        <v>11475</v>
      </c>
      <c r="D396" s="17" t="s">
        <v>4124</v>
      </c>
      <c r="E396" s="17" t="s">
        <v>5642</v>
      </c>
      <c r="F396" s="18">
        <v>5000</v>
      </c>
      <c r="G396" s="18">
        <v>0</v>
      </c>
      <c r="H396" s="18">
        <v>2837616.42</v>
      </c>
      <c r="I396" s="5">
        <v>42401</v>
      </c>
    </row>
    <row r="397" spans="1:9">
      <c r="A397" s="15" t="s">
        <v>11993</v>
      </c>
      <c r="B397" s="16" t="s">
        <v>11475</v>
      </c>
      <c r="C397" s="16" t="s">
        <v>11475</v>
      </c>
      <c r="D397" s="17" t="s">
        <v>4124</v>
      </c>
      <c r="E397" s="17" t="s">
        <v>5642</v>
      </c>
      <c r="F397" s="18">
        <v>5000</v>
      </c>
      <c r="G397" s="18">
        <v>0</v>
      </c>
      <c r="H397" s="18">
        <v>2832616.42</v>
      </c>
      <c r="I397" s="5">
        <v>42401</v>
      </c>
    </row>
    <row r="398" spans="1:9">
      <c r="A398" s="15" t="s">
        <v>11994</v>
      </c>
      <c r="B398" s="16" t="s">
        <v>11995</v>
      </c>
      <c r="C398" s="16" t="s">
        <v>11995</v>
      </c>
      <c r="D398" s="17" t="s">
        <v>4124</v>
      </c>
      <c r="E398" s="17" t="s">
        <v>5646</v>
      </c>
      <c r="F398" s="18">
        <v>837.95</v>
      </c>
      <c r="G398" s="18">
        <v>0</v>
      </c>
      <c r="H398" s="18">
        <v>2920763.47</v>
      </c>
      <c r="I398" s="5">
        <v>42430</v>
      </c>
    </row>
    <row r="399" spans="1:9">
      <c r="A399" s="15" t="s">
        <v>11996</v>
      </c>
      <c r="B399" s="16" t="s">
        <v>11995</v>
      </c>
      <c r="C399" s="16" t="s">
        <v>11995</v>
      </c>
      <c r="D399" s="17" t="s">
        <v>4124</v>
      </c>
      <c r="E399" s="17" t="s">
        <v>5647</v>
      </c>
      <c r="F399" s="18">
        <v>5000</v>
      </c>
      <c r="G399" s="18">
        <v>0</v>
      </c>
      <c r="H399" s="18">
        <v>2915763.47</v>
      </c>
      <c r="I399" s="5">
        <v>42430</v>
      </c>
    </row>
    <row r="400" spans="1:9">
      <c r="A400" s="15" t="s">
        <v>11997</v>
      </c>
      <c r="B400" s="16" t="s">
        <v>11998</v>
      </c>
      <c r="C400" s="16" t="s">
        <v>11998</v>
      </c>
      <c r="D400" s="17" t="s">
        <v>4124</v>
      </c>
      <c r="E400" s="17" t="s">
        <v>5649</v>
      </c>
      <c r="F400" s="18">
        <v>8735</v>
      </c>
      <c r="G400" s="18">
        <v>0</v>
      </c>
      <c r="H400" s="18">
        <v>2908043.47</v>
      </c>
      <c r="I400" s="5">
        <v>42430</v>
      </c>
    </row>
    <row r="401" spans="1:9">
      <c r="A401" s="15" t="s">
        <v>11999</v>
      </c>
      <c r="B401" s="16" t="s">
        <v>11998</v>
      </c>
      <c r="C401" s="16" t="s">
        <v>11998</v>
      </c>
      <c r="D401" s="17" t="s">
        <v>4124</v>
      </c>
      <c r="E401" s="17" t="s">
        <v>5651</v>
      </c>
      <c r="F401" s="18">
        <v>1202</v>
      </c>
      <c r="G401" s="18">
        <v>0</v>
      </c>
      <c r="H401" s="18">
        <v>2894841.47</v>
      </c>
      <c r="I401" s="5">
        <v>42430</v>
      </c>
    </row>
    <row r="402" spans="1:9">
      <c r="A402" s="15" t="s">
        <v>12000</v>
      </c>
      <c r="B402" s="16" t="s">
        <v>12001</v>
      </c>
      <c r="C402" s="16" t="s">
        <v>12001</v>
      </c>
      <c r="D402" s="17" t="s">
        <v>4124</v>
      </c>
      <c r="E402" s="17" t="s">
        <v>5413</v>
      </c>
      <c r="F402" s="18">
        <v>34893</v>
      </c>
      <c r="G402" s="18">
        <v>0</v>
      </c>
      <c r="H402" s="18">
        <v>2859948.47</v>
      </c>
      <c r="I402" s="5">
        <v>42430</v>
      </c>
    </row>
    <row r="403" spans="1:9">
      <c r="A403" s="15" t="s">
        <v>12002</v>
      </c>
      <c r="B403" s="16" t="s">
        <v>12003</v>
      </c>
      <c r="C403" s="16" t="s">
        <v>12003</v>
      </c>
      <c r="D403" s="17" t="s">
        <v>4124</v>
      </c>
      <c r="E403" s="17" t="s">
        <v>12004</v>
      </c>
      <c r="F403" s="18">
        <v>5012</v>
      </c>
      <c r="G403" s="18">
        <v>0</v>
      </c>
      <c r="H403" s="18">
        <v>2854936.47</v>
      </c>
      <c r="I403" s="5">
        <v>42430</v>
      </c>
    </row>
    <row r="404" spans="1:9">
      <c r="A404" s="15" t="s">
        <v>12005</v>
      </c>
      <c r="B404" s="16" t="s">
        <v>12006</v>
      </c>
      <c r="C404" s="16" t="s">
        <v>12006</v>
      </c>
      <c r="D404" s="17" t="s">
        <v>4124</v>
      </c>
      <c r="E404" s="17" t="s">
        <v>5654</v>
      </c>
      <c r="F404" s="18">
        <v>510</v>
      </c>
      <c r="G404" s="18">
        <v>0</v>
      </c>
      <c r="H404" s="18">
        <v>2854836.47</v>
      </c>
      <c r="I404" s="5">
        <v>42430</v>
      </c>
    </row>
    <row r="405" spans="1:9">
      <c r="A405" s="15" t="s">
        <v>12007</v>
      </c>
      <c r="B405" s="16" t="s">
        <v>11478</v>
      </c>
      <c r="C405" s="16" t="s">
        <v>11478</v>
      </c>
      <c r="D405" s="17" t="s">
        <v>4124</v>
      </c>
      <c r="E405" s="17" t="s">
        <v>2303</v>
      </c>
      <c r="F405" s="18">
        <v>10000</v>
      </c>
      <c r="G405" s="18">
        <v>0</v>
      </c>
      <c r="H405" s="18">
        <v>2844836.47</v>
      </c>
      <c r="I405" s="5">
        <v>42430</v>
      </c>
    </row>
    <row r="406" spans="1:9">
      <c r="A406" s="15" t="s">
        <v>12008</v>
      </c>
      <c r="B406" s="16" t="s">
        <v>12009</v>
      </c>
      <c r="C406" s="16" t="s">
        <v>12009</v>
      </c>
      <c r="D406" s="17" t="s">
        <v>12010</v>
      </c>
      <c r="E406" s="17" t="s">
        <v>5657</v>
      </c>
      <c r="F406" s="18">
        <v>6250</v>
      </c>
      <c r="G406" s="18">
        <v>0</v>
      </c>
      <c r="H406" s="18">
        <v>2788586.47</v>
      </c>
      <c r="I406" s="5">
        <v>42430</v>
      </c>
    </row>
    <row r="407" spans="1:9">
      <c r="A407" s="15" t="s">
        <v>12011</v>
      </c>
      <c r="B407" s="16" t="s">
        <v>11482</v>
      </c>
      <c r="C407" s="16" t="s">
        <v>11482</v>
      </c>
      <c r="D407" s="17" t="s">
        <v>4124</v>
      </c>
      <c r="E407" s="17" t="s">
        <v>5661</v>
      </c>
      <c r="F407" s="18">
        <v>10000</v>
      </c>
      <c r="G407" s="18">
        <v>0</v>
      </c>
      <c r="H407" s="18">
        <v>2301285.4700000002</v>
      </c>
      <c r="I407" s="5">
        <v>42430</v>
      </c>
    </row>
    <row r="408" spans="1:9">
      <c r="A408" s="15" t="s">
        <v>11483</v>
      </c>
      <c r="B408" s="16" t="s">
        <v>12012</v>
      </c>
      <c r="C408" s="16" t="s">
        <v>12013</v>
      </c>
      <c r="D408" s="17" t="s">
        <v>4124</v>
      </c>
      <c r="E408" s="17" t="s">
        <v>5665</v>
      </c>
      <c r="F408" s="18">
        <v>1521</v>
      </c>
      <c r="G408" s="18">
        <v>0</v>
      </c>
      <c r="H408" s="18">
        <v>2570170.4700000002</v>
      </c>
      <c r="I408" s="5">
        <v>42461</v>
      </c>
    </row>
    <row r="409" spans="1:9">
      <c r="A409" s="15" t="s">
        <v>11487</v>
      </c>
      <c r="B409" s="16" t="s">
        <v>12013</v>
      </c>
      <c r="C409" s="16" t="s">
        <v>12013</v>
      </c>
      <c r="D409" s="17" t="s">
        <v>4124</v>
      </c>
      <c r="E409" s="17" t="s">
        <v>5667</v>
      </c>
      <c r="F409" s="18">
        <v>502.77</v>
      </c>
      <c r="G409" s="18">
        <v>0</v>
      </c>
      <c r="H409" s="18">
        <v>2529667.7000000002</v>
      </c>
      <c r="I409" s="5">
        <v>42461</v>
      </c>
    </row>
    <row r="410" spans="1:9">
      <c r="A410" s="15" t="s">
        <v>11682</v>
      </c>
      <c r="B410" s="16" t="s">
        <v>12014</v>
      </c>
      <c r="C410" s="16" t="s">
        <v>12014</v>
      </c>
      <c r="D410" s="17" t="s">
        <v>4124</v>
      </c>
      <c r="E410" s="17" t="s">
        <v>5413</v>
      </c>
      <c r="F410" s="18">
        <v>5914.2</v>
      </c>
      <c r="G410" s="18">
        <v>0</v>
      </c>
      <c r="H410" s="18">
        <v>2498753.5</v>
      </c>
      <c r="I410" s="5">
        <v>42461</v>
      </c>
    </row>
    <row r="411" spans="1:9">
      <c r="A411" s="15" t="s">
        <v>11491</v>
      </c>
      <c r="B411" s="16" t="s">
        <v>12015</v>
      </c>
      <c r="C411" s="16" t="s">
        <v>12015</v>
      </c>
      <c r="D411" s="17" t="s">
        <v>12016</v>
      </c>
      <c r="E411" s="17" t="s">
        <v>5670</v>
      </c>
      <c r="F411" s="18">
        <v>9150</v>
      </c>
      <c r="G411" s="18">
        <v>0</v>
      </c>
      <c r="H411" s="18">
        <v>2489603.5</v>
      </c>
      <c r="I411" s="5">
        <v>42461</v>
      </c>
    </row>
    <row r="412" spans="1:9">
      <c r="A412" s="15" t="s">
        <v>11596</v>
      </c>
      <c r="B412" s="16" t="s">
        <v>12017</v>
      </c>
      <c r="C412" s="16" t="s">
        <v>12017</v>
      </c>
      <c r="D412" s="17" t="s">
        <v>4124</v>
      </c>
      <c r="E412" s="17" t="s">
        <v>2317</v>
      </c>
      <c r="F412" s="18">
        <v>15000</v>
      </c>
      <c r="G412" s="18">
        <v>0</v>
      </c>
      <c r="H412" s="18">
        <v>2438013.5</v>
      </c>
      <c r="I412" s="5">
        <v>42461</v>
      </c>
    </row>
    <row r="413" spans="1:9">
      <c r="A413" s="15" t="s">
        <v>11498</v>
      </c>
      <c r="B413" s="16" t="s">
        <v>12018</v>
      </c>
      <c r="C413" s="16" t="s">
        <v>12018</v>
      </c>
      <c r="D413" s="17" t="s">
        <v>4124</v>
      </c>
      <c r="E413" s="17" t="s">
        <v>5678</v>
      </c>
      <c r="F413" s="18">
        <v>10000</v>
      </c>
      <c r="G413" s="18">
        <v>0</v>
      </c>
      <c r="H413" s="18">
        <v>2344089.75</v>
      </c>
      <c r="I413" s="5">
        <v>42461</v>
      </c>
    </row>
    <row r="414" spans="1:9">
      <c r="A414" s="15" t="s">
        <v>11811</v>
      </c>
      <c r="B414" s="16" t="s">
        <v>12019</v>
      </c>
      <c r="C414" s="16" t="s">
        <v>12019</v>
      </c>
      <c r="D414" s="17" t="s">
        <v>4124</v>
      </c>
      <c r="E414" s="17" t="s">
        <v>5682</v>
      </c>
      <c r="F414" s="18">
        <v>259317</v>
      </c>
      <c r="G414" s="18">
        <v>0</v>
      </c>
      <c r="H414" s="18">
        <v>2254176.2799999998</v>
      </c>
      <c r="I414" s="5">
        <v>42461</v>
      </c>
    </row>
  </sheetData>
  <autoFilter ref="A1:I414" xr:uid="{00000000-0009-0000-0000-00001B000000}"/>
  <pageMargins left="0.7" right="0.7" top="0.75" bottom="0.75" header="0.3" footer="0.3"/>
  <pageSetup orientation="portrait" horizontalDpi="200" verticalDpi="200" r:id="rId1"/>
</worksheet>
</file>

<file path=xl/worksheets/sheet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C00-000000000000}">
  <dimension ref="A1:H796"/>
  <sheetViews>
    <sheetView workbookViewId="0"/>
  </sheetViews>
  <sheetFormatPr defaultColWidth="55" defaultRowHeight="15"/>
  <cols>
    <col min="1" max="1" width="5.7109375" bestFit="1" customWidth="1"/>
    <col min="2" max="2" width="11" bestFit="1" customWidth="1"/>
    <col min="3" max="3" width="16.42578125" bestFit="1" customWidth="1"/>
    <col min="4" max="4" width="15.7109375" bestFit="1" customWidth="1"/>
    <col min="5" max="5" width="52.28515625" bestFit="1" customWidth="1"/>
    <col min="6" max="6" width="24.7109375" bestFit="1" customWidth="1"/>
    <col min="7" max="7" width="21" bestFit="1" customWidth="1"/>
    <col min="8" max="8" width="14" bestFit="1" customWidth="1"/>
  </cols>
  <sheetData>
    <row r="1" spans="1:8" ht="25.5">
      <c r="A1" s="12" t="s">
        <v>11405</v>
      </c>
      <c r="B1" s="12" t="s">
        <v>11406</v>
      </c>
      <c r="C1" s="12" t="s">
        <v>11407</v>
      </c>
      <c r="D1" s="13" t="s">
        <v>11408</v>
      </c>
      <c r="E1" s="13" t="s">
        <v>11409</v>
      </c>
      <c r="F1" s="14" t="s">
        <v>11410</v>
      </c>
      <c r="G1" s="14" t="s">
        <v>11411</v>
      </c>
      <c r="H1" s="14" t="s">
        <v>11412</v>
      </c>
    </row>
    <row r="2" spans="1:8">
      <c r="A2" s="15" t="s">
        <v>11588</v>
      </c>
      <c r="B2" s="16" t="s">
        <v>12020</v>
      </c>
      <c r="C2" s="16" t="s">
        <v>12020</v>
      </c>
      <c r="D2" s="17" t="s">
        <v>12021</v>
      </c>
      <c r="E2" s="17" t="s">
        <v>5043</v>
      </c>
      <c r="F2" s="18">
        <v>40000</v>
      </c>
      <c r="G2" s="18">
        <v>0</v>
      </c>
      <c r="H2" s="18">
        <v>338760.15</v>
      </c>
    </row>
    <row r="3" spans="1:8">
      <c r="A3" s="15" t="s">
        <v>11483</v>
      </c>
      <c r="B3" s="16" t="s">
        <v>11484</v>
      </c>
      <c r="C3" s="16" t="s">
        <v>11485</v>
      </c>
      <c r="D3" s="17" t="s">
        <v>4124</v>
      </c>
      <c r="E3" s="17" t="s">
        <v>5044</v>
      </c>
      <c r="F3" s="18">
        <v>7000</v>
      </c>
      <c r="G3" s="18">
        <v>0</v>
      </c>
      <c r="H3" s="18">
        <v>331760.15000000002</v>
      </c>
    </row>
    <row r="4" spans="1:8">
      <c r="A4" s="15" t="s">
        <v>11486</v>
      </c>
      <c r="B4" s="16" t="s">
        <v>11485</v>
      </c>
      <c r="C4" s="16" t="s">
        <v>11485</v>
      </c>
      <c r="D4" s="17" t="s">
        <v>4124</v>
      </c>
      <c r="E4" s="17" t="s">
        <v>5045</v>
      </c>
      <c r="F4" s="18">
        <v>432</v>
      </c>
      <c r="G4" s="18">
        <v>0</v>
      </c>
      <c r="H4" s="18">
        <v>331328.15000000002</v>
      </c>
    </row>
    <row r="5" spans="1:8">
      <c r="A5" s="15" t="s">
        <v>11487</v>
      </c>
      <c r="B5" s="16" t="s">
        <v>11485</v>
      </c>
      <c r="C5" s="16" t="s">
        <v>11485</v>
      </c>
      <c r="D5" s="17" t="s">
        <v>4124</v>
      </c>
      <c r="E5" s="17" t="s">
        <v>5046</v>
      </c>
      <c r="F5" s="18">
        <v>375</v>
      </c>
      <c r="G5" s="18">
        <v>0</v>
      </c>
      <c r="H5" s="18">
        <v>330953.15000000002</v>
      </c>
    </row>
    <row r="6" spans="1:8">
      <c r="A6" s="15" t="s">
        <v>11488</v>
      </c>
      <c r="B6" s="16" t="s">
        <v>11489</v>
      </c>
      <c r="C6" s="16" t="s">
        <v>11489</v>
      </c>
      <c r="D6" s="17" t="s">
        <v>11490</v>
      </c>
      <c r="E6" s="17" t="s">
        <v>5047</v>
      </c>
      <c r="F6" s="18">
        <v>5896.01</v>
      </c>
      <c r="G6" s="18">
        <v>0</v>
      </c>
      <c r="H6" s="18">
        <v>325057.14</v>
      </c>
    </row>
    <row r="7" spans="1:8">
      <c r="A7" s="15" t="s">
        <v>11682</v>
      </c>
      <c r="B7" s="16" t="s">
        <v>12022</v>
      </c>
      <c r="C7" s="16" t="s">
        <v>12022</v>
      </c>
      <c r="D7" s="17" t="s">
        <v>4124</v>
      </c>
      <c r="E7" s="17" t="s">
        <v>1404</v>
      </c>
      <c r="F7" s="18">
        <v>0</v>
      </c>
      <c r="G7" s="18">
        <v>367577</v>
      </c>
      <c r="H7" s="18">
        <v>692634.14</v>
      </c>
    </row>
    <row r="8" spans="1:8">
      <c r="A8" s="15" t="s">
        <v>11491</v>
      </c>
      <c r="B8" s="16" t="s">
        <v>11492</v>
      </c>
      <c r="C8" s="16" t="s">
        <v>11492</v>
      </c>
      <c r="D8" s="17" t="s">
        <v>4124</v>
      </c>
      <c r="E8" s="17" t="s">
        <v>5048</v>
      </c>
      <c r="F8" s="18">
        <v>8000</v>
      </c>
      <c r="G8" s="18">
        <v>0</v>
      </c>
      <c r="H8" s="18">
        <v>684634.14</v>
      </c>
    </row>
    <row r="9" spans="1:8">
      <c r="A9" s="15" t="s">
        <v>11591</v>
      </c>
      <c r="B9" s="16" t="s">
        <v>11492</v>
      </c>
      <c r="C9" s="16" t="s">
        <v>11492</v>
      </c>
      <c r="D9" s="17" t="s">
        <v>4124</v>
      </c>
      <c r="E9" s="17" t="s">
        <v>5049</v>
      </c>
      <c r="F9" s="18">
        <v>0</v>
      </c>
      <c r="G9" s="18">
        <v>3500</v>
      </c>
      <c r="H9" s="18">
        <v>688134.14</v>
      </c>
    </row>
    <row r="10" spans="1:8">
      <c r="A10" s="15" t="s">
        <v>11493</v>
      </c>
      <c r="B10" s="16" t="s">
        <v>11492</v>
      </c>
      <c r="C10" s="16" t="s">
        <v>11492</v>
      </c>
      <c r="D10" s="17" t="s">
        <v>4124</v>
      </c>
      <c r="E10" s="17" t="s">
        <v>11494</v>
      </c>
      <c r="F10" s="18">
        <v>2816.7</v>
      </c>
      <c r="G10" s="18">
        <v>0</v>
      </c>
      <c r="H10" s="18">
        <v>685317.44</v>
      </c>
    </row>
    <row r="11" spans="1:8">
      <c r="A11" s="15" t="s">
        <v>11594</v>
      </c>
      <c r="B11" s="16" t="s">
        <v>12023</v>
      </c>
      <c r="C11" s="16" t="s">
        <v>12023</v>
      </c>
      <c r="D11" s="17" t="s">
        <v>4124</v>
      </c>
      <c r="E11" s="17" t="s">
        <v>1413</v>
      </c>
      <c r="F11" s="18">
        <v>0</v>
      </c>
      <c r="G11" s="18">
        <v>375</v>
      </c>
      <c r="H11" s="18">
        <v>685692.44</v>
      </c>
    </row>
    <row r="12" spans="1:8">
      <c r="A12" s="15" t="s">
        <v>11596</v>
      </c>
      <c r="B12" s="16" t="s">
        <v>12024</v>
      </c>
      <c r="C12" s="16" t="s">
        <v>12024</v>
      </c>
      <c r="D12" s="17" t="s">
        <v>4124</v>
      </c>
      <c r="E12" s="17" t="s">
        <v>1414</v>
      </c>
      <c r="F12" s="18">
        <v>0</v>
      </c>
      <c r="G12" s="18">
        <v>1350</v>
      </c>
      <c r="H12" s="18">
        <v>687042.44</v>
      </c>
    </row>
    <row r="13" spans="1:8">
      <c r="A13" s="15" t="s">
        <v>11495</v>
      </c>
      <c r="B13" s="16" t="s">
        <v>11496</v>
      </c>
      <c r="C13" s="16" t="s">
        <v>11496</v>
      </c>
      <c r="D13" s="17" t="s">
        <v>11497</v>
      </c>
      <c r="E13" s="17" t="s">
        <v>5047</v>
      </c>
      <c r="F13" s="18">
        <v>4406.84</v>
      </c>
      <c r="G13" s="18">
        <v>0</v>
      </c>
      <c r="H13" s="18">
        <v>682635.6</v>
      </c>
    </row>
    <row r="14" spans="1:8">
      <c r="A14" s="15" t="s">
        <v>11742</v>
      </c>
      <c r="B14" s="16" t="s">
        <v>12025</v>
      </c>
      <c r="C14" s="16" t="s">
        <v>12025</v>
      </c>
      <c r="D14" s="17" t="s">
        <v>12026</v>
      </c>
      <c r="E14" s="17" t="s">
        <v>1412</v>
      </c>
      <c r="F14" s="18">
        <v>110418.12</v>
      </c>
      <c r="G14" s="18">
        <v>0</v>
      </c>
      <c r="H14" s="18">
        <v>572217.48</v>
      </c>
    </row>
    <row r="15" spans="1:8">
      <c r="A15" s="15" t="s">
        <v>11808</v>
      </c>
      <c r="B15" s="16" t="s">
        <v>12027</v>
      </c>
      <c r="C15" s="16" t="s">
        <v>12027</v>
      </c>
      <c r="D15" s="17" t="s">
        <v>4124</v>
      </c>
      <c r="E15" s="17" t="s">
        <v>1404</v>
      </c>
      <c r="F15" s="18">
        <v>0</v>
      </c>
      <c r="G15" s="18">
        <v>81505</v>
      </c>
      <c r="H15" s="18">
        <v>653722.48</v>
      </c>
    </row>
    <row r="16" spans="1:8">
      <c r="A16" s="15" t="s">
        <v>11599</v>
      </c>
      <c r="B16" s="16" t="s">
        <v>12028</v>
      </c>
      <c r="C16" s="16" t="s">
        <v>12028</v>
      </c>
      <c r="D16" s="17" t="s">
        <v>4124</v>
      </c>
      <c r="E16" s="17" t="s">
        <v>1419</v>
      </c>
      <c r="F16" s="18">
        <v>0</v>
      </c>
      <c r="G16" s="18">
        <v>107562</v>
      </c>
      <c r="H16" s="18">
        <v>761284.48</v>
      </c>
    </row>
    <row r="17" spans="1:8">
      <c r="A17" s="15" t="s">
        <v>11498</v>
      </c>
      <c r="B17" s="16" t="s">
        <v>11499</v>
      </c>
      <c r="C17" s="16" t="s">
        <v>11499</v>
      </c>
      <c r="D17" s="17" t="s">
        <v>4124</v>
      </c>
      <c r="E17" s="17" t="s">
        <v>11494</v>
      </c>
      <c r="F17" s="18">
        <v>17052</v>
      </c>
      <c r="G17" s="18">
        <v>0</v>
      </c>
      <c r="H17" s="18">
        <v>744232.48</v>
      </c>
    </row>
    <row r="18" spans="1:8">
      <c r="A18" s="15" t="s">
        <v>11936</v>
      </c>
      <c r="B18" s="16" t="s">
        <v>12029</v>
      </c>
      <c r="C18" s="16" t="s">
        <v>12029</v>
      </c>
      <c r="D18" s="17" t="s">
        <v>12030</v>
      </c>
      <c r="E18" s="17" t="s">
        <v>5050</v>
      </c>
      <c r="F18" s="18">
        <v>200000</v>
      </c>
      <c r="G18" s="18">
        <v>0</v>
      </c>
      <c r="H18" s="18">
        <v>544232.48</v>
      </c>
    </row>
    <row r="19" spans="1:8">
      <c r="A19" s="15" t="s">
        <v>11500</v>
      </c>
      <c r="B19" s="16" t="s">
        <v>11501</v>
      </c>
      <c r="C19" s="16" t="s">
        <v>11501</v>
      </c>
      <c r="D19" s="17" t="s">
        <v>4124</v>
      </c>
      <c r="E19" s="17" t="s">
        <v>5051</v>
      </c>
      <c r="F19" s="18">
        <v>10000</v>
      </c>
      <c r="G19" s="18">
        <v>0</v>
      </c>
      <c r="H19" s="18">
        <v>534232.48</v>
      </c>
    </row>
    <row r="20" spans="1:8">
      <c r="A20" s="15" t="s">
        <v>11689</v>
      </c>
      <c r="B20" s="16" t="s">
        <v>11501</v>
      </c>
      <c r="C20" s="16" t="s">
        <v>11501</v>
      </c>
      <c r="D20" s="17" t="s">
        <v>12031</v>
      </c>
      <c r="E20" s="17" t="s">
        <v>1538</v>
      </c>
      <c r="F20" s="18">
        <v>138476.87</v>
      </c>
      <c r="G20" s="18">
        <v>0</v>
      </c>
      <c r="H20" s="18">
        <v>395755.61</v>
      </c>
    </row>
    <row r="21" spans="1:8">
      <c r="A21" s="15" t="s">
        <v>11811</v>
      </c>
      <c r="B21" s="16" t="s">
        <v>12032</v>
      </c>
      <c r="C21" s="16" t="s">
        <v>12032</v>
      </c>
      <c r="D21" s="17" t="s">
        <v>4124</v>
      </c>
      <c r="E21" s="17" t="s">
        <v>1404</v>
      </c>
      <c r="F21" s="18">
        <v>0</v>
      </c>
      <c r="G21" s="18">
        <v>81505</v>
      </c>
      <c r="H21" s="18">
        <v>477260.61</v>
      </c>
    </row>
    <row r="22" spans="1:8">
      <c r="A22" s="15" t="s">
        <v>11603</v>
      </c>
      <c r="B22" s="16" t="s">
        <v>12032</v>
      </c>
      <c r="C22" s="16" t="s">
        <v>12032</v>
      </c>
      <c r="D22" s="17" t="s">
        <v>4124</v>
      </c>
      <c r="E22" s="17" t="s">
        <v>1414</v>
      </c>
      <c r="F22" s="18">
        <v>0</v>
      </c>
      <c r="G22" s="18">
        <v>913</v>
      </c>
      <c r="H22" s="18">
        <v>478173.61</v>
      </c>
    </row>
    <row r="23" spans="1:8">
      <c r="A23" s="15" t="s">
        <v>11605</v>
      </c>
      <c r="B23" s="16" t="s">
        <v>12033</v>
      </c>
      <c r="C23" s="16" t="s">
        <v>12033</v>
      </c>
      <c r="D23" s="17" t="s">
        <v>4124</v>
      </c>
      <c r="E23" s="17" t="s">
        <v>5052</v>
      </c>
      <c r="F23" s="18">
        <v>3210</v>
      </c>
      <c r="G23" s="18">
        <v>0</v>
      </c>
      <c r="H23" s="18">
        <v>474963.61</v>
      </c>
    </row>
    <row r="24" spans="1:8">
      <c r="A24" s="15" t="s">
        <v>11502</v>
      </c>
      <c r="B24" s="16" t="s">
        <v>11503</v>
      </c>
      <c r="C24" s="16" t="s">
        <v>11503</v>
      </c>
      <c r="D24" s="17" t="s">
        <v>4124</v>
      </c>
      <c r="E24" s="17" t="s">
        <v>11494</v>
      </c>
      <c r="F24" s="18">
        <v>25977</v>
      </c>
      <c r="G24" s="18">
        <v>0</v>
      </c>
      <c r="H24" s="18">
        <v>448986.61</v>
      </c>
    </row>
    <row r="25" spans="1:8">
      <c r="A25" s="15" t="s">
        <v>11608</v>
      </c>
      <c r="B25" s="16" t="s">
        <v>12034</v>
      </c>
      <c r="C25" s="16" t="s">
        <v>12034</v>
      </c>
      <c r="D25" s="17" t="s">
        <v>4124</v>
      </c>
      <c r="E25" s="17" t="s">
        <v>5053</v>
      </c>
      <c r="F25" s="18">
        <v>0</v>
      </c>
      <c r="G25" s="18">
        <v>4196.67</v>
      </c>
      <c r="H25" s="18">
        <v>453183.28</v>
      </c>
    </row>
    <row r="26" spans="1:8">
      <c r="A26" s="15" t="s">
        <v>11609</v>
      </c>
      <c r="B26" s="16" t="s">
        <v>12034</v>
      </c>
      <c r="C26" s="16" t="s">
        <v>12034</v>
      </c>
      <c r="D26" s="17" t="s">
        <v>12035</v>
      </c>
      <c r="E26" s="17" t="s">
        <v>5054</v>
      </c>
      <c r="F26" s="18">
        <v>3921.2</v>
      </c>
      <c r="G26" s="18">
        <v>0</v>
      </c>
      <c r="H26" s="18">
        <v>449262.08000000002</v>
      </c>
    </row>
    <row r="27" spans="1:8">
      <c r="A27" s="15" t="s">
        <v>11504</v>
      </c>
      <c r="B27" s="16" t="s">
        <v>11505</v>
      </c>
      <c r="C27" s="16" t="s">
        <v>11505</v>
      </c>
      <c r="D27" s="17" t="s">
        <v>11506</v>
      </c>
      <c r="E27" s="17" t="s">
        <v>1425</v>
      </c>
      <c r="F27" s="18">
        <v>3360</v>
      </c>
      <c r="G27" s="18">
        <v>0</v>
      </c>
      <c r="H27" s="18">
        <v>445902.08000000002</v>
      </c>
    </row>
    <row r="28" spans="1:8">
      <c r="A28" s="15" t="s">
        <v>11695</v>
      </c>
      <c r="B28" s="16" t="s">
        <v>12036</v>
      </c>
      <c r="C28" s="16" t="s">
        <v>12036</v>
      </c>
      <c r="D28" s="17" t="s">
        <v>4124</v>
      </c>
      <c r="E28" s="17" t="s">
        <v>1435</v>
      </c>
      <c r="F28" s="18">
        <v>0</v>
      </c>
      <c r="G28" s="18">
        <v>4802</v>
      </c>
      <c r="H28" s="18">
        <v>450704.08</v>
      </c>
    </row>
    <row r="29" spans="1:8">
      <c r="A29" s="15" t="s">
        <v>11697</v>
      </c>
      <c r="B29" s="16" t="s">
        <v>12037</v>
      </c>
      <c r="C29" s="16" t="s">
        <v>12037</v>
      </c>
      <c r="D29" s="17" t="s">
        <v>4124</v>
      </c>
      <c r="E29" s="17" t="s">
        <v>1404</v>
      </c>
      <c r="F29" s="18">
        <v>0</v>
      </c>
      <c r="G29" s="18">
        <v>86080</v>
      </c>
      <c r="H29" s="18">
        <v>536784.07999999996</v>
      </c>
    </row>
    <row r="30" spans="1:8">
      <c r="A30" s="15" t="s">
        <v>11507</v>
      </c>
      <c r="B30" s="16" t="s">
        <v>11508</v>
      </c>
      <c r="C30" s="16" t="s">
        <v>11508</v>
      </c>
      <c r="D30" s="17" t="s">
        <v>4124</v>
      </c>
      <c r="E30" s="17" t="s">
        <v>11494</v>
      </c>
      <c r="F30" s="18">
        <v>3457</v>
      </c>
      <c r="G30" s="18">
        <v>0</v>
      </c>
      <c r="H30" s="18">
        <v>533327.07999999996</v>
      </c>
    </row>
    <row r="31" spans="1:8">
      <c r="A31" s="15" t="s">
        <v>11509</v>
      </c>
      <c r="B31" s="16" t="s">
        <v>11508</v>
      </c>
      <c r="C31" s="16" t="s">
        <v>11508</v>
      </c>
      <c r="D31" s="17" t="s">
        <v>11510</v>
      </c>
      <c r="E31" s="17" t="s">
        <v>1424</v>
      </c>
      <c r="F31" s="18">
        <v>10960.61</v>
      </c>
      <c r="G31" s="18">
        <v>0</v>
      </c>
      <c r="H31" s="18">
        <v>522366.47</v>
      </c>
    </row>
    <row r="32" spans="1:8">
      <c r="A32" s="15" t="s">
        <v>11511</v>
      </c>
      <c r="B32" s="16" t="s">
        <v>11512</v>
      </c>
      <c r="C32" s="16" t="s">
        <v>11512</v>
      </c>
      <c r="D32" s="17" t="s">
        <v>11513</v>
      </c>
      <c r="E32" s="17" t="s">
        <v>1581</v>
      </c>
      <c r="F32" s="18">
        <v>1650</v>
      </c>
      <c r="G32" s="18">
        <v>0</v>
      </c>
      <c r="H32" s="18">
        <v>520716.47</v>
      </c>
    </row>
    <row r="33" spans="1:8">
      <c r="A33" s="15" t="s">
        <v>11514</v>
      </c>
      <c r="B33" s="16" t="s">
        <v>11515</v>
      </c>
      <c r="C33" s="16" t="s">
        <v>11515</v>
      </c>
      <c r="D33" s="17" t="s">
        <v>4124</v>
      </c>
      <c r="E33" s="17" t="s">
        <v>5055</v>
      </c>
      <c r="F33" s="18">
        <v>746</v>
      </c>
      <c r="G33" s="18">
        <v>0</v>
      </c>
      <c r="H33" s="18">
        <v>519970.47</v>
      </c>
    </row>
    <row r="34" spans="1:8">
      <c r="A34" s="15" t="s">
        <v>11516</v>
      </c>
      <c r="B34" s="16" t="s">
        <v>11515</v>
      </c>
      <c r="C34" s="16" t="s">
        <v>11515</v>
      </c>
      <c r="D34" s="17" t="s">
        <v>4124</v>
      </c>
      <c r="E34" s="17" t="s">
        <v>5056</v>
      </c>
      <c r="F34" s="18">
        <v>885</v>
      </c>
      <c r="G34" s="18">
        <v>0</v>
      </c>
      <c r="H34" s="18">
        <v>519085.47</v>
      </c>
    </row>
    <row r="35" spans="1:8">
      <c r="A35" s="15" t="s">
        <v>11822</v>
      </c>
      <c r="B35" s="16" t="s">
        <v>11518</v>
      </c>
      <c r="C35" s="16" t="s">
        <v>11518</v>
      </c>
      <c r="D35" s="17" t="s">
        <v>4124</v>
      </c>
      <c r="E35" s="17" t="s">
        <v>1590</v>
      </c>
      <c r="F35" s="18">
        <v>0</v>
      </c>
      <c r="G35" s="18">
        <v>588</v>
      </c>
      <c r="H35" s="18">
        <v>519673.47</v>
      </c>
    </row>
    <row r="36" spans="1:8">
      <c r="A36" s="15" t="s">
        <v>11517</v>
      </c>
      <c r="B36" s="16" t="s">
        <v>11518</v>
      </c>
      <c r="C36" s="16" t="s">
        <v>11518</v>
      </c>
      <c r="D36" s="17" t="s">
        <v>4124</v>
      </c>
      <c r="E36" s="17" t="s">
        <v>5057</v>
      </c>
      <c r="F36" s="18">
        <v>930</v>
      </c>
      <c r="G36" s="18">
        <v>0</v>
      </c>
      <c r="H36" s="18">
        <v>518743.47</v>
      </c>
    </row>
    <row r="37" spans="1:8">
      <c r="A37" s="15" t="s">
        <v>11825</v>
      </c>
      <c r="B37" s="16" t="s">
        <v>12038</v>
      </c>
      <c r="C37" s="16" t="s">
        <v>12038</v>
      </c>
      <c r="D37" s="17" t="s">
        <v>12039</v>
      </c>
      <c r="E37" s="17" t="s">
        <v>1538</v>
      </c>
      <c r="F37" s="18">
        <v>35943.35</v>
      </c>
      <c r="G37" s="18">
        <v>0</v>
      </c>
      <c r="H37" s="18">
        <v>482800.12</v>
      </c>
    </row>
    <row r="38" spans="1:8">
      <c r="A38" s="15" t="s">
        <v>11615</v>
      </c>
      <c r="B38" s="16" t="s">
        <v>12040</v>
      </c>
      <c r="C38" s="16" t="s">
        <v>12040</v>
      </c>
      <c r="D38" s="17" t="s">
        <v>4124</v>
      </c>
      <c r="E38" s="17" t="s">
        <v>1404</v>
      </c>
      <c r="F38" s="18">
        <v>0</v>
      </c>
      <c r="G38" s="18">
        <v>86080</v>
      </c>
      <c r="H38" s="18">
        <v>568880.12</v>
      </c>
    </row>
    <row r="39" spans="1:8">
      <c r="A39" s="15" t="s">
        <v>11618</v>
      </c>
      <c r="B39" s="16" t="s">
        <v>12041</v>
      </c>
      <c r="C39" s="16" t="s">
        <v>12041</v>
      </c>
      <c r="D39" s="17" t="s">
        <v>4124</v>
      </c>
      <c r="E39" s="17" t="s">
        <v>5058</v>
      </c>
      <c r="F39" s="18">
        <v>0</v>
      </c>
      <c r="G39" s="18">
        <v>53807</v>
      </c>
      <c r="H39" s="18">
        <v>622687.12</v>
      </c>
    </row>
    <row r="40" spans="1:8">
      <c r="A40" s="15" t="s">
        <v>11621</v>
      </c>
      <c r="B40" s="16" t="s">
        <v>12042</v>
      </c>
      <c r="C40" s="16" t="s">
        <v>12042</v>
      </c>
      <c r="D40" s="17" t="s">
        <v>4124</v>
      </c>
      <c r="E40" s="17" t="s">
        <v>5059</v>
      </c>
      <c r="F40" s="18">
        <v>0</v>
      </c>
      <c r="G40" s="18">
        <v>4003</v>
      </c>
      <c r="H40" s="18">
        <v>626690.12</v>
      </c>
    </row>
    <row r="41" spans="1:8">
      <c r="A41" s="15" t="s">
        <v>11519</v>
      </c>
      <c r="B41" s="16" t="s">
        <v>11520</v>
      </c>
      <c r="C41" s="16" t="s">
        <v>11520</v>
      </c>
      <c r="D41" s="17" t="s">
        <v>4124</v>
      </c>
      <c r="E41" s="17" t="s">
        <v>5060</v>
      </c>
      <c r="F41" s="18">
        <v>5000</v>
      </c>
      <c r="G41" s="18">
        <v>0</v>
      </c>
      <c r="H41" s="18">
        <v>621690.12</v>
      </c>
    </row>
    <row r="42" spans="1:8">
      <c r="A42" s="15" t="s">
        <v>11521</v>
      </c>
      <c r="B42" s="16" t="s">
        <v>11520</v>
      </c>
      <c r="C42" s="16" t="s">
        <v>11520</v>
      </c>
      <c r="D42" s="17" t="s">
        <v>4124</v>
      </c>
      <c r="E42" s="17" t="s">
        <v>5061</v>
      </c>
      <c r="F42" s="18">
        <v>5000</v>
      </c>
      <c r="G42" s="18">
        <v>0</v>
      </c>
      <c r="H42" s="18">
        <v>616690.12</v>
      </c>
    </row>
    <row r="43" spans="1:8">
      <c r="A43" s="15" t="s">
        <v>11522</v>
      </c>
      <c r="B43" s="16" t="s">
        <v>11520</v>
      </c>
      <c r="C43" s="16" t="s">
        <v>11520</v>
      </c>
      <c r="D43" s="17" t="s">
        <v>4124</v>
      </c>
      <c r="E43" s="17" t="s">
        <v>5062</v>
      </c>
      <c r="F43" s="18">
        <v>10000</v>
      </c>
      <c r="G43" s="18">
        <v>0</v>
      </c>
      <c r="H43" s="18">
        <v>606690.12</v>
      </c>
    </row>
    <row r="44" spans="1:8">
      <c r="A44" s="15" t="s">
        <v>11623</v>
      </c>
      <c r="B44" s="16" t="s">
        <v>12043</v>
      </c>
      <c r="C44" s="16" t="s">
        <v>12043</v>
      </c>
      <c r="D44" s="17" t="s">
        <v>4124</v>
      </c>
      <c r="E44" s="17" t="s">
        <v>5063</v>
      </c>
      <c r="F44" s="18">
        <v>0</v>
      </c>
      <c r="G44" s="18">
        <v>7255</v>
      </c>
      <c r="H44" s="18">
        <v>613945.12</v>
      </c>
    </row>
    <row r="45" spans="1:8">
      <c r="A45" s="15" t="s">
        <v>11523</v>
      </c>
      <c r="B45" s="16" t="s">
        <v>11524</v>
      </c>
      <c r="C45" s="16" t="s">
        <v>11524</v>
      </c>
      <c r="D45" s="17" t="s">
        <v>4124</v>
      </c>
      <c r="E45" s="17" t="s">
        <v>11494</v>
      </c>
      <c r="F45" s="18">
        <v>7283</v>
      </c>
      <c r="G45" s="18">
        <v>0</v>
      </c>
      <c r="H45" s="18">
        <v>606662.12</v>
      </c>
    </row>
    <row r="46" spans="1:8">
      <c r="A46" s="15" t="s">
        <v>11627</v>
      </c>
      <c r="B46" s="16" t="s">
        <v>11524</v>
      </c>
      <c r="C46" s="16" t="s">
        <v>11524</v>
      </c>
      <c r="D46" s="17" t="s">
        <v>4124</v>
      </c>
      <c r="E46" s="17" t="s">
        <v>1443</v>
      </c>
      <c r="F46" s="18">
        <v>0</v>
      </c>
      <c r="G46" s="18">
        <v>695.53</v>
      </c>
      <c r="H46" s="18">
        <v>607357.65</v>
      </c>
    </row>
    <row r="47" spans="1:8">
      <c r="A47" s="15" t="s">
        <v>11704</v>
      </c>
      <c r="B47" s="16" t="s">
        <v>12044</v>
      </c>
      <c r="C47" s="16" t="s">
        <v>12044</v>
      </c>
      <c r="D47" s="17" t="s">
        <v>4124</v>
      </c>
      <c r="E47" s="17" t="s">
        <v>5064</v>
      </c>
      <c r="F47" s="18">
        <v>0</v>
      </c>
      <c r="G47" s="18">
        <v>881</v>
      </c>
      <c r="H47" s="18">
        <v>608238.65</v>
      </c>
    </row>
    <row r="48" spans="1:8">
      <c r="A48" s="15" t="s">
        <v>11525</v>
      </c>
      <c r="B48" s="16" t="s">
        <v>11526</v>
      </c>
      <c r="C48" s="16" t="s">
        <v>11526</v>
      </c>
      <c r="D48" s="17" t="s">
        <v>11527</v>
      </c>
      <c r="E48" s="17" t="s">
        <v>5065</v>
      </c>
      <c r="F48" s="18">
        <v>3000</v>
      </c>
      <c r="G48" s="18">
        <v>0</v>
      </c>
      <c r="H48" s="18">
        <v>605238.65</v>
      </c>
    </row>
    <row r="49" spans="1:8">
      <c r="A49" s="15" t="s">
        <v>11706</v>
      </c>
      <c r="B49" s="16" t="s">
        <v>12045</v>
      </c>
      <c r="C49" s="16" t="s">
        <v>12045</v>
      </c>
      <c r="D49" s="17" t="s">
        <v>4124</v>
      </c>
      <c r="E49" s="17" t="s">
        <v>5066</v>
      </c>
      <c r="F49" s="18">
        <v>5612</v>
      </c>
      <c r="G49" s="18">
        <v>0</v>
      </c>
      <c r="H49" s="18">
        <v>599626.65</v>
      </c>
    </row>
    <row r="50" spans="1:8">
      <c r="A50" s="15" t="s">
        <v>11528</v>
      </c>
      <c r="B50" s="16" t="s">
        <v>11529</v>
      </c>
      <c r="C50" s="16" t="s">
        <v>11529</v>
      </c>
      <c r="D50" s="17" t="s">
        <v>4124</v>
      </c>
      <c r="E50" s="17" t="s">
        <v>5067</v>
      </c>
      <c r="F50" s="18">
        <v>4196</v>
      </c>
      <c r="G50" s="18">
        <v>0</v>
      </c>
      <c r="H50" s="18">
        <v>595430.65</v>
      </c>
    </row>
    <row r="51" spans="1:8">
      <c r="A51" s="15" t="s">
        <v>11834</v>
      </c>
      <c r="B51" s="16" t="s">
        <v>12046</v>
      </c>
      <c r="C51" s="16" t="s">
        <v>12046</v>
      </c>
      <c r="D51" s="17" t="s">
        <v>4124</v>
      </c>
      <c r="E51" s="17" t="s">
        <v>5068</v>
      </c>
      <c r="F51" s="18">
        <v>14059.85</v>
      </c>
      <c r="G51" s="18">
        <v>0</v>
      </c>
      <c r="H51" s="18">
        <v>581370.80000000005</v>
      </c>
    </row>
    <row r="52" spans="1:8">
      <c r="A52" s="15" t="s">
        <v>11530</v>
      </c>
      <c r="B52" s="16" t="s">
        <v>11531</v>
      </c>
      <c r="C52" s="16" t="s">
        <v>11531</v>
      </c>
      <c r="D52" s="17" t="s">
        <v>4124</v>
      </c>
      <c r="E52" s="17" t="s">
        <v>5069</v>
      </c>
      <c r="F52" s="18">
        <v>885</v>
      </c>
      <c r="G52" s="18">
        <v>0</v>
      </c>
      <c r="H52" s="18">
        <v>580485.80000000005</v>
      </c>
    </row>
    <row r="53" spans="1:8">
      <c r="A53" s="15" t="s">
        <v>11532</v>
      </c>
      <c r="B53" s="16" t="s">
        <v>11531</v>
      </c>
      <c r="C53" s="16" t="s">
        <v>11531</v>
      </c>
      <c r="D53" s="17" t="s">
        <v>4124</v>
      </c>
      <c r="E53" s="17" t="s">
        <v>5070</v>
      </c>
      <c r="F53" s="18">
        <v>936</v>
      </c>
      <c r="G53" s="18">
        <v>0</v>
      </c>
      <c r="H53" s="18">
        <v>579549.80000000005</v>
      </c>
    </row>
    <row r="54" spans="1:8">
      <c r="A54" s="15" t="s">
        <v>11633</v>
      </c>
      <c r="B54" s="16" t="s">
        <v>11531</v>
      </c>
      <c r="C54" s="16" t="s">
        <v>11531</v>
      </c>
      <c r="D54" s="17" t="s">
        <v>12047</v>
      </c>
      <c r="E54" s="17" t="s">
        <v>5071</v>
      </c>
      <c r="F54" s="18">
        <v>100000</v>
      </c>
      <c r="G54" s="18">
        <v>0</v>
      </c>
      <c r="H54" s="18">
        <v>479549.8</v>
      </c>
    </row>
    <row r="55" spans="1:8">
      <c r="A55" s="15" t="s">
        <v>11636</v>
      </c>
      <c r="B55" s="16" t="s">
        <v>12048</v>
      </c>
      <c r="C55" s="16" t="s">
        <v>12048</v>
      </c>
      <c r="D55" s="17" t="s">
        <v>4124</v>
      </c>
      <c r="E55" s="17" t="s">
        <v>1404</v>
      </c>
      <c r="F55" s="18">
        <v>0</v>
      </c>
      <c r="G55" s="18">
        <v>89535</v>
      </c>
      <c r="H55" s="18">
        <v>569084.80000000005</v>
      </c>
    </row>
    <row r="56" spans="1:8">
      <c r="A56" s="15" t="s">
        <v>11638</v>
      </c>
      <c r="B56" s="16" t="s">
        <v>12049</v>
      </c>
      <c r="C56" s="16" t="s">
        <v>12049</v>
      </c>
      <c r="D56" s="17" t="s">
        <v>12050</v>
      </c>
      <c r="E56" s="17" t="s">
        <v>5072</v>
      </c>
      <c r="F56" s="18">
        <v>5468</v>
      </c>
      <c r="G56" s="18">
        <v>0</v>
      </c>
      <c r="H56" s="18">
        <v>563616.80000000005</v>
      </c>
    </row>
    <row r="57" spans="1:8">
      <c r="A57" s="15" t="s">
        <v>11533</v>
      </c>
      <c r="B57" s="16" t="s">
        <v>11534</v>
      </c>
      <c r="C57" s="16" t="s">
        <v>11534</v>
      </c>
      <c r="D57" s="17" t="s">
        <v>11535</v>
      </c>
      <c r="E57" s="17" t="s">
        <v>5073</v>
      </c>
      <c r="F57" s="18">
        <v>7500</v>
      </c>
      <c r="G57" s="18">
        <v>0</v>
      </c>
      <c r="H57" s="18">
        <v>556116.80000000005</v>
      </c>
    </row>
    <row r="58" spans="1:8">
      <c r="A58" s="15" t="s">
        <v>11714</v>
      </c>
      <c r="B58" s="16" t="s">
        <v>11534</v>
      </c>
      <c r="C58" s="16" t="s">
        <v>11534</v>
      </c>
      <c r="D58" s="17" t="s">
        <v>12051</v>
      </c>
      <c r="E58" s="17" t="s">
        <v>1809</v>
      </c>
      <c r="F58" s="18">
        <v>11030</v>
      </c>
      <c r="G58" s="18">
        <v>0</v>
      </c>
      <c r="H58" s="18">
        <v>545086.80000000005</v>
      </c>
    </row>
    <row r="59" spans="1:8">
      <c r="A59" s="15" t="s">
        <v>11536</v>
      </c>
      <c r="B59" s="16" t="s">
        <v>11537</v>
      </c>
      <c r="C59" s="16" t="s">
        <v>11537</v>
      </c>
      <c r="D59" s="17" t="s">
        <v>4124</v>
      </c>
      <c r="E59" s="17" t="s">
        <v>11494</v>
      </c>
      <c r="F59" s="18">
        <v>18426.82</v>
      </c>
      <c r="G59" s="18">
        <v>0</v>
      </c>
      <c r="H59" s="18">
        <v>526659.98</v>
      </c>
    </row>
    <row r="60" spans="1:8">
      <c r="A60" s="15" t="s">
        <v>11839</v>
      </c>
      <c r="B60" s="16" t="s">
        <v>12052</v>
      </c>
      <c r="C60" s="16" t="s">
        <v>12052</v>
      </c>
      <c r="D60" s="17" t="s">
        <v>4124</v>
      </c>
      <c r="E60" s="17" t="s">
        <v>5074</v>
      </c>
      <c r="F60" s="18">
        <v>0</v>
      </c>
      <c r="G60" s="18">
        <v>36606</v>
      </c>
      <c r="H60" s="18">
        <v>563265.98</v>
      </c>
    </row>
    <row r="61" spans="1:8">
      <c r="A61" s="15" t="s">
        <v>11640</v>
      </c>
      <c r="B61" s="16" t="s">
        <v>12052</v>
      </c>
      <c r="C61" s="16" t="s">
        <v>12052</v>
      </c>
      <c r="D61" s="17" t="s">
        <v>4124</v>
      </c>
      <c r="E61" s="17" t="s">
        <v>1414</v>
      </c>
      <c r="F61" s="18">
        <v>0</v>
      </c>
      <c r="G61" s="18">
        <v>881</v>
      </c>
      <c r="H61" s="18">
        <v>564146.98</v>
      </c>
    </row>
    <row r="62" spans="1:8">
      <c r="A62" s="15" t="s">
        <v>11538</v>
      </c>
      <c r="B62" s="16" t="s">
        <v>11539</v>
      </c>
      <c r="C62" s="16" t="s">
        <v>11539</v>
      </c>
      <c r="D62" s="17" t="s">
        <v>11540</v>
      </c>
      <c r="E62" s="17" t="s">
        <v>1630</v>
      </c>
      <c r="F62" s="18">
        <v>3000</v>
      </c>
      <c r="G62" s="18">
        <v>0</v>
      </c>
      <c r="H62" s="18">
        <v>561146.98</v>
      </c>
    </row>
    <row r="63" spans="1:8">
      <c r="A63" s="15" t="s">
        <v>11642</v>
      </c>
      <c r="B63" s="16" t="s">
        <v>12053</v>
      </c>
      <c r="C63" s="16" t="s">
        <v>12053</v>
      </c>
      <c r="D63" s="17" t="s">
        <v>4124</v>
      </c>
      <c r="E63" s="17" t="s">
        <v>5075</v>
      </c>
      <c r="F63" s="18">
        <v>15446.85</v>
      </c>
      <c r="G63" s="18">
        <v>0</v>
      </c>
      <c r="H63" s="18">
        <v>545700.13</v>
      </c>
    </row>
    <row r="64" spans="1:8">
      <c r="A64" s="15" t="s">
        <v>11645</v>
      </c>
      <c r="B64" s="16" t="s">
        <v>12054</v>
      </c>
      <c r="C64" s="16" t="s">
        <v>12054</v>
      </c>
      <c r="D64" s="17" t="s">
        <v>4124</v>
      </c>
      <c r="E64" s="17" t="s">
        <v>1453</v>
      </c>
      <c r="F64" s="18">
        <v>0</v>
      </c>
      <c r="G64" s="18">
        <v>881</v>
      </c>
      <c r="H64" s="18">
        <v>546581.13</v>
      </c>
    </row>
    <row r="65" spans="1:8">
      <c r="A65" s="15" t="s">
        <v>11718</v>
      </c>
      <c r="B65" s="16" t="s">
        <v>12055</v>
      </c>
      <c r="C65" s="16" t="s">
        <v>12055</v>
      </c>
      <c r="D65" s="17" t="s">
        <v>4124</v>
      </c>
      <c r="E65" s="17" t="s">
        <v>1404</v>
      </c>
      <c r="F65" s="18">
        <v>0</v>
      </c>
      <c r="G65" s="18">
        <v>86080</v>
      </c>
      <c r="H65" s="18">
        <v>632661.13</v>
      </c>
    </row>
    <row r="66" spans="1:8">
      <c r="A66" s="15" t="s">
        <v>11541</v>
      </c>
      <c r="B66" s="16" t="s">
        <v>11542</v>
      </c>
      <c r="C66" s="16" t="s">
        <v>11542</v>
      </c>
      <c r="D66" s="17" t="s">
        <v>4124</v>
      </c>
      <c r="E66" s="17" t="s">
        <v>11494</v>
      </c>
      <c r="F66" s="18">
        <v>799</v>
      </c>
      <c r="G66" s="18">
        <v>0</v>
      </c>
      <c r="H66" s="18">
        <v>631862.13</v>
      </c>
    </row>
    <row r="67" spans="1:8">
      <c r="A67" s="15" t="s">
        <v>11543</v>
      </c>
      <c r="B67" s="16" t="s">
        <v>11544</v>
      </c>
      <c r="C67" s="16" t="s">
        <v>11544</v>
      </c>
      <c r="D67" s="17" t="s">
        <v>11545</v>
      </c>
      <c r="E67" s="17" t="s">
        <v>1630</v>
      </c>
      <c r="F67" s="18">
        <v>3000</v>
      </c>
      <c r="G67" s="18">
        <v>0</v>
      </c>
      <c r="H67" s="18">
        <v>628862.13</v>
      </c>
    </row>
    <row r="68" spans="1:8">
      <c r="A68" s="15" t="s">
        <v>11720</v>
      </c>
      <c r="B68" s="16" t="s">
        <v>12056</v>
      </c>
      <c r="C68" s="16" t="s">
        <v>12056</v>
      </c>
      <c r="D68" s="17" t="s">
        <v>4124</v>
      </c>
      <c r="E68" s="17" t="s">
        <v>5076</v>
      </c>
      <c r="F68" s="18">
        <v>0</v>
      </c>
      <c r="G68" s="18">
        <v>530094</v>
      </c>
      <c r="H68" s="18">
        <v>1158956.1299999999</v>
      </c>
    </row>
    <row r="69" spans="1:8">
      <c r="A69" s="15" t="s">
        <v>11648</v>
      </c>
      <c r="B69" s="16" t="s">
        <v>12057</v>
      </c>
      <c r="C69" s="16" t="s">
        <v>12057</v>
      </c>
      <c r="D69" s="17" t="s">
        <v>4124</v>
      </c>
      <c r="E69" s="17" t="s">
        <v>5077</v>
      </c>
      <c r="F69" s="18">
        <v>56105.45</v>
      </c>
      <c r="G69" s="18">
        <v>0</v>
      </c>
      <c r="H69" s="18">
        <v>1102850.68</v>
      </c>
    </row>
    <row r="70" spans="1:8">
      <c r="A70" s="15" t="s">
        <v>11546</v>
      </c>
      <c r="B70" s="16" t="s">
        <v>11547</v>
      </c>
      <c r="C70" s="16" t="s">
        <v>11548</v>
      </c>
      <c r="D70" s="17" t="s">
        <v>4124</v>
      </c>
      <c r="E70" s="17" t="s">
        <v>5078</v>
      </c>
      <c r="F70" s="18">
        <v>15000</v>
      </c>
      <c r="G70" s="18">
        <v>0</v>
      </c>
      <c r="H70" s="18">
        <v>1087850.68</v>
      </c>
    </row>
    <row r="71" spans="1:8">
      <c r="A71" s="15" t="s">
        <v>11651</v>
      </c>
      <c r="B71" s="16" t="s">
        <v>12058</v>
      </c>
      <c r="C71" s="16" t="s">
        <v>12058</v>
      </c>
      <c r="D71" s="17" t="s">
        <v>12059</v>
      </c>
      <c r="E71" s="17" t="s">
        <v>5079</v>
      </c>
      <c r="F71" s="18">
        <v>656431</v>
      </c>
      <c r="G71" s="18">
        <v>0</v>
      </c>
      <c r="H71" s="18">
        <v>431419.68</v>
      </c>
    </row>
    <row r="72" spans="1:8">
      <c r="A72" s="15" t="s">
        <v>11653</v>
      </c>
      <c r="B72" s="16" t="s">
        <v>12060</v>
      </c>
      <c r="C72" s="16" t="s">
        <v>12060</v>
      </c>
      <c r="D72" s="17" t="s">
        <v>4124</v>
      </c>
      <c r="E72" s="17" t="s">
        <v>5080</v>
      </c>
      <c r="F72" s="18">
        <v>0</v>
      </c>
      <c r="G72" s="18">
        <v>50754</v>
      </c>
      <c r="H72" s="18">
        <v>482173.68</v>
      </c>
    </row>
    <row r="73" spans="1:8">
      <c r="A73" s="15" t="s">
        <v>11654</v>
      </c>
      <c r="B73" s="16" t="s">
        <v>12060</v>
      </c>
      <c r="C73" s="16" t="s">
        <v>12060</v>
      </c>
      <c r="D73" s="17" t="s">
        <v>4124</v>
      </c>
      <c r="E73" s="17" t="s">
        <v>1404</v>
      </c>
      <c r="F73" s="18">
        <v>0</v>
      </c>
      <c r="G73" s="18">
        <v>86080</v>
      </c>
      <c r="H73" s="18">
        <v>568253.68000000005</v>
      </c>
    </row>
    <row r="74" spans="1:8">
      <c r="A74" s="15" t="s">
        <v>11549</v>
      </c>
      <c r="B74" s="16" t="s">
        <v>11550</v>
      </c>
      <c r="C74" s="16" t="s">
        <v>11550</v>
      </c>
      <c r="D74" s="17" t="s">
        <v>11551</v>
      </c>
      <c r="E74" s="17" t="s">
        <v>5081</v>
      </c>
      <c r="F74" s="18">
        <v>3000</v>
      </c>
      <c r="G74" s="18">
        <v>0</v>
      </c>
      <c r="H74" s="18">
        <v>565253.68000000005</v>
      </c>
    </row>
    <row r="75" spans="1:8">
      <c r="A75" s="15" t="s">
        <v>11552</v>
      </c>
      <c r="B75" s="16" t="s">
        <v>11553</v>
      </c>
      <c r="C75" s="16" t="s">
        <v>11553</v>
      </c>
      <c r="D75" s="17" t="s">
        <v>4124</v>
      </c>
      <c r="E75" s="17" t="s">
        <v>11494</v>
      </c>
      <c r="F75" s="18">
        <v>16147.46</v>
      </c>
      <c r="G75" s="18">
        <v>0</v>
      </c>
      <c r="H75" s="18">
        <v>549106.22</v>
      </c>
    </row>
    <row r="76" spans="1:8">
      <c r="A76" s="15" t="s">
        <v>11554</v>
      </c>
      <c r="B76" s="16" t="s">
        <v>11555</v>
      </c>
      <c r="C76" s="16" t="s">
        <v>11555</v>
      </c>
      <c r="D76" s="17" t="s">
        <v>4124</v>
      </c>
      <c r="E76" s="17" t="s">
        <v>5082</v>
      </c>
      <c r="F76" s="18">
        <v>10000</v>
      </c>
      <c r="G76" s="18">
        <v>0</v>
      </c>
      <c r="H76" s="18">
        <v>539106.22</v>
      </c>
    </row>
    <row r="77" spans="1:8">
      <c r="A77" s="15" t="s">
        <v>11657</v>
      </c>
      <c r="B77" s="16" t="s">
        <v>12061</v>
      </c>
      <c r="C77" s="16" t="s">
        <v>12061</v>
      </c>
      <c r="D77" s="17" t="s">
        <v>4124</v>
      </c>
      <c r="E77" s="17" t="s">
        <v>5083</v>
      </c>
      <c r="F77" s="18">
        <v>1220.49</v>
      </c>
      <c r="G77" s="18">
        <v>0</v>
      </c>
      <c r="H77" s="18">
        <v>537885.73</v>
      </c>
    </row>
    <row r="78" spans="1:8">
      <c r="A78" s="15" t="s">
        <v>12062</v>
      </c>
      <c r="B78" s="16" t="s">
        <v>12061</v>
      </c>
      <c r="C78" s="16" t="s">
        <v>12061</v>
      </c>
      <c r="D78" s="17" t="s">
        <v>4124</v>
      </c>
      <c r="E78" s="17" t="s">
        <v>5084</v>
      </c>
      <c r="F78" s="18">
        <v>30430</v>
      </c>
      <c r="G78" s="18">
        <v>0</v>
      </c>
      <c r="H78" s="18">
        <v>507455.73</v>
      </c>
    </row>
    <row r="79" spans="1:8">
      <c r="A79" s="15" t="s">
        <v>11659</v>
      </c>
      <c r="B79" s="16" t="s">
        <v>12063</v>
      </c>
      <c r="C79" s="16" t="s">
        <v>12063</v>
      </c>
      <c r="D79" s="17" t="s">
        <v>4124</v>
      </c>
      <c r="E79" s="17" t="s">
        <v>1467</v>
      </c>
      <c r="F79" s="18">
        <v>0</v>
      </c>
      <c r="G79" s="18">
        <v>91777</v>
      </c>
      <c r="H79" s="18">
        <v>599232.73</v>
      </c>
    </row>
    <row r="80" spans="1:8">
      <c r="A80" s="15" t="s">
        <v>11661</v>
      </c>
      <c r="B80" s="16" t="s">
        <v>12064</v>
      </c>
      <c r="C80" s="16" t="s">
        <v>12065</v>
      </c>
      <c r="D80" s="17" t="s">
        <v>4124</v>
      </c>
      <c r="E80" s="17" t="s">
        <v>5085</v>
      </c>
      <c r="F80" s="18">
        <v>3210</v>
      </c>
      <c r="G80" s="18">
        <v>0</v>
      </c>
      <c r="H80" s="18">
        <v>596022.73</v>
      </c>
    </row>
    <row r="81" spans="1:8">
      <c r="A81" s="15" t="s">
        <v>11765</v>
      </c>
      <c r="B81" s="16" t="s">
        <v>11557</v>
      </c>
      <c r="C81" s="16" t="s">
        <v>11557</v>
      </c>
      <c r="D81" s="17" t="s">
        <v>12066</v>
      </c>
      <c r="E81" s="17" t="s">
        <v>5086</v>
      </c>
      <c r="F81" s="18">
        <v>20000</v>
      </c>
      <c r="G81" s="18">
        <v>0</v>
      </c>
      <c r="H81" s="18">
        <v>576022.73</v>
      </c>
    </row>
    <row r="82" spans="1:8">
      <c r="A82" s="15" t="s">
        <v>11556</v>
      </c>
      <c r="B82" s="16" t="s">
        <v>11557</v>
      </c>
      <c r="C82" s="16" t="s">
        <v>11557</v>
      </c>
      <c r="D82" s="17" t="s">
        <v>4124</v>
      </c>
      <c r="E82" s="17" t="s">
        <v>11494</v>
      </c>
      <c r="F82" s="18">
        <v>28205.82</v>
      </c>
      <c r="G82" s="18">
        <v>0</v>
      </c>
      <c r="H82" s="18">
        <v>547816.91</v>
      </c>
    </row>
    <row r="83" spans="1:8">
      <c r="A83" s="15" t="s">
        <v>11558</v>
      </c>
      <c r="B83" s="16" t="s">
        <v>11559</v>
      </c>
      <c r="C83" s="16" t="s">
        <v>11560</v>
      </c>
      <c r="D83" s="17" t="s">
        <v>4124</v>
      </c>
      <c r="E83" s="17" t="s">
        <v>5087</v>
      </c>
      <c r="F83" s="18">
        <v>618</v>
      </c>
      <c r="G83" s="18">
        <v>0</v>
      </c>
      <c r="H83" s="18">
        <v>547198.91</v>
      </c>
    </row>
    <row r="84" spans="1:8">
      <c r="A84" s="15" t="s">
        <v>11662</v>
      </c>
      <c r="B84" s="16" t="s">
        <v>12067</v>
      </c>
      <c r="C84" s="16" t="s">
        <v>12067</v>
      </c>
      <c r="D84" s="17" t="s">
        <v>4124</v>
      </c>
      <c r="E84" s="17" t="s">
        <v>1453</v>
      </c>
      <c r="F84" s="18">
        <v>0</v>
      </c>
      <c r="G84" s="18">
        <v>1499</v>
      </c>
      <c r="H84" s="18">
        <v>548697.91</v>
      </c>
    </row>
    <row r="85" spans="1:8">
      <c r="A85" s="15" t="s">
        <v>11726</v>
      </c>
      <c r="B85" s="16" t="s">
        <v>12068</v>
      </c>
      <c r="C85" s="16" t="s">
        <v>12069</v>
      </c>
      <c r="D85" s="17" t="s">
        <v>4124</v>
      </c>
      <c r="E85" s="17" t="s">
        <v>5088</v>
      </c>
      <c r="F85" s="18">
        <v>8192.81</v>
      </c>
      <c r="G85" s="18">
        <v>0</v>
      </c>
      <c r="H85" s="18">
        <v>540505.1</v>
      </c>
    </row>
    <row r="86" spans="1:8">
      <c r="A86" s="15" t="s">
        <v>11561</v>
      </c>
      <c r="B86" s="16" t="s">
        <v>11562</v>
      </c>
      <c r="C86" s="16" t="s">
        <v>11562</v>
      </c>
      <c r="D86" s="17" t="s">
        <v>4124</v>
      </c>
      <c r="E86" s="17" t="s">
        <v>5089</v>
      </c>
      <c r="F86" s="18">
        <v>20000</v>
      </c>
      <c r="G86" s="18">
        <v>0</v>
      </c>
      <c r="H86" s="18">
        <v>520505.1</v>
      </c>
    </row>
    <row r="87" spans="1:8">
      <c r="A87" s="15" t="s">
        <v>11563</v>
      </c>
      <c r="B87" s="16" t="s">
        <v>11564</v>
      </c>
      <c r="C87" s="16" t="s">
        <v>11564</v>
      </c>
      <c r="D87" s="17" t="s">
        <v>4124</v>
      </c>
      <c r="E87" s="17" t="s">
        <v>5090</v>
      </c>
      <c r="F87" s="18">
        <v>881</v>
      </c>
      <c r="G87" s="18">
        <v>0</v>
      </c>
      <c r="H87" s="18">
        <v>519624.1</v>
      </c>
    </row>
    <row r="88" spans="1:8">
      <c r="A88" s="15" t="s">
        <v>11565</v>
      </c>
      <c r="B88" s="16" t="s">
        <v>11566</v>
      </c>
      <c r="C88" s="16" t="s">
        <v>11566</v>
      </c>
      <c r="D88" s="17" t="s">
        <v>4124</v>
      </c>
      <c r="E88" s="17" t="s">
        <v>5091</v>
      </c>
      <c r="F88" s="18">
        <v>712</v>
      </c>
      <c r="G88" s="18">
        <v>0</v>
      </c>
      <c r="H88" s="18">
        <v>518912.1</v>
      </c>
    </row>
    <row r="89" spans="1:8">
      <c r="A89" s="15" t="s">
        <v>11567</v>
      </c>
      <c r="B89" s="16" t="s">
        <v>11566</v>
      </c>
      <c r="C89" s="16" t="s">
        <v>11566</v>
      </c>
      <c r="D89" s="17" t="s">
        <v>4124</v>
      </c>
      <c r="E89" s="17" t="s">
        <v>5092</v>
      </c>
      <c r="F89" s="18">
        <v>882</v>
      </c>
      <c r="G89" s="18">
        <v>0</v>
      </c>
      <c r="H89" s="18">
        <v>518030.1</v>
      </c>
    </row>
    <row r="90" spans="1:8">
      <c r="A90" s="15" t="s">
        <v>11667</v>
      </c>
      <c r="B90" s="16" t="s">
        <v>12070</v>
      </c>
      <c r="C90" s="16" t="s">
        <v>12070</v>
      </c>
      <c r="D90" s="17" t="s">
        <v>4124</v>
      </c>
      <c r="E90" s="17" t="s">
        <v>1404</v>
      </c>
      <c r="F90" s="18">
        <v>0</v>
      </c>
      <c r="G90" s="18">
        <v>84703</v>
      </c>
      <c r="H90" s="18">
        <v>602733.1</v>
      </c>
    </row>
    <row r="91" spans="1:8">
      <c r="A91" s="15" t="s">
        <v>11669</v>
      </c>
      <c r="B91" s="16" t="s">
        <v>12071</v>
      </c>
      <c r="C91" s="16" t="s">
        <v>12071</v>
      </c>
      <c r="D91" s="17" t="s">
        <v>12072</v>
      </c>
      <c r="E91" s="17" t="s">
        <v>5093</v>
      </c>
      <c r="F91" s="18">
        <v>10952.71</v>
      </c>
      <c r="G91" s="18">
        <v>0</v>
      </c>
      <c r="H91" s="18">
        <v>591780.39</v>
      </c>
    </row>
    <row r="92" spans="1:8">
      <c r="A92" s="15" t="s">
        <v>11773</v>
      </c>
      <c r="B92" s="16" t="s">
        <v>12071</v>
      </c>
      <c r="C92" s="16" t="s">
        <v>12071</v>
      </c>
      <c r="D92" s="17" t="s">
        <v>12073</v>
      </c>
      <c r="E92" s="17" t="s">
        <v>5079</v>
      </c>
      <c r="F92" s="18">
        <v>21148.05</v>
      </c>
      <c r="G92" s="18">
        <v>0</v>
      </c>
      <c r="H92" s="18">
        <v>570632.34</v>
      </c>
    </row>
    <row r="93" spans="1:8">
      <c r="A93" s="15" t="s">
        <v>11774</v>
      </c>
      <c r="B93" s="16" t="s">
        <v>12074</v>
      </c>
      <c r="C93" s="16" t="s">
        <v>12074</v>
      </c>
      <c r="D93" s="17" t="s">
        <v>4124</v>
      </c>
      <c r="E93" s="17" t="s">
        <v>1453</v>
      </c>
      <c r="F93" s="18">
        <v>0</v>
      </c>
      <c r="G93" s="18">
        <v>1763</v>
      </c>
      <c r="H93" s="18">
        <v>572395.34</v>
      </c>
    </row>
    <row r="94" spans="1:8">
      <c r="A94" s="15" t="s">
        <v>11568</v>
      </c>
      <c r="B94" s="16" t="s">
        <v>11569</v>
      </c>
      <c r="C94" s="16" t="s">
        <v>11569</v>
      </c>
      <c r="D94" s="17" t="s">
        <v>4124</v>
      </c>
      <c r="E94" s="17" t="s">
        <v>11494</v>
      </c>
      <c r="F94" s="18">
        <v>9052</v>
      </c>
      <c r="G94" s="18">
        <v>0</v>
      </c>
      <c r="H94" s="18">
        <v>563343.34</v>
      </c>
    </row>
    <row r="95" spans="1:8">
      <c r="A95" s="15" t="s">
        <v>11570</v>
      </c>
      <c r="B95" s="16" t="s">
        <v>11571</v>
      </c>
      <c r="C95" s="16" t="s">
        <v>11571</v>
      </c>
      <c r="D95" s="17" t="s">
        <v>4124</v>
      </c>
      <c r="E95" s="17" t="s">
        <v>5094</v>
      </c>
      <c r="F95" s="18">
        <v>349.64</v>
      </c>
      <c r="G95" s="18">
        <v>0</v>
      </c>
      <c r="H95" s="18">
        <v>562993.69999999995</v>
      </c>
    </row>
    <row r="96" spans="1:8">
      <c r="A96" s="15" t="s">
        <v>11670</v>
      </c>
      <c r="B96" s="16" t="s">
        <v>11573</v>
      </c>
      <c r="C96" s="16" t="s">
        <v>11573</v>
      </c>
      <c r="D96" s="17" t="s">
        <v>4124</v>
      </c>
      <c r="E96" s="17" t="s">
        <v>5095</v>
      </c>
      <c r="F96" s="18">
        <v>6317.77</v>
      </c>
      <c r="G96" s="18">
        <v>0</v>
      </c>
      <c r="H96" s="18">
        <v>556675.93000000005</v>
      </c>
    </row>
    <row r="97" spans="1:8">
      <c r="A97" s="15" t="s">
        <v>11572</v>
      </c>
      <c r="B97" s="16" t="s">
        <v>11573</v>
      </c>
      <c r="C97" s="16" t="s">
        <v>11573</v>
      </c>
      <c r="D97" s="17" t="s">
        <v>4124</v>
      </c>
      <c r="E97" s="17" t="s">
        <v>5096</v>
      </c>
      <c r="F97" s="18">
        <v>881</v>
      </c>
      <c r="G97" s="18">
        <v>0</v>
      </c>
      <c r="H97" s="18">
        <v>555794.93000000005</v>
      </c>
    </row>
    <row r="98" spans="1:8">
      <c r="A98" s="15" t="s">
        <v>11574</v>
      </c>
      <c r="B98" s="16" t="s">
        <v>11573</v>
      </c>
      <c r="C98" s="16" t="s">
        <v>11573</v>
      </c>
      <c r="D98" s="17" t="s">
        <v>4124</v>
      </c>
      <c r="E98" s="17" t="s">
        <v>5097</v>
      </c>
      <c r="F98" s="18">
        <v>881</v>
      </c>
      <c r="G98" s="18">
        <v>0</v>
      </c>
      <c r="H98" s="18">
        <v>554913.93000000005</v>
      </c>
    </row>
    <row r="99" spans="1:8">
      <c r="A99" s="15" t="s">
        <v>11575</v>
      </c>
      <c r="B99" s="16" t="s">
        <v>11573</v>
      </c>
      <c r="C99" s="16" t="s">
        <v>11573</v>
      </c>
      <c r="D99" s="17" t="s">
        <v>4124</v>
      </c>
      <c r="E99" s="17" t="s">
        <v>5098</v>
      </c>
      <c r="F99" s="18">
        <v>10000</v>
      </c>
      <c r="G99" s="18">
        <v>0</v>
      </c>
      <c r="H99" s="18">
        <v>544913.93000000005</v>
      </c>
    </row>
    <row r="100" spans="1:8">
      <c r="A100" s="15" t="s">
        <v>11576</v>
      </c>
      <c r="B100" s="16" t="s">
        <v>11573</v>
      </c>
      <c r="C100" s="16" t="s">
        <v>11573</v>
      </c>
      <c r="D100" s="17" t="s">
        <v>4124</v>
      </c>
      <c r="E100" s="17" t="s">
        <v>5099</v>
      </c>
      <c r="F100" s="18">
        <v>15000</v>
      </c>
      <c r="G100" s="18">
        <v>0</v>
      </c>
      <c r="H100" s="18">
        <v>529913.93000000005</v>
      </c>
    </row>
    <row r="101" spans="1:8">
      <c r="A101" s="15" t="s">
        <v>11577</v>
      </c>
      <c r="B101" s="16" t="s">
        <v>11578</v>
      </c>
      <c r="C101" s="16" t="s">
        <v>11578</v>
      </c>
      <c r="D101" s="17" t="s">
        <v>11579</v>
      </c>
      <c r="E101" s="17" t="s">
        <v>1630</v>
      </c>
      <c r="F101" s="18">
        <v>6000</v>
      </c>
      <c r="G101" s="18">
        <v>0</v>
      </c>
      <c r="H101" s="18">
        <v>523913.93</v>
      </c>
    </row>
    <row r="102" spans="1:8">
      <c r="A102" s="15" t="s">
        <v>11969</v>
      </c>
      <c r="B102" s="16" t="s">
        <v>12075</v>
      </c>
      <c r="C102" s="16" t="s">
        <v>12075</v>
      </c>
      <c r="D102" s="17" t="s">
        <v>12076</v>
      </c>
      <c r="E102" s="17" t="s">
        <v>1481</v>
      </c>
      <c r="F102" s="18">
        <v>2475.1</v>
      </c>
      <c r="G102" s="18">
        <v>0</v>
      </c>
      <c r="H102" s="18">
        <v>521438.83</v>
      </c>
    </row>
    <row r="103" spans="1:8">
      <c r="A103" s="15" t="s">
        <v>11971</v>
      </c>
      <c r="B103" s="16" t="s">
        <v>12077</v>
      </c>
      <c r="C103" s="16" t="s">
        <v>12077</v>
      </c>
      <c r="D103" s="17" t="s">
        <v>4124</v>
      </c>
      <c r="E103" s="17" t="s">
        <v>1404</v>
      </c>
      <c r="F103" s="18">
        <v>0</v>
      </c>
      <c r="G103" s="18">
        <v>84702</v>
      </c>
      <c r="H103" s="18">
        <v>606140.82999999996</v>
      </c>
    </row>
    <row r="104" spans="1:8">
      <c r="A104" s="15" t="s">
        <v>12078</v>
      </c>
      <c r="B104" s="16" t="s">
        <v>12079</v>
      </c>
      <c r="C104" s="16" t="s">
        <v>12079</v>
      </c>
      <c r="D104" s="17" t="s">
        <v>4124</v>
      </c>
      <c r="E104" s="17" t="s">
        <v>5100</v>
      </c>
      <c r="F104" s="18">
        <v>59138</v>
      </c>
      <c r="G104" s="18">
        <v>0</v>
      </c>
      <c r="H104" s="18">
        <v>547002.82999999996</v>
      </c>
    </row>
    <row r="105" spans="1:8">
      <c r="A105" s="15" t="s">
        <v>11926</v>
      </c>
      <c r="B105" s="16" t="s">
        <v>12080</v>
      </c>
      <c r="C105" s="16" t="s">
        <v>12080</v>
      </c>
      <c r="D105" s="17" t="s">
        <v>4124</v>
      </c>
      <c r="E105" s="17" t="s">
        <v>5101</v>
      </c>
      <c r="F105" s="18">
        <v>0</v>
      </c>
      <c r="G105" s="18">
        <v>8760</v>
      </c>
      <c r="H105" s="18">
        <v>555762.82999999996</v>
      </c>
    </row>
    <row r="106" spans="1:8">
      <c r="A106" s="15" t="s">
        <v>11776</v>
      </c>
      <c r="B106" s="16" t="s">
        <v>11581</v>
      </c>
      <c r="C106" s="16" t="s">
        <v>11581</v>
      </c>
      <c r="D106" s="17" t="s">
        <v>4124</v>
      </c>
      <c r="E106" s="17" t="s">
        <v>1497</v>
      </c>
      <c r="F106" s="18">
        <v>0</v>
      </c>
      <c r="G106" s="18">
        <v>18381</v>
      </c>
      <c r="H106" s="18">
        <v>574143.82999999996</v>
      </c>
    </row>
    <row r="107" spans="1:8">
      <c r="A107" s="15" t="s">
        <v>11580</v>
      </c>
      <c r="B107" s="16" t="s">
        <v>11581</v>
      </c>
      <c r="C107" s="16" t="s">
        <v>11581</v>
      </c>
      <c r="D107" s="17" t="s">
        <v>4124</v>
      </c>
      <c r="E107" s="17" t="s">
        <v>5102</v>
      </c>
      <c r="F107" s="18">
        <v>1476</v>
      </c>
      <c r="G107" s="18">
        <v>0</v>
      </c>
      <c r="H107" s="18">
        <v>572667.82999999996</v>
      </c>
    </row>
    <row r="108" spans="1:8">
      <c r="A108" s="15" t="s">
        <v>11779</v>
      </c>
      <c r="B108" s="16" t="s">
        <v>12081</v>
      </c>
      <c r="C108" s="16" t="s">
        <v>12081</v>
      </c>
      <c r="D108" s="17" t="s">
        <v>4124</v>
      </c>
      <c r="E108" s="17" t="s">
        <v>5103</v>
      </c>
      <c r="F108" s="18">
        <v>0</v>
      </c>
      <c r="G108" s="18">
        <v>1476</v>
      </c>
      <c r="H108" s="18">
        <v>574143.82999999996</v>
      </c>
    </row>
    <row r="109" spans="1:8">
      <c r="A109" s="15" t="s">
        <v>11676</v>
      </c>
      <c r="B109" s="16" t="s">
        <v>12082</v>
      </c>
      <c r="C109" s="16" t="s">
        <v>12082</v>
      </c>
      <c r="D109" s="17" t="s">
        <v>4124</v>
      </c>
      <c r="E109" s="17" t="s">
        <v>1491</v>
      </c>
      <c r="F109" s="18">
        <v>0</v>
      </c>
      <c r="G109" s="18">
        <v>31780</v>
      </c>
      <c r="H109" s="18">
        <v>605923.82999999996</v>
      </c>
    </row>
    <row r="110" spans="1:8">
      <c r="A110" s="15" t="s">
        <v>11582</v>
      </c>
      <c r="B110" s="16" t="s">
        <v>11583</v>
      </c>
      <c r="C110" s="16" t="s">
        <v>11583</v>
      </c>
      <c r="D110" s="17" t="s">
        <v>4124</v>
      </c>
      <c r="E110" s="17" t="s">
        <v>5104</v>
      </c>
      <c r="F110" s="18">
        <v>20000</v>
      </c>
      <c r="G110" s="18">
        <v>0</v>
      </c>
      <c r="H110" s="18">
        <v>585923.82999999996</v>
      </c>
    </row>
    <row r="111" spans="1:8">
      <c r="A111" s="15" t="s">
        <v>11584</v>
      </c>
      <c r="B111" s="16" t="s">
        <v>11583</v>
      </c>
      <c r="C111" s="16" t="s">
        <v>11583</v>
      </c>
      <c r="D111" s="17" t="s">
        <v>4124</v>
      </c>
      <c r="E111" s="17" t="s">
        <v>5105</v>
      </c>
      <c r="F111" s="18">
        <v>881</v>
      </c>
      <c r="G111" s="18">
        <v>0</v>
      </c>
      <c r="H111" s="18">
        <v>585042.82999999996</v>
      </c>
    </row>
    <row r="112" spans="1:8">
      <c r="A112" s="15" t="s">
        <v>11585</v>
      </c>
      <c r="B112" s="16" t="s">
        <v>11583</v>
      </c>
      <c r="C112" s="16" t="s">
        <v>11583</v>
      </c>
      <c r="D112" s="17" t="s">
        <v>4124</v>
      </c>
      <c r="E112" s="17" t="s">
        <v>5106</v>
      </c>
      <c r="F112" s="18">
        <v>881</v>
      </c>
      <c r="G112" s="18">
        <v>0</v>
      </c>
      <c r="H112" s="18">
        <v>584161.82999999996</v>
      </c>
    </row>
    <row r="113" spans="1:8">
      <c r="A113" s="15" t="s">
        <v>11973</v>
      </c>
      <c r="B113" s="16" t="s">
        <v>11583</v>
      </c>
      <c r="C113" s="16" t="s">
        <v>11583</v>
      </c>
      <c r="D113" s="17" t="s">
        <v>4124</v>
      </c>
      <c r="E113" s="17" t="s">
        <v>1414</v>
      </c>
      <c r="F113" s="18">
        <v>0</v>
      </c>
      <c r="G113" s="18">
        <v>7317</v>
      </c>
      <c r="H113" s="18">
        <v>591478.82999999996</v>
      </c>
    </row>
    <row r="114" spans="1:8">
      <c r="A114" s="15" t="s">
        <v>11586</v>
      </c>
      <c r="B114" s="16" t="s">
        <v>11587</v>
      </c>
      <c r="C114" s="16" t="s">
        <v>11587</v>
      </c>
      <c r="D114" s="17" t="s">
        <v>4124</v>
      </c>
      <c r="E114" s="17" t="s">
        <v>5107</v>
      </c>
      <c r="F114" s="18">
        <v>3000</v>
      </c>
      <c r="G114" s="18">
        <v>0</v>
      </c>
      <c r="H114" s="18">
        <v>588478.82999999996</v>
      </c>
    </row>
    <row r="115" spans="1:8">
      <c r="A115" s="15" t="s">
        <v>11783</v>
      </c>
      <c r="B115" s="16" t="s">
        <v>12083</v>
      </c>
      <c r="C115" s="16" t="s">
        <v>12083</v>
      </c>
      <c r="D115" s="17" t="s">
        <v>4124</v>
      </c>
      <c r="E115" s="17" t="s">
        <v>5108</v>
      </c>
      <c r="F115" s="18">
        <v>20557.46</v>
      </c>
      <c r="G115" s="18">
        <v>0</v>
      </c>
      <c r="H115" s="18">
        <v>567921.37</v>
      </c>
    </row>
    <row r="116" spans="1:8">
      <c r="A116" s="15" t="s">
        <v>11785</v>
      </c>
      <c r="B116" s="16" t="s">
        <v>12083</v>
      </c>
      <c r="C116" s="16" t="s">
        <v>12083</v>
      </c>
      <c r="D116" s="17" t="s">
        <v>4124</v>
      </c>
      <c r="E116" s="17" t="s">
        <v>5109</v>
      </c>
      <c r="F116" s="18">
        <v>3210</v>
      </c>
      <c r="G116" s="18">
        <v>0</v>
      </c>
      <c r="H116" s="18">
        <v>564711.37</v>
      </c>
    </row>
    <row r="117" spans="1:8">
      <c r="A117" s="15" t="s">
        <v>12084</v>
      </c>
      <c r="B117" s="16" t="s">
        <v>12085</v>
      </c>
      <c r="C117" s="16" t="s">
        <v>12085</v>
      </c>
      <c r="D117" s="17" t="s">
        <v>4124</v>
      </c>
      <c r="E117" s="17" t="s">
        <v>5110</v>
      </c>
      <c r="F117" s="18">
        <v>0</v>
      </c>
      <c r="G117" s="18">
        <v>1217.18</v>
      </c>
      <c r="H117" s="18">
        <v>565928.55000000005</v>
      </c>
    </row>
    <row r="118" spans="1:8">
      <c r="A118" s="15" t="s">
        <v>12086</v>
      </c>
      <c r="B118" s="16" t="s">
        <v>12087</v>
      </c>
      <c r="C118" s="16" t="s">
        <v>12087</v>
      </c>
      <c r="D118" s="17" t="s">
        <v>4124</v>
      </c>
      <c r="E118" s="17" t="s">
        <v>1414</v>
      </c>
      <c r="F118" s="18">
        <v>0</v>
      </c>
      <c r="G118" s="18">
        <v>881</v>
      </c>
      <c r="H118" s="18">
        <v>566809.55000000005</v>
      </c>
    </row>
    <row r="119" spans="1:8">
      <c r="A119" s="15" t="s">
        <v>11976</v>
      </c>
      <c r="B119" s="16" t="s">
        <v>12088</v>
      </c>
      <c r="C119" s="16" t="s">
        <v>12088</v>
      </c>
      <c r="D119" s="17" t="s">
        <v>4124</v>
      </c>
      <c r="E119" s="17" t="s">
        <v>1404</v>
      </c>
      <c r="F119" s="18">
        <v>0</v>
      </c>
      <c r="G119" s="18">
        <v>126065</v>
      </c>
      <c r="H119" s="18">
        <v>692874.55</v>
      </c>
    </row>
    <row r="120" spans="1:8">
      <c r="A120" s="15" t="s">
        <v>11588</v>
      </c>
      <c r="B120" s="16" t="s">
        <v>11589</v>
      </c>
      <c r="C120" s="16" t="s">
        <v>11589</v>
      </c>
      <c r="D120" s="17" t="s">
        <v>4124</v>
      </c>
      <c r="E120" s="17" t="s">
        <v>5111</v>
      </c>
      <c r="F120" s="18">
        <v>3970.95</v>
      </c>
      <c r="G120" s="18">
        <v>0</v>
      </c>
      <c r="H120" s="18">
        <v>688903.6</v>
      </c>
    </row>
    <row r="121" spans="1:8">
      <c r="A121" s="15" t="s">
        <v>11483</v>
      </c>
      <c r="B121" s="16" t="s">
        <v>12089</v>
      </c>
      <c r="C121" s="16" t="s">
        <v>12089</v>
      </c>
      <c r="D121" s="17" t="s">
        <v>12090</v>
      </c>
      <c r="E121" s="17" t="s">
        <v>5112</v>
      </c>
      <c r="F121" s="18">
        <v>20000</v>
      </c>
      <c r="G121" s="18">
        <v>0</v>
      </c>
      <c r="H121" s="18">
        <v>668903.6</v>
      </c>
    </row>
    <row r="122" spans="1:8">
      <c r="A122" s="15" t="s">
        <v>11486</v>
      </c>
      <c r="B122" s="16" t="s">
        <v>11590</v>
      </c>
      <c r="C122" s="16" t="s">
        <v>11590</v>
      </c>
      <c r="D122" s="17" t="s">
        <v>4124</v>
      </c>
      <c r="E122" s="17" t="s">
        <v>5113</v>
      </c>
      <c r="F122" s="18">
        <v>906</v>
      </c>
      <c r="G122" s="18">
        <v>0</v>
      </c>
      <c r="H122" s="18">
        <v>667997.6</v>
      </c>
    </row>
    <row r="123" spans="1:8">
      <c r="A123" s="15" t="s">
        <v>11487</v>
      </c>
      <c r="B123" s="16" t="s">
        <v>12091</v>
      </c>
      <c r="C123" s="16" t="s">
        <v>12091</v>
      </c>
      <c r="D123" s="17" t="s">
        <v>4124</v>
      </c>
      <c r="E123" s="17" t="s">
        <v>5114</v>
      </c>
      <c r="F123" s="18">
        <v>4907.32</v>
      </c>
      <c r="G123" s="18">
        <v>0</v>
      </c>
      <c r="H123" s="18">
        <v>663090.28</v>
      </c>
    </row>
    <row r="124" spans="1:8">
      <c r="A124" s="15" t="s">
        <v>11488</v>
      </c>
      <c r="B124" s="16" t="s">
        <v>12092</v>
      </c>
      <c r="C124" s="16" t="s">
        <v>12092</v>
      </c>
      <c r="D124" s="17" t="s">
        <v>4124</v>
      </c>
      <c r="E124" s="17" t="s">
        <v>5115</v>
      </c>
      <c r="F124" s="18">
        <v>0</v>
      </c>
      <c r="G124" s="18">
        <v>906</v>
      </c>
      <c r="H124" s="18">
        <v>663996.28</v>
      </c>
    </row>
    <row r="125" spans="1:8">
      <c r="A125" s="15" t="s">
        <v>11682</v>
      </c>
      <c r="B125" s="16" t="s">
        <v>12093</v>
      </c>
      <c r="C125" s="16" t="s">
        <v>12093</v>
      </c>
      <c r="D125" s="17" t="s">
        <v>4124</v>
      </c>
      <c r="E125" s="17" t="s">
        <v>5116</v>
      </c>
      <c r="F125" s="18">
        <v>0</v>
      </c>
      <c r="G125" s="18">
        <v>1647</v>
      </c>
      <c r="H125" s="18">
        <v>665643.28</v>
      </c>
    </row>
    <row r="126" spans="1:8">
      <c r="A126" s="15" t="s">
        <v>11491</v>
      </c>
      <c r="B126" s="16" t="s">
        <v>12093</v>
      </c>
      <c r="C126" s="16" t="s">
        <v>12093</v>
      </c>
      <c r="D126" s="17" t="s">
        <v>4124</v>
      </c>
      <c r="E126" s="17" t="s">
        <v>1404</v>
      </c>
      <c r="F126" s="18">
        <v>0</v>
      </c>
      <c r="G126" s="18">
        <v>420481</v>
      </c>
      <c r="H126" s="18">
        <v>1086124.28</v>
      </c>
    </row>
    <row r="127" spans="1:8">
      <c r="A127" s="15" t="s">
        <v>11591</v>
      </c>
      <c r="B127" s="16" t="s">
        <v>11592</v>
      </c>
      <c r="C127" s="16" t="s">
        <v>11592</v>
      </c>
      <c r="D127" s="17" t="s">
        <v>4124</v>
      </c>
      <c r="E127" s="17" t="s">
        <v>5117</v>
      </c>
      <c r="F127" s="18">
        <v>20000</v>
      </c>
      <c r="G127" s="18">
        <v>0</v>
      </c>
      <c r="H127" s="18">
        <v>1066124.28</v>
      </c>
    </row>
    <row r="128" spans="1:8">
      <c r="A128" s="15" t="s">
        <v>11493</v>
      </c>
      <c r="B128" s="16" t="s">
        <v>11593</v>
      </c>
      <c r="C128" s="16" t="s">
        <v>11593</v>
      </c>
      <c r="D128" s="17" t="s">
        <v>4124</v>
      </c>
      <c r="E128" s="17" t="s">
        <v>5118</v>
      </c>
      <c r="F128" s="18">
        <v>15479</v>
      </c>
      <c r="G128" s="18">
        <v>0</v>
      </c>
      <c r="H128" s="18">
        <v>1050645.28</v>
      </c>
    </row>
    <row r="129" spans="1:8">
      <c r="A129" s="15" t="s">
        <v>11594</v>
      </c>
      <c r="B129" s="16" t="s">
        <v>11595</v>
      </c>
      <c r="C129" s="16" t="s">
        <v>11595</v>
      </c>
      <c r="D129" s="17" t="s">
        <v>4124</v>
      </c>
      <c r="E129" s="17" t="s">
        <v>5119</v>
      </c>
      <c r="F129" s="18">
        <v>886</v>
      </c>
      <c r="G129" s="18">
        <v>0</v>
      </c>
      <c r="H129" s="18">
        <v>1049759.28</v>
      </c>
    </row>
    <row r="130" spans="1:8">
      <c r="A130" s="15" t="s">
        <v>11596</v>
      </c>
      <c r="B130" s="16" t="s">
        <v>11595</v>
      </c>
      <c r="C130" s="16" t="s">
        <v>11595</v>
      </c>
      <c r="D130" s="17" t="s">
        <v>4124</v>
      </c>
      <c r="E130" s="17" t="s">
        <v>5120</v>
      </c>
      <c r="F130" s="18">
        <v>881</v>
      </c>
      <c r="G130" s="18">
        <v>0</v>
      </c>
      <c r="H130" s="18">
        <v>1048878.28</v>
      </c>
    </row>
    <row r="131" spans="1:8">
      <c r="A131" s="15" t="s">
        <v>11495</v>
      </c>
      <c r="B131" s="16" t="s">
        <v>11597</v>
      </c>
      <c r="C131" s="16" t="s">
        <v>11597</v>
      </c>
      <c r="D131" s="17" t="s">
        <v>11598</v>
      </c>
      <c r="E131" s="17" t="s">
        <v>1526</v>
      </c>
      <c r="F131" s="18">
        <v>3000</v>
      </c>
      <c r="G131" s="18">
        <v>0</v>
      </c>
      <c r="H131" s="18">
        <v>1045878.28</v>
      </c>
    </row>
    <row r="132" spans="1:8">
      <c r="A132" s="15" t="s">
        <v>11742</v>
      </c>
      <c r="B132" s="16" t="s">
        <v>12094</v>
      </c>
      <c r="C132" s="16" t="s">
        <v>12094</v>
      </c>
      <c r="D132" s="17" t="s">
        <v>12095</v>
      </c>
      <c r="E132" s="17" t="s">
        <v>2457</v>
      </c>
      <c r="F132" s="18">
        <v>400000</v>
      </c>
      <c r="G132" s="18">
        <v>0</v>
      </c>
      <c r="H132" s="18">
        <v>645878.28</v>
      </c>
    </row>
    <row r="133" spans="1:8">
      <c r="A133" s="15" t="s">
        <v>11808</v>
      </c>
      <c r="B133" s="16" t="s">
        <v>12096</v>
      </c>
      <c r="C133" s="16" t="s">
        <v>12096</v>
      </c>
      <c r="D133" s="17" t="s">
        <v>12097</v>
      </c>
      <c r="E133" s="17" t="s">
        <v>5121</v>
      </c>
      <c r="F133" s="18">
        <v>10000</v>
      </c>
      <c r="G133" s="18">
        <v>0</v>
      </c>
      <c r="H133" s="18">
        <v>635878.28</v>
      </c>
    </row>
    <row r="134" spans="1:8">
      <c r="A134" s="15" t="s">
        <v>11599</v>
      </c>
      <c r="B134" s="16" t="s">
        <v>11600</v>
      </c>
      <c r="C134" s="16" t="s">
        <v>11601</v>
      </c>
      <c r="D134" s="17" t="s">
        <v>4124</v>
      </c>
      <c r="E134" s="17" t="s">
        <v>5122</v>
      </c>
      <c r="F134" s="18">
        <v>5000</v>
      </c>
      <c r="G134" s="18">
        <v>0</v>
      </c>
      <c r="H134" s="18">
        <v>630878.28</v>
      </c>
    </row>
    <row r="135" spans="1:8">
      <c r="A135" s="15" t="s">
        <v>11498</v>
      </c>
      <c r="B135" s="16" t="s">
        <v>11602</v>
      </c>
      <c r="C135" s="16" t="s">
        <v>11602</v>
      </c>
      <c r="D135" s="17" t="s">
        <v>4124</v>
      </c>
      <c r="E135" s="17" t="s">
        <v>5123</v>
      </c>
      <c r="F135" s="18">
        <v>1537.5</v>
      </c>
      <c r="G135" s="18">
        <v>0</v>
      </c>
      <c r="H135" s="18">
        <v>629340.78</v>
      </c>
    </row>
    <row r="136" spans="1:8">
      <c r="A136" s="15" t="s">
        <v>11936</v>
      </c>
      <c r="B136" s="16" t="s">
        <v>11602</v>
      </c>
      <c r="C136" s="16" t="s">
        <v>11602</v>
      </c>
      <c r="D136" s="17" t="s">
        <v>4124</v>
      </c>
      <c r="E136" s="17" t="s">
        <v>5124</v>
      </c>
      <c r="F136" s="18">
        <v>1397.71</v>
      </c>
      <c r="G136" s="18">
        <v>0</v>
      </c>
      <c r="H136" s="18">
        <v>627943.06999999995</v>
      </c>
    </row>
    <row r="137" spans="1:8">
      <c r="A137" s="15" t="s">
        <v>11500</v>
      </c>
      <c r="B137" s="16" t="s">
        <v>11602</v>
      </c>
      <c r="C137" s="16" t="s">
        <v>11602</v>
      </c>
      <c r="D137" s="17" t="s">
        <v>4124</v>
      </c>
      <c r="E137" s="17" t="s">
        <v>1414</v>
      </c>
      <c r="F137" s="18">
        <v>0</v>
      </c>
      <c r="G137" s="18">
        <v>886</v>
      </c>
      <c r="H137" s="18">
        <v>628829.06999999995</v>
      </c>
    </row>
    <row r="138" spans="1:8">
      <c r="A138" s="15" t="s">
        <v>11689</v>
      </c>
      <c r="B138" s="16" t="s">
        <v>12098</v>
      </c>
      <c r="C138" s="16" t="s">
        <v>12098</v>
      </c>
      <c r="D138" s="17" t="s">
        <v>12099</v>
      </c>
      <c r="E138" s="17" t="s">
        <v>959</v>
      </c>
      <c r="F138" s="18">
        <v>238859</v>
      </c>
      <c r="G138" s="18">
        <v>0</v>
      </c>
      <c r="H138" s="18">
        <v>389970.07</v>
      </c>
    </row>
    <row r="139" spans="1:8">
      <c r="A139" s="15" t="s">
        <v>11811</v>
      </c>
      <c r="B139" s="16" t="s">
        <v>12100</v>
      </c>
      <c r="C139" s="16" t="s">
        <v>12100</v>
      </c>
      <c r="D139" s="17" t="s">
        <v>4124</v>
      </c>
      <c r="E139" s="17" t="s">
        <v>1404</v>
      </c>
      <c r="F139" s="18">
        <v>0</v>
      </c>
      <c r="G139" s="18">
        <v>99907</v>
      </c>
      <c r="H139" s="18">
        <v>489877.07</v>
      </c>
    </row>
    <row r="140" spans="1:8">
      <c r="A140" s="15" t="s">
        <v>11603</v>
      </c>
      <c r="B140" s="16" t="s">
        <v>11604</v>
      </c>
      <c r="C140" s="16" t="s">
        <v>11604</v>
      </c>
      <c r="D140" s="17" t="s">
        <v>4124</v>
      </c>
      <c r="E140" s="17" t="s">
        <v>5125</v>
      </c>
      <c r="F140" s="18">
        <v>1249.3599999999999</v>
      </c>
      <c r="G140" s="18">
        <v>0</v>
      </c>
      <c r="H140" s="18">
        <v>488627.71</v>
      </c>
    </row>
    <row r="141" spans="1:8">
      <c r="A141" s="15" t="s">
        <v>11605</v>
      </c>
      <c r="B141" s="16" t="s">
        <v>11606</v>
      </c>
      <c r="C141" s="16" t="s">
        <v>11606</v>
      </c>
      <c r="D141" s="17" t="s">
        <v>4124</v>
      </c>
      <c r="E141" s="17" t="s">
        <v>5126</v>
      </c>
      <c r="F141" s="18">
        <v>7705.5</v>
      </c>
      <c r="G141" s="18">
        <v>0</v>
      </c>
      <c r="H141" s="18">
        <v>480922.21</v>
      </c>
    </row>
    <row r="142" spans="1:8">
      <c r="A142" s="15" t="s">
        <v>11502</v>
      </c>
      <c r="B142" s="16" t="s">
        <v>11607</v>
      </c>
      <c r="C142" s="16" t="s">
        <v>11607</v>
      </c>
      <c r="D142" s="17" t="s">
        <v>4124</v>
      </c>
      <c r="E142" s="17" t="s">
        <v>5127</v>
      </c>
      <c r="F142" s="18">
        <v>881</v>
      </c>
      <c r="G142" s="18">
        <v>0</v>
      </c>
      <c r="H142" s="18">
        <v>480041.21</v>
      </c>
    </row>
    <row r="143" spans="1:8">
      <c r="A143" s="15" t="s">
        <v>11608</v>
      </c>
      <c r="B143" s="16" t="s">
        <v>11607</v>
      </c>
      <c r="C143" s="16" t="s">
        <v>11607</v>
      </c>
      <c r="D143" s="17" t="s">
        <v>4124</v>
      </c>
      <c r="E143" s="17" t="s">
        <v>5128</v>
      </c>
      <c r="F143" s="18">
        <v>881</v>
      </c>
      <c r="G143" s="18">
        <v>0</v>
      </c>
      <c r="H143" s="18">
        <v>479160.21</v>
      </c>
    </row>
    <row r="144" spans="1:8">
      <c r="A144" s="15" t="s">
        <v>11609</v>
      </c>
      <c r="B144" s="16" t="s">
        <v>11610</v>
      </c>
      <c r="C144" s="16" t="s">
        <v>11610</v>
      </c>
      <c r="D144" s="17" t="s">
        <v>11611</v>
      </c>
      <c r="E144" s="17" t="s">
        <v>5129</v>
      </c>
      <c r="F144" s="18">
        <v>19463</v>
      </c>
      <c r="G144" s="18">
        <v>0</v>
      </c>
      <c r="H144" s="18">
        <v>459697.21</v>
      </c>
    </row>
    <row r="145" spans="1:8">
      <c r="A145" s="15" t="s">
        <v>11504</v>
      </c>
      <c r="B145" s="16" t="s">
        <v>12101</v>
      </c>
      <c r="C145" s="16" t="s">
        <v>12101</v>
      </c>
      <c r="D145" s="17" t="s">
        <v>4124</v>
      </c>
      <c r="E145" s="17" t="s">
        <v>5130</v>
      </c>
      <c r="F145" s="18">
        <v>0</v>
      </c>
      <c r="G145" s="18">
        <v>14758.24</v>
      </c>
      <c r="H145" s="18">
        <v>474455.45</v>
      </c>
    </row>
    <row r="146" spans="1:8">
      <c r="A146" s="15" t="s">
        <v>11695</v>
      </c>
      <c r="B146" s="16" t="s">
        <v>12102</v>
      </c>
      <c r="C146" s="16" t="s">
        <v>12102</v>
      </c>
      <c r="D146" s="17" t="s">
        <v>12103</v>
      </c>
      <c r="E146" s="17" t="s">
        <v>1473</v>
      </c>
      <c r="F146" s="18">
        <v>6553</v>
      </c>
      <c r="G146" s="18">
        <v>0</v>
      </c>
      <c r="H146" s="18">
        <v>467902.45</v>
      </c>
    </row>
    <row r="147" spans="1:8">
      <c r="A147" s="15" t="s">
        <v>11697</v>
      </c>
      <c r="B147" s="16" t="s">
        <v>12104</v>
      </c>
      <c r="C147" s="16" t="s">
        <v>12104</v>
      </c>
      <c r="D147" s="17" t="s">
        <v>4124</v>
      </c>
      <c r="E147" s="17" t="s">
        <v>5131</v>
      </c>
      <c r="F147" s="18">
        <v>3210</v>
      </c>
      <c r="G147" s="18">
        <v>0</v>
      </c>
      <c r="H147" s="18">
        <v>464692.45</v>
      </c>
    </row>
    <row r="148" spans="1:8">
      <c r="A148" s="15" t="s">
        <v>11507</v>
      </c>
      <c r="B148" s="16" t="s">
        <v>12105</v>
      </c>
      <c r="C148" s="16" t="s">
        <v>12105</v>
      </c>
      <c r="D148" s="17" t="s">
        <v>4124</v>
      </c>
      <c r="E148" s="17" t="s">
        <v>1453</v>
      </c>
      <c r="F148" s="18">
        <v>0</v>
      </c>
      <c r="G148" s="18">
        <v>881</v>
      </c>
      <c r="H148" s="18">
        <v>465573.45</v>
      </c>
    </row>
    <row r="149" spans="1:8">
      <c r="A149" s="15" t="s">
        <v>11509</v>
      </c>
      <c r="B149" s="16" t="s">
        <v>12105</v>
      </c>
      <c r="C149" s="16" t="s">
        <v>12105</v>
      </c>
      <c r="D149" s="17" t="s">
        <v>4124</v>
      </c>
      <c r="E149" s="17" t="s">
        <v>1404</v>
      </c>
      <c r="F149" s="18">
        <v>0</v>
      </c>
      <c r="G149" s="18">
        <v>99907</v>
      </c>
      <c r="H149" s="18">
        <v>565480.44999999995</v>
      </c>
    </row>
    <row r="150" spans="1:8">
      <c r="A150" s="15" t="s">
        <v>11511</v>
      </c>
      <c r="B150" s="16" t="s">
        <v>11612</v>
      </c>
      <c r="C150" s="16" t="s">
        <v>11612</v>
      </c>
      <c r="D150" s="17" t="s">
        <v>4124</v>
      </c>
      <c r="E150" s="17" t="s">
        <v>5132</v>
      </c>
      <c r="F150" s="18">
        <v>5000</v>
      </c>
      <c r="G150" s="18">
        <v>0</v>
      </c>
      <c r="H150" s="18">
        <v>560480.44999999995</v>
      </c>
    </row>
    <row r="151" spans="1:8">
      <c r="A151" s="15" t="s">
        <v>11514</v>
      </c>
      <c r="B151" s="16" t="s">
        <v>11612</v>
      </c>
      <c r="C151" s="16" t="s">
        <v>11612</v>
      </c>
      <c r="D151" s="17" t="s">
        <v>4124</v>
      </c>
      <c r="E151" s="17" t="s">
        <v>5133</v>
      </c>
      <c r="F151" s="18">
        <v>5000</v>
      </c>
      <c r="G151" s="18">
        <v>0</v>
      </c>
      <c r="H151" s="18">
        <v>555480.44999999995</v>
      </c>
    </row>
    <row r="152" spans="1:8">
      <c r="A152" s="15" t="s">
        <v>11516</v>
      </c>
      <c r="B152" s="16" t="s">
        <v>11613</v>
      </c>
      <c r="C152" s="16" t="s">
        <v>11613</v>
      </c>
      <c r="D152" s="17" t="s">
        <v>4124</v>
      </c>
      <c r="E152" s="17" t="s">
        <v>5134</v>
      </c>
      <c r="F152" s="18">
        <v>4403.72</v>
      </c>
      <c r="G152" s="18">
        <v>0</v>
      </c>
      <c r="H152" s="18">
        <v>551076.73</v>
      </c>
    </row>
    <row r="153" spans="1:8">
      <c r="A153" s="15" t="s">
        <v>11822</v>
      </c>
      <c r="B153" s="16" t="s">
        <v>12106</v>
      </c>
      <c r="C153" s="16" t="s">
        <v>12106</v>
      </c>
      <c r="D153" s="17" t="s">
        <v>12107</v>
      </c>
      <c r="E153" s="17" t="s">
        <v>5135</v>
      </c>
      <c r="F153" s="18">
        <v>300000</v>
      </c>
      <c r="G153" s="18">
        <v>0</v>
      </c>
      <c r="H153" s="18">
        <v>251076.73</v>
      </c>
    </row>
    <row r="154" spans="1:8">
      <c r="A154" s="15" t="s">
        <v>11517</v>
      </c>
      <c r="B154" s="16" t="s">
        <v>11614</v>
      </c>
      <c r="C154" s="16" t="s">
        <v>11614</v>
      </c>
      <c r="D154" s="17" t="s">
        <v>4124</v>
      </c>
      <c r="E154" s="17" t="s">
        <v>5136</v>
      </c>
      <c r="F154" s="18">
        <v>9019.8799999999992</v>
      </c>
      <c r="G154" s="18">
        <v>0</v>
      </c>
      <c r="H154" s="18">
        <v>242056.85</v>
      </c>
    </row>
    <row r="155" spans="1:8">
      <c r="A155" s="15" t="s">
        <v>11825</v>
      </c>
      <c r="B155" s="16" t="s">
        <v>11614</v>
      </c>
      <c r="C155" s="16" t="s">
        <v>11614</v>
      </c>
      <c r="D155" s="17" t="s">
        <v>4124</v>
      </c>
      <c r="E155" s="17" t="s">
        <v>5137</v>
      </c>
      <c r="F155" s="18">
        <v>161</v>
      </c>
      <c r="G155" s="18">
        <v>0</v>
      </c>
      <c r="H155" s="18">
        <v>241895.85</v>
      </c>
    </row>
    <row r="156" spans="1:8">
      <c r="A156" s="15" t="s">
        <v>11615</v>
      </c>
      <c r="B156" s="16" t="s">
        <v>11616</v>
      </c>
      <c r="C156" s="16" t="s">
        <v>11616</v>
      </c>
      <c r="D156" s="17" t="s">
        <v>11617</v>
      </c>
      <c r="E156" s="17" t="s">
        <v>5138</v>
      </c>
      <c r="F156" s="18">
        <v>1000</v>
      </c>
      <c r="G156" s="18">
        <v>0</v>
      </c>
      <c r="H156" s="18">
        <v>240895.85</v>
      </c>
    </row>
    <row r="157" spans="1:8">
      <c r="A157" s="15" t="s">
        <v>11618</v>
      </c>
      <c r="B157" s="16" t="s">
        <v>11619</v>
      </c>
      <c r="C157" s="16" t="s">
        <v>11620</v>
      </c>
      <c r="D157" s="17" t="s">
        <v>4124</v>
      </c>
      <c r="E157" s="17" t="s">
        <v>5139</v>
      </c>
      <c r="F157" s="18">
        <v>881</v>
      </c>
      <c r="G157" s="18">
        <v>0</v>
      </c>
      <c r="H157" s="18">
        <v>240014.85</v>
      </c>
    </row>
    <row r="158" spans="1:8">
      <c r="A158" s="15" t="s">
        <v>11621</v>
      </c>
      <c r="B158" s="16" t="s">
        <v>11619</v>
      </c>
      <c r="C158" s="16" t="s">
        <v>11620</v>
      </c>
      <c r="D158" s="17" t="s">
        <v>4124</v>
      </c>
      <c r="E158" s="17" t="s">
        <v>5140</v>
      </c>
      <c r="F158" s="18">
        <v>881</v>
      </c>
      <c r="G158" s="18">
        <v>0</v>
      </c>
      <c r="H158" s="18">
        <v>239133.85</v>
      </c>
    </row>
    <row r="159" spans="1:8">
      <c r="A159" s="15" t="s">
        <v>11519</v>
      </c>
      <c r="B159" s="16" t="s">
        <v>12108</v>
      </c>
      <c r="C159" s="16" t="s">
        <v>12108</v>
      </c>
      <c r="D159" s="17" t="s">
        <v>4124</v>
      </c>
      <c r="E159" s="17" t="s">
        <v>1404</v>
      </c>
      <c r="F159" s="18">
        <v>0</v>
      </c>
      <c r="G159" s="18">
        <v>99907</v>
      </c>
      <c r="H159" s="18">
        <v>339040.85</v>
      </c>
    </row>
    <row r="160" spans="1:8">
      <c r="A160" s="15" t="s">
        <v>11521</v>
      </c>
      <c r="B160" s="16" t="s">
        <v>11622</v>
      </c>
      <c r="C160" s="16" t="s">
        <v>11622</v>
      </c>
      <c r="D160" s="17" t="s">
        <v>4124</v>
      </c>
      <c r="E160" s="17" t="s">
        <v>5141</v>
      </c>
      <c r="F160" s="18">
        <v>3277.25</v>
      </c>
      <c r="G160" s="18">
        <v>0</v>
      </c>
      <c r="H160" s="18">
        <v>335763.6</v>
      </c>
    </row>
    <row r="161" spans="1:8">
      <c r="A161" s="15" t="s">
        <v>11522</v>
      </c>
      <c r="B161" s="16" t="s">
        <v>12109</v>
      </c>
      <c r="C161" s="16" t="s">
        <v>12109</v>
      </c>
      <c r="D161" s="17" t="s">
        <v>4124</v>
      </c>
      <c r="E161" s="17" t="s">
        <v>1414</v>
      </c>
      <c r="F161" s="18">
        <v>0</v>
      </c>
      <c r="G161" s="18">
        <v>881</v>
      </c>
      <c r="H161" s="18">
        <v>336644.6</v>
      </c>
    </row>
    <row r="162" spans="1:8">
      <c r="A162" s="15" t="s">
        <v>11623</v>
      </c>
      <c r="B162" s="16" t="s">
        <v>11624</v>
      </c>
      <c r="C162" s="16" t="s">
        <v>11625</v>
      </c>
      <c r="D162" s="17" t="s">
        <v>4124</v>
      </c>
      <c r="E162" s="17" t="s">
        <v>5142</v>
      </c>
      <c r="F162" s="18">
        <v>17835.25</v>
      </c>
      <c r="G162" s="18">
        <v>0</v>
      </c>
      <c r="H162" s="18">
        <v>318809.34999999998</v>
      </c>
    </row>
    <row r="163" spans="1:8">
      <c r="A163" s="15" t="s">
        <v>11523</v>
      </c>
      <c r="B163" s="16" t="s">
        <v>11626</v>
      </c>
      <c r="C163" s="16" t="s">
        <v>11626</v>
      </c>
      <c r="D163" s="17" t="s">
        <v>4124</v>
      </c>
      <c r="E163" s="17" t="s">
        <v>5143</v>
      </c>
      <c r="F163" s="18">
        <v>882</v>
      </c>
      <c r="G163" s="18">
        <v>0</v>
      </c>
      <c r="H163" s="18">
        <v>317927.34999999998</v>
      </c>
    </row>
    <row r="164" spans="1:8">
      <c r="A164" s="15" t="s">
        <v>11627</v>
      </c>
      <c r="B164" s="16" t="s">
        <v>11626</v>
      </c>
      <c r="C164" s="16" t="s">
        <v>11626</v>
      </c>
      <c r="D164" s="17" t="s">
        <v>4124</v>
      </c>
      <c r="E164" s="17" t="s">
        <v>5144</v>
      </c>
      <c r="F164" s="18">
        <v>882</v>
      </c>
      <c r="G164" s="18">
        <v>0</v>
      </c>
      <c r="H164" s="18">
        <v>317045.34999999998</v>
      </c>
    </row>
    <row r="165" spans="1:8">
      <c r="A165" s="15" t="s">
        <v>11704</v>
      </c>
      <c r="B165" s="16" t="s">
        <v>12110</v>
      </c>
      <c r="C165" s="16" t="s">
        <v>12110</v>
      </c>
      <c r="D165" s="17" t="s">
        <v>4124</v>
      </c>
      <c r="E165" s="17" t="s">
        <v>1404</v>
      </c>
      <c r="F165" s="18">
        <v>0</v>
      </c>
      <c r="G165" s="18">
        <v>99907</v>
      </c>
      <c r="H165" s="18">
        <v>416952.35</v>
      </c>
    </row>
    <row r="166" spans="1:8">
      <c r="A166" s="15" t="s">
        <v>11525</v>
      </c>
      <c r="B166" s="16" t="s">
        <v>12111</v>
      </c>
      <c r="C166" s="16" t="s">
        <v>12111</v>
      </c>
      <c r="D166" s="17" t="s">
        <v>4124</v>
      </c>
      <c r="E166" s="17" t="s">
        <v>1537</v>
      </c>
      <c r="F166" s="18">
        <v>0</v>
      </c>
      <c r="G166" s="18">
        <v>882</v>
      </c>
      <c r="H166" s="18">
        <v>417834.35</v>
      </c>
    </row>
    <row r="167" spans="1:8">
      <c r="A167" s="15" t="s">
        <v>11706</v>
      </c>
      <c r="B167" s="16" t="s">
        <v>12112</v>
      </c>
      <c r="C167" s="16" t="s">
        <v>12113</v>
      </c>
      <c r="D167" s="17" t="s">
        <v>4124</v>
      </c>
      <c r="E167" s="17" t="s">
        <v>5145</v>
      </c>
      <c r="F167" s="18">
        <v>0</v>
      </c>
      <c r="G167" s="18">
        <v>7620</v>
      </c>
      <c r="H167" s="18">
        <v>425454.35</v>
      </c>
    </row>
    <row r="168" spans="1:8">
      <c r="A168" s="15" t="s">
        <v>11528</v>
      </c>
      <c r="B168" s="16" t="s">
        <v>11628</v>
      </c>
      <c r="C168" s="16" t="s">
        <v>11629</v>
      </c>
      <c r="D168" s="17" t="s">
        <v>4124</v>
      </c>
      <c r="E168" s="17" t="s">
        <v>5146</v>
      </c>
      <c r="F168" s="18">
        <v>10000</v>
      </c>
      <c r="G168" s="18">
        <v>0</v>
      </c>
      <c r="H168" s="18">
        <v>415454.35</v>
      </c>
    </row>
    <row r="169" spans="1:8">
      <c r="A169" s="15" t="s">
        <v>11834</v>
      </c>
      <c r="B169" s="16" t="s">
        <v>12114</v>
      </c>
      <c r="C169" s="16" t="s">
        <v>12114</v>
      </c>
      <c r="D169" s="17" t="s">
        <v>4124</v>
      </c>
      <c r="E169" s="17" t="s">
        <v>5147</v>
      </c>
      <c r="F169" s="18">
        <v>0</v>
      </c>
      <c r="G169" s="18">
        <v>6544.27</v>
      </c>
      <c r="H169" s="18">
        <v>421998.62</v>
      </c>
    </row>
    <row r="170" spans="1:8">
      <c r="A170" s="15" t="s">
        <v>11530</v>
      </c>
      <c r="B170" s="16" t="s">
        <v>11630</v>
      </c>
      <c r="C170" s="16" t="s">
        <v>11630</v>
      </c>
      <c r="D170" s="17" t="s">
        <v>11631</v>
      </c>
      <c r="E170" s="17" t="s">
        <v>1550</v>
      </c>
      <c r="F170" s="18">
        <v>3000</v>
      </c>
      <c r="G170" s="18">
        <v>0</v>
      </c>
      <c r="H170" s="18">
        <v>418998.62</v>
      </c>
    </row>
    <row r="171" spans="1:8">
      <c r="A171" s="15" t="s">
        <v>11532</v>
      </c>
      <c r="B171" s="16" t="s">
        <v>11632</v>
      </c>
      <c r="C171" s="16" t="s">
        <v>11632</v>
      </c>
      <c r="D171" s="17" t="s">
        <v>4124</v>
      </c>
      <c r="E171" s="17" t="s">
        <v>5148</v>
      </c>
      <c r="F171" s="18">
        <v>15417.85</v>
      </c>
      <c r="G171" s="18">
        <v>0</v>
      </c>
      <c r="H171" s="18">
        <v>403580.77</v>
      </c>
    </row>
    <row r="172" spans="1:8">
      <c r="A172" s="15" t="s">
        <v>11633</v>
      </c>
      <c r="B172" s="16" t="s">
        <v>11634</v>
      </c>
      <c r="C172" s="16" t="s">
        <v>11634</v>
      </c>
      <c r="D172" s="17" t="s">
        <v>11635</v>
      </c>
      <c r="E172" s="17" t="s">
        <v>1630</v>
      </c>
      <c r="F172" s="18">
        <v>1250</v>
      </c>
      <c r="G172" s="18">
        <v>0</v>
      </c>
      <c r="H172" s="18">
        <v>402330.77</v>
      </c>
    </row>
    <row r="173" spans="1:8">
      <c r="A173" s="15" t="s">
        <v>11636</v>
      </c>
      <c r="B173" s="16" t="s">
        <v>11637</v>
      </c>
      <c r="C173" s="16" t="s">
        <v>11637</v>
      </c>
      <c r="D173" s="17" t="s">
        <v>4124</v>
      </c>
      <c r="E173" s="17" t="s">
        <v>5149</v>
      </c>
      <c r="F173" s="18">
        <v>889</v>
      </c>
      <c r="G173" s="18">
        <v>0</v>
      </c>
      <c r="H173" s="18">
        <v>401441.77</v>
      </c>
    </row>
    <row r="174" spans="1:8">
      <c r="A174" s="15" t="s">
        <v>11638</v>
      </c>
      <c r="B174" s="16" t="s">
        <v>11637</v>
      </c>
      <c r="C174" s="16" t="s">
        <v>11637</v>
      </c>
      <c r="D174" s="17" t="s">
        <v>4124</v>
      </c>
      <c r="E174" s="17" t="s">
        <v>5150</v>
      </c>
      <c r="F174" s="18">
        <v>881</v>
      </c>
      <c r="G174" s="18">
        <v>0</v>
      </c>
      <c r="H174" s="18">
        <v>400560.77</v>
      </c>
    </row>
    <row r="175" spans="1:8">
      <c r="A175" s="15" t="s">
        <v>11533</v>
      </c>
      <c r="B175" s="16" t="s">
        <v>12115</v>
      </c>
      <c r="C175" s="16" t="s">
        <v>12115</v>
      </c>
      <c r="D175" s="17" t="s">
        <v>4124</v>
      </c>
      <c r="E175" s="17" t="s">
        <v>1404</v>
      </c>
      <c r="F175" s="18">
        <v>0</v>
      </c>
      <c r="G175" s="18">
        <v>102644</v>
      </c>
      <c r="H175" s="18">
        <v>503204.77</v>
      </c>
    </row>
    <row r="176" spans="1:8">
      <c r="A176" s="15" t="s">
        <v>11714</v>
      </c>
      <c r="B176" s="16" t="s">
        <v>12116</v>
      </c>
      <c r="C176" s="16" t="s">
        <v>12117</v>
      </c>
      <c r="D176" s="17" t="s">
        <v>4124</v>
      </c>
      <c r="E176" s="17" t="s">
        <v>5151</v>
      </c>
      <c r="F176" s="18">
        <v>5612</v>
      </c>
      <c r="G176" s="18">
        <v>0</v>
      </c>
      <c r="H176" s="18">
        <v>497592.77</v>
      </c>
    </row>
    <row r="177" spans="1:8">
      <c r="A177" s="15" t="s">
        <v>11536</v>
      </c>
      <c r="B177" s="16" t="s">
        <v>11639</v>
      </c>
      <c r="C177" s="16" t="s">
        <v>11639</v>
      </c>
      <c r="D177" s="17" t="s">
        <v>4124</v>
      </c>
      <c r="E177" s="17" t="s">
        <v>5152</v>
      </c>
      <c r="F177" s="18">
        <v>28015</v>
      </c>
      <c r="G177" s="18">
        <v>0</v>
      </c>
      <c r="H177" s="18">
        <v>469577.77</v>
      </c>
    </row>
    <row r="178" spans="1:8">
      <c r="A178" s="15" t="s">
        <v>11839</v>
      </c>
      <c r="B178" s="16" t="s">
        <v>12118</v>
      </c>
      <c r="C178" s="16" t="s">
        <v>12118</v>
      </c>
      <c r="D178" s="17" t="s">
        <v>4124</v>
      </c>
      <c r="E178" s="17" t="s">
        <v>1537</v>
      </c>
      <c r="F178" s="18">
        <v>0</v>
      </c>
      <c r="G178" s="18">
        <v>889</v>
      </c>
      <c r="H178" s="18">
        <v>470466.77</v>
      </c>
    </row>
    <row r="179" spans="1:8">
      <c r="A179" s="15" t="s">
        <v>11640</v>
      </c>
      <c r="B179" s="16" t="s">
        <v>11641</v>
      </c>
      <c r="C179" s="16" t="s">
        <v>11641</v>
      </c>
      <c r="D179" s="17" t="s">
        <v>4124</v>
      </c>
      <c r="E179" s="17" t="s">
        <v>5153</v>
      </c>
      <c r="F179" s="18">
        <v>887</v>
      </c>
      <c r="G179" s="18">
        <v>0</v>
      </c>
      <c r="H179" s="18">
        <v>469579.77</v>
      </c>
    </row>
    <row r="180" spans="1:8">
      <c r="A180" s="15" t="s">
        <v>11538</v>
      </c>
      <c r="B180" s="16" t="s">
        <v>11641</v>
      </c>
      <c r="C180" s="16" t="s">
        <v>11641</v>
      </c>
      <c r="D180" s="17" t="s">
        <v>4124</v>
      </c>
      <c r="E180" s="17" t="s">
        <v>5154</v>
      </c>
      <c r="F180" s="18">
        <v>883</v>
      </c>
      <c r="G180" s="18">
        <v>0</v>
      </c>
      <c r="H180" s="18">
        <v>468696.77</v>
      </c>
    </row>
    <row r="181" spans="1:8">
      <c r="A181" s="15" t="s">
        <v>11642</v>
      </c>
      <c r="B181" s="16" t="s">
        <v>11643</v>
      </c>
      <c r="C181" s="16" t="s">
        <v>11644</v>
      </c>
      <c r="D181" s="17" t="s">
        <v>4124</v>
      </c>
      <c r="E181" s="17" t="s">
        <v>5155</v>
      </c>
      <c r="F181" s="18">
        <v>10000</v>
      </c>
      <c r="G181" s="18">
        <v>0</v>
      </c>
      <c r="H181" s="18">
        <v>458696.77</v>
      </c>
    </row>
    <row r="182" spans="1:8">
      <c r="A182" s="15" t="s">
        <v>11645</v>
      </c>
      <c r="B182" s="16" t="s">
        <v>11646</v>
      </c>
      <c r="C182" s="16" t="s">
        <v>11646</v>
      </c>
      <c r="D182" s="17" t="s">
        <v>4124</v>
      </c>
      <c r="E182" s="17" t="s">
        <v>5156</v>
      </c>
      <c r="F182" s="18">
        <v>9587.89</v>
      </c>
      <c r="G182" s="18">
        <v>0</v>
      </c>
      <c r="H182" s="18">
        <v>449108.88</v>
      </c>
    </row>
    <row r="183" spans="1:8">
      <c r="A183" s="15" t="s">
        <v>11718</v>
      </c>
      <c r="B183" s="16" t="s">
        <v>11646</v>
      </c>
      <c r="C183" s="16" t="s">
        <v>11646</v>
      </c>
      <c r="D183" s="17" t="s">
        <v>4124</v>
      </c>
      <c r="E183" s="17" t="s">
        <v>1544</v>
      </c>
      <c r="F183" s="18">
        <v>0</v>
      </c>
      <c r="G183" s="18">
        <v>29888</v>
      </c>
      <c r="H183" s="18">
        <v>478996.88</v>
      </c>
    </row>
    <row r="184" spans="1:8">
      <c r="A184" s="15" t="s">
        <v>11541</v>
      </c>
      <c r="B184" s="16" t="s">
        <v>11647</v>
      </c>
      <c r="C184" s="16" t="s">
        <v>11647</v>
      </c>
      <c r="D184" s="17" t="s">
        <v>4124</v>
      </c>
      <c r="E184" s="17" t="s">
        <v>5157</v>
      </c>
      <c r="F184" s="18">
        <v>10000</v>
      </c>
      <c r="G184" s="18">
        <v>0</v>
      </c>
      <c r="H184" s="18">
        <v>468996.88</v>
      </c>
    </row>
    <row r="185" spans="1:8">
      <c r="A185" s="15" t="s">
        <v>11543</v>
      </c>
      <c r="B185" s="16" t="s">
        <v>11647</v>
      </c>
      <c r="C185" s="16" t="s">
        <v>11647</v>
      </c>
      <c r="D185" s="17" t="s">
        <v>4124</v>
      </c>
      <c r="E185" s="17" t="s">
        <v>1546</v>
      </c>
      <c r="F185" s="18">
        <v>0</v>
      </c>
      <c r="G185" s="18">
        <v>99907</v>
      </c>
      <c r="H185" s="18">
        <v>568903.88</v>
      </c>
    </row>
    <row r="186" spans="1:8">
      <c r="A186" s="15" t="s">
        <v>11720</v>
      </c>
      <c r="B186" s="16" t="s">
        <v>12119</v>
      </c>
      <c r="C186" s="16" t="s">
        <v>12119</v>
      </c>
      <c r="D186" s="17" t="s">
        <v>4124</v>
      </c>
      <c r="E186" s="17" t="s">
        <v>5158</v>
      </c>
      <c r="F186" s="18">
        <v>29000.51</v>
      </c>
      <c r="G186" s="18">
        <v>0</v>
      </c>
      <c r="H186" s="18">
        <v>539903.37</v>
      </c>
    </row>
    <row r="187" spans="1:8">
      <c r="A187" s="15" t="s">
        <v>11648</v>
      </c>
      <c r="B187" s="16" t="s">
        <v>11649</v>
      </c>
      <c r="C187" s="16" t="s">
        <v>11649</v>
      </c>
      <c r="D187" s="17" t="s">
        <v>4124</v>
      </c>
      <c r="E187" s="17" t="s">
        <v>5159</v>
      </c>
      <c r="F187" s="18">
        <v>10000</v>
      </c>
      <c r="G187" s="18">
        <v>0</v>
      </c>
      <c r="H187" s="18">
        <v>529903.37</v>
      </c>
    </row>
    <row r="188" spans="1:8">
      <c r="A188" s="15" t="s">
        <v>11546</v>
      </c>
      <c r="B188" s="16" t="s">
        <v>11650</v>
      </c>
      <c r="C188" s="16" t="s">
        <v>11650</v>
      </c>
      <c r="D188" s="17" t="s">
        <v>4124</v>
      </c>
      <c r="E188" s="17" t="s">
        <v>5160</v>
      </c>
      <c r="F188" s="18">
        <v>1938</v>
      </c>
      <c r="G188" s="18">
        <v>0</v>
      </c>
      <c r="H188" s="18">
        <v>527965.37</v>
      </c>
    </row>
    <row r="189" spans="1:8">
      <c r="A189" s="15" t="s">
        <v>11651</v>
      </c>
      <c r="B189" s="16" t="s">
        <v>11652</v>
      </c>
      <c r="C189" s="16" t="s">
        <v>11652</v>
      </c>
      <c r="D189" s="17" t="s">
        <v>4124</v>
      </c>
      <c r="E189" s="17" t="s">
        <v>5161</v>
      </c>
      <c r="F189" s="18">
        <v>881</v>
      </c>
      <c r="G189" s="18">
        <v>0</v>
      </c>
      <c r="H189" s="18">
        <v>527084.37</v>
      </c>
    </row>
    <row r="190" spans="1:8">
      <c r="A190" s="15" t="s">
        <v>11653</v>
      </c>
      <c r="B190" s="16" t="s">
        <v>11652</v>
      </c>
      <c r="C190" s="16" t="s">
        <v>11652</v>
      </c>
      <c r="D190" s="17" t="s">
        <v>4124</v>
      </c>
      <c r="E190" s="17" t="s">
        <v>5162</v>
      </c>
      <c r="F190" s="18">
        <v>881</v>
      </c>
      <c r="G190" s="18">
        <v>0</v>
      </c>
      <c r="H190" s="18">
        <v>526203.37</v>
      </c>
    </row>
    <row r="191" spans="1:8">
      <c r="A191" s="15" t="s">
        <v>11654</v>
      </c>
      <c r="B191" s="16" t="s">
        <v>11655</v>
      </c>
      <c r="C191" s="16" t="s">
        <v>11655</v>
      </c>
      <c r="D191" s="17" t="s">
        <v>4124</v>
      </c>
      <c r="E191" s="17" t="s">
        <v>5163</v>
      </c>
      <c r="F191" s="18">
        <v>425.42</v>
      </c>
      <c r="G191" s="18">
        <v>0</v>
      </c>
      <c r="H191" s="18">
        <v>525777.94999999995</v>
      </c>
    </row>
    <row r="192" spans="1:8">
      <c r="A192" s="15" t="s">
        <v>11549</v>
      </c>
      <c r="B192" s="16" t="s">
        <v>11656</v>
      </c>
      <c r="C192" s="16" t="s">
        <v>11656</v>
      </c>
      <c r="D192" s="17" t="s">
        <v>4124</v>
      </c>
      <c r="E192" s="17" t="s">
        <v>5164</v>
      </c>
      <c r="F192" s="18">
        <v>13474.05</v>
      </c>
      <c r="G192" s="18">
        <v>0</v>
      </c>
      <c r="H192" s="18">
        <v>512303.9</v>
      </c>
    </row>
    <row r="193" spans="1:8">
      <c r="A193" s="15" t="s">
        <v>11552</v>
      </c>
      <c r="B193" s="16" t="s">
        <v>12120</v>
      </c>
      <c r="C193" s="16" t="s">
        <v>12120</v>
      </c>
      <c r="D193" s="17" t="s">
        <v>4124</v>
      </c>
      <c r="E193" s="17" t="s">
        <v>1546</v>
      </c>
      <c r="F193" s="18">
        <v>0</v>
      </c>
      <c r="G193" s="18">
        <v>103362</v>
      </c>
      <c r="H193" s="18">
        <v>615665.9</v>
      </c>
    </row>
    <row r="194" spans="1:8">
      <c r="A194" s="15" t="s">
        <v>11554</v>
      </c>
      <c r="B194" s="16" t="s">
        <v>12121</v>
      </c>
      <c r="C194" s="16" t="s">
        <v>12121</v>
      </c>
      <c r="D194" s="17" t="s">
        <v>4124</v>
      </c>
      <c r="E194" s="17" t="s">
        <v>5165</v>
      </c>
      <c r="F194" s="18">
        <v>0</v>
      </c>
      <c r="G194" s="18">
        <v>881</v>
      </c>
      <c r="H194" s="18">
        <v>616546.9</v>
      </c>
    </row>
    <row r="195" spans="1:8">
      <c r="A195" s="15" t="s">
        <v>11657</v>
      </c>
      <c r="B195" s="16" t="s">
        <v>11658</v>
      </c>
      <c r="C195" s="16" t="s">
        <v>11658</v>
      </c>
      <c r="D195" s="17" t="s">
        <v>4124</v>
      </c>
      <c r="E195" s="17" t="s">
        <v>5166</v>
      </c>
      <c r="F195" s="18">
        <v>51255.5</v>
      </c>
      <c r="G195" s="18">
        <v>0</v>
      </c>
      <c r="H195" s="18">
        <v>565291.4</v>
      </c>
    </row>
    <row r="196" spans="1:8">
      <c r="A196" s="15" t="s">
        <v>12062</v>
      </c>
      <c r="B196" s="16" t="s">
        <v>12122</v>
      </c>
      <c r="C196" s="16" t="s">
        <v>12122</v>
      </c>
      <c r="D196" s="17" t="s">
        <v>4124</v>
      </c>
      <c r="E196" s="17" t="s">
        <v>5167</v>
      </c>
      <c r="F196" s="18">
        <v>10000</v>
      </c>
      <c r="G196" s="18">
        <v>0</v>
      </c>
      <c r="H196" s="18">
        <v>555291.4</v>
      </c>
    </row>
    <row r="197" spans="1:8">
      <c r="A197" s="15" t="s">
        <v>11659</v>
      </c>
      <c r="B197" s="16" t="s">
        <v>11660</v>
      </c>
      <c r="C197" s="16" t="s">
        <v>11660</v>
      </c>
      <c r="D197" s="17" t="s">
        <v>4124</v>
      </c>
      <c r="E197" s="17" t="s">
        <v>5168</v>
      </c>
      <c r="F197" s="18">
        <v>170</v>
      </c>
      <c r="G197" s="18">
        <v>0</v>
      </c>
      <c r="H197" s="18">
        <v>555121.4</v>
      </c>
    </row>
    <row r="198" spans="1:8">
      <c r="A198" s="15" t="s">
        <v>11661</v>
      </c>
      <c r="B198" s="16" t="s">
        <v>11660</v>
      </c>
      <c r="C198" s="16" t="s">
        <v>11660</v>
      </c>
      <c r="D198" s="17" t="s">
        <v>4124</v>
      </c>
      <c r="E198" s="17" t="s">
        <v>5169</v>
      </c>
      <c r="F198" s="18">
        <v>50000</v>
      </c>
      <c r="G198" s="18">
        <v>0</v>
      </c>
      <c r="H198" s="18">
        <v>505121.4</v>
      </c>
    </row>
    <row r="199" spans="1:8">
      <c r="A199" s="15" t="s">
        <v>11765</v>
      </c>
      <c r="B199" s="16" t="s">
        <v>12123</v>
      </c>
      <c r="C199" s="16" t="s">
        <v>12124</v>
      </c>
      <c r="D199" s="17" t="s">
        <v>4124</v>
      </c>
      <c r="E199" s="17" t="s">
        <v>5170</v>
      </c>
      <c r="F199" s="18">
        <v>20430</v>
      </c>
      <c r="G199" s="18">
        <v>0</v>
      </c>
      <c r="H199" s="18">
        <v>484691.4</v>
      </c>
    </row>
    <row r="200" spans="1:8">
      <c r="A200" s="15" t="s">
        <v>11556</v>
      </c>
      <c r="B200" s="16" t="s">
        <v>12125</v>
      </c>
      <c r="C200" s="16" t="s">
        <v>12125</v>
      </c>
      <c r="D200" s="17" t="s">
        <v>4124</v>
      </c>
      <c r="E200" s="17" t="s">
        <v>5171</v>
      </c>
      <c r="F200" s="18">
        <v>3210</v>
      </c>
      <c r="G200" s="18">
        <v>0</v>
      </c>
      <c r="H200" s="18">
        <v>481481.4</v>
      </c>
    </row>
    <row r="201" spans="1:8">
      <c r="A201" s="15" t="s">
        <v>11558</v>
      </c>
      <c r="B201" s="16" t="s">
        <v>12125</v>
      </c>
      <c r="C201" s="16" t="s">
        <v>12125</v>
      </c>
      <c r="D201" s="17" t="s">
        <v>4124</v>
      </c>
      <c r="E201" s="17" t="s">
        <v>1562</v>
      </c>
      <c r="F201" s="18">
        <v>0</v>
      </c>
      <c r="G201" s="18">
        <v>101451</v>
      </c>
      <c r="H201" s="18">
        <v>582932.4</v>
      </c>
    </row>
    <row r="202" spans="1:8">
      <c r="A202" s="15" t="s">
        <v>11662</v>
      </c>
      <c r="B202" s="16" t="s">
        <v>11663</v>
      </c>
      <c r="C202" s="16" t="s">
        <v>11663</v>
      </c>
      <c r="D202" s="17" t="s">
        <v>4124</v>
      </c>
      <c r="E202" s="17" t="s">
        <v>5172</v>
      </c>
      <c r="F202" s="18">
        <v>100</v>
      </c>
      <c r="G202" s="18">
        <v>0</v>
      </c>
      <c r="H202" s="18">
        <v>582832.4</v>
      </c>
    </row>
    <row r="203" spans="1:8">
      <c r="A203" s="15" t="s">
        <v>11726</v>
      </c>
      <c r="B203" s="16" t="s">
        <v>12126</v>
      </c>
      <c r="C203" s="16" t="s">
        <v>12126</v>
      </c>
      <c r="D203" s="17" t="s">
        <v>4124</v>
      </c>
      <c r="E203" s="17" t="s">
        <v>5173</v>
      </c>
      <c r="F203" s="18">
        <v>100000</v>
      </c>
      <c r="G203" s="18">
        <v>0</v>
      </c>
      <c r="H203" s="18">
        <v>482832.4</v>
      </c>
    </row>
    <row r="204" spans="1:8">
      <c r="A204" s="15" t="s">
        <v>11561</v>
      </c>
      <c r="B204" s="16" t="s">
        <v>11664</v>
      </c>
      <c r="C204" s="16" t="s">
        <v>11664</v>
      </c>
      <c r="D204" s="17" t="s">
        <v>4124</v>
      </c>
      <c r="E204" s="17" t="s">
        <v>5174</v>
      </c>
      <c r="F204" s="18">
        <v>474.99</v>
      </c>
      <c r="G204" s="18">
        <v>0</v>
      </c>
      <c r="H204" s="18">
        <v>482357.41</v>
      </c>
    </row>
    <row r="205" spans="1:8">
      <c r="A205" s="15" t="s">
        <v>11563</v>
      </c>
      <c r="B205" s="16" t="s">
        <v>12127</v>
      </c>
      <c r="C205" s="16" t="s">
        <v>12127</v>
      </c>
      <c r="D205" s="17" t="s">
        <v>4124</v>
      </c>
      <c r="E205" s="17" t="s">
        <v>1590</v>
      </c>
      <c r="F205" s="18">
        <v>0</v>
      </c>
      <c r="G205" s="18">
        <v>881</v>
      </c>
      <c r="H205" s="18">
        <v>483238.41</v>
      </c>
    </row>
    <row r="206" spans="1:8">
      <c r="A206" s="15" t="s">
        <v>11565</v>
      </c>
      <c r="B206" s="16" t="s">
        <v>11665</v>
      </c>
      <c r="C206" s="16" t="s">
        <v>11665</v>
      </c>
      <c r="D206" s="17" t="s">
        <v>4124</v>
      </c>
      <c r="E206" s="17" t="s">
        <v>5175</v>
      </c>
      <c r="F206" s="18">
        <v>884</v>
      </c>
      <c r="G206" s="18">
        <v>0</v>
      </c>
      <c r="H206" s="18">
        <v>482354.41</v>
      </c>
    </row>
    <row r="207" spans="1:8">
      <c r="A207" s="15" t="s">
        <v>11567</v>
      </c>
      <c r="B207" s="16" t="s">
        <v>11666</v>
      </c>
      <c r="C207" s="16" t="s">
        <v>11666</v>
      </c>
      <c r="D207" s="17" t="s">
        <v>4124</v>
      </c>
      <c r="E207" s="17" t="s">
        <v>5176</v>
      </c>
      <c r="F207" s="18">
        <v>15000</v>
      </c>
      <c r="G207" s="18">
        <v>0</v>
      </c>
      <c r="H207" s="18">
        <v>467354.41</v>
      </c>
    </row>
    <row r="208" spans="1:8">
      <c r="A208" s="15" t="s">
        <v>11667</v>
      </c>
      <c r="B208" s="16" t="s">
        <v>11668</v>
      </c>
      <c r="C208" s="16" t="s">
        <v>11668</v>
      </c>
      <c r="D208" s="17" t="s">
        <v>4124</v>
      </c>
      <c r="E208" s="17" t="s">
        <v>5177</v>
      </c>
      <c r="F208" s="18">
        <v>4000</v>
      </c>
      <c r="G208" s="18">
        <v>0</v>
      </c>
      <c r="H208" s="18">
        <v>463354.41</v>
      </c>
    </row>
    <row r="209" spans="1:8">
      <c r="A209" s="15" t="s">
        <v>11669</v>
      </c>
      <c r="B209" s="16" t="s">
        <v>11668</v>
      </c>
      <c r="C209" s="16" t="s">
        <v>11668</v>
      </c>
      <c r="D209" s="17" t="s">
        <v>4124</v>
      </c>
      <c r="E209" s="17" t="s">
        <v>5178</v>
      </c>
      <c r="F209" s="18">
        <v>10000</v>
      </c>
      <c r="G209" s="18">
        <v>0</v>
      </c>
      <c r="H209" s="18">
        <v>453354.41</v>
      </c>
    </row>
    <row r="210" spans="1:8">
      <c r="A210" s="15" t="s">
        <v>11773</v>
      </c>
      <c r="B210" s="16" t="s">
        <v>12128</v>
      </c>
      <c r="C210" s="16" t="s">
        <v>12128</v>
      </c>
      <c r="D210" s="17" t="s">
        <v>4124</v>
      </c>
      <c r="E210" s="17" t="s">
        <v>5179</v>
      </c>
      <c r="F210" s="18">
        <v>0</v>
      </c>
      <c r="G210" s="18">
        <v>66.17</v>
      </c>
      <c r="H210" s="18">
        <v>453420.58</v>
      </c>
    </row>
    <row r="211" spans="1:8">
      <c r="A211" s="15" t="s">
        <v>11774</v>
      </c>
      <c r="B211" s="16" t="s">
        <v>12129</v>
      </c>
      <c r="C211" s="16" t="s">
        <v>12129</v>
      </c>
      <c r="D211" s="17" t="s">
        <v>4124</v>
      </c>
      <c r="E211" s="17" t="s">
        <v>1562</v>
      </c>
      <c r="F211" s="18">
        <v>0</v>
      </c>
      <c r="G211" s="18">
        <v>104254</v>
      </c>
      <c r="H211" s="18">
        <v>557674.57999999996</v>
      </c>
    </row>
    <row r="212" spans="1:8">
      <c r="A212" s="15" t="s">
        <v>11568</v>
      </c>
      <c r="B212" s="16" t="s">
        <v>12130</v>
      </c>
      <c r="C212" s="16" t="s">
        <v>12130</v>
      </c>
      <c r="D212" s="17" t="s">
        <v>4124</v>
      </c>
      <c r="E212" s="17" t="s">
        <v>5180</v>
      </c>
      <c r="F212" s="18">
        <v>100000</v>
      </c>
      <c r="G212" s="18">
        <v>0</v>
      </c>
      <c r="H212" s="18">
        <v>457674.58</v>
      </c>
    </row>
    <row r="213" spans="1:8">
      <c r="A213" s="15" t="s">
        <v>11570</v>
      </c>
      <c r="B213" s="16" t="s">
        <v>12131</v>
      </c>
      <c r="C213" s="16" t="s">
        <v>12131</v>
      </c>
      <c r="D213" s="17" t="s">
        <v>12132</v>
      </c>
      <c r="E213" s="17" t="s">
        <v>5181</v>
      </c>
      <c r="F213" s="18">
        <v>39316</v>
      </c>
      <c r="G213" s="18">
        <v>0</v>
      </c>
      <c r="H213" s="18">
        <v>418358.58</v>
      </c>
    </row>
    <row r="214" spans="1:8">
      <c r="A214" s="15" t="s">
        <v>11670</v>
      </c>
      <c r="B214" s="16" t="s">
        <v>11671</v>
      </c>
      <c r="C214" s="16" t="s">
        <v>11671</v>
      </c>
      <c r="D214" s="17" t="s">
        <v>4124</v>
      </c>
      <c r="E214" s="17" t="s">
        <v>5182</v>
      </c>
      <c r="F214" s="18">
        <v>500</v>
      </c>
      <c r="G214" s="18">
        <v>0</v>
      </c>
      <c r="H214" s="18">
        <v>417858.58</v>
      </c>
    </row>
    <row r="215" spans="1:8">
      <c r="A215" s="15" t="s">
        <v>11572</v>
      </c>
      <c r="B215" s="16" t="s">
        <v>12133</v>
      </c>
      <c r="C215" s="16" t="s">
        <v>12133</v>
      </c>
      <c r="D215" s="17" t="s">
        <v>4124</v>
      </c>
      <c r="E215" s="17" t="s">
        <v>5183</v>
      </c>
      <c r="F215" s="18">
        <v>0</v>
      </c>
      <c r="G215" s="18">
        <v>881</v>
      </c>
      <c r="H215" s="18">
        <v>418739.58</v>
      </c>
    </row>
    <row r="216" spans="1:8">
      <c r="A216" s="15" t="s">
        <v>11574</v>
      </c>
      <c r="B216" s="16" t="s">
        <v>11672</v>
      </c>
      <c r="C216" s="16" t="s">
        <v>11672</v>
      </c>
      <c r="D216" s="17" t="s">
        <v>4124</v>
      </c>
      <c r="E216" s="17" t="s">
        <v>5184</v>
      </c>
      <c r="F216" s="18">
        <v>10000</v>
      </c>
      <c r="G216" s="18">
        <v>0</v>
      </c>
      <c r="H216" s="18">
        <v>408739.58</v>
      </c>
    </row>
    <row r="217" spans="1:8">
      <c r="A217" s="15" t="s">
        <v>11575</v>
      </c>
      <c r="B217" s="16" t="s">
        <v>11673</v>
      </c>
      <c r="C217" s="16" t="s">
        <v>11673</v>
      </c>
      <c r="D217" s="17" t="s">
        <v>4124</v>
      </c>
      <c r="E217" s="17" t="s">
        <v>5185</v>
      </c>
      <c r="F217" s="18">
        <v>5000</v>
      </c>
      <c r="G217" s="18">
        <v>0</v>
      </c>
      <c r="H217" s="18">
        <v>403739.58</v>
      </c>
    </row>
    <row r="218" spans="1:8">
      <c r="A218" s="15" t="s">
        <v>11576</v>
      </c>
      <c r="B218" s="16" t="s">
        <v>11674</v>
      </c>
      <c r="C218" s="16" t="s">
        <v>11674</v>
      </c>
      <c r="D218" s="17" t="s">
        <v>4124</v>
      </c>
      <c r="E218" s="17" t="s">
        <v>5186</v>
      </c>
      <c r="F218" s="18">
        <v>592</v>
      </c>
      <c r="G218" s="18">
        <v>0</v>
      </c>
      <c r="H218" s="18">
        <v>403147.58</v>
      </c>
    </row>
    <row r="219" spans="1:8">
      <c r="A219" s="15" t="s">
        <v>11577</v>
      </c>
      <c r="B219" s="16" t="s">
        <v>12134</v>
      </c>
      <c r="C219" s="16" t="s">
        <v>12134</v>
      </c>
      <c r="D219" s="17" t="s">
        <v>4124</v>
      </c>
      <c r="E219" s="17" t="s">
        <v>1590</v>
      </c>
      <c r="F219" s="18">
        <v>0</v>
      </c>
      <c r="G219" s="18">
        <v>3141</v>
      </c>
      <c r="H219" s="18">
        <v>406288.58</v>
      </c>
    </row>
    <row r="220" spans="1:8">
      <c r="A220" s="15" t="s">
        <v>11969</v>
      </c>
      <c r="B220" s="16" t="s">
        <v>12135</v>
      </c>
      <c r="C220" s="16" t="s">
        <v>12135</v>
      </c>
      <c r="D220" s="17" t="s">
        <v>4124</v>
      </c>
      <c r="E220" s="17" t="s">
        <v>1404</v>
      </c>
      <c r="F220" s="18">
        <v>0</v>
      </c>
      <c r="G220" s="18">
        <v>131370</v>
      </c>
      <c r="H220" s="18">
        <v>537658.57999999996</v>
      </c>
    </row>
    <row r="221" spans="1:8">
      <c r="A221" s="15" t="s">
        <v>11971</v>
      </c>
      <c r="B221" s="16" t="s">
        <v>12136</v>
      </c>
      <c r="C221" s="16" t="s">
        <v>12136</v>
      </c>
      <c r="D221" s="17" t="s">
        <v>4124</v>
      </c>
      <c r="E221" s="17" t="s">
        <v>5187</v>
      </c>
      <c r="F221" s="18">
        <v>59138</v>
      </c>
      <c r="G221" s="18">
        <v>0</v>
      </c>
      <c r="H221" s="18">
        <v>478520.58</v>
      </c>
    </row>
    <row r="222" spans="1:8">
      <c r="A222" s="15" t="s">
        <v>12078</v>
      </c>
      <c r="B222" s="16" t="s">
        <v>12136</v>
      </c>
      <c r="C222" s="16" t="s">
        <v>12136</v>
      </c>
      <c r="D222" s="17" t="s">
        <v>4124</v>
      </c>
      <c r="E222" s="17" t="s">
        <v>5188</v>
      </c>
      <c r="F222" s="18">
        <v>0</v>
      </c>
      <c r="G222" s="18">
        <v>5335.04</v>
      </c>
      <c r="H222" s="18">
        <v>483855.62</v>
      </c>
    </row>
    <row r="223" spans="1:8">
      <c r="A223" s="15" t="s">
        <v>11926</v>
      </c>
      <c r="B223" s="16" t="s">
        <v>12137</v>
      </c>
      <c r="C223" s="16" t="s">
        <v>12137</v>
      </c>
      <c r="D223" s="17" t="s">
        <v>4124</v>
      </c>
      <c r="E223" s="17" t="s">
        <v>5189</v>
      </c>
      <c r="F223" s="18">
        <v>100005.52</v>
      </c>
      <c r="G223" s="18">
        <v>0</v>
      </c>
      <c r="H223" s="18">
        <v>383850.1</v>
      </c>
    </row>
    <row r="224" spans="1:8">
      <c r="A224" s="15" t="s">
        <v>11776</v>
      </c>
      <c r="B224" s="16" t="s">
        <v>12135</v>
      </c>
      <c r="C224" s="16" t="s">
        <v>12138</v>
      </c>
      <c r="D224" s="17" t="s">
        <v>4124</v>
      </c>
      <c r="E224" s="17" t="s">
        <v>5190</v>
      </c>
      <c r="F224" s="18">
        <v>0</v>
      </c>
      <c r="G224" s="18">
        <v>8398</v>
      </c>
      <c r="H224" s="18">
        <v>392248.1</v>
      </c>
    </row>
    <row r="225" spans="1:8">
      <c r="A225" s="15" t="s">
        <v>11580</v>
      </c>
      <c r="B225" s="16" t="s">
        <v>11675</v>
      </c>
      <c r="C225" s="16" t="s">
        <v>11675</v>
      </c>
      <c r="D225" s="17" t="s">
        <v>4124</v>
      </c>
      <c r="E225" s="17" t="s">
        <v>5191</v>
      </c>
      <c r="F225" s="18">
        <v>9480</v>
      </c>
      <c r="G225" s="18">
        <v>0</v>
      </c>
      <c r="H225" s="18">
        <v>382768.1</v>
      </c>
    </row>
    <row r="226" spans="1:8">
      <c r="A226" s="15" t="s">
        <v>11779</v>
      </c>
      <c r="B226" s="16" t="s">
        <v>12139</v>
      </c>
      <c r="C226" s="16" t="s">
        <v>12139</v>
      </c>
      <c r="D226" s="17" t="s">
        <v>4124</v>
      </c>
      <c r="E226" s="17" t="s">
        <v>5192</v>
      </c>
      <c r="F226" s="18">
        <v>0</v>
      </c>
      <c r="G226" s="18">
        <v>3748.54</v>
      </c>
      <c r="H226" s="18">
        <v>386516.64</v>
      </c>
    </row>
    <row r="227" spans="1:8">
      <c r="A227" s="15" t="s">
        <v>11676</v>
      </c>
      <c r="B227" s="16" t="s">
        <v>11677</v>
      </c>
      <c r="C227" s="16" t="s">
        <v>11677</v>
      </c>
      <c r="D227" s="17" t="s">
        <v>4124</v>
      </c>
      <c r="E227" s="17" t="s">
        <v>5193</v>
      </c>
      <c r="F227" s="18">
        <v>1000</v>
      </c>
      <c r="G227" s="18">
        <v>0</v>
      </c>
      <c r="H227" s="18">
        <v>385516.64</v>
      </c>
    </row>
    <row r="228" spans="1:8">
      <c r="A228" s="15" t="s">
        <v>11582</v>
      </c>
      <c r="B228" s="16" t="s">
        <v>12140</v>
      </c>
      <c r="C228" s="16" t="s">
        <v>12141</v>
      </c>
      <c r="D228" s="17" t="s">
        <v>4124</v>
      </c>
      <c r="E228" s="17" t="s">
        <v>5194</v>
      </c>
      <c r="F228" s="18">
        <v>3210</v>
      </c>
      <c r="G228" s="18">
        <v>0</v>
      </c>
      <c r="H228" s="18">
        <v>382306.64</v>
      </c>
    </row>
    <row r="229" spans="1:8">
      <c r="A229" s="15" t="s">
        <v>11584</v>
      </c>
      <c r="B229" s="16" t="s">
        <v>11678</v>
      </c>
      <c r="C229" s="16" t="s">
        <v>11678</v>
      </c>
      <c r="D229" s="17" t="s">
        <v>4124</v>
      </c>
      <c r="E229" s="17" t="s">
        <v>5195</v>
      </c>
      <c r="F229" s="18">
        <v>3178.83</v>
      </c>
      <c r="G229" s="18">
        <v>0</v>
      </c>
      <c r="H229" s="18">
        <v>379127.81</v>
      </c>
    </row>
    <row r="230" spans="1:8">
      <c r="A230" s="15" t="s">
        <v>11585</v>
      </c>
      <c r="B230" s="16" t="s">
        <v>11678</v>
      </c>
      <c r="C230" s="16" t="s">
        <v>11678</v>
      </c>
      <c r="D230" s="17" t="s">
        <v>4124</v>
      </c>
      <c r="E230" s="17" t="s">
        <v>1404</v>
      </c>
      <c r="F230" s="18">
        <v>0</v>
      </c>
      <c r="G230" s="18">
        <v>116291</v>
      </c>
      <c r="H230" s="18">
        <v>495418.81</v>
      </c>
    </row>
    <row r="231" spans="1:8">
      <c r="A231" s="15" t="s">
        <v>11588</v>
      </c>
      <c r="B231" s="16" t="s">
        <v>11679</v>
      </c>
      <c r="C231" s="16" t="s">
        <v>11679</v>
      </c>
      <c r="D231" s="17" t="s">
        <v>4124</v>
      </c>
      <c r="E231" s="17" t="s">
        <v>5196</v>
      </c>
      <c r="F231" s="18">
        <v>8335</v>
      </c>
      <c r="G231" s="18">
        <v>0</v>
      </c>
      <c r="H231" s="18">
        <v>487083.81</v>
      </c>
    </row>
    <row r="232" spans="1:8">
      <c r="A232" s="15" t="s">
        <v>11483</v>
      </c>
      <c r="B232" s="16" t="s">
        <v>12142</v>
      </c>
      <c r="C232" s="16" t="s">
        <v>12142</v>
      </c>
      <c r="D232" s="17" t="s">
        <v>4124</v>
      </c>
      <c r="E232" s="17" t="s">
        <v>1594</v>
      </c>
      <c r="F232" s="18">
        <v>0</v>
      </c>
      <c r="G232" s="18">
        <v>5460</v>
      </c>
      <c r="H232" s="18">
        <v>492543.81</v>
      </c>
    </row>
    <row r="233" spans="1:8">
      <c r="A233" s="15" t="s">
        <v>11486</v>
      </c>
      <c r="B233" s="16" t="s">
        <v>12143</v>
      </c>
      <c r="C233" s="16" t="s">
        <v>12143</v>
      </c>
      <c r="D233" s="17" t="s">
        <v>4124</v>
      </c>
      <c r="E233" s="17" t="s">
        <v>5197</v>
      </c>
      <c r="F233" s="18">
        <v>0</v>
      </c>
      <c r="G233" s="18">
        <v>695.53</v>
      </c>
      <c r="H233" s="18">
        <v>493239.34</v>
      </c>
    </row>
    <row r="234" spans="1:8">
      <c r="A234" s="15" t="s">
        <v>11487</v>
      </c>
      <c r="B234" s="16" t="s">
        <v>11680</v>
      </c>
      <c r="C234" s="16" t="s">
        <v>11681</v>
      </c>
      <c r="D234" s="17" t="s">
        <v>4124</v>
      </c>
      <c r="E234" s="17" t="s">
        <v>5198</v>
      </c>
      <c r="F234" s="18">
        <v>5660</v>
      </c>
      <c r="G234" s="18">
        <v>0</v>
      </c>
      <c r="H234" s="18">
        <v>487579.34</v>
      </c>
    </row>
    <row r="235" spans="1:8">
      <c r="A235" s="15" t="s">
        <v>11488</v>
      </c>
      <c r="B235" s="16" t="s">
        <v>11683</v>
      </c>
      <c r="C235" s="16" t="s">
        <v>11683</v>
      </c>
      <c r="D235" s="17" t="s">
        <v>4124</v>
      </c>
      <c r="E235" s="17" t="s">
        <v>1622</v>
      </c>
      <c r="F235" s="18">
        <v>0</v>
      </c>
      <c r="G235" s="18">
        <v>824</v>
      </c>
      <c r="H235" s="18">
        <v>488403.34</v>
      </c>
    </row>
    <row r="236" spans="1:8">
      <c r="A236" s="15" t="s">
        <v>11682</v>
      </c>
      <c r="B236" s="16" t="s">
        <v>11683</v>
      </c>
      <c r="C236" s="16" t="s">
        <v>11683</v>
      </c>
      <c r="D236" s="17" t="s">
        <v>4124</v>
      </c>
      <c r="E236" s="17" t="s">
        <v>5199</v>
      </c>
      <c r="F236" s="18">
        <v>5000</v>
      </c>
      <c r="G236" s="18">
        <v>0</v>
      </c>
      <c r="H236" s="18">
        <v>483403.34</v>
      </c>
    </row>
    <row r="237" spans="1:8">
      <c r="A237" s="15" t="s">
        <v>11491</v>
      </c>
      <c r="B237" s="16" t="s">
        <v>11683</v>
      </c>
      <c r="C237" s="16" t="s">
        <v>11683</v>
      </c>
      <c r="D237" s="17" t="s">
        <v>4124</v>
      </c>
      <c r="E237" s="17" t="s">
        <v>5200</v>
      </c>
      <c r="F237" s="18">
        <v>5000</v>
      </c>
      <c r="G237" s="18">
        <v>0</v>
      </c>
      <c r="H237" s="18">
        <v>478403.34</v>
      </c>
    </row>
    <row r="238" spans="1:8">
      <c r="A238" s="15" t="s">
        <v>11591</v>
      </c>
      <c r="B238" s="16" t="s">
        <v>11684</v>
      </c>
      <c r="C238" s="16" t="s">
        <v>11684</v>
      </c>
      <c r="D238" s="17" t="s">
        <v>4124</v>
      </c>
      <c r="E238" s="17" t="s">
        <v>5201</v>
      </c>
      <c r="F238" s="18">
        <v>879</v>
      </c>
      <c r="G238" s="18">
        <v>0</v>
      </c>
      <c r="H238" s="18">
        <v>477524.34</v>
      </c>
    </row>
    <row r="239" spans="1:8">
      <c r="A239" s="15" t="s">
        <v>11493</v>
      </c>
      <c r="B239" s="16" t="s">
        <v>11685</v>
      </c>
      <c r="C239" s="16" t="s">
        <v>11685</v>
      </c>
      <c r="D239" s="17" t="s">
        <v>4124</v>
      </c>
      <c r="E239" s="17" t="s">
        <v>1404</v>
      </c>
      <c r="F239" s="18">
        <v>0</v>
      </c>
      <c r="G239" s="18">
        <v>441901</v>
      </c>
      <c r="H239" s="18">
        <v>919425.34</v>
      </c>
    </row>
    <row r="240" spans="1:8">
      <c r="A240" s="15" t="s">
        <v>11594</v>
      </c>
      <c r="B240" s="16" t="s">
        <v>11685</v>
      </c>
      <c r="C240" s="16" t="s">
        <v>11685</v>
      </c>
      <c r="D240" s="17" t="s">
        <v>4124</v>
      </c>
      <c r="E240" s="17" t="s">
        <v>5202</v>
      </c>
      <c r="F240" s="18">
        <v>400</v>
      </c>
      <c r="G240" s="18">
        <v>0</v>
      </c>
      <c r="H240" s="18">
        <v>919025.34</v>
      </c>
    </row>
    <row r="241" spans="1:8">
      <c r="A241" s="15" t="s">
        <v>11596</v>
      </c>
      <c r="B241" s="16" t="s">
        <v>11686</v>
      </c>
      <c r="C241" s="16" t="s">
        <v>11686</v>
      </c>
      <c r="D241" s="17" t="s">
        <v>4124</v>
      </c>
      <c r="E241" s="17" t="s">
        <v>5203</v>
      </c>
      <c r="F241" s="18">
        <v>1491</v>
      </c>
      <c r="G241" s="18">
        <v>0</v>
      </c>
      <c r="H241" s="18">
        <v>917534.34</v>
      </c>
    </row>
    <row r="242" spans="1:8">
      <c r="A242" s="15" t="s">
        <v>11495</v>
      </c>
      <c r="B242" s="16" t="s">
        <v>11687</v>
      </c>
      <c r="C242" s="16" t="s">
        <v>11687</v>
      </c>
      <c r="D242" s="17" t="s">
        <v>4124</v>
      </c>
      <c r="E242" s="17" t="s">
        <v>5204</v>
      </c>
      <c r="F242" s="18">
        <v>400</v>
      </c>
      <c r="G242" s="18">
        <v>0</v>
      </c>
      <c r="H242" s="18">
        <v>917134.34</v>
      </c>
    </row>
    <row r="243" spans="1:8">
      <c r="A243" s="15" t="s">
        <v>11742</v>
      </c>
      <c r="B243" s="16" t="s">
        <v>12144</v>
      </c>
      <c r="C243" s="16" t="s">
        <v>12144</v>
      </c>
      <c r="D243" s="17" t="s">
        <v>4124</v>
      </c>
      <c r="E243" s="17" t="s">
        <v>1404</v>
      </c>
      <c r="F243" s="18">
        <v>0</v>
      </c>
      <c r="G243" s="18">
        <v>109561</v>
      </c>
      <c r="H243" s="18">
        <v>1026695.34</v>
      </c>
    </row>
    <row r="244" spans="1:8">
      <c r="A244" s="15" t="s">
        <v>11808</v>
      </c>
      <c r="B244" s="16" t="s">
        <v>12145</v>
      </c>
      <c r="C244" s="16" t="s">
        <v>12145</v>
      </c>
      <c r="D244" s="17" t="s">
        <v>4124</v>
      </c>
      <c r="E244" s="17" t="s">
        <v>5205</v>
      </c>
      <c r="F244" s="18">
        <v>9527.6200000000008</v>
      </c>
      <c r="G244" s="18">
        <v>0</v>
      </c>
      <c r="H244" s="18">
        <v>1017167.72</v>
      </c>
    </row>
    <row r="245" spans="1:8">
      <c r="A245" s="15" t="s">
        <v>11599</v>
      </c>
      <c r="B245" s="16" t="s">
        <v>11688</v>
      </c>
      <c r="C245" s="16" t="s">
        <v>11688</v>
      </c>
      <c r="D245" s="17" t="s">
        <v>4124</v>
      </c>
      <c r="E245" s="17" t="s">
        <v>5206</v>
      </c>
      <c r="F245" s="18">
        <v>100006</v>
      </c>
      <c r="G245" s="18">
        <v>0</v>
      </c>
      <c r="H245" s="18">
        <v>917161.72</v>
      </c>
    </row>
    <row r="246" spans="1:8">
      <c r="A246" s="15" t="s">
        <v>11498</v>
      </c>
      <c r="B246" s="16" t="s">
        <v>11688</v>
      </c>
      <c r="C246" s="16" t="s">
        <v>11688</v>
      </c>
      <c r="D246" s="17" t="s">
        <v>4124</v>
      </c>
      <c r="E246" s="17" t="s">
        <v>5207</v>
      </c>
      <c r="F246" s="18">
        <v>8976.9</v>
      </c>
      <c r="G246" s="18">
        <v>0</v>
      </c>
      <c r="H246" s="18">
        <v>908184.82</v>
      </c>
    </row>
    <row r="247" spans="1:8">
      <c r="A247" s="15" t="s">
        <v>11936</v>
      </c>
      <c r="B247" s="16" t="s">
        <v>11688</v>
      </c>
      <c r="C247" s="16" t="s">
        <v>11688</v>
      </c>
      <c r="D247" s="17" t="s">
        <v>4124</v>
      </c>
      <c r="E247" s="17" t="s">
        <v>1622</v>
      </c>
      <c r="F247" s="18">
        <v>0</v>
      </c>
      <c r="G247" s="18">
        <v>76577</v>
      </c>
      <c r="H247" s="18">
        <v>984761.82</v>
      </c>
    </row>
    <row r="248" spans="1:8">
      <c r="A248" s="15" t="s">
        <v>11500</v>
      </c>
      <c r="B248" s="16" t="s">
        <v>12146</v>
      </c>
      <c r="C248" s="16" t="s">
        <v>12146</v>
      </c>
      <c r="D248" s="17" t="s">
        <v>4124</v>
      </c>
      <c r="E248" s="17" t="s">
        <v>5208</v>
      </c>
      <c r="F248" s="18">
        <v>245417</v>
      </c>
      <c r="G248" s="18">
        <v>0</v>
      </c>
      <c r="H248" s="18">
        <v>739344.82</v>
      </c>
    </row>
    <row r="249" spans="1:8">
      <c r="A249" s="15" t="s">
        <v>11689</v>
      </c>
      <c r="B249" s="16" t="s">
        <v>11690</v>
      </c>
      <c r="C249" s="16" t="s">
        <v>11690</v>
      </c>
      <c r="D249" s="17" t="s">
        <v>4124</v>
      </c>
      <c r="E249" s="17" t="s">
        <v>5209</v>
      </c>
      <c r="F249" s="18">
        <v>10000</v>
      </c>
      <c r="G249" s="18">
        <v>0</v>
      </c>
      <c r="H249" s="18">
        <v>729344.82</v>
      </c>
    </row>
    <row r="250" spans="1:8">
      <c r="A250" s="15" t="s">
        <v>11811</v>
      </c>
      <c r="B250" s="16" t="s">
        <v>12147</v>
      </c>
      <c r="C250" s="16" t="s">
        <v>12147</v>
      </c>
      <c r="D250" s="17" t="s">
        <v>12148</v>
      </c>
      <c r="E250" s="17" t="s">
        <v>5210</v>
      </c>
      <c r="F250" s="18">
        <v>20000</v>
      </c>
      <c r="G250" s="18">
        <v>0</v>
      </c>
      <c r="H250" s="18">
        <v>709344.82</v>
      </c>
    </row>
    <row r="251" spans="1:8">
      <c r="A251" s="15" t="s">
        <v>11603</v>
      </c>
      <c r="B251" s="16" t="s">
        <v>12149</v>
      </c>
      <c r="C251" s="16" t="s">
        <v>12149</v>
      </c>
      <c r="D251" s="17" t="s">
        <v>4124</v>
      </c>
      <c r="E251" s="17" t="s">
        <v>1404</v>
      </c>
      <c r="F251" s="18">
        <v>0</v>
      </c>
      <c r="G251" s="18">
        <v>109561</v>
      </c>
      <c r="H251" s="18">
        <v>818905.82</v>
      </c>
    </row>
    <row r="252" spans="1:8">
      <c r="A252" s="15" t="s">
        <v>11605</v>
      </c>
      <c r="B252" s="16" t="s">
        <v>12149</v>
      </c>
      <c r="C252" s="16" t="s">
        <v>12149</v>
      </c>
      <c r="D252" s="17" t="s">
        <v>4124</v>
      </c>
      <c r="E252" s="17" t="s">
        <v>1622</v>
      </c>
      <c r="F252" s="18">
        <v>0</v>
      </c>
      <c r="G252" s="18">
        <v>3641</v>
      </c>
      <c r="H252" s="18">
        <v>822546.82</v>
      </c>
    </row>
    <row r="253" spans="1:8">
      <c r="A253" s="15" t="s">
        <v>11502</v>
      </c>
      <c r="B253" s="16" t="s">
        <v>12150</v>
      </c>
      <c r="C253" s="16" t="s">
        <v>12150</v>
      </c>
      <c r="D253" s="17" t="s">
        <v>4124</v>
      </c>
      <c r="E253" s="17" t="s">
        <v>5211</v>
      </c>
      <c r="F253" s="18">
        <v>76168.039999999994</v>
      </c>
      <c r="G253" s="18">
        <v>0</v>
      </c>
      <c r="H253" s="18">
        <v>746378.78</v>
      </c>
    </row>
    <row r="254" spans="1:8">
      <c r="A254" s="15" t="s">
        <v>11608</v>
      </c>
      <c r="B254" s="16" t="s">
        <v>11691</v>
      </c>
      <c r="C254" s="16" t="s">
        <v>11692</v>
      </c>
      <c r="D254" s="17" t="s">
        <v>4124</v>
      </c>
      <c r="E254" s="17" t="s">
        <v>5212</v>
      </c>
      <c r="F254" s="18">
        <v>1540</v>
      </c>
      <c r="G254" s="18">
        <v>0</v>
      </c>
      <c r="H254" s="18">
        <v>744838.78</v>
      </c>
    </row>
    <row r="255" spans="1:8">
      <c r="A255" s="15" t="s">
        <v>11609</v>
      </c>
      <c r="B255" s="16" t="s">
        <v>11693</v>
      </c>
      <c r="C255" s="16" t="s">
        <v>11693</v>
      </c>
      <c r="D255" s="17" t="s">
        <v>4124</v>
      </c>
      <c r="E255" s="17" t="s">
        <v>5213</v>
      </c>
      <c r="F255" s="18">
        <v>400</v>
      </c>
      <c r="G255" s="18">
        <v>0</v>
      </c>
      <c r="H255" s="18">
        <v>744438.78</v>
      </c>
    </row>
    <row r="256" spans="1:8">
      <c r="A256" s="15" t="s">
        <v>11504</v>
      </c>
      <c r="B256" s="16" t="s">
        <v>11694</v>
      </c>
      <c r="C256" s="16" t="s">
        <v>11694</v>
      </c>
      <c r="D256" s="17" t="s">
        <v>4124</v>
      </c>
      <c r="E256" s="17" t="s">
        <v>5214</v>
      </c>
      <c r="F256" s="18">
        <v>10000</v>
      </c>
      <c r="G256" s="18">
        <v>0</v>
      </c>
      <c r="H256" s="18">
        <v>734438.78</v>
      </c>
    </row>
    <row r="257" spans="1:8">
      <c r="A257" s="15" t="s">
        <v>11695</v>
      </c>
      <c r="B257" s="16" t="s">
        <v>11696</v>
      </c>
      <c r="C257" s="16" t="s">
        <v>11696</v>
      </c>
      <c r="D257" s="17" t="s">
        <v>4124</v>
      </c>
      <c r="E257" s="17" t="s">
        <v>5215</v>
      </c>
      <c r="F257" s="18">
        <v>3110</v>
      </c>
      <c r="G257" s="18">
        <v>0</v>
      </c>
      <c r="H257" s="18">
        <v>731328.78</v>
      </c>
    </row>
    <row r="258" spans="1:8">
      <c r="A258" s="15" t="s">
        <v>11697</v>
      </c>
      <c r="B258" s="16" t="s">
        <v>11698</v>
      </c>
      <c r="C258" s="16" t="s">
        <v>11698</v>
      </c>
      <c r="D258" s="17" t="s">
        <v>4124</v>
      </c>
      <c r="E258" s="17" t="s">
        <v>5216</v>
      </c>
      <c r="F258" s="18">
        <v>5000</v>
      </c>
      <c r="G258" s="18">
        <v>0</v>
      </c>
      <c r="H258" s="18">
        <v>726328.78</v>
      </c>
    </row>
    <row r="259" spans="1:8">
      <c r="A259" s="15" t="s">
        <v>11507</v>
      </c>
      <c r="B259" s="16" t="s">
        <v>12151</v>
      </c>
      <c r="C259" s="16" t="s">
        <v>12151</v>
      </c>
      <c r="D259" s="17" t="s">
        <v>4124</v>
      </c>
      <c r="E259" s="17" t="s">
        <v>1404</v>
      </c>
      <c r="F259" s="18">
        <v>0</v>
      </c>
      <c r="G259" s="18">
        <v>106471</v>
      </c>
      <c r="H259" s="18">
        <v>832799.78</v>
      </c>
    </row>
    <row r="260" spans="1:8">
      <c r="A260" s="15" t="s">
        <v>11509</v>
      </c>
      <c r="B260" s="16" t="s">
        <v>12152</v>
      </c>
      <c r="C260" s="16" t="s">
        <v>12152</v>
      </c>
      <c r="D260" s="17" t="s">
        <v>4124</v>
      </c>
      <c r="E260" s="17" t="s">
        <v>1537</v>
      </c>
      <c r="F260" s="18">
        <v>0</v>
      </c>
      <c r="G260" s="18">
        <v>4784</v>
      </c>
      <c r="H260" s="18">
        <v>837583.78</v>
      </c>
    </row>
    <row r="261" spans="1:8">
      <c r="A261" s="15" t="s">
        <v>11511</v>
      </c>
      <c r="B261" s="16" t="s">
        <v>12153</v>
      </c>
      <c r="C261" s="16" t="s">
        <v>12153</v>
      </c>
      <c r="D261" s="17" t="s">
        <v>4124</v>
      </c>
      <c r="E261" s="17" t="s">
        <v>5217</v>
      </c>
      <c r="F261" s="18">
        <v>4070.27</v>
      </c>
      <c r="G261" s="18">
        <v>0</v>
      </c>
      <c r="H261" s="18">
        <v>833513.51</v>
      </c>
    </row>
    <row r="262" spans="1:8">
      <c r="A262" s="15" t="s">
        <v>11514</v>
      </c>
      <c r="B262" s="16" t="s">
        <v>11699</v>
      </c>
      <c r="C262" s="16" t="s">
        <v>11699</v>
      </c>
      <c r="D262" s="17" t="s">
        <v>4124</v>
      </c>
      <c r="E262" s="17" t="s">
        <v>5218</v>
      </c>
      <c r="F262" s="18">
        <v>100006</v>
      </c>
      <c r="G262" s="18">
        <v>0</v>
      </c>
      <c r="H262" s="18">
        <v>733507.51</v>
      </c>
    </row>
    <row r="263" spans="1:8">
      <c r="A263" s="15" t="s">
        <v>11516</v>
      </c>
      <c r="B263" s="16" t="s">
        <v>11699</v>
      </c>
      <c r="C263" s="16" t="s">
        <v>11699</v>
      </c>
      <c r="D263" s="17" t="s">
        <v>4124</v>
      </c>
      <c r="E263" s="17" t="s">
        <v>5219</v>
      </c>
      <c r="F263" s="18">
        <v>1459.03</v>
      </c>
      <c r="G263" s="18">
        <v>0</v>
      </c>
      <c r="H263" s="18">
        <v>732048.48</v>
      </c>
    </row>
    <row r="264" spans="1:8">
      <c r="A264" s="15" t="s">
        <v>11822</v>
      </c>
      <c r="B264" s="16" t="s">
        <v>12154</v>
      </c>
      <c r="C264" s="16" t="s">
        <v>12154</v>
      </c>
      <c r="D264" s="17" t="s">
        <v>4124</v>
      </c>
      <c r="E264" s="17" t="s">
        <v>1622</v>
      </c>
      <c r="F264" s="18">
        <v>0</v>
      </c>
      <c r="G264" s="18">
        <v>1297</v>
      </c>
      <c r="H264" s="18">
        <v>733345.48</v>
      </c>
    </row>
    <row r="265" spans="1:8">
      <c r="A265" s="15" t="s">
        <v>11517</v>
      </c>
      <c r="B265" s="16" t="s">
        <v>12155</v>
      </c>
      <c r="C265" s="16" t="s">
        <v>12155</v>
      </c>
      <c r="D265" s="17" t="s">
        <v>4124</v>
      </c>
      <c r="E265" s="17" t="s">
        <v>5220</v>
      </c>
      <c r="F265" s="18">
        <v>100006</v>
      </c>
      <c r="G265" s="18">
        <v>0</v>
      </c>
      <c r="H265" s="18">
        <v>633339.48</v>
      </c>
    </row>
    <row r="266" spans="1:8">
      <c r="A266" s="15" t="s">
        <v>11825</v>
      </c>
      <c r="B266" s="16" t="s">
        <v>12156</v>
      </c>
      <c r="C266" s="16" t="s">
        <v>12156</v>
      </c>
      <c r="D266" s="17" t="s">
        <v>4124</v>
      </c>
      <c r="E266" s="17" t="s">
        <v>5221</v>
      </c>
      <c r="F266" s="18">
        <v>3231.4</v>
      </c>
      <c r="G266" s="18">
        <v>0</v>
      </c>
      <c r="H266" s="18">
        <v>630108.07999999996</v>
      </c>
    </row>
    <row r="267" spans="1:8">
      <c r="A267" s="15" t="s">
        <v>11615</v>
      </c>
      <c r="B267" s="16" t="s">
        <v>12157</v>
      </c>
      <c r="C267" s="16" t="s">
        <v>12157</v>
      </c>
      <c r="D267" s="17" t="s">
        <v>4124</v>
      </c>
      <c r="E267" s="17" t="s">
        <v>5222</v>
      </c>
      <c r="F267" s="18">
        <v>0</v>
      </c>
      <c r="G267" s="18">
        <v>10000</v>
      </c>
      <c r="H267" s="18">
        <v>640108.07999999996</v>
      </c>
    </row>
    <row r="268" spans="1:8">
      <c r="A268" s="15" t="s">
        <v>11618</v>
      </c>
      <c r="B268" s="16" t="s">
        <v>12158</v>
      </c>
      <c r="C268" s="16" t="s">
        <v>12158</v>
      </c>
      <c r="D268" s="17" t="s">
        <v>4124</v>
      </c>
      <c r="E268" s="17" t="s">
        <v>1622</v>
      </c>
      <c r="F268" s="18">
        <v>0</v>
      </c>
      <c r="G268" s="18">
        <v>881</v>
      </c>
      <c r="H268" s="18">
        <v>640989.07999999996</v>
      </c>
    </row>
    <row r="269" spans="1:8">
      <c r="A269" s="15" t="s">
        <v>11621</v>
      </c>
      <c r="B269" s="16" t="s">
        <v>12159</v>
      </c>
      <c r="C269" s="16" t="s">
        <v>12159</v>
      </c>
      <c r="D269" s="17" t="s">
        <v>4124</v>
      </c>
      <c r="E269" s="17" t="s">
        <v>5223</v>
      </c>
      <c r="F269" s="18">
        <v>100006</v>
      </c>
      <c r="G269" s="18">
        <v>0</v>
      </c>
      <c r="H269" s="18">
        <v>540983.07999999996</v>
      </c>
    </row>
    <row r="270" spans="1:8">
      <c r="A270" s="15" t="s">
        <v>11519</v>
      </c>
      <c r="B270" s="16" t="s">
        <v>11700</v>
      </c>
      <c r="C270" s="16" t="s">
        <v>11700</v>
      </c>
      <c r="D270" s="17" t="s">
        <v>4124</v>
      </c>
      <c r="E270" s="17" t="s">
        <v>5224</v>
      </c>
      <c r="F270" s="18">
        <v>20000</v>
      </c>
      <c r="G270" s="18">
        <v>0</v>
      </c>
      <c r="H270" s="18">
        <v>520983.08</v>
      </c>
    </row>
    <row r="271" spans="1:8">
      <c r="A271" s="15" t="s">
        <v>11521</v>
      </c>
      <c r="B271" s="16" t="s">
        <v>12160</v>
      </c>
      <c r="C271" s="16" t="s">
        <v>12160</v>
      </c>
      <c r="D271" s="17" t="s">
        <v>4124</v>
      </c>
      <c r="E271" s="17" t="s">
        <v>1404</v>
      </c>
      <c r="F271" s="18">
        <v>0</v>
      </c>
      <c r="G271" s="18">
        <v>109561</v>
      </c>
      <c r="H271" s="18">
        <v>630544.07999999996</v>
      </c>
    </row>
    <row r="272" spans="1:8">
      <c r="A272" s="15" t="s">
        <v>11522</v>
      </c>
      <c r="B272" s="16" t="s">
        <v>11701</v>
      </c>
      <c r="C272" s="16" t="s">
        <v>11701</v>
      </c>
      <c r="D272" s="17" t="s">
        <v>4124</v>
      </c>
      <c r="E272" s="17" t="s">
        <v>5225</v>
      </c>
      <c r="F272" s="18">
        <v>1239</v>
      </c>
      <c r="G272" s="18">
        <v>0</v>
      </c>
      <c r="H272" s="18">
        <v>629305.07999999996</v>
      </c>
    </row>
    <row r="273" spans="1:8">
      <c r="A273" s="15" t="s">
        <v>11623</v>
      </c>
      <c r="B273" s="16" t="s">
        <v>12161</v>
      </c>
      <c r="C273" s="16" t="s">
        <v>12161</v>
      </c>
      <c r="D273" s="17" t="s">
        <v>4124</v>
      </c>
      <c r="E273" s="17" t="s">
        <v>5226</v>
      </c>
      <c r="F273" s="18">
        <v>0</v>
      </c>
      <c r="G273" s="18">
        <v>13254</v>
      </c>
      <c r="H273" s="18">
        <v>642559.07999999996</v>
      </c>
    </row>
    <row r="274" spans="1:8">
      <c r="A274" s="15" t="s">
        <v>11523</v>
      </c>
      <c r="B274" s="16" t="s">
        <v>11702</v>
      </c>
      <c r="C274" s="16" t="s">
        <v>11702</v>
      </c>
      <c r="D274" s="17" t="s">
        <v>4124</v>
      </c>
      <c r="E274" s="17" t="s">
        <v>5227</v>
      </c>
      <c r="F274" s="18">
        <v>17898</v>
      </c>
      <c r="G274" s="18">
        <v>0</v>
      </c>
      <c r="H274" s="18">
        <v>624661.07999999996</v>
      </c>
    </row>
    <row r="275" spans="1:8">
      <c r="A275" s="15" t="s">
        <v>11627</v>
      </c>
      <c r="B275" s="16" t="s">
        <v>11703</v>
      </c>
      <c r="C275" s="16" t="s">
        <v>11703</v>
      </c>
      <c r="D275" s="17" t="s">
        <v>4124</v>
      </c>
      <c r="E275" s="17" t="s">
        <v>5228</v>
      </c>
      <c r="F275" s="18">
        <v>400</v>
      </c>
      <c r="G275" s="18">
        <v>0</v>
      </c>
      <c r="H275" s="18">
        <v>624261.07999999996</v>
      </c>
    </row>
    <row r="276" spans="1:8">
      <c r="A276" s="15" t="s">
        <v>11704</v>
      </c>
      <c r="B276" s="16" t="s">
        <v>11705</v>
      </c>
      <c r="C276" s="16" t="s">
        <v>11705</v>
      </c>
      <c r="D276" s="17" t="s">
        <v>4124</v>
      </c>
      <c r="E276" s="17" t="s">
        <v>5229</v>
      </c>
      <c r="F276" s="18">
        <v>20000</v>
      </c>
      <c r="G276" s="18">
        <v>0</v>
      </c>
      <c r="H276" s="18">
        <v>604261.07999999996</v>
      </c>
    </row>
    <row r="277" spans="1:8">
      <c r="A277" s="15" t="s">
        <v>11525</v>
      </c>
      <c r="B277" s="16" t="s">
        <v>11705</v>
      </c>
      <c r="C277" s="16" t="s">
        <v>11705</v>
      </c>
      <c r="D277" s="17" t="s">
        <v>4124</v>
      </c>
      <c r="E277" s="17" t="s">
        <v>5230</v>
      </c>
      <c r="F277" s="18">
        <v>4000</v>
      </c>
      <c r="G277" s="18">
        <v>0</v>
      </c>
      <c r="H277" s="18">
        <v>600261.07999999996</v>
      </c>
    </row>
    <row r="278" spans="1:8">
      <c r="A278" s="15" t="s">
        <v>11706</v>
      </c>
      <c r="B278" s="16" t="s">
        <v>11707</v>
      </c>
      <c r="C278" s="16" t="s">
        <v>11707</v>
      </c>
      <c r="D278" s="17" t="s">
        <v>11708</v>
      </c>
      <c r="E278" s="17" t="s">
        <v>5231</v>
      </c>
      <c r="F278" s="18">
        <v>8200</v>
      </c>
      <c r="G278" s="18">
        <v>0</v>
      </c>
      <c r="H278" s="18">
        <v>592061.07999999996</v>
      </c>
    </row>
    <row r="279" spans="1:8">
      <c r="A279" s="15" t="s">
        <v>11528</v>
      </c>
      <c r="B279" s="16" t="s">
        <v>11707</v>
      </c>
      <c r="C279" s="16" t="s">
        <v>11707</v>
      </c>
      <c r="D279" s="17" t="s">
        <v>11709</v>
      </c>
      <c r="E279" s="17" t="s">
        <v>5232</v>
      </c>
      <c r="F279" s="18">
        <v>20000</v>
      </c>
      <c r="G279" s="18">
        <v>0</v>
      </c>
      <c r="H279" s="18">
        <v>572061.07999999996</v>
      </c>
    </row>
    <row r="280" spans="1:8">
      <c r="A280" s="15" t="s">
        <v>11834</v>
      </c>
      <c r="B280" s="16" t="s">
        <v>11710</v>
      </c>
      <c r="C280" s="16" t="s">
        <v>11710</v>
      </c>
      <c r="D280" s="17" t="s">
        <v>4124</v>
      </c>
      <c r="E280" s="17" t="s">
        <v>1622</v>
      </c>
      <c r="F280" s="18">
        <v>0</v>
      </c>
      <c r="G280" s="18">
        <v>1110</v>
      </c>
      <c r="H280" s="18">
        <v>573171.07999999996</v>
      </c>
    </row>
    <row r="281" spans="1:8">
      <c r="A281" s="15" t="s">
        <v>11530</v>
      </c>
      <c r="B281" s="16" t="s">
        <v>11710</v>
      </c>
      <c r="C281" s="16" t="s">
        <v>11710</v>
      </c>
      <c r="D281" s="17" t="s">
        <v>4124</v>
      </c>
      <c r="E281" s="17" t="s">
        <v>5233</v>
      </c>
      <c r="F281" s="18">
        <v>10000</v>
      </c>
      <c r="G281" s="18">
        <v>0</v>
      </c>
      <c r="H281" s="18">
        <v>563171.07999999996</v>
      </c>
    </row>
    <row r="282" spans="1:8">
      <c r="A282" s="15" t="s">
        <v>11532</v>
      </c>
      <c r="B282" s="16" t="s">
        <v>12162</v>
      </c>
      <c r="C282" s="16" t="s">
        <v>12162</v>
      </c>
      <c r="D282" s="17" t="s">
        <v>4124</v>
      </c>
      <c r="E282" s="17" t="s">
        <v>5234</v>
      </c>
      <c r="F282" s="18">
        <v>5612</v>
      </c>
      <c r="G282" s="18">
        <v>0</v>
      </c>
      <c r="H282" s="18">
        <v>557559.07999999996</v>
      </c>
    </row>
    <row r="283" spans="1:8">
      <c r="A283" s="15" t="s">
        <v>11633</v>
      </c>
      <c r="B283" s="16" t="s">
        <v>12163</v>
      </c>
      <c r="C283" s="16" t="s">
        <v>12163</v>
      </c>
      <c r="D283" s="17" t="s">
        <v>4124</v>
      </c>
      <c r="E283" s="17" t="s">
        <v>1404</v>
      </c>
      <c r="F283" s="18">
        <v>0</v>
      </c>
      <c r="G283" s="18">
        <v>109561</v>
      </c>
      <c r="H283" s="18">
        <v>667120.07999999996</v>
      </c>
    </row>
    <row r="284" spans="1:8">
      <c r="A284" s="15" t="s">
        <v>11636</v>
      </c>
      <c r="B284" s="16" t="s">
        <v>11711</v>
      </c>
      <c r="C284" s="16" t="s">
        <v>11712</v>
      </c>
      <c r="D284" s="17" t="s">
        <v>4124</v>
      </c>
      <c r="E284" s="17" t="s">
        <v>5235</v>
      </c>
      <c r="F284" s="18">
        <v>1956.41</v>
      </c>
      <c r="G284" s="18">
        <v>0</v>
      </c>
      <c r="H284" s="18">
        <v>665163.67000000004</v>
      </c>
    </row>
    <row r="285" spans="1:8">
      <c r="A285" s="15" t="s">
        <v>11638</v>
      </c>
      <c r="B285" s="16" t="s">
        <v>11712</v>
      </c>
      <c r="C285" s="16" t="s">
        <v>11712</v>
      </c>
      <c r="D285" s="17" t="s">
        <v>4124</v>
      </c>
      <c r="E285" s="17" t="s">
        <v>1594</v>
      </c>
      <c r="F285" s="18">
        <v>0</v>
      </c>
      <c r="G285" s="18">
        <v>1018</v>
      </c>
      <c r="H285" s="18">
        <v>666181.67000000004</v>
      </c>
    </row>
    <row r="286" spans="1:8">
      <c r="A286" s="15" t="s">
        <v>11533</v>
      </c>
      <c r="B286" s="16" t="s">
        <v>11713</v>
      </c>
      <c r="C286" s="16" t="s">
        <v>11713</v>
      </c>
      <c r="D286" s="17" t="s">
        <v>4124</v>
      </c>
      <c r="E286" s="17" t="s">
        <v>5236</v>
      </c>
      <c r="F286" s="18">
        <v>5000</v>
      </c>
      <c r="G286" s="18">
        <v>0</v>
      </c>
      <c r="H286" s="18">
        <v>661181.67000000004</v>
      </c>
    </row>
    <row r="287" spans="1:8">
      <c r="A287" s="15" t="s">
        <v>11714</v>
      </c>
      <c r="B287" s="16" t="s">
        <v>11715</v>
      </c>
      <c r="C287" s="16" t="s">
        <v>11715</v>
      </c>
      <c r="D287" s="17" t="s">
        <v>4124</v>
      </c>
      <c r="E287" s="17" t="s">
        <v>5237</v>
      </c>
      <c r="F287" s="18">
        <v>881</v>
      </c>
      <c r="G287" s="18">
        <v>0</v>
      </c>
      <c r="H287" s="18">
        <v>660300.67000000004</v>
      </c>
    </row>
    <row r="288" spans="1:8">
      <c r="A288" s="15" t="s">
        <v>11536</v>
      </c>
      <c r="B288" s="16" t="s">
        <v>11715</v>
      </c>
      <c r="C288" s="16" t="s">
        <v>11715</v>
      </c>
      <c r="D288" s="17" t="s">
        <v>4124</v>
      </c>
      <c r="E288" s="17" t="s">
        <v>5238</v>
      </c>
      <c r="F288" s="18">
        <v>881</v>
      </c>
      <c r="G288" s="18">
        <v>0</v>
      </c>
      <c r="H288" s="18">
        <v>659419.67000000004</v>
      </c>
    </row>
    <row r="289" spans="1:8">
      <c r="A289" s="15" t="s">
        <v>11839</v>
      </c>
      <c r="B289" s="16" t="s">
        <v>12164</v>
      </c>
      <c r="C289" s="16" t="s">
        <v>12164</v>
      </c>
      <c r="D289" s="17" t="s">
        <v>4124</v>
      </c>
      <c r="E289" s="17" t="s">
        <v>5239</v>
      </c>
      <c r="F289" s="18">
        <v>54950</v>
      </c>
      <c r="G289" s="18">
        <v>0</v>
      </c>
      <c r="H289" s="18">
        <v>604469.67000000004</v>
      </c>
    </row>
    <row r="290" spans="1:8">
      <c r="A290" s="15" t="s">
        <v>11640</v>
      </c>
      <c r="B290" s="16" t="s">
        <v>12164</v>
      </c>
      <c r="C290" s="16" t="s">
        <v>12164</v>
      </c>
      <c r="D290" s="17" t="s">
        <v>4124</v>
      </c>
      <c r="E290" s="17" t="s">
        <v>5240</v>
      </c>
      <c r="F290" s="18">
        <v>100006</v>
      </c>
      <c r="G290" s="18">
        <v>0</v>
      </c>
      <c r="H290" s="18">
        <v>504463.67</v>
      </c>
    </row>
    <row r="291" spans="1:8">
      <c r="A291" s="15" t="s">
        <v>11538</v>
      </c>
      <c r="B291" s="16" t="s">
        <v>11716</v>
      </c>
      <c r="C291" s="16" t="s">
        <v>11716</v>
      </c>
      <c r="D291" s="17" t="s">
        <v>4124</v>
      </c>
      <c r="E291" s="17" t="s">
        <v>5241</v>
      </c>
      <c r="F291" s="18">
        <v>10000</v>
      </c>
      <c r="G291" s="18">
        <v>0</v>
      </c>
      <c r="H291" s="18">
        <v>494463.67</v>
      </c>
    </row>
    <row r="292" spans="1:8">
      <c r="A292" s="15" t="s">
        <v>11642</v>
      </c>
      <c r="B292" s="16" t="s">
        <v>12165</v>
      </c>
      <c r="C292" s="16" t="s">
        <v>12165</v>
      </c>
      <c r="D292" s="17" t="s">
        <v>4124</v>
      </c>
      <c r="E292" s="17" t="s">
        <v>1404</v>
      </c>
      <c r="F292" s="18">
        <v>0</v>
      </c>
      <c r="G292" s="18">
        <v>109561</v>
      </c>
      <c r="H292" s="18">
        <v>604024.67000000004</v>
      </c>
    </row>
    <row r="293" spans="1:8">
      <c r="A293" s="15" t="s">
        <v>11645</v>
      </c>
      <c r="B293" s="16" t="s">
        <v>11717</v>
      </c>
      <c r="C293" s="16" t="s">
        <v>11717</v>
      </c>
      <c r="D293" s="17" t="s">
        <v>4124</v>
      </c>
      <c r="E293" s="17" t="s">
        <v>5242</v>
      </c>
      <c r="F293" s="18">
        <v>10000</v>
      </c>
      <c r="G293" s="18">
        <v>0</v>
      </c>
      <c r="H293" s="18">
        <v>594024.67000000004</v>
      </c>
    </row>
    <row r="294" spans="1:8">
      <c r="A294" s="15" t="s">
        <v>11718</v>
      </c>
      <c r="B294" s="16" t="s">
        <v>11719</v>
      </c>
      <c r="C294" s="16" t="s">
        <v>11719</v>
      </c>
      <c r="D294" s="17" t="s">
        <v>4124</v>
      </c>
      <c r="E294" s="17" t="s">
        <v>5243</v>
      </c>
      <c r="F294" s="18">
        <v>23175</v>
      </c>
      <c r="G294" s="18">
        <v>0</v>
      </c>
      <c r="H294" s="18">
        <v>570849.67000000004</v>
      </c>
    </row>
    <row r="295" spans="1:8">
      <c r="A295" s="15" t="s">
        <v>11541</v>
      </c>
      <c r="B295" s="16" t="s">
        <v>11719</v>
      </c>
      <c r="C295" s="16" t="s">
        <v>11719</v>
      </c>
      <c r="D295" s="17" t="s">
        <v>4124</v>
      </c>
      <c r="E295" s="17" t="s">
        <v>5244</v>
      </c>
      <c r="F295" s="18">
        <v>13262</v>
      </c>
      <c r="G295" s="18">
        <v>0</v>
      </c>
      <c r="H295" s="18">
        <v>557587.67000000004</v>
      </c>
    </row>
    <row r="296" spans="1:8">
      <c r="A296" s="15" t="s">
        <v>11543</v>
      </c>
      <c r="B296" s="16" t="s">
        <v>12166</v>
      </c>
      <c r="C296" s="16" t="s">
        <v>12166</v>
      </c>
      <c r="D296" s="17" t="s">
        <v>4124</v>
      </c>
      <c r="E296" s="17" t="s">
        <v>5245</v>
      </c>
      <c r="F296" s="18">
        <v>0</v>
      </c>
      <c r="G296" s="18">
        <v>23175</v>
      </c>
      <c r="H296" s="18">
        <v>580762.67000000004</v>
      </c>
    </row>
    <row r="297" spans="1:8">
      <c r="A297" s="15" t="s">
        <v>11720</v>
      </c>
      <c r="B297" s="16" t="s">
        <v>11721</v>
      </c>
      <c r="C297" s="16" t="s">
        <v>11721</v>
      </c>
      <c r="D297" s="17" t="s">
        <v>4124</v>
      </c>
      <c r="E297" s="17" t="s">
        <v>5246</v>
      </c>
      <c r="F297" s="18">
        <v>1361.88</v>
      </c>
      <c r="G297" s="18">
        <v>0</v>
      </c>
      <c r="H297" s="18">
        <v>579400.79</v>
      </c>
    </row>
    <row r="298" spans="1:8">
      <c r="A298" s="15" t="s">
        <v>11648</v>
      </c>
      <c r="B298" s="16" t="s">
        <v>11721</v>
      </c>
      <c r="C298" s="16" t="s">
        <v>11721</v>
      </c>
      <c r="D298" s="17" t="s">
        <v>4124</v>
      </c>
      <c r="E298" s="17" t="s">
        <v>1622</v>
      </c>
      <c r="F298" s="18">
        <v>0</v>
      </c>
      <c r="G298" s="18">
        <v>1998</v>
      </c>
      <c r="H298" s="18">
        <v>581398.79</v>
      </c>
    </row>
    <row r="299" spans="1:8">
      <c r="A299" s="15" t="s">
        <v>11546</v>
      </c>
      <c r="B299" s="16" t="s">
        <v>11722</v>
      </c>
      <c r="C299" s="16" t="s">
        <v>11722</v>
      </c>
      <c r="D299" s="17" t="s">
        <v>4124</v>
      </c>
      <c r="E299" s="17" t="s">
        <v>5247</v>
      </c>
      <c r="F299" s="18">
        <v>1033</v>
      </c>
      <c r="G299" s="18">
        <v>0</v>
      </c>
      <c r="H299" s="18">
        <v>580365.79</v>
      </c>
    </row>
    <row r="300" spans="1:8">
      <c r="A300" s="15" t="s">
        <v>11651</v>
      </c>
      <c r="B300" s="16" t="s">
        <v>12167</v>
      </c>
      <c r="C300" s="16" t="s">
        <v>12167</v>
      </c>
      <c r="D300" s="17" t="s">
        <v>4124</v>
      </c>
      <c r="E300" s="17" t="s">
        <v>1694</v>
      </c>
      <c r="F300" s="18">
        <v>0</v>
      </c>
      <c r="G300" s="18">
        <v>109562</v>
      </c>
      <c r="H300" s="18">
        <v>689927.79</v>
      </c>
    </row>
    <row r="301" spans="1:8">
      <c r="A301" s="15" t="s">
        <v>11653</v>
      </c>
      <c r="B301" s="16" t="s">
        <v>11723</v>
      </c>
      <c r="C301" s="16" t="s">
        <v>11723</v>
      </c>
      <c r="D301" s="17" t="s">
        <v>4124</v>
      </c>
      <c r="E301" s="17" t="s">
        <v>1622</v>
      </c>
      <c r="F301" s="18">
        <v>0</v>
      </c>
      <c r="G301" s="18">
        <v>1010.8</v>
      </c>
      <c r="H301" s="18">
        <v>690938.59</v>
      </c>
    </row>
    <row r="302" spans="1:8">
      <c r="A302" s="15" t="s">
        <v>11654</v>
      </c>
      <c r="B302" s="16" t="s">
        <v>11723</v>
      </c>
      <c r="C302" s="16" t="s">
        <v>11723</v>
      </c>
      <c r="D302" s="17" t="s">
        <v>4124</v>
      </c>
      <c r="E302" s="17" t="s">
        <v>5248</v>
      </c>
      <c r="F302" s="18">
        <v>1500</v>
      </c>
      <c r="G302" s="18">
        <v>0</v>
      </c>
      <c r="H302" s="18">
        <v>689438.59</v>
      </c>
    </row>
    <row r="303" spans="1:8">
      <c r="A303" s="15" t="s">
        <v>11549</v>
      </c>
      <c r="B303" s="16" t="s">
        <v>11724</v>
      </c>
      <c r="C303" s="16" t="s">
        <v>11724</v>
      </c>
      <c r="D303" s="17" t="s">
        <v>4124</v>
      </c>
      <c r="E303" s="17" t="s">
        <v>5249</v>
      </c>
      <c r="F303" s="18">
        <v>45789.4</v>
      </c>
      <c r="G303" s="18">
        <v>0</v>
      </c>
      <c r="H303" s="18">
        <v>643649.18999999994</v>
      </c>
    </row>
    <row r="304" spans="1:8">
      <c r="A304" s="15" t="s">
        <v>11552</v>
      </c>
      <c r="B304" s="16" t="s">
        <v>12168</v>
      </c>
      <c r="C304" s="16" t="s">
        <v>12168</v>
      </c>
      <c r="D304" s="17" t="s">
        <v>4124</v>
      </c>
      <c r="E304" s="17" t="s">
        <v>5250</v>
      </c>
      <c r="F304" s="18">
        <v>100006</v>
      </c>
      <c r="G304" s="18">
        <v>0</v>
      </c>
      <c r="H304" s="18">
        <v>543643.18999999994</v>
      </c>
    </row>
    <row r="305" spans="1:8">
      <c r="A305" s="15" t="s">
        <v>11554</v>
      </c>
      <c r="B305" s="16" t="s">
        <v>12168</v>
      </c>
      <c r="C305" s="16" t="s">
        <v>12168</v>
      </c>
      <c r="D305" s="17" t="s">
        <v>4124</v>
      </c>
      <c r="E305" s="17" t="s">
        <v>5251</v>
      </c>
      <c r="F305" s="18">
        <v>33640</v>
      </c>
      <c r="G305" s="18">
        <v>0</v>
      </c>
      <c r="H305" s="18">
        <v>510003.19</v>
      </c>
    </row>
    <row r="306" spans="1:8">
      <c r="A306" s="15" t="s">
        <v>11657</v>
      </c>
      <c r="B306" s="16" t="s">
        <v>12169</v>
      </c>
      <c r="C306" s="16" t="s">
        <v>12169</v>
      </c>
      <c r="D306" s="17" t="s">
        <v>4124</v>
      </c>
      <c r="E306" s="17" t="s">
        <v>1590</v>
      </c>
      <c r="F306" s="18">
        <v>0</v>
      </c>
      <c r="G306" s="18">
        <v>2000</v>
      </c>
      <c r="H306" s="18">
        <v>512003.19</v>
      </c>
    </row>
    <row r="307" spans="1:8">
      <c r="A307" s="15" t="s">
        <v>12062</v>
      </c>
      <c r="B307" s="16" t="s">
        <v>11725</v>
      </c>
      <c r="C307" s="16" t="s">
        <v>11725</v>
      </c>
      <c r="D307" s="17" t="s">
        <v>4124</v>
      </c>
      <c r="E307" s="17" t="s">
        <v>5252</v>
      </c>
      <c r="F307" s="18">
        <v>2520</v>
      </c>
      <c r="G307" s="18">
        <v>0</v>
      </c>
      <c r="H307" s="18">
        <v>509483.19</v>
      </c>
    </row>
    <row r="308" spans="1:8">
      <c r="A308" s="15" t="s">
        <v>11659</v>
      </c>
      <c r="B308" s="16" t="s">
        <v>11725</v>
      </c>
      <c r="C308" s="16" t="s">
        <v>11725</v>
      </c>
      <c r="D308" s="17" t="s">
        <v>4124</v>
      </c>
      <c r="E308" s="17" t="s">
        <v>5253</v>
      </c>
      <c r="F308" s="18">
        <v>1221</v>
      </c>
      <c r="G308" s="18">
        <v>0</v>
      </c>
      <c r="H308" s="18">
        <v>508262.19</v>
      </c>
    </row>
    <row r="309" spans="1:8">
      <c r="A309" s="15" t="s">
        <v>11661</v>
      </c>
      <c r="B309" s="16" t="s">
        <v>12170</v>
      </c>
      <c r="C309" s="16" t="s">
        <v>12170</v>
      </c>
      <c r="D309" s="17" t="s">
        <v>4124</v>
      </c>
      <c r="E309" s="17" t="s">
        <v>1699</v>
      </c>
      <c r="F309" s="18">
        <v>0</v>
      </c>
      <c r="G309" s="18">
        <v>998</v>
      </c>
      <c r="H309" s="18">
        <v>509260.19</v>
      </c>
    </row>
    <row r="310" spans="1:8">
      <c r="A310" s="15" t="s">
        <v>11765</v>
      </c>
      <c r="B310" s="16" t="s">
        <v>12171</v>
      </c>
      <c r="C310" s="16" t="s">
        <v>12171</v>
      </c>
      <c r="D310" s="17" t="s">
        <v>4124</v>
      </c>
      <c r="E310" s="17" t="s">
        <v>1702</v>
      </c>
      <c r="F310" s="18">
        <v>0</v>
      </c>
      <c r="G310" s="18">
        <v>109061</v>
      </c>
      <c r="H310" s="18">
        <v>618321.18999999994</v>
      </c>
    </row>
    <row r="311" spans="1:8">
      <c r="A311" s="15" t="s">
        <v>11556</v>
      </c>
      <c r="B311" s="16" t="s">
        <v>12172</v>
      </c>
      <c r="C311" s="16" t="s">
        <v>12172</v>
      </c>
      <c r="D311" s="17" t="s">
        <v>4124</v>
      </c>
      <c r="E311" s="17" t="s">
        <v>1622</v>
      </c>
      <c r="F311" s="18">
        <v>0</v>
      </c>
      <c r="G311" s="18">
        <v>2520</v>
      </c>
      <c r="H311" s="18">
        <v>620841.18999999994</v>
      </c>
    </row>
    <row r="312" spans="1:8">
      <c r="A312" s="15" t="s">
        <v>11558</v>
      </c>
      <c r="B312" s="16" t="s">
        <v>12173</v>
      </c>
      <c r="C312" s="16" t="s">
        <v>12173</v>
      </c>
      <c r="D312" s="17" t="s">
        <v>4124</v>
      </c>
      <c r="E312" s="17" t="s">
        <v>5254</v>
      </c>
      <c r="F312" s="18">
        <v>150017</v>
      </c>
      <c r="G312" s="18">
        <v>0</v>
      </c>
      <c r="H312" s="18">
        <v>470824.19</v>
      </c>
    </row>
    <row r="313" spans="1:8">
      <c r="A313" s="15" t="s">
        <v>11662</v>
      </c>
      <c r="B313" s="16" t="s">
        <v>12173</v>
      </c>
      <c r="C313" s="16" t="s">
        <v>12173</v>
      </c>
      <c r="D313" s="17" t="s">
        <v>4124</v>
      </c>
      <c r="E313" s="17" t="s">
        <v>5255</v>
      </c>
      <c r="F313" s="18">
        <v>200017</v>
      </c>
      <c r="G313" s="18">
        <v>0</v>
      </c>
      <c r="H313" s="18">
        <v>270807.19</v>
      </c>
    </row>
    <row r="314" spans="1:8">
      <c r="A314" s="15" t="s">
        <v>11726</v>
      </c>
      <c r="B314" s="16" t="s">
        <v>11727</v>
      </c>
      <c r="C314" s="16" t="s">
        <v>11727</v>
      </c>
      <c r="D314" s="17" t="s">
        <v>4124</v>
      </c>
      <c r="E314" s="17" t="s">
        <v>5256</v>
      </c>
      <c r="F314" s="18">
        <v>1500</v>
      </c>
      <c r="G314" s="18">
        <v>0</v>
      </c>
      <c r="H314" s="18">
        <v>269307.19</v>
      </c>
    </row>
    <row r="315" spans="1:8">
      <c r="A315" s="15" t="s">
        <v>11561</v>
      </c>
      <c r="B315" s="16" t="s">
        <v>12174</v>
      </c>
      <c r="C315" s="16" t="s">
        <v>12174</v>
      </c>
      <c r="D315" s="17" t="s">
        <v>4124</v>
      </c>
      <c r="E315" s="17" t="s">
        <v>1590</v>
      </c>
      <c r="F315" s="18">
        <v>0</v>
      </c>
      <c r="G315" s="18">
        <v>998</v>
      </c>
      <c r="H315" s="18">
        <v>270305.19</v>
      </c>
    </row>
    <row r="316" spans="1:8">
      <c r="A316" s="15" t="s">
        <v>11563</v>
      </c>
      <c r="B316" s="16" t="s">
        <v>12175</v>
      </c>
      <c r="C316" s="16" t="s">
        <v>12175</v>
      </c>
      <c r="D316" s="17" t="s">
        <v>4124</v>
      </c>
      <c r="E316" s="17" t="s">
        <v>1711</v>
      </c>
      <c r="F316" s="18">
        <v>0</v>
      </c>
      <c r="G316" s="18">
        <v>109061</v>
      </c>
      <c r="H316" s="18">
        <v>379366.19</v>
      </c>
    </row>
    <row r="317" spans="1:8">
      <c r="A317" s="15" t="s">
        <v>11565</v>
      </c>
      <c r="B317" s="16" t="s">
        <v>11728</v>
      </c>
      <c r="C317" s="16" t="s">
        <v>11728</v>
      </c>
      <c r="D317" s="17" t="s">
        <v>4124</v>
      </c>
      <c r="E317" s="17" t="s">
        <v>5257</v>
      </c>
      <c r="F317" s="18">
        <v>500</v>
      </c>
      <c r="G317" s="18">
        <v>0</v>
      </c>
      <c r="H317" s="18">
        <v>378866.19</v>
      </c>
    </row>
    <row r="318" spans="1:8">
      <c r="A318" s="15" t="s">
        <v>11567</v>
      </c>
      <c r="B318" s="16" t="s">
        <v>11729</v>
      </c>
      <c r="C318" s="16" t="s">
        <v>11729</v>
      </c>
      <c r="D318" s="17" t="s">
        <v>4124</v>
      </c>
      <c r="E318" s="17" t="s">
        <v>5258</v>
      </c>
      <c r="F318" s="18">
        <v>15000</v>
      </c>
      <c r="G318" s="18">
        <v>0</v>
      </c>
      <c r="H318" s="18">
        <v>363866.19</v>
      </c>
    </row>
    <row r="319" spans="1:8">
      <c r="A319" s="15" t="s">
        <v>11667</v>
      </c>
      <c r="B319" s="16" t="s">
        <v>12176</v>
      </c>
      <c r="C319" s="16" t="s">
        <v>12176</v>
      </c>
      <c r="D319" s="17" t="s">
        <v>4124</v>
      </c>
      <c r="E319" s="17" t="s">
        <v>5259</v>
      </c>
      <c r="F319" s="18">
        <v>0</v>
      </c>
      <c r="G319" s="18">
        <v>2000</v>
      </c>
      <c r="H319" s="18">
        <v>365866.19</v>
      </c>
    </row>
    <row r="320" spans="1:8">
      <c r="A320" s="15" t="s">
        <v>11669</v>
      </c>
      <c r="B320" s="16" t="s">
        <v>11730</v>
      </c>
      <c r="C320" s="16" t="s">
        <v>11730</v>
      </c>
      <c r="D320" s="17" t="s">
        <v>11731</v>
      </c>
      <c r="E320" s="17" t="s">
        <v>1630</v>
      </c>
      <c r="F320" s="18">
        <v>1000</v>
      </c>
      <c r="G320" s="18">
        <v>0</v>
      </c>
      <c r="H320" s="18">
        <v>364866.19</v>
      </c>
    </row>
    <row r="321" spans="1:8">
      <c r="A321" s="15" t="s">
        <v>11773</v>
      </c>
      <c r="B321" s="16" t="s">
        <v>12177</v>
      </c>
      <c r="C321" s="16" t="s">
        <v>12177</v>
      </c>
      <c r="D321" s="17" t="s">
        <v>4124</v>
      </c>
      <c r="E321" s="17" t="s">
        <v>5260</v>
      </c>
      <c r="F321" s="18">
        <v>59138</v>
      </c>
      <c r="G321" s="18">
        <v>0</v>
      </c>
      <c r="H321" s="18">
        <v>305728.19</v>
      </c>
    </row>
    <row r="322" spans="1:8">
      <c r="A322" s="15" t="s">
        <v>11774</v>
      </c>
      <c r="B322" s="16" t="s">
        <v>12178</v>
      </c>
      <c r="C322" s="16" t="s">
        <v>12178</v>
      </c>
      <c r="D322" s="17" t="s">
        <v>4124</v>
      </c>
      <c r="E322" s="17" t="s">
        <v>1721</v>
      </c>
      <c r="F322" s="18">
        <v>0</v>
      </c>
      <c r="G322" s="18">
        <v>116619</v>
      </c>
      <c r="H322" s="18">
        <v>422347.19</v>
      </c>
    </row>
    <row r="323" spans="1:8">
      <c r="A323" s="15" t="s">
        <v>11568</v>
      </c>
      <c r="B323" s="16" t="s">
        <v>12179</v>
      </c>
      <c r="C323" s="16" t="s">
        <v>12179</v>
      </c>
      <c r="D323" s="17" t="s">
        <v>4124</v>
      </c>
      <c r="E323" s="17" t="s">
        <v>5261</v>
      </c>
      <c r="F323" s="18">
        <v>0</v>
      </c>
      <c r="G323" s="18">
        <v>10537</v>
      </c>
      <c r="H323" s="18">
        <v>432884.19</v>
      </c>
    </row>
    <row r="324" spans="1:8">
      <c r="A324" s="15" t="s">
        <v>11570</v>
      </c>
      <c r="B324" s="16" t="s">
        <v>11732</v>
      </c>
      <c r="C324" s="16" t="s">
        <v>11732</v>
      </c>
      <c r="D324" s="17" t="s">
        <v>4124</v>
      </c>
      <c r="E324" s="17" t="s">
        <v>5262</v>
      </c>
      <c r="F324" s="18">
        <v>2000</v>
      </c>
      <c r="G324" s="18">
        <v>0</v>
      </c>
      <c r="H324" s="18">
        <v>430884.19</v>
      </c>
    </row>
    <row r="325" spans="1:8">
      <c r="A325" s="15" t="s">
        <v>11670</v>
      </c>
      <c r="B325" s="16" t="s">
        <v>12180</v>
      </c>
      <c r="C325" s="16" t="s">
        <v>12180</v>
      </c>
      <c r="D325" s="17" t="s">
        <v>4124</v>
      </c>
      <c r="E325" s="17" t="s">
        <v>5263</v>
      </c>
      <c r="F325" s="18">
        <v>0</v>
      </c>
      <c r="G325" s="18">
        <v>4221.24</v>
      </c>
      <c r="H325" s="18">
        <v>435105.43</v>
      </c>
    </row>
    <row r="326" spans="1:8">
      <c r="A326" s="15" t="s">
        <v>11572</v>
      </c>
      <c r="B326" s="16" t="s">
        <v>12181</v>
      </c>
      <c r="C326" s="16" t="s">
        <v>12181</v>
      </c>
      <c r="D326" s="17" t="s">
        <v>4124</v>
      </c>
      <c r="E326" s="17" t="s">
        <v>5264</v>
      </c>
      <c r="F326" s="18">
        <v>0</v>
      </c>
      <c r="G326" s="18">
        <v>6344.67</v>
      </c>
      <c r="H326" s="18">
        <v>441450.1</v>
      </c>
    </row>
    <row r="327" spans="1:8" ht="25.5">
      <c r="A327" s="15" t="s">
        <v>11574</v>
      </c>
      <c r="B327" s="16" t="s">
        <v>12182</v>
      </c>
      <c r="C327" s="16" t="s">
        <v>12182</v>
      </c>
      <c r="D327" s="17" t="s">
        <v>4124</v>
      </c>
      <c r="E327" s="17" t="s">
        <v>5265</v>
      </c>
      <c r="F327" s="18">
        <v>0</v>
      </c>
      <c r="G327" s="18">
        <v>260.82</v>
      </c>
      <c r="H327" s="18">
        <v>441710.92</v>
      </c>
    </row>
    <row r="328" spans="1:8">
      <c r="A328" s="15" t="s">
        <v>11575</v>
      </c>
      <c r="B328" s="16" t="s">
        <v>12183</v>
      </c>
      <c r="C328" s="16" t="s">
        <v>12183</v>
      </c>
      <c r="D328" s="17" t="s">
        <v>4124</v>
      </c>
      <c r="E328" s="17" t="s">
        <v>1404</v>
      </c>
      <c r="F328" s="18">
        <v>0</v>
      </c>
      <c r="G328" s="18">
        <v>187947</v>
      </c>
      <c r="H328" s="18">
        <v>629657.92000000004</v>
      </c>
    </row>
    <row r="329" spans="1:8">
      <c r="A329" s="15" t="s">
        <v>11588</v>
      </c>
      <c r="B329" s="16" t="s">
        <v>11733</v>
      </c>
      <c r="C329" s="16" t="s">
        <v>11734</v>
      </c>
      <c r="D329" s="17" t="s">
        <v>4124</v>
      </c>
      <c r="E329" s="17" t="s">
        <v>5266</v>
      </c>
      <c r="F329" s="18">
        <v>525</v>
      </c>
      <c r="G329" s="18">
        <v>0</v>
      </c>
      <c r="H329" s="18">
        <v>629132.92000000004</v>
      </c>
    </row>
    <row r="330" spans="1:8">
      <c r="A330" s="15" t="s">
        <v>11483</v>
      </c>
      <c r="B330" s="16" t="s">
        <v>11734</v>
      </c>
      <c r="C330" s="16" t="s">
        <v>11734</v>
      </c>
      <c r="D330" s="17" t="s">
        <v>4124</v>
      </c>
      <c r="E330" s="17" t="s">
        <v>5267</v>
      </c>
      <c r="F330" s="18">
        <v>3210</v>
      </c>
      <c r="G330" s="18">
        <v>0</v>
      </c>
      <c r="H330" s="18">
        <v>625922.92000000004</v>
      </c>
    </row>
    <row r="331" spans="1:8">
      <c r="A331" s="15" t="s">
        <v>11486</v>
      </c>
      <c r="B331" s="16" t="s">
        <v>12184</v>
      </c>
      <c r="C331" s="16" t="s">
        <v>12184</v>
      </c>
      <c r="D331" s="17" t="s">
        <v>4124</v>
      </c>
      <c r="E331" s="17" t="s">
        <v>5268</v>
      </c>
      <c r="F331" s="18">
        <v>200017</v>
      </c>
      <c r="G331" s="18">
        <v>0</v>
      </c>
      <c r="H331" s="18">
        <v>425905.91999999998</v>
      </c>
    </row>
    <row r="332" spans="1:8">
      <c r="A332" s="15" t="s">
        <v>11487</v>
      </c>
      <c r="B332" s="16" t="s">
        <v>11735</v>
      </c>
      <c r="C332" s="16" t="s">
        <v>11735</v>
      </c>
      <c r="D332" s="17" t="s">
        <v>11736</v>
      </c>
      <c r="E332" s="17" t="s">
        <v>1630</v>
      </c>
      <c r="F332" s="18">
        <v>2000</v>
      </c>
      <c r="G332" s="18">
        <v>0</v>
      </c>
      <c r="H332" s="18">
        <v>423905.92</v>
      </c>
    </row>
    <row r="333" spans="1:8">
      <c r="A333" s="15" t="s">
        <v>11488</v>
      </c>
      <c r="B333" s="16" t="s">
        <v>11737</v>
      </c>
      <c r="C333" s="16" t="s">
        <v>11738</v>
      </c>
      <c r="D333" s="17" t="s">
        <v>4124</v>
      </c>
      <c r="E333" s="17" t="s">
        <v>1739</v>
      </c>
      <c r="F333" s="18">
        <v>5000</v>
      </c>
      <c r="G333" s="18">
        <v>0</v>
      </c>
      <c r="H333" s="18">
        <v>418905.92</v>
      </c>
    </row>
    <row r="334" spans="1:8">
      <c r="A334" s="15" t="s">
        <v>11682</v>
      </c>
      <c r="B334" s="16" t="s">
        <v>12185</v>
      </c>
      <c r="C334" s="16" t="s">
        <v>12185</v>
      </c>
      <c r="D334" s="17" t="s">
        <v>4124</v>
      </c>
      <c r="E334" s="17" t="s">
        <v>1404</v>
      </c>
      <c r="F334" s="18">
        <v>0</v>
      </c>
      <c r="G334" s="18">
        <v>573565</v>
      </c>
      <c r="H334" s="18">
        <v>992470.92</v>
      </c>
    </row>
    <row r="335" spans="1:8">
      <c r="A335" s="15" t="s">
        <v>11491</v>
      </c>
      <c r="B335" s="16" t="s">
        <v>12186</v>
      </c>
      <c r="C335" s="16" t="s">
        <v>12186</v>
      </c>
      <c r="D335" s="17" t="s">
        <v>4124</v>
      </c>
      <c r="E335" s="17" t="s">
        <v>5269</v>
      </c>
      <c r="F335" s="18">
        <v>0</v>
      </c>
      <c r="G335" s="18">
        <v>1000</v>
      </c>
      <c r="H335" s="18">
        <v>993470.92</v>
      </c>
    </row>
    <row r="336" spans="1:8">
      <c r="A336" s="15" t="s">
        <v>11591</v>
      </c>
      <c r="B336" s="16" t="s">
        <v>11739</v>
      </c>
      <c r="C336" s="16" t="s">
        <v>11739</v>
      </c>
      <c r="D336" s="17" t="s">
        <v>4124</v>
      </c>
      <c r="E336" s="17" t="s">
        <v>5270</v>
      </c>
      <c r="F336" s="18">
        <v>1179.18</v>
      </c>
      <c r="G336" s="18">
        <v>0</v>
      </c>
      <c r="H336" s="18">
        <v>992291.74</v>
      </c>
    </row>
    <row r="337" spans="1:8">
      <c r="A337" s="15" t="s">
        <v>11493</v>
      </c>
      <c r="B337" s="16" t="s">
        <v>11739</v>
      </c>
      <c r="C337" s="16" t="s">
        <v>11739</v>
      </c>
      <c r="D337" s="17" t="s">
        <v>4124</v>
      </c>
      <c r="E337" s="17" t="s">
        <v>5271</v>
      </c>
      <c r="F337" s="18">
        <v>200000</v>
      </c>
      <c r="G337" s="18">
        <v>0</v>
      </c>
      <c r="H337" s="18">
        <v>792291.74</v>
      </c>
    </row>
    <row r="338" spans="1:8">
      <c r="A338" s="15" t="s">
        <v>11594</v>
      </c>
      <c r="B338" s="16" t="s">
        <v>11739</v>
      </c>
      <c r="C338" s="16" t="s">
        <v>11739</v>
      </c>
      <c r="D338" s="17" t="s">
        <v>4124</v>
      </c>
      <c r="E338" s="17" t="s">
        <v>5272</v>
      </c>
      <c r="F338" s="18">
        <v>28</v>
      </c>
      <c r="G338" s="18">
        <v>0</v>
      </c>
      <c r="H338" s="18">
        <v>792263.74</v>
      </c>
    </row>
    <row r="339" spans="1:8">
      <c r="A339" s="15" t="s">
        <v>11596</v>
      </c>
      <c r="B339" s="16" t="s">
        <v>11740</v>
      </c>
      <c r="C339" s="16" t="s">
        <v>11740</v>
      </c>
      <c r="D339" s="17" t="s">
        <v>11741</v>
      </c>
      <c r="E339" s="17" t="s">
        <v>1855</v>
      </c>
      <c r="F339" s="18">
        <v>2000</v>
      </c>
      <c r="G339" s="18">
        <v>0</v>
      </c>
      <c r="H339" s="18">
        <v>790263.74</v>
      </c>
    </row>
    <row r="340" spans="1:8">
      <c r="A340" s="15" t="s">
        <v>11495</v>
      </c>
      <c r="B340" s="16" t="s">
        <v>12187</v>
      </c>
      <c r="C340" s="16" t="s">
        <v>12187</v>
      </c>
      <c r="D340" s="17" t="s">
        <v>4124</v>
      </c>
      <c r="E340" s="17" t="s">
        <v>5273</v>
      </c>
      <c r="F340" s="18">
        <v>200017</v>
      </c>
      <c r="G340" s="18">
        <v>0</v>
      </c>
      <c r="H340" s="18">
        <v>590246.74</v>
      </c>
    </row>
    <row r="341" spans="1:8">
      <c r="A341" s="15" t="s">
        <v>11742</v>
      </c>
      <c r="B341" s="16" t="s">
        <v>11743</v>
      </c>
      <c r="C341" s="16" t="s">
        <v>11743</v>
      </c>
      <c r="D341" s="17" t="s">
        <v>4124</v>
      </c>
      <c r="E341" s="17" t="s">
        <v>5274</v>
      </c>
      <c r="F341" s="18">
        <v>10000</v>
      </c>
      <c r="G341" s="18">
        <v>0</v>
      </c>
      <c r="H341" s="18">
        <v>580246.74</v>
      </c>
    </row>
    <row r="342" spans="1:8">
      <c r="A342" s="15" t="s">
        <v>11808</v>
      </c>
      <c r="B342" s="16" t="s">
        <v>12188</v>
      </c>
      <c r="C342" s="16" t="s">
        <v>12188</v>
      </c>
      <c r="D342" s="17" t="s">
        <v>4124</v>
      </c>
      <c r="E342" s="17" t="s">
        <v>1590</v>
      </c>
      <c r="F342" s="18">
        <v>0</v>
      </c>
      <c r="G342" s="18">
        <v>998</v>
      </c>
      <c r="H342" s="18">
        <v>581244.74</v>
      </c>
    </row>
    <row r="343" spans="1:8">
      <c r="A343" s="15" t="s">
        <v>11599</v>
      </c>
      <c r="B343" s="16" t="s">
        <v>11744</v>
      </c>
      <c r="C343" s="16" t="s">
        <v>11744</v>
      </c>
      <c r="D343" s="17" t="s">
        <v>4124</v>
      </c>
      <c r="E343" s="17" t="s">
        <v>5275</v>
      </c>
      <c r="F343" s="18">
        <v>1020</v>
      </c>
      <c r="G343" s="18">
        <v>0</v>
      </c>
      <c r="H343" s="18">
        <v>580224.74</v>
      </c>
    </row>
    <row r="344" spans="1:8">
      <c r="A344" s="15" t="s">
        <v>11498</v>
      </c>
      <c r="B344" s="16" t="s">
        <v>11744</v>
      </c>
      <c r="C344" s="16" t="s">
        <v>11744</v>
      </c>
      <c r="D344" s="17" t="s">
        <v>4124</v>
      </c>
      <c r="E344" s="17" t="s">
        <v>5276</v>
      </c>
      <c r="F344" s="18">
        <v>500</v>
      </c>
      <c r="G344" s="18">
        <v>0</v>
      </c>
      <c r="H344" s="18">
        <v>579724.74</v>
      </c>
    </row>
    <row r="345" spans="1:8">
      <c r="A345" s="15" t="s">
        <v>11936</v>
      </c>
      <c r="B345" s="16" t="s">
        <v>12189</v>
      </c>
      <c r="C345" s="16" t="s">
        <v>12189</v>
      </c>
      <c r="D345" s="17" t="s">
        <v>4124</v>
      </c>
      <c r="E345" s="17" t="s">
        <v>1404</v>
      </c>
      <c r="F345" s="18">
        <v>0</v>
      </c>
      <c r="G345" s="18">
        <v>138226</v>
      </c>
      <c r="H345" s="18">
        <v>717950.74</v>
      </c>
    </row>
    <row r="346" spans="1:8">
      <c r="A346" s="15" t="s">
        <v>11500</v>
      </c>
      <c r="B346" s="16" t="s">
        <v>11745</v>
      </c>
      <c r="C346" s="16" t="s">
        <v>11745</v>
      </c>
      <c r="D346" s="17" t="s">
        <v>4124</v>
      </c>
      <c r="E346" s="17" t="s">
        <v>5277</v>
      </c>
      <c r="F346" s="18">
        <v>1600</v>
      </c>
      <c r="G346" s="18">
        <v>0</v>
      </c>
      <c r="H346" s="18">
        <v>716350.74</v>
      </c>
    </row>
    <row r="347" spans="1:8">
      <c r="A347" s="15" t="s">
        <v>11689</v>
      </c>
      <c r="B347" s="16" t="s">
        <v>11745</v>
      </c>
      <c r="C347" s="16" t="s">
        <v>11745</v>
      </c>
      <c r="D347" s="17" t="s">
        <v>4124</v>
      </c>
      <c r="E347" s="17" t="s">
        <v>5278</v>
      </c>
      <c r="F347" s="18">
        <v>200017</v>
      </c>
      <c r="G347" s="18">
        <v>0</v>
      </c>
      <c r="H347" s="18">
        <v>516333.74</v>
      </c>
    </row>
    <row r="348" spans="1:8">
      <c r="A348" s="15" t="s">
        <v>11811</v>
      </c>
      <c r="B348" s="16" t="s">
        <v>11746</v>
      </c>
      <c r="C348" s="16" t="s">
        <v>11746</v>
      </c>
      <c r="D348" s="17" t="s">
        <v>4124</v>
      </c>
      <c r="E348" s="17" t="s">
        <v>5279</v>
      </c>
      <c r="F348" s="18">
        <v>245417</v>
      </c>
      <c r="G348" s="18">
        <v>0</v>
      </c>
      <c r="H348" s="18">
        <v>270916.74</v>
      </c>
    </row>
    <row r="349" spans="1:8">
      <c r="A349" s="15" t="s">
        <v>11603</v>
      </c>
      <c r="B349" s="16" t="s">
        <v>11746</v>
      </c>
      <c r="C349" s="16" t="s">
        <v>11746</v>
      </c>
      <c r="D349" s="17" t="s">
        <v>4124</v>
      </c>
      <c r="E349" s="17" t="s">
        <v>5280</v>
      </c>
      <c r="F349" s="18">
        <v>100006</v>
      </c>
      <c r="G349" s="18">
        <v>0</v>
      </c>
      <c r="H349" s="18">
        <v>170910.74</v>
      </c>
    </row>
    <row r="350" spans="1:8">
      <c r="A350" s="15" t="s">
        <v>11605</v>
      </c>
      <c r="B350" s="16" t="s">
        <v>11746</v>
      </c>
      <c r="C350" s="16" t="s">
        <v>11746</v>
      </c>
      <c r="D350" s="17" t="s">
        <v>4124</v>
      </c>
      <c r="E350" s="17" t="s">
        <v>5281</v>
      </c>
      <c r="F350" s="18">
        <v>1463</v>
      </c>
      <c r="G350" s="18">
        <v>0</v>
      </c>
      <c r="H350" s="18">
        <v>169447.74</v>
      </c>
    </row>
    <row r="351" spans="1:8">
      <c r="A351" s="15" t="s">
        <v>11502</v>
      </c>
      <c r="B351" s="16" t="s">
        <v>11747</v>
      </c>
      <c r="C351" s="16" t="s">
        <v>11747</v>
      </c>
      <c r="D351" s="17" t="s">
        <v>11748</v>
      </c>
      <c r="E351" s="17" t="s">
        <v>1553</v>
      </c>
      <c r="F351" s="18">
        <v>7500</v>
      </c>
      <c r="G351" s="18">
        <v>0</v>
      </c>
      <c r="H351" s="18">
        <v>161947.74</v>
      </c>
    </row>
    <row r="352" spans="1:8">
      <c r="A352" s="15" t="s">
        <v>11608</v>
      </c>
      <c r="B352" s="16" t="s">
        <v>11749</v>
      </c>
      <c r="C352" s="16" t="s">
        <v>11749</v>
      </c>
      <c r="D352" s="17" t="s">
        <v>4124</v>
      </c>
      <c r="E352" s="17" t="s">
        <v>5282</v>
      </c>
      <c r="F352" s="18">
        <v>1490</v>
      </c>
      <c r="G352" s="18">
        <v>0</v>
      </c>
      <c r="H352" s="18">
        <v>160457.74</v>
      </c>
    </row>
    <row r="353" spans="1:8">
      <c r="A353" s="15" t="s">
        <v>11609</v>
      </c>
      <c r="B353" s="16" t="s">
        <v>11749</v>
      </c>
      <c r="C353" s="16" t="s">
        <v>11749</v>
      </c>
      <c r="D353" s="17" t="s">
        <v>4124</v>
      </c>
      <c r="E353" s="17" t="s">
        <v>5283</v>
      </c>
      <c r="F353" s="18">
        <v>1490</v>
      </c>
      <c r="G353" s="18">
        <v>0</v>
      </c>
      <c r="H353" s="18">
        <v>158967.74</v>
      </c>
    </row>
    <row r="354" spans="1:8">
      <c r="A354" s="15" t="s">
        <v>11504</v>
      </c>
      <c r="B354" s="16" t="s">
        <v>11750</v>
      </c>
      <c r="C354" s="16" t="s">
        <v>11750</v>
      </c>
      <c r="D354" s="17" t="s">
        <v>4124</v>
      </c>
      <c r="E354" s="17" t="s">
        <v>5284</v>
      </c>
      <c r="F354" s="18">
        <v>10000</v>
      </c>
      <c r="G354" s="18">
        <v>0</v>
      </c>
      <c r="H354" s="18">
        <v>148967.74</v>
      </c>
    </row>
    <row r="355" spans="1:8">
      <c r="A355" s="15" t="s">
        <v>11695</v>
      </c>
      <c r="B355" s="16" t="s">
        <v>11751</v>
      </c>
      <c r="C355" s="16" t="s">
        <v>11751</v>
      </c>
      <c r="D355" s="17" t="s">
        <v>4124</v>
      </c>
      <c r="E355" s="17" t="s">
        <v>5285</v>
      </c>
      <c r="F355" s="18">
        <v>1020</v>
      </c>
      <c r="G355" s="18">
        <v>0</v>
      </c>
      <c r="H355" s="18">
        <v>147947.74</v>
      </c>
    </row>
    <row r="356" spans="1:8">
      <c r="A356" s="15" t="s">
        <v>11697</v>
      </c>
      <c r="B356" s="16" t="s">
        <v>12190</v>
      </c>
      <c r="C356" s="16" t="s">
        <v>12190</v>
      </c>
      <c r="D356" s="17" t="s">
        <v>4124</v>
      </c>
      <c r="E356" s="17" t="s">
        <v>5286</v>
      </c>
      <c r="F356" s="18">
        <v>3210</v>
      </c>
      <c r="G356" s="18">
        <v>0</v>
      </c>
      <c r="H356" s="18">
        <v>144737.74</v>
      </c>
    </row>
    <row r="357" spans="1:8">
      <c r="A357" s="15" t="s">
        <v>11507</v>
      </c>
      <c r="B357" s="16" t="s">
        <v>12191</v>
      </c>
      <c r="C357" s="16" t="s">
        <v>12191</v>
      </c>
      <c r="D357" s="17" t="s">
        <v>4124</v>
      </c>
      <c r="E357" s="17" t="s">
        <v>1404</v>
      </c>
      <c r="F357" s="18">
        <v>0</v>
      </c>
      <c r="G357" s="18">
        <v>138226</v>
      </c>
      <c r="H357" s="18">
        <v>282963.74</v>
      </c>
    </row>
    <row r="358" spans="1:8">
      <c r="A358" s="15" t="s">
        <v>11509</v>
      </c>
      <c r="B358" s="16" t="s">
        <v>12192</v>
      </c>
      <c r="C358" s="16" t="s">
        <v>12192</v>
      </c>
      <c r="D358" s="17" t="s">
        <v>4124</v>
      </c>
      <c r="E358" s="17" t="s">
        <v>5269</v>
      </c>
      <c r="F358" s="18">
        <v>0</v>
      </c>
      <c r="G358" s="18">
        <v>2998</v>
      </c>
      <c r="H358" s="18">
        <v>285961.74</v>
      </c>
    </row>
    <row r="359" spans="1:8">
      <c r="A359" s="15" t="s">
        <v>11511</v>
      </c>
      <c r="B359" s="16" t="s">
        <v>11752</v>
      </c>
      <c r="C359" s="16" t="s">
        <v>11752</v>
      </c>
      <c r="D359" s="17" t="s">
        <v>4124</v>
      </c>
      <c r="E359" s="17" t="s">
        <v>5287</v>
      </c>
      <c r="F359" s="18">
        <v>2098.6999999999998</v>
      </c>
      <c r="G359" s="18">
        <v>0</v>
      </c>
      <c r="H359" s="18">
        <v>283863.03999999998</v>
      </c>
    </row>
    <row r="360" spans="1:8">
      <c r="A360" s="15" t="s">
        <v>11514</v>
      </c>
      <c r="B360" s="16" t="s">
        <v>11753</v>
      </c>
      <c r="C360" s="16" t="s">
        <v>11753</v>
      </c>
      <c r="D360" s="17" t="s">
        <v>4124</v>
      </c>
      <c r="E360" s="17" t="s">
        <v>5288</v>
      </c>
      <c r="F360" s="18">
        <v>760</v>
      </c>
      <c r="G360" s="18">
        <v>0</v>
      </c>
      <c r="H360" s="18">
        <v>283103.03999999998</v>
      </c>
    </row>
    <row r="361" spans="1:8">
      <c r="A361" s="15" t="s">
        <v>11516</v>
      </c>
      <c r="B361" s="16" t="s">
        <v>12193</v>
      </c>
      <c r="C361" s="16" t="s">
        <v>12193</v>
      </c>
      <c r="D361" s="17" t="s">
        <v>12194</v>
      </c>
      <c r="E361" s="17" t="s">
        <v>5289</v>
      </c>
      <c r="F361" s="18">
        <v>172723</v>
      </c>
      <c r="G361" s="18">
        <v>0</v>
      </c>
      <c r="H361" s="18">
        <v>110380.04</v>
      </c>
    </row>
    <row r="362" spans="1:8">
      <c r="A362" s="15" t="s">
        <v>11822</v>
      </c>
      <c r="B362" s="16" t="s">
        <v>12195</v>
      </c>
      <c r="C362" s="16" t="s">
        <v>12195</v>
      </c>
      <c r="D362" s="17" t="s">
        <v>12196</v>
      </c>
      <c r="E362" s="17" t="s">
        <v>5290</v>
      </c>
      <c r="F362" s="18">
        <v>1457</v>
      </c>
      <c r="G362" s="18">
        <v>0</v>
      </c>
      <c r="H362" s="18">
        <v>108923.04</v>
      </c>
    </row>
    <row r="363" spans="1:8">
      <c r="A363" s="15" t="s">
        <v>11517</v>
      </c>
      <c r="B363" s="16" t="s">
        <v>11754</v>
      </c>
      <c r="C363" s="16" t="s">
        <v>11755</v>
      </c>
      <c r="D363" s="17" t="s">
        <v>4124</v>
      </c>
      <c r="E363" s="17" t="s">
        <v>5291</v>
      </c>
      <c r="F363" s="18">
        <v>1020</v>
      </c>
      <c r="G363" s="18">
        <v>0</v>
      </c>
      <c r="H363" s="18">
        <v>107903.03999999999</v>
      </c>
    </row>
    <row r="364" spans="1:8">
      <c r="A364" s="15" t="s">
        <v>11825</v>
      </c>
      <c r="B364" s="16" t="s">
        <v>11755</v>
      </c>
      <c r="C364" s="16" t="s">
        <v>11755</v>
      </c>
      <c r="D364" s="17" t="s">
        <v>4124</v>
      </c>
      <c r="E364" s="17" t="s">
        <v>1404</v>
      </c>
      <c r="F364" s="18">
        <v>0</v>
      </c>
      <c r="G364" s="18">
        <v>138226</v>
      </c>
      <c r="H364" s="18">
        <v>246129.04</v>
      </c>
    </row>
    <row r="365" spans="1:8">
      <c r="A365" s="15" t="s">
        <v>11615</v>
      </c>
      <c r="B365" s="16" t="s">
        <v>11756</v>
      </c>
      <c r="C365" s="16" t="s">
        <v>11756</v>
      </c>
      <c r="D365" s="17" t="s">
        <v>4124</v>
      </c>
      <c r="E365" s="17" t="s">
        <v>5292</v>
      </c>
      <c r="F365" s="18">
        <v>28218.46</v>
      </c>
      <c r="G365" s="18">
        <v>0</v>
      </c>
      <c r="H365" s="18">
        <v>217910.58</v>
      </c>
    </row>
    <row r="366" spans="1:8">
      <c r="A366" s="15" t="s">
        <v>11618</v>
      </c>
      <c r="B366" s="16" t="s">
        <v>11757</v>
      </c>
      <c r="C366" s="16" t="s">
        <v>11758</v>
      </c>
      <c r="D366" s="17" t="s">
        <v>4124</v>
      </c>
      <c r="E366" s="17" t="s">
        <v>5293</v>
      </c>
      <c r="F366" s="18">
        <v>1315.51</v>
      </c>
      <c r="G366" s="18">
        <v>0</v>
      </c>
      <c r="H366" s="18">
        <v>216595.07</v>
      </c>
    </row>
    <row r="367" spans="1:8">
      <c r="A367" s="15" t="s">
        <v>11621</v>
      </c>
      <c r="B367" s="16" t="s">
        <v>11758</v>
      </c>
      <c r="C367" s="16" t="s">
        <v>11758</v>
      </c>
      <c r="D367" s="17" t="s">
        <v>4124</v>
      </c>
      <c r="E367" s="17" t="s">
        <v>5294</v>
      </c>
      <c r="F367" s="18">
        <v>1020</v>
      </c>
      <c r="G367" s="18">
        <v>0</v>
      </c>
      <c r="H367" s="18">
        <v>215575.07</v>
      </c>
    </row>
    <row r="368" spans="1:8">
      <c r="A368" s="15" t="s">
        <v>11519</v>
      </c>
      <c r="B368" s="16" t="s">
        <v>12197</v>
      </c>
      <c r="C368" s="16" t="s">
        <v>12197</v>
      </c>
      <c r="D368" s="17" t="s">
        <v>4124</v>
      </c>
      <c r="E368" s="17" t="s">
        <v>1537</v>
      </c>
      <c r="F368" s="18">
        <v>0</v>
      </c>
      <c r="G368" s="18">
        <v>2996</v>
      </c>
      <c r="H368" s="18">
        <v>218571.07</v>
      </c>
    </row>
    <row r="369" spans="1:8">
      <c r="A369" s="15" t="s">
        <v>11521</v>
      </c>
      <c r="B369" s="16" t="s">
        <v>12198</v>
      </c>
      <c r="C369" s="16" t="s">
        <v>12198</v>
      </c>
      <c r="D369" s="17" t="s">
        <v>4124</v>
      </c>
      <c r="E369" s="17" t="s">
        <v>5295</v>
      </c>
      <c r="F369" s="18">
        <v>350028.09</v>
      </c>
      <c r="G369" s="18">
        <v>0</v>
      </c>
      <c r="H369" s="18">
        <v>-131457.01999999999</v>
      </c>
    </row>
    <row r="370" spans="1:8">
      <c r="A370" s="15" t="s">
        <v>11522</v>
      </c>
      <c r="B370" s="16" t="s">
        <v>12198</v>
      </c>
      <c r="C370" s="16" t="s">
        <v>12198</v>
      </c>
      <c r="D370" s="17" t="s">
        <v>4124</v>
      </c>
      <c r="E370" s="17" t="s">
        <v>5296</v>
      </c>
      <c r="F370" s="18">
        <v>0</v>
      </c>
      <c r="G370" s="18">
        <v>283</v>
      </c>
      <c r="H370" s="18">
        <v>-131174.01999999999</v>
      </c>
    </row>
    <row r="371" spans="1:8">
      <c r="A371" s="15" t="s">
        <v>11623</v>
      </c>
      <c r="B371" s="16" t="s">
        <v>12198</v>
      </c>
      <c r="C371" s="16" t="s">
        <v>12198</v>
      </c>
      <c r="D371" s="17" t="s">
        <v>4124</v>
      </c>
      <c r="E371" s="17" t="s">
        <v>5297</v>
      </c>
      <c r="F371" s="18">
        <v>0</v>
      </c>
      <c r="G371" s="18">
        <v>15589</v>
      </c>
      <c r="H371" s="18">
        <v>-115585.02</v>
      </c>
    </row>
    <row r="372" spans="1:8">
      <c r="A372" s="15" t="s">
        <v>11523</v>
      </c>
      <c r="B372" s="16" t="s">
        <v>12198</v>
      </c>
      <c r="C372" s="16" t="s">
        <v>12198</v>
      </c>
      <c r="D372" s="17" t="s">
        <v>4124</v>
      </c>
      <c r="E372" s="17" t="s">
        <v>5298</v>
      </c>
      <c r="F372" s="18">
        <v>0</v>
      </c>
      <c r="G372" s="18">
        <v>67963</v>
      </c>
      <c r="H372" s="18">
        <v>-47622.02</v>
      </c>
    </row>
    <row r="373" spans="1:8">
      <c r="A373" s="15" t="s">
        <v>11627</v>
      </c>
      <c r="B373" s="16" t="s">
        <v>12198</v>
      </c>
      <c r="C373" s="16" t="s">
        <v>12198</v>
      </c>
      <c r="D373" s="17" t="s">
        <v>4124</v>
      </c>
      <c r="E373" s="17" t="s">
        <v>5299</v>
      </c>
      <c r="F373" s="18">
        <v>0</v>
      </c>
      <c r="G373" s="18">
        <v>7960</v>
      </c>
      <c r="H373" s="18">
        <v>-39662.019999999997</v>
      </c>
    </row>
    <row r="374" spans="1:8">
      <c r="A374" s="15" t="s">
        <v>11704</v>
      </c>
      <c r="B374" s="16" t="s">
        <v>12198</v>
      </c>
      <c r="C374" s="16" t="s">
        <v>12198</v>
      </c>
      <c r="D374" s="17" t="s">
        <v>4124</v>
      </c>
      <c r="E374" s="17" t="s">
        <v>5300</v>
      </c>
      <c r="F374" s="18">
        <v>0</v>
      </c>
      <c r="G374" s="18">
        <v>31681</v>
      </c>
      <c r="H374" s="18">
        <v>-7981.02</v>
      </c>
    </row>
    <row r="375" spans="1:8">
      <c r="A375" s="15" t="s">
        <v>11525</v>
      </c>
      <c r="B375" s="16" t="s">
        <v>12198</v>
      </c>
      <c r="C375" s="16" t="s">
        <v>12198</v>
      </c>
      <c r="D375" s="17" t="s">
        <v>4124</v>
      </c>
      <c r="E375" s="17" t="s">
        <v>5301</v>
      </c>
      <c r="F375" s="18">
        <v>0</v>
      </c>
      <c r="G375" s="18">
        <v>15000</v>
      </c>
      <c r="H375" s="18">
        <v>7018.98</v>
      </c>
    </row>
    <row r="376" spans="1:8">
      <c r="A376" s="15" t="s">
        <v>11706</v>
      </c>
      <c r="B376" s="16" t="s">
        <v>12198</v>
      </c>
      <c r="C376" s="16" t="s">
        <v>12198</v>
      </c>
      <c r="D376" s="17" t="s">
        <v>4124</v>
      </c>
      <c r="E376" s="17" t="s">
        <v>5296</v>
      </c>
      <c r="F376" s="18">
        <v>0</v>
      </c>
      <c r="G376" s="18">
        <v>63</v>
      </c>
      <c r="H376" s="18">
        <v>7081.98</v>
      </c>
    </row>
    <row r="377" spans="1:8">
      <c r="A377" s="15" t="s">
        <v>11528</v>
      </c>
      <c r="B377" s="16" t="s">
        <v>12198</v>
      </c>
      <c r="C377" s="16" t="s">
        <v>12198</v>
      </c>
      <c r="D377" s="17" t="s">
        <v>4124</v>
      </c>
      <c r="E377" s="17" t="s">
        <v>5301</v>
      </c>
      <c r="F377" s="18">
        <v>0</v>
      </c>
      <c r="G377" s="18">
        <v>663</v>
      </c>
      <c r="H377" s="18">
        <v>7744.98</v>
      </c>
    </row>
    <row r="378" spans="1:8">
      <c r="A378" s="15" t="s">
        <v>11834</v>
      </c>
      <c r="B378" s="16" t="s">
        <v>12198</v>
      </c>
      <c r="C378" s="16" t="s">
        <v>12198</v>
      </c>
      <c r="D378" s="17" t="s">
        <v>4124</v>
      </c>
      <c r="E378" s="17" t="s">
        <v>5300</v>
      </c>
      <c r="F378" s="18">
        <v>0</v>
      </c>
      <c r="G378" s="18">
        <v>1222</v>
      </c>
      <c r="H378" s="18">
        <v>8966.98</v>
      </c>
    </row>
    <row r="379" spans="1:8">
      <c r="A379" s="15" t="s">
        <v>11530</v>
      </c>
      <c r="B379" s="16" t="s">
        <v>12198</v>
      </c>
      <c r="C379" s="16" t="s">
        <v>12198</v>
      </c>
      <c r="D379" s="17" t="s">
        <v>4124</v>
      </c>
      <c r="E379" s="17" t="s">
        <v>5299</v>
      </c>
      <c r="F379" s="18">
        <v>0</v>
      </c>
      <c r="G379" s="18">
        <v>206</v>
      </c>
      <c r="H379" s="18">
        <v>9172.98</v>
      </c>
    </row>
    <row r="380" spans="1:8">
      <c r="A380" s="15" t="s">
        <v>11532</v>
      </c>
      <c r="B380" s="16" t="s">
        <v>12198</v>
      </c>
      <c r="C380" s="16" t="s">
        <v>12198</v>
      </c>
      <c r="D380" s="17" t="s">
        <v>4124</v>
      </c>
      <c r="E380" s="17" t="s">
        <v>5298</v>
      </c>
      <c r="F380" s="18">
        <v>0</v>
      </c>
      <c r="G380" s="18">
        <v>1535</v>
      </c>
      <c r="H380" s="18">
        <v>10707.98</v>
      </c>
    </row>
    <row r="381" spans="1:8">
      <c r="A381" s="15" t="s">
        <v>11633</v>
      </c>
      <c r="B381" s="16" t="s">
        <v>12198</v>
      </c>
      <c r="C381" s="16" t="s">
        <v>12198</v>
      </c>
      <c r="D381" s="17" t="s">
        <v>4124</v>
      </c>
      <c r="E381" s="17" t="s">
        <v>5297</v>
      </c>
      <c r="F381" s="18">
        <v>0</v>
      </c>
      <c r="G381" s="18">
        <v>16</v>
      </c>
      <c r="H381" s="18">
        <v>10723.98</v>
      </c>
    </row>
    <row r="382" spans="1:8">
      <c r="A382" s="15" t="s">
        <v>11636</v>
      </c>
      <c r="B382" s="16" t="s">
        <v>12199</v>
      </c>
      <c r="C382" s="16" t="s">
        <v>12199</v>
      </c>
      <c r="D382" s="17" t="s">
        <v>4124</v>
      </c>
      <c r="E382" s="17" t="s">
        <v>1774</v>
      </c>
      <c r="F382" s="18">
        <v>0</v>
      </c>
      <c r="G382" s="18">
        <v>35463</v>
      </c>
      <c r="H382" s="18">
        <v>46186.98</v>
      </c>
    </row>
    <row r="383" spans="1:8">
      <c r="A383" s="15" t="s">
        <v>11638</v>
      </c>
      <c r="B383" s="16" t="s">
        <v>12200</v>
      </c>
      <c r="C383" s="16" t="s">
        <v>12200</v>
      </c>
      <c r="D383" s="17" t="s">
        <v>4124</v>
      </c>
      <c r="E383" s="17" t="s">
        <v>5302</v>
      </c>
      <c r="F383" s="18">
        <v>36939.519999999997</v>
      </c>
      <c r="G383" s="18">
        <v>0</v>
      </c>
      <c r="H383" s="18">
        <v>9247.4599999999991</v>
      </c>
    </row>
    <row r="384" spans="1:8">
      <c r="A384" s="15" t="s">
        <v>11533</v>
      </c>
      <c r="B384" s="16" t="s">
        <v>12200</v>
      </c>
      <c r="C384" s="16" t="s">
        <v>12200</v>
      </c>
      <c r="D384" s="17" t="s">
        <v>4124</v>
      </c>
      <c r="E384" s="17" t="s">
        <v>5303</v>
      </c>
      <c r="F384" s="18">
        <v>0</v>
      </c>
      <c r="G384" s="18">
        <v>179236.21</v>
      </c>
      <c r="H384" s="18">
        <v>188483.67</v>
      </c>
    </row>
    <row r="385" spans="1:8">
      <c r="A385" s="15" t="s">
        <v>11714</v>
      </c>
      <c r="B385" s="16" t="s">
        <v>12201</v>
      </c>
      <c r="C385" s="16" t="s">
        <v>12201</v>
      </c>
      <c r="D385" s="17" t="s">
        <v>4124</v>
      </c>
      <c r="E385" s="17" t="s">
        <v>5304</v>
      </c>
      <c r="F385" s="18">
        <v>0</v>
      </c>
      <c r="G385" s="18">
        <v>262725.28000000003</v>
      </c>
      <c r="H385" s="18">
        <v>451208.95</v>
      </c>
    </row>
    <row r="386" spans="1:8">
      <c r="A386" s="15" t="s">
        <v>11536</v>
      </c>
      <c r="B386" s="16" t="s">
        <v>12202</v>
      </c>
      <c r="C386" s="16" t="s">
        <v>12202</v>
      </c>
      <c r="D386" s="17" t="s">
        <v>12203</v>
      </c>
      <c r="E386" s="17" t="s">
        <v>5305</v>
      </c>
      <c r="F386" s="18">
        <v>12024</v>
      </c>
      <c r="G386" s="18">
        <v>0</v>
      </c>
      <c r="H386" s="18">
        <v>439184.95</v>
      </c>
    </row>
    <row r="387" spans="1:8">
      <c r="A387" s="15" t="s">
        <v>11839</v>
      </c>
      <c r="B387" s="16" t="s">
        <v>12202</v>
      </c>
      <c r="C387" s="16" t="s">
        <v>12202</v>
      </c>
      <c r="D387" s="17" t="s">
        <v>4124</v>
      </c>
      <c r="E387" s="17" t="s">
        <v>5306</v>
      </c>
      <c r="F387" s="18">
        <v>0</v>
      </c>
      <c r="G387" s="18">
        <v>2643</v>
      </c>
      <c r="H387" s="18">
        <v>441827.95</v>
      </c>
    </row>
    <row r="388" spans="1:8">
      <c r="A388" s="15" t="s">
        <v>11640</v>
      </c>
      <c r="B388" s="16" t="s">
        <v>12204</v>
      </c>
      <c r="C388" s="16" t="s">
        <v>12204</v>
      </c>
      <c r="D388" s="17" t="s">
        <v>4124</v>
      </c>
      <c r="E388" s="17" t="s">
        <v>1404</v>
      </c>
      <c r="F388" s="18">
        <v>0</v>
      </c>
      <c r="G388" s="18">
        <v>151656</v>
      </c>
      <c r="H388" s="18">
        <v>593483.94999999995</v>
      </c>
    </row>
    <row r="389" spans="1:8">
      <c r="A389" s="15" t="s">
        <v>11538</v>
      </c>
      <c r="B389" s="16" t="s">
        <v>12205</v>
      </c>
      <c r="C389" s="16" t="s">
        <v>12205</v>
      </c>
      <c r="D389" s="17" t="s">
        <v>4124</v>
      </c>
      <c r="E389" s="17" t="s">
        <v>5307</v>
      </c>
      <c r="F389" s="18">
        <v>0</v>
      </c>
      <c r="G389" s="18">
        <v>7657</v>
      </c>
      <c r="H389" s="18">
        <v>601140.94999999995</v>
      </c>
    </row>
    <row r="390" spans="1:8">
      <c r="A390" s="15" t="s">
        <v>11642</v>
      </c>
      <c r="B390" s="16" t="s">
        <v>11759</v>
      </c>
      <c r="C390" s="16" t="s">
        <v>11759</v>
      </c>
      <c r="D390" s="17" t="s">
        <v>4124</v>
      </c>
      <c r="E390" s="17" t="s">
        <v>5308</v>
      </c>
      <c r="F390" s="18">
        <v>1271.1400000000001</v>
      </c>
      <c r="G390" s="18">
        <v>0</v>
      </c>
      <c r="H390" s="18">
        <v>599869.81000000006</v>
      </c>
    </row>
    <row r="391" spans="1:8">
      <c r="A391" s="15" t="s">
        <v>11645</v>
      </c>
      <c r="B391" s="16" t="s">
        <v>11759</v>
      </c>
      <c r="C391" s="16" t="s">
        <v>11759</v>
      </c>
      <c r="D391" s="17" t="s">
        <v>4124</v>
      </c>
      <c r="E391" s="17" t="s">
        <v>5309</v>
      </c>
      <c r="F391" s="18">
        <v>10000</v>
      </c>
      <c r="G391" s="18">
        <v>0</v>
      </c>
      <c r="H391" s="18">
        <v>589869.81000000006</v>
      </c>
    </row>
    <row r="392" spans="1:8">
      <c r="A392" s="15" t="s">
        <v>11718</v>
      </c>
      <c r="B392" s="16" t="s">
        <v>11760</v>
      </c>
      <c r="C392" s="16" t="s">
        <v>11760</v>
      </c>
      <c r="D392" s="17" t="s">
        <v>4124</v>
      </c>
      <c r="E392" s="17" t="s">
        <v>5310</v>
      </c>
      <c r="F392" s="18">
        <v>1020</v>
      </c>
      <c r="G392" s="18">
        <v>0</v>
      </c>
      <c r="H392" s="18">
        <v>588849.81000000006</v>
      </c>
    </row>
    <row r="393" spans="1:8">
      <c r="A393" s="15" t="s">
        <v>11541</v>
      </c>
      <c r="B393" s="16" t="s">
        <v>11760</v>
      </c>
      <c r="C393" s="16" t="s">
        <v>11760</v>
      </c>
      <c r="D393" s="17" t="s">
        <v>4124</v>
      </c>
      <c r="E393" s="17" t="s">
        <v>5311</v>
      </c>
      <c r="F393" s="18">
        <v>4993</v>
      </c>
      <c r="G393" s="18">
        <v>0</v>
      </c>
      <c r="H393" s="18">
        <v>583856.81000000006</v>
      </c>
    </row>
    <row r="394" spans="1:8">
      <c r="A394" s="15" t="s">
        <v>11543</v>
      </c>
      <c r="B394" s="16" t="s">
        <v>12206</v>
      </c>
      <c r="C394" s="16" t="s">
        <v>12206</v>
      </c>
      <c r="D394" s="17" t="s">
        <v>4124</v>
      </c>
      <c r="E394" s="17" t="s">
        <v>1537</v>
      </c>
      <c r="F394" s="18">
        <v>0</v>
      </c>
      <c r="G394" s="18">
        <v>2046</v>
      </c>
      <c r="H394" s="18">
        <v>585902.81000000006</v>
      </c>
    </row>
    <row r="395" spans="1:8">
      <c r="A395" s="15" t="s">
        <v>11720</v>
      </c>
      <c r="B395" s="16" t="s">
        <v>11761</v>
      </c>
      <c r="C395" s="16" t="s">
        <v>11762</v>
      </c>
      <c r="D395" s="17" t="s">
        <v>4124</v>
      </c>
      <c r="E395" s="17" t="s">
        <v>1785</v>
      </c>
      <c r="F395" s="18">
        <v>10000</v>
      </c>
      <c r="G395" s="18">
        <v>0</v>
      </c>
      <c r="H395" s="18">
        <v>575902.81000000006</v>
      </c>
    </row>
    <row r="396" spans="1:8">
      <c r="A396" s="15" t="s">
        <v>11648</v>
      </c>
      <c r="B396" s="16" t="s">
        <v>11762</v>
      </c>
      <c r="C396" s="16" t="s">
        <v>11762</v>
      </c>
      <c r="D396" s="17" t="s">
        <v>4124</v>
      </c>
      <c r="E396" s="17" t="s">
        <v>5312</v>
      </c>
      <c r="F396" s="18">
        <v>5612</v>
      </c>
      <c r="G396" s="18">
        <v>0</v>
      </c>
      <c r="H396" s="18">
        <v>570290.81000000006</v>
      </c>
    </row>
    <row r="397" spans="1:8">
      <c r="A397" s="15" t="s">
        <v>11546</v>
      </c>
      <c r="B397" s="16" t="s">
        <v>12207</v>
      </c>
      <c r="C397" s="16" t="s">
        <v>12207</v>
      </c>
      <c r="D397" s="17" t="s">
        <v>4124</v>
      </c>
      <c r="E397" s="17" t="s">
        <v>1404</v>
      </c>
      <c r="F397" s="18">
        <v>0</v>
      </c>
      <c r="G397" s="18">
        <v>138226</v>
      </c>
      <c r="H397" s="18">
        <v>708516.81</v>
      </c>
    </row>
    <row r="398" spans="1:8">
      <c r="A398" s="15" t="s">
        <v>11651</v>
      </c>
      <c r="B398" s="16" t="s">
        <v>11763</v>
      </c>
      <c r="C398" s="16" t="s">
        <v>11763</v>
      </c>
      <c r="D398" s="17" t="s">
        <v>4124</v>
      </c>
      <c r="E398" s="17" t="s">
        <v>5313</v>
      </c>
      <c r="F398" s="18">
        <v>1367.87</v>
      </c>
      <c r="G398" s="18">
        <v>0</v>
      </c>
      <c r="H398" s="18">
        <v>707148.94</v>
      </c>
    </row>
    <row r="399" spans="1:8">
      <c r="A399" s="15" t="s">
        <v>11653</v>
      </c>
      <c r="B399" s="16" t="s">
        <v>11764</v>
      </c>
      <c r="C399" s="16" t="s">
        <v>11764</v>
      </c>
      <c r="D399" s="17" t="s">
        <v>4124</v>
      </c>
      <c r="E399" s="17" t="s">
        <v>5314</v>
      </c>
      <c r="F399" s="18">
        <v>1110</v>
      </c>
      <c r="G399" s="18">
        <v>0</v>
      </c>
      <c r="H399" s="18">
        <v>706038.94</v>
      </c>
    </row>
    <row r="400" spans="1:8">
      <c r="A400" s="15" t="s">
        <v>11654</v>
      </c>
      <c r="B400" s="16" t="s">
        <v>11764</v>
      </c>
      <c r="C400" s="16" t="s">
        <v>11764</v>
      </c>
      <c r="D400" s="17" t="s">
        <v>4124</v>
      </c>
      <c r="E400" s="17" t="s">
        <v>5315</v>
      </c>
      <c r="F400" s="18">
        <v>3897.5</v>
      </c>
      <c r="G400" s="18">
        <v>0</v>
      </c>
      <c r="H400" s="18">
        <v>702141.43999999994</v>
      </c>
    </row>
    <row r="401" spans="1:8">
      <c r="A401" s="15" t="s">
        <v>11549</v>
      </c>
      <c r="B401" s="16" t="s">
        <v>12208</v>
      </c>
      <c r="C401" s="16" t="s">
        <v>12208</v>
      </c>
      <c r="D401" s="17" t="s">
        <v>4124</v>
      </c>
      <c r="E401" s="17" t="s">
        <v>12209</v>
      </c>
      <c r="F401" s="18">
        <v>0</v>
      </c>
      <c r="G401" s="18">
        <v>43840.18</v>
      </c>
      <c r="H401" s="18">
        <v>745981.62</v>
      </c>
    </row>
    <row r="402" spans="1:8">
      <c r="A402" s="15" t="s">
        <v>11588</v>
      </c>
      <c r="B402" s="16" t="s">
        <v>11797</v>
      </c>
      <c r="C402" s="16" t="s">
        <v>11797</v>
      </c>
      <c r="D402" s="17" t="s">
        <v>4124</v>
      </c>
      <c r="E402" s="17" t="s">
        <v>5355</v>
      </c>
      <c r="F402" s="18">
        <v>5759.35</v>
      </c>
      <c r="G402" s="18">
        <v>0</v>
      </c>
      <c r="H402" s="18">
        <v>512497.91</v>
      </c>
    </row>
    <row r="403" spans="1:8">
      <c r="A403" s="15" t="s">
        <v>11483</v>
      </c>
      <c r="B403" s="16" t="s">
        <v>11798</v>
      </c>
      <c r="C403" s="16" t="s">
        <v>11798</v>
      </c>
      <c r="D403" s="17" t="s">
        <v>4124</v>
      </c>
      <c r="E403" s="17" t="s">
        <v>5356</v>
      </c>
      <c r="F403" s="18">
        <v>1428.8</v>
      </c>
      <c r="G403" s="18">
        <v>0</v>
      </c>
      <c r="H403" s="18">
        <v>511069.11</v>
      </c>
    </row>
    <row r="404" spans="1:8">
      <c r="A404" s="15" t="s">
        <v>11486</v>
      </c>
      <c r="B404" s="16" t="s">
        <v>11799</v>
      </c>
      <c r="C404" s="16" t="s">
        <v>11799</v>
      </c>
      <c r="D404" s="17" t="s">
        <v>4124</v>
      </c>
      <c r="E404" s="17" t="s">
        <v>1869</v>
      </c>
      <c r="F404" s="18">
        <v>5000</v>
      </c>
      <c r="G404" s="18">
        <v>0</v>
      </c>
      <c r="H404" s="18">
        <v>506069.11</v>
      </c>
    </row>
    <row r="405" spans="1:8">
      <c r="A405" s="15" t="s">
        <v>11487</v>
      </c>
      <c r="B405" s="16" t="s">
        <v>11800</v>
      </c>
      <c r="C405" s="16" t="s">
        <v>11800</v>
      </c>
      <c r="D405" s="17" t="s">
        <v>11801</v>
      </c>
      <c r="E405" s="17" t="s">
        <v>5357</v>
      </c>
      <c r="F405" s="18">
        <v>4700</v>
      </c>
      <c r="G405" s="18">
        <v>0</v>
      </c>
      <c r="H405" s="18">
        <v>501369.11</v>
      </c>
    </row>
    <row r="406" spans="1:8">
      <c r="A406" s="15" t="s">
        <v>11488</v>
      </c>
      <c r="B406" s="16" t="s">
        <v>11802</v>
      </c>
      <c r="C406" s="16" t="s">
        <v>11802</v>
      </c>
      <c r="D406" s="17" t="s">
        <v>4124</v>
      </c>
      <c r="E406" s="17" t="s">
        <v>5358</v>
      </c>
      <c r="F406" s="18">
        <v>10000</v>
      </c>
      <c r="G406" s="18">
        <v>0</v>
      </c>
      <c r="H406" s="18">
        <v>491369.11</v>
      </c>
    </row>
    <row r="407" spans="1:8">
      <c r="A407" s="15" t="s">
        <v>11682</v>
      </c>
      <c r="B407" s="16" t="s">
        <v>12210</v>
      </c>
      <c r="C407" s="16" t="s">
        <v>12210</v>
      </c>
      <c r="D407" s="17" t="s">
        <v>4124</v>
      </c>
      <c r="E407" s="17" t="s">
        <v>1880</v>
      </c>
      <c r="F407" s="18">
        <v>0</v>
      </c>
      <c r="G407" s="18">
        <v>582304</v>
      </c>
      <c r="H407" s="18">
        <v>1073673.1100000001</v>
      </c>
    </row>
    <row r="408" spans="1:8">
      <c r="A408" s="15" t="s">
        <v>11491</v>
      </c>
      <c r="B408" s="16" t="s">
        <v>11803</v>
      </c>
      <c r="C408" s="16" t="s">
        <v>11803</v>
      </c>
      <c r="D408" s="17" t="s">
        <v>4124</v>
      </c>
      <c r="E408" s="17" t="s">
        <v>5359</v>
      </c>
      <c r="F408" s="18">
        <v>1275.07</v>
      </c>
      <c r="G408" s="18">
        <v>0</v>
      </c>
      <c r="H408" s="18">
        <v>1072398.04</v>
      </c>
    </row>
    <row r="409" spans="1:8">
      <c r="A409" s="15" t="s">
        <v>11591</v>
      </c>
      <c r="B409" s="16" t="s">
        <v>11803</v>
      </c>
      <c r="C409" s="16" t="s">
        <v>11803</v>
      </c>
      <c r="D409" s="17" t="s">
        <v>4124</v>
      </c>
      <c r="E409" s="17" t="s">
        <v>5360</v>
      </c>
      <c r="F409" s="18">
        <v>0</v>
      </c>
      <c r="G409" s="18">
        <v>366561</v>
      </c>
      <c r="H409" s="18">
        <v>1438959.04</v>
      </c>
    </row>
    <row r="410" spans="1:8">
      <c r="A410" s="15" t="s">
        <v>11493</v>
      </c>
      <c r="B410" s="16" t="s">
        <v>11804</v>
      </c>
      <c r="C410" s="16" t="s">
        <v>11804</v>
      </c>
      <c r="D410" s="17" t="s">
        <v>4124</v>
      </c>
      <c r="E410" s="17" t="s">
        <v>5361</v>
      </c>
      <c r="F410" s="18">
        <v>1110</v>
      </c>
      <c r="G410" s="18">
        <v>0</v>
      </c>
      <c r="H410" s="18">
        <v>1437849.04</v>
      </c>
    </row>
    <row r="411" spans="1:8">
      <c r="A411" s="15" t="s">
        <v>11594</v>
      </c>
      <c r="B411" s="16" t="s">
        <v>11805</v>
      </c>
      <c r="C411" s="16" t="s">
        <v>11805</v>
      </c>
      <c r="D411" s="17" t="s">
        <v>4124</v>
      </c>
      <c r="E411" s="17" t="s">
        <v>5362</v>
      </c>
      <c r="F411" s="18">
        <v>6210</v>
      </c>
      <c r="G411" s="18">
        <v>0</v>
      </c>
      <c r="H411" s="18">
        <v>1431639.04</v>
      </c>
    </row>
    <row r="412" spans="1:8">
      <c r="A412" s="15" t="s">
        <v>11596</v>
      </c>
      <c r="B412" s="16" t="s">
        <v>11806</v>
      </c>
      <c r="C412" s="16" t="s">
        <v>11806</v>
      </c>
      <c r="D412" s="17" t="s">
        <v>4124</v>
      </c>
      <c r="E412" s="17" t="s">
        <v>5363</v>
      </c>
      <c r="F412" s="18">
        <v>5000</v>
      </c>
      <c r="G412" s="18">
        <v>0</v>
      </c>
      <c r="H412" s="18">
        <v>1426639.04</v>
      </c>
    </row>
    <row r="413" spans="1:8">
      <c r="A413" s="15" t="s">
        <v>11495</v>
      </c>
      <c r="B413" s="16" t="s">
        <v>11807</v>
      </c>
      <c r="C413" s="16" t="s">
        <v>11807</v>
      </c>
      <c r="D413" s="17" t="s">
        <v>4124</v>
      </c>
      <c r="E413" s="17" t="s">
        <v>1883</v>
      </c>
      <c r="F413" s="18">
        <v>10000</v>
      </c>
      <c r="G413" s="18">
        <v>0</v>
      </c>
      <c r="H413" s="18">
        <v>1416639.04</v>
      </c>
    </row>
    <row r="414" spans="1:8">
      <c r="A414" s="15" t="s">
        <v>11742</v>
      </c>
      <c r="B414" s="16" t="s">
        <v>11807</v>
      </c>
      <c r="C414" s="16" t="s">
        <v>11807</v>
      </c>
      <c r="D414" s="17" t="s">
        <v>4124</v>
      </c>
      <c r="E414" s="17" t="s">
        <v>5364</v>
      </c>
      <c r="F414" s="18">
        <v>7002.81</v>
      </c>
      <c r="G414" s="18">
        <v>0</v>
      </c>
      <c r="H414" s="18">
        <v>1409636.23</v>
      </c>
    </row>
    <row r="415" spans="1:8">
      <c r="A415" s="15" t="s">
        <v>11808</v>
      </c>
      <c r="B415" s="16" t="s">
        <v>11809</v>
      </c>
      <c r="C415" s="16" t="s">
        <v>11809</v>
      </c>
      <c r="D415" s="17" t="s">
        <v>11810</v>
      </c>
      <c r="E415" s="17" t="s">
        <v>5365</v>
      </c>
      <c r="F415" s="18">
        <v>16250</v>
      </c>
      <c r="G415" s="18">
        <v>0</v>
      </c>
      <c r="H415" s="18">
        <v>1393386.23</v>
      </c>
    </row>
    <row r="416" spans="1:8">
      <c r="A416" s="15" t="s">
        <v>11599</v>
      </c>
      <c r="B416" s="16" t="s">
        <v>12211</v>
      </c>
      <c r="C416" s="16" t="s">
        <v>12211</v>
      </c>
      <c r="D416" s="17" t="s">
        <v>4124</v>
      </c>
      <c r="E416" s="17" t="s">
        <v>5366</v>
      </c>
      <c r="F416" s="18">
        <v>245417</v>
      </c>
      <c r="G416" s="18">
        <v>0</v>
      </c>
      <c r="H416" s="18">
        <v>1147969.23</v>
      </c>
    </row>
    <row r="417" spans="1:8">
      <c r="A417" s="15" t="s">
        <v>11498</v>
      </c>
      <c r="B417" s="16" t="s">
        <v>12212</v>
      </c>
      <c r="C417" s="16" t="s">
        <v>12212</v>
      </c>
      <c r="D417" s="17" t="s">
        <v>4124</v>
      </c>
      <c r="E417" s="17" t="s">
        <v>5367</v>
      </c>
      <c r="F417" s="18">
        <v>0</v>
      </c>
      <c r="G417" s="18">
        <v>121397</v>
      </c>
      <c r="H417" s="18">
        <v>1269366.23</v>
      </c>
    </row>
    <row r="418" spans="1:8">
      <c r="A418" s="15" t="s">
        <v>11936</v>
      </c>
      <c r="B418" s="16" t="s">
        <v>12213</v>
      </c>
      <c r="C418" s="16" t="s">
        <v>12213</v>
      </c>
      <c r="D418" s="17" t="s">
        <v>4124</v>
      </c>
      <c r="E418" s="17" t="s">
        <v>5368</v>
      </c>
      <c r="F418" s="18">
        <v>0</v>
      </c>
      <c r="G418" s="18">
        <v>155768</v>
      </c>
      <c r="H418" s="18">
        <v>1425134.23</v>
      </c>
    </row>
    <row r="419" spans="1:8">
      <c r="A419" s="15" t="s">
        <v>11500</v>
      </c>
      <c r="B419" s="16" t="s">
        <v>12214</v>
      </c>
      <c r="C419" s="16" t="s">
        <v>12214</v>
      </c>
      <c r="D419" s="17" t="s">
        <v>12215</v>
      </c>
      <c r="E419" s="17" t="s">
        <v>3251</v>
      </c>
      <c r="F419" s="18">
        <v>20000</v>
      </c>
      <c r="G419" s="18">
        <v>0</v>
      </c>
      <c r="H419" s="18">
        <v>1405134.23</v>
      </c>
    </row>
    <row r="420" spans="1:8">
      <c r="A420" s="15" t="s">
        <v>11689</v>
      </c>
      <c r="B420" s="16" t="s">
        <v>12216</v>
      </c>
      <c r="C420" s="16" t="s">
        <v>12216</v>
      </c>
      <c r="D420" s="17" t="s">
        <v>4124</v>
      </c>
      <c r="E420" s="17" t="s">
        <v>5369</v>
      </c>
      <c r="F420" s="18">
        <v>9577.81</v>
      </c>
      <c r="G420" s="18">
        <v>0</v>
      </c>
      <c r="H420" s="18">
        <v>1395556.42</v>
      </c>
    </row>
    <row r="421" spans="1:8">
      <c r="A421" s="15" t="s">
        <v>11811</v>
      </c>
      <c r="B421" s="16" t="s">
        <v>11812</v>
      </c>
      <c r="C421" s="16" t="s">
        <v>11812</v>
      </c>
      <c r="D421" s="17" t="s">
        <v>4124</v>
      </c>
      <c r="E421" s="17" t="s">
        <v>5370</v>
      </c>
      <c r="F421" s="18">
        <v>2105.29</v>
      </c>
      <c r="G421" s="18">
        <v>0</v>
      </c>
      <c r="H421" s="18">
        <v>1393451.13</v>
      </c>
    </row>
    <row r="422" spans="1:8">
      <c r="A422" s="15" t="s">
        <v>11603</v>
      </c>
      <c r="B422" s="16" t="s">
        <v>11813</v>
      </c>
      <c r="C422" s="16" t="s">
        <v>11813</v>
      </c>
      <c r="D422" s="17" t="s">
        <v>4124</v>
      </c>
      <c r="E422" s="17" t="s">
        <v>1891</v>
      </c>
      <c r="F422" s="18">
        <v>5000</v>
      </c>
      <c r="G422" s="18">
        <v>0</v>
      </c>
      <c r="H422" s="18">
        <v>1388451.13</v>
      </c>
    </row>
    <row r="423" spans="1:8">
      <c r="A423" s="15" t="s">
        <v>11605</v>
      </c>
      <c r="B423" s="16" t="s">
        <v>11814</v>
      </c>
      <c r="C423" s="16" t="s">
        <v>11814</v>
      </c>
      <c r="D423" s="17" t="s">
        <v>4124</v>
      </c>
      <c r="E423" s="17" t="s">
        <v>5371</v>
      </c>
      <c r="F423" s="18">
        <v>20864</v>
      </c>
      <c r="G423" s="18">
        <v>0</v>
      </c>
      <c r="H423" s="18">
        <v>1367587.13</v>
      </c>
    </row>
    <row r="424" spans="1:8">
      <c r="A424" s="15" t="s">
        <v>11502</v>
      </c>
      <c r="B424" s="16" t="s">
        <v>12217</v>
      </c>
      <c r="C424" s="16" t="s">
        <v>12217</v>
      </c>
      <c r="D424" s="17" t="s">
        <v>12218</v>
      </c>
      <c r="E424" s="17" t="s">
        <v>1809</v>
      </c>
      <c r="F424" s="18">
        <v>639349</v>
      </c>
      <c r="G424" s="18">
        <v>0</v>
      </c>
      <c r="H424" s="18">
        <v>728238.13</v>
      </c>
    </row>
    <row r="425" spans="1:8">
      <c r="A425" s="15" t="s">
        <v>11608</v>
      </c>
      <c r="B425" s="16" t="s">
        <v>12219</v>
      </c>
      <c r="C425" s="16" t="s">
        <v>12219</v>
      </c>
      <c r="D425" s="17" t="s">
        <v>4124</v>
      </c>
      <c r="E425" s="17" t="s">
        <v>5372</v>
      </c>
      <c r="F425" s="18">
        <v>0</v>
      </c>
      <c r="G425" s="18">
        <v>521.65</v>
      </c>
      <c r="H425" s="18">
        <v>728759.78</v>
      </c>
    </row>
    <row r="426" spans="1:8">
      <c r="A426" s="15" t="s">
        <v>11609</v>
      </c>
      <c r="B426" s="16" t="s">
        <v>12220</v>
      </c>
      <c r="C426" s="16" t="s">
        <v>12220</v>
      </c>
      <c r="D426" s="17" t="s">
        <v>4124</v>
      </c>
      <c r="E426" s="17" t="s">
        <v>5373</v>
      </c>
      <c r="F426" s="18">
        <v>0</v>
      </c>
      <c r="G426" s="18">
        <v>140462</v>
      </c>
      <c r="H426" s="18">
        <v>869221.78</v>
      </c>
    </row>
    <row r="427" spans="1:8">
      <c r="A427" s="15" t="s">
        <v>11504</v>
      </c>
      <c r="B427" s="16" t="s">
        <v>11815</v>
      </c>
      <c r="C427" s="16" t="s">
        <v>11815</v>
      </c>
      <c r="D427" s="17" t="s">
        <v>4124</v>
      </c>
      <c r="E427" s="17" t="s">
        <v>5374</v>
      </c>
      <c r="F427" s="18">
        <v>1386</v>
      </c>
      <c r="G427" s="18">
        <v>0</v>
      </c>
      <c r="H427" s="18">
        <v>867835.78</v>
      </c>
    </row>
    <row r="428" spans="1:8">
      <c r="A428" s="15" t="s">
        <v>11695</v>
      </c>
      <c r="B428" s="16" t="s">
        <v>12221</v>
      </c>
      <c r="C428" s="16" t="s">
        <v>12221</v>
      </c>
      <c r="D428" s="17" t="s">
        <v>4124</v>
      </c>
      <c r="E428" s="17" t="s">
        <v>5375</v>
      </c>
      <c r="F428" s="18">
        <v>9040.81</v>
      </c>
      <c r="G428" s="18">
        <v>0</v>
      </c>
      <c r="H428" s="18">
        <v>858794.97</v>
      </c>
    </row>
    <row r="429" spans="1:8">
      <c r="A429" s="15" t="s">
        <v>11697</v>
      </c>
      <c r="B429" s="16" t="s">
        <v>11816</v>
      </c>
      <c r="C429" s="16" t="s">
        <v>11816</v>
      </c>
      <c r="D429" s="17" t="s">
        <v>4124</v>
      </c>
      <c r="E429" s="17" t="s">
        <v>5376</v>
      </c>
      <c r="F429" s="18">
        <v>12157.56</v>
      </c>
      <c r="G429" s="18">
        <v>0</v>
      </c>
      <c r="H429" s="18">
        <v>846637.41</v>
      </c>
    </row>
    <row r="430" spans="1:8">
      <c r="A430" s="15" t="s">
        <v>11507</v>
      </c>
      <c r="B430" s="16" t="s">
        <v>11817</v>
      </c>
      <c r="C430" s="16" t="s">
        <v>11818</v>
      </c>
      <c r="D430" s="17" t="s">
        <v>4124</v>
      </c>
      <c r="E430" s="17" t="s">
        <v>1903</v>
      </c>
      <c r="F430" s="18">
        <v>5000</v>
      </c>
      <c r="G430" s="18">
        <v>0</v>
      </c>
      <c r="H430" s="18">
        <v>841637.41</v>
      </c>
    </row>
    <row r="431" spans="1:8">
      <c r="A431" s="15" t="s">
        <v>11509</v>
      </c>
      <c r="B431" s="16" t="s">
        <v>11819</v>
      </c>
      <c r="C431" s="16" t="s">
        <v>11819</v>
      </c>
      <c r="D431" s="17" t="s">
        <v>4124</v>
      </c>
      <c r="E431" s="17" t="s">
        <v>5377</v>
      </c>
      <c r="F431" s="18">
        <v>1110</v>
      </c>
      <c r="G431" s="18">
        <v>0</v>
      </c>
      <c r="H431" s="18">
        <v>840527.41</v>
      </c>
    </row>
    <row r="432" spans="1:8">
      <c r="A432" s="15" t="s">
        <v>11511</v>
      </c>
      <c r="B432" s="16" t="s">
        <v>11820</v>
      </c>
      <c r="C432" s="16" t="s">
        <v>11820</v>
      </c>
      <c r="D432" s="17" t="s">
        <v>4124</v>
      </c>
      <c r="E432" s="17" t="s">
        <v>5378</v>
      </c>
      <c r="F432" s="18">
        <v>2573</v>
      </c>
      <c r="G432" s="18">
        <v>0</v>
      </c>
      <c r="H432" s="18">
        <v>837954.41</v>
      </c>
    </row>
    <row r="433" spans="1:8">
      <c r="A433" s="15" t="s">
        <v>11514</v>
      </c>
      <c r="B433" s="16" t="s">
        <v>12222</v>
      </c>
      <c r="C433" s="16" t="s">
        <v>12222</v>
      </c>
      <c r="D433" s="17" t="s">
        <v>4124</v>
      </c>
      <c r="E433" s="17" t="s">
        <v>5379</v>
      </c>
      <c r="F433" s="18">
        <v>0</v>
      </c>
      <c r="G433" s="18">
        <v>132753</v>
      </c>
      <c r="H433" s="18">
        <v>970707.41</v>
      </c>
    </row>
    <row r="434" spans="1:8">
      <c r="A434" s="15" t="s">
        <v>11516</v>
      </c>
      <c r="B434" s="16" t="s">
        <v>11821</v>
      </c>
      <c r="C434" s="16" t="s">
        <v>11821</v>
      </c>
      <c r="D434" s="17" t="s">
        <v>4124</v>
      </c>
      <c r="E434" s="17" t="s">
        <v>5380</v>
      </c>
      <c r="F434" s="18">
        <v>7814</v>
      </c>
      <c r="G434" s="18">
        <v>0</v>
      </c>
      <c r="H434" s="18">
        <v>962893.41</v>
      </c>
    </row>
    <row r="435" spans="1:8">
      <c r="A435" s="15" t="s">
        <v>11822</v>
      </c>
      <c r="B435" s="16" t="s">
        <v>11823</v>
      </c>
      <c r="C435" s="16" t="s">
        <v>11823</v>
      </c>
      <c r="D435" s="17" t="s">
        <v>4124</v>
      </c>
      <c r="E435" s="17" t="s">
        <v>1917</v>
      </c>
      <c r="F435" s="18">
        <v>5000</v>
      </c>
      <c r="G435" s="18">
        <v>0</v>
      </c>
      <c r="H435" s="18">
        <v>957893.41</v>
      </c>
    </row>
    <row r="436" spans="1:8">
      <c r="A436" s="15" t="s">
        <v>11517</v>
      </c>
      <c r="B436" s="16" t="s">
        <v>11824</v>
      </c>
      <c r="C436" s="16" t="s">
        <v>11824</v>
      </c>
      <c r="D436" s="17" t="s">
        <v>4124</v>
      </c>
      <c r="E436" s="17" t="s">
        <v>5381</v>
      </c>
      <c r="F436" s="18">
        <v>10000</v>
      </c>
      <c r="G436" s="18">
        <v>0</v>
      </c>
      <c r="H436" s="18">
        <v>947893.41</v>
      </c>
    </row>
    <row r="437" spans="1:8">
      <c r="A437" s="15" t="s">
        <v>11825</v>
      </c>
      <c r="B437" s="16" t="s">
        <v>11824</v>
      </c>
      <c r="C437" s="16" t="s">
        <v>11824</v>
      </c>
      <c r="D437" s="17" t="s">
        <v>4124</v>
      </c>
      <c r="E437" s="17" t="s">
        <v>5381</v>
      </c>
      <c r="F437" s="18">
        <v>5000</v>
      </c>
      <c r="G437" s="18">
        <v>0</v>
      </c>
      <c r="H437" s="18">
        <v>942893.41</v>
      </c>
    </row>
    <row r="438" spans="1:8">
      <c r="A438" s="15" t="s">
        <v>11615</v>
      </c>
      <c r="B438" s="16" t="s">
        <v>11826</v>
      </c>
      <c r="C438" s="16" t="s">
        <v>11826</v>
      </c>
      <c r="D438" s="17" t="s">
        <v>11827</v>
      </c>
      <c r="E438" s="17" t="s">
        <v>1553</v>
      </c>
      <c r="F438" s="18">
        <v>5000</v>
      </c>
      <c r="G438" s="18">
        <v>0</v>
      </c>
      <c r="H438" s="18">
        <v>937893.41</v>
      </c>
    </row>
    <row r="439" spans="1:8">
      <c r="A439" s="15" t="s">
        <v>11618</v>
      </c>
      <c r="B439" s="16" t="s">
        <v>12223</v>
      </c>
      <c r="C439" s="16" t="s">
        <v>12224</v>
      </c>
      <c r="D439" s="17" t="s">
        <v>4124</v>
      </c>
      <c r="E439" s="17" t="s">
        <v>5382</v>
      </c>
      <c r="F439" s="18">
        <v>143923.79</v>
      </c>
      <c r="G439" s="18">
        <v>0</v>
      </c>
      <c r="H439" s="18">
        <v>793969.62</v>
      </c>
    </row>
    <row r="440" spans="1:8">
      <c r="A440" s="15" t="s">
        <v>11621</v>
      </c>
      <c r="B440" s="16" t="s">
        <v>12225</v>
      </c>
      <c r="C440" s="16" t="s">
        <v>12225</v>
      </c>
      <c r="D440" s="17" t="s">
        <v>4124</v>
      </c>
      <c r="E440" s="17" t="s">
        <v>5383</v>
      </c>
      <c r="F440" s="18">
        <v>0</v>
      </c>
      <c r="G440" s="18">
        <v>156194</v>
      </c>
      <c r="H440" s="18">
        <v>950163.62</v>
      </c>
    </row>
    <row r="441" spans="1:8">
      <c r="A441" s="15" t="s">
        <v>11519</v>
      </c>
      <c r="B441" s="16" t="s">
        <v>11828</v>
      </c>
      <c r="C441" s="16" t="s">
        <v>11828</v>
      </c>
      <c r="D441" s="17" t="s">
        <v>4124</v>
      </c>
      <c r="E441" s="17" t="s">
        <v>1925</v>
      </c>
      <c r="F441" s="18">
        <v>10000</v>
      </c>
      <c r="G441" s="18">
        <v>0</v>
      </c>
      <c r="H441" s="18">
        <v>940163.62</v>
      </c>
    </row>
    <row r="442" spans="1:8">
      <c r="A442" s="15" t="s">
        <v>11521</v>
      </c>
      <c r="B442" s="16" t="s">
        <v>12226</v>
      </c>
      <c r="C442" s="16" t="s">
        <v>12226</v>
      </c>
      <c r="D442" s="17" t="s">
        <v>4124</v>
      </c>
      <c r="E442" s="17" t="s">
        <v>5384</v>
      </c>
      <c r="F442" s="18">
        <v>0</v>
      </c>
      <c r="G442" s="18">
        <v>16497</v>
      </c>
      <c r="H442" s="18">
        <v>956660.62</v>
      </c>
    </row>
    <row r="443" spans="1:8">
      <c r="A443" s="15" t="s">
        <v>11522</v>
      </c>
      <c r="B443" s="16" t="s">
        <v>11829</v>
      </c>
      <c r="C443" s="16" t="s">
        <v>11829</v>
      </c>
      <c r="D443" s="17" t="s">
        <v>4124</v>
      </c>
      <c r="E443" s="17" t="s">
        <v>5385</v>
      </c>
      <c r="F443" s="18">
        <v>22373</v>
      </c>
      <c r="G443" s="18">
        <v>0</v>
      </c>
      <c r="H443" s="18">
        <v>934287.62</v>
      </c>
    </row>
    <row r="444" spans="1:8">
      <c r="A444" s="15" t="s">
        <v>11623</v>
      </c>
      <c r="B444" s="16" t="s">
        <v>11830</v>
      </c>
      <c r="C444" s="16" t="s">
        <v>11830</v>
      </c>
      <c r="D444" s="17" t="s">
        <v>4124</v>
      </c>
      <c r="E444" s="17" t="s">
        <v>5386</v>
      </c>
      <c r="F444" s="18">
        <v>836.94</v>
      </c>
      <c r="G444" s="18">
        <v>0</v>
      </c>
      <c r="H444" s="18">
        <v>933450.68</v>
      </c>
    </row>
    <row r="445" spans="1:8">
      <c r="A445" s="15" t="s">
        <v>11523</v>
      </c>
      <c r="B445" s="16" t="s">
        <v>11831</v>
      </c>
      <c r="C445" s="16" t="s">
        <v>11831</v>
      </c>
      <c r="D445" s="17" t="s">
        <v>4124</v>
      </c>
      <c r="E445" s="17" t="s">
        <v>5387</v>
      </c>
      <c r="F445" s="18">
        <v>5000</v>
      </c>
      <c r="G445" s="18">
        <v>0</v>
      </c>
      <c r="H445" s="18">
        <v>928450.68</v>
      </c>
    </row>
    <row r="446" spans="1:8">
      <c r="A446" s="15" t="s">
        <v>11627</v>
      </c>
      <c r="B446" s="16" t="s">
        <v>11831</v>
      </c>
      <c r="C446" s="16" t="s">
        <v>11831</v>
      </c>
      <c r="D446" s="17" t="s">
        <v>4124</v>
      </c>
      <c r="E446" s="17" t="s">
        <v>5387</v>
      </c>
      <c r="F446" s="18">
        <v>5000</v>
      </c>
      <c r="G446" s="18">
        <v>0</v>
      </c>
      <c r="H446" s="18">
        <v>923450.68</v>
      </c>
    </row>
    <row r="447" spans="1:8">
      <c r="A447" s="15" t="s">
        <v>11704</v>
      </c>
      <c r="B447" s="16" t="s">
        <v>11832</v>
      </c>
      <c r="C447" s="16" t="s">
        <v>11832</v>
      </c>
      <c r="D447" s="17" t="s">
        <v>4124</v>
      </c>
      <c r="E447" s="17" t="s">
        <v>5388</v>
      </c>
      <c r="F447" s="18">
        <v>435</v>
      </c>
      <c r="G447" s="18">
        <v>0</v>
      </c>
      <c r="H447" s="18">
        <v>923015.68000000005</v>
      </c>
    </row>
    <row r="448" spans="1:8">
      <c r="A448" s="15" t="s">
        <v>11525</v>
      </c>
      <c r="B448" s="16" t="s">
        <v>11832</v>
      </c>
      <c r="C448" s="16" t="s">
        <v>11832</v>
      </c>
      <c r="D448" s="17" t="s">
        <v>4124</v>
      </c>
      <c r="E448" s="17" t="s">
        <v>3781</v>
      </c>
      <c r="F448" s="18">
        <v>0</v>
      </c>
      <c r="G448" s="18">
        <v>152895</v>
      </c>
      <c r="H448" s="18">
        <v>1075910.68</v>
      </c>
    </row>
    <row r="449" spans="1:8">
      <c r="A449" s="15" t="s">
        <v>11706</v>
      </c>
      <c r="B449" s="16" t="s">
        <v>11833</v>
      </c>
      <c r="C449" s="16" t="s">
        <v>11833</v>
      </c>
      <c r="D449" s="17" t="s">
        <v>4124</v>
      </c>
      <c r="E449" s="17" t="s">
        <v>5389</v>
      </c>
      <c r="F449" s="18">
        <v>435</v>
      </c>
      <c r="G449" s="18">
        <v>0</v>
      </c>
      <c r="H449" s="18">
        <v>1075475.68</v>
      </c>
    </row>
    <row r="450" spans="1:8">
      <c r="A450" s="15" t="s">
        <v>11528</v>
      </c>
      <c r="B450" s="16" t="s">
        <v>12227</v>
      </c>
      <c r="C450" s="16" t="s">
        <v>12227</v>
      </c>
      <c r="D450" s="17" t="s">
        <v>4124</v>
      </c>
      <c r="E450" s="17" t="s">
        <v>1936</v>
      </c>
      <c r="F450" s="18">
        <v>0</v>
      </c>
      <c r="G450" s="18">
        <v>156194</v>
      </c>
      <c r="H450" s="18">
        <v>1231669.68</v>
      </c>
    </row>
    <row r="451" spans="1:8">
      <c r="A451" s="15" t="s">
        <v>11834</v>
      </c>
      <c r="B451" s="16" t="s">
        <v>11835</v>
      </c>
      <c r="C451" s="16" t="s">
        <v>11835</v>
      </c>
      <c r="D451" s="17" t="s">
        <v>4124</v>
      </c>
      <c r="E451" s="17" t="s">
        <v>5390</v>
      </c>
      <c r="F451" s="18">
        <v>1281</v>
      </c>
      <c r="G451" s="18">
        <v>0</v>
      </c>
      <c r="H451" s="18">
        <v>1230388.68</v>
      </c>
    </row>
    <row r="452" spans="1:8">
      <c r="A452" s="15" t="s">
        <v>11530</v>
      </c>
      <c r="B452" s="16" t="s">
        <v>11836</v>
      </c>
      <c r="C452" s="16" t="s">
        <v>11836</v>
      </c>
      <c r="D452" s="17" t="s">
        <v>4124</v>
      </c>
      <c r="E452" s="17" t="s">
        <v>5391</v>
      </c>
      <c r="F452" s="18">
        <v>1281</v>
      </c>
      <c r="G452" s="18">
        <v>0</v>
      </c>
      <c r="H452" s="18">
        <v>1229107.68</v>
      </c>
    </row>
    <row r="453" spans="1:8">
      <c r="A453" s="15" t="s">
        <v>11532</v>
      </c>
      <c r="B453" s="16" t="s">
        <v>11836</v>
      </c>
      <c r="C453" s="16" t="s">
        <v>11836</v>
      </c>
      <c r="D453" s="17" t="s">
        <v>4124</v>
      </c>
      <c r="E453" s="17" t="s">
        <v>5392</v>
      </c>
      <c r="F453" s="18">
        <v>300028.09000000003</v>
      </c>
      <c r="G453" s="18">
        <v>0</v>
      </c>
      <c r="H453" s="18">
        <v>929079.59</v>
      </c>
    </row>
    <row r="454" spans="1:8">
      <c r="A454" s="15" t="s">
        <v>11633</v>
      </c>
      <c r="B454" s="16" t="s">
        <v>11836</v>
      </c>
      <c r="C454" s="16" t="s">
        <v>11836</v>
      </c>
      <c r="D454" s="17" t="s">
        <v>4124</v>
      </c>
      <c r="E454" s="17" t="s">
        <v>5393</v>
      </c>
      <c r="F454" s="18">
        <v>9187</v>
      </c>
      <c r="G454" s="18">
        <v>0</v>
      </c>
      <c r="H454" s="18">
        <v>919892.59</v>
      </c>
    </row>
    <row r="455" spans="1:8">
      <c r="A455" s="15" t="s">
        <v>11636</v>
      </c>
      <c r="B455" s="16" t="s">
        <v>12228</v>
      </c>
      <c r="C455" s="16" t="s">
        <v>12228</v>
      </c>
      <c r="D455" s="17" t="s">
        <v>4124</v>
      </c>
      <c r="E455" s="17" t="s">
        <v>5394</v>
      </c>
      <c r="F455" s="18">
        <v>4331.0600000000004</v>
      </c>
      <c r="G455" s="18">
        <v>0</v>
      </c>
      <c r="H455" s="18">
        <v>915561.53</v>
      </c>
    </row>
    <row r="456" spans="1:8">
      <c r="A456" s="15" t="s">
        <v>11638</v>
      </c>
      <c r="B456" s="16" t="s">
        <v>11837</v>
      </c>
      <c r="C456" s="16" t="s">
        <v>11837</v>
      </c>
      <c r="D456" s="17" t="s">
        <v>11838</v>
      </c>
      <c r="E456" s="17" t="s">
        <v>5395</v>
      </c>
      <c r="F456" s="18">
        <v>2500</v>
      </c>
      <c r="G456" s="18">
        <v>0</v>
      </c>
      <c r="H456" s="18">
        <v>913061.53</v>
      </c>
    </row>
    <row r="457" spans="1:8">
      <c r="A457" s="15" t="s">
        <v>11533</v>
      </c>
      <c r="B457" s="16" t="s">
        <v>12229</v>
      </c>
      <c r="C457" s="16" t="s">
        <v>12229</v>
      </c>
      <c r="D457" s="17" t="s">
        <v>4124</v>
      </c>
      <c r="E457" s="17" t="s">
        <v>5396</v>
      </c>
      <c r="F457" s="18">
        <v>0</v>
      </c>
      <c r="G457" s="18">
        <v>5988</v>
      </c>
      <c r="H457" s="18">
        <v>919049.53</v>
      </c>
    </row>
    <row r="458" spans="1:8">
      <c r="A458" s="15" t="s">
        <v>11714</v>
      </c>
      <c r="B458" s="16" t="s">
        <v>12230</v>
      </c>
      <c r="C458" s="16" t="s">
        <v>12230</v>
      </c>
      <c r="D458" s="17" t="s">
        <v>4124</v>
      </c>
      <c r="E458" s="17" t="s">
        <v>5397</v>
      </c>
      <c r="F458" s="18">
        <v>8942.7000000000007</v>
      </c>
      <c r="G458" s="18">
        <v>0</v>
      </c>
      <c r="H458" s="18">
        <v>910106.83</v>
      </c>
    </row>
    <row r="459" spans="1:8">
      <c r="A459" s="15" t="s">
        <v>11536</v>
      </c>
      <c r="B459" s="16" t="s">
        <v>12230</v>
      </c>
      <c r="C459" s="16" t="s">
        <v>12230</v>
      </c>
      <c r="D459" s="17" t="s">
        <v>4124</v>
      </c>
      <c r="E459" s="17" t="s">
        <v>5398</v>
      </c>
      <c r="F459" s="18">
        <v>0</v>
      </c>
      <c r="G459" s="18">
        <v>195926</v>
      </c>
      <c r="H459" s="18">
        <v>1106032.83</v>
      </c>
    </row>
    <row r="460" spans="1:8">
      <c r="A460" s="15" t="s">
        <v>11839</v>
      </c>
      <c r="B460" s="16" t="s">
        <v>11840</v>
      </c>
      <c r="C460" s="16" t="s">
        <v>11840</v>
      </c>
      <c r="D460" s="17" t="s">
        <v>4124</v>
      </c>
      <c r="E460" s="17" t="s">
        <v>5399</v>
      </c>
      <c r="F460" s="18">
        <v>10000</v>
      </c>
      <c r="G460" s="18">
        <v>0</v>
      </c>
      <c r="H460" s="18">
        <v>1096032.83</v>
      </c>
    </row>
    <row r="461" spans="1:8">
      <c r="A461" s="15" t="s">
        <v>11640</v>
      </c>
      <c r="B461" s="16" t="s">
        <v>11841</v>
      </c>
      <c r="C461" s="16" t="s">
        <v>11841</v>
      </c>
      <c r="D461" s="17" t="s">
        <v>4124</v>
      </c>
      <c r="E461" s="17" t="s">
        <v>5400</v>
      </c>
      <c r="F461" s="18">
        <v>5298</v>
      </c>
      <c r="G461" s="18">
        <v>0</v>
      </c>
      <c r="H461" s="18">
        <v>1090734.83</v>
      </c>
    </row>
    <row r="462" spans="1:8">
      <c r="A462" s="15" t="s">
        <v>11538</v>
      </c>
      <c r="B462" s="16" t="s">
        <v>11842</v>
      </c>
      <c r="C462" s="16" t="s">
        <v>11842</v>
      </c>
      <c r="D462" s="17" t="s">
        <v>4124</v>
      </c>
      <c r="E462" s="17" t="s">
        <v>5401</v>
      </c>
      <c r="F462" s="18">
        <v>10000</v>
      </c>
      <c r="G462" s="18">
        <v>0</v>
      </c>
      <c r="H462" s="18">
        <v>1080734.83</v>
      </c>
    </row>
    <row r="463" spans="1:8">
      <c r="A463" s="15" t="s">
        <v>11642</v>
      </c>
      <c r="B463" s="16" t="s">
        <v>11843</v>
      </c>
      <c r="C463" s="16" t="s">
        <v>11843</v>
      </c>
      <c r="D463" s="17" t="s">
        <v>4124</v>
      </c>
      <c r="E463" s="17" t="s">
        <v>5402</v>
      </c>
      <c r="F463" s="18">
        <v>1110</v>
      </c>
      <c r="G463" s="18">
        <v>0</v>
      </c>
      <c r="H463" s="18">
        <v>1079624.83</v>
      </c>
    </row>
    <row r="464" spans="1:8">
      <c r="A464" s="15" t="s">
        <v>11645</v>
      </c>
      <c r="B464" s="16" t="s">
        <v>12231</v>
      </c>
      <c r="C464" s="16" t="s">
        <v>12231</v>
      </c>
      <c r="D464" s="17" t="s">
        <v>4124</v>
      </c>
      <c r="E464" s="17" t="s">
        <v>5403</v>
      </c>
      <c r="F464" s="18">
        <v>0</v>
      </c>
      <c r="G464" s="18">
        <v>1996.8</v>
      </c>
      <c r="H464" s="18">
        <v>1081621.6299999999</v>
      </c>
    </row>
    <row r="465" spans="1:8">
      <c r="A465" s="15" t="s">
        <v>11718</v>
      </c>
      <c r="B465" s="16" t="s">
        <v>12232</v>
      </c>
      <c r="C465" s="16" t="s">
        <v>12232</v>
      </c>
      <c r="D465" s="17" t="s">
        <v>4124</v>
      </c>
      <c r="E465" s="17" t="s">
        <v>5404</v>
      </c>
      <c r="F465" s="18">
        <v>0</v>
      </c>
      <c r="G465" s="18">
        <v>162527</v>
      </c>
      <c r="H465" s="18">
        <v>1244148.6299999999</v>
      </c>
    </row>
    <row r="466" spans="1:8">
      <c r="A466" s="15" t="s">
        <v>11541</v>
      </c>
      <c r="B466" s="16" t="s">
        <v>11844</v>
      </c>
      <c r="C466" s="16" t="s">
        <v>11844</v>
      </c>
      <c r="D466" s="17" t="s">
        <v>4124</v>
      </c>
      <c r="E466" s="17" t="s">
        <v>5405</v>
      </c>
      <c r="F466" s="18">
        <v>5000</v>
      </c>
      <c r="G466" s="18">
        <v>0</v>
      </c>
      <c r="H466" s="18">
        <v>1239148.6299999999</v>
      </c>
    </row>
    <row r="467" spans="1:8">
      <c r="A467" s="15" t="s">
        <v>11543</v>
      </c>
      <c r="B467" s="16" t="s">
        <v>11845</v>
      </c>
      <c r="C467" s="16" t="s">
        <v>11845</v>
      </c>
      <c r="D467" s="17" t="s">
        <v>4124</v>
      </c>
      <c r="E467" s="17" t="s">
        <v>5406</v>
      </c>
      <c r="F467" s="18">
        <v>1132.44</v>
      </c>
      <c r="G467" s="18">
        <v>0</v>
      </c>
      <c r="H467" s="18">
        <v>1238016.19</v>
      </c>
    </row>
    <row r="468" spans="1:8">
      <c r="A468" s="15" t="s">
        <v>11720</v>
      </c>
      <c r="B468" s="16" t="s">
        <v>11846</v>
      </c>
      <c r="C468" s="16" t="s">
        <v>11846</v>
      </c>
      <c r="D468" s="17" t="s">
        <v>4124</v>
      </c>
      <c r="E468" s="17" t="s">
        <v>5407</v>
      </c>
      <c r="F468" s="18">
        <v>17837</v>
      </c>
      <c r="G468" s="18">
        <v>0</v>
      </c>
      <c r="H468" s="18">
        <v>1220179.19</v>
      </c>
    </row>
    <row r="469" spans="1:8">
      <c r="A469" s="15" t="s">
        <v>11648</v>
      </c>
      <c r="B469" s="16" t="s">
        <v>12233</v>
      </c>
      <c r="C469" s="16" t="s">
        <v>12233</v>
      </c>
      <c r="D469" s="17" t="s">
        <v>4124</v>
      </c>
      <c r="E469" s="17" t="s">
        <v>3781</v>
      </c>
      <c r="F469" s="18">
        <v>0</v>
      </c>
      <c r="G469" s="18">
        <v>2571</v>
      </c>
      <c r="H469" s="18">
        <v>1222750.19</v>
      </c>
    </row>
    <row r="470" spans="1:8">
      <c r="A470" s="15" t="s">
        <v>11546</v>
      </c>
      <c r="B470" s="16" t="s">
        <v>11847</v>
      </c>
      <c r="C470" s="16" t="s">
        <v>11847</v>
      </c>
      <c r="D470" s="17" t="s">
        <v>4124</v>
      </c>
      <c r="E470" s="17" t="s">
        <v>5408</v>
      </c>
      <c r="F470" s="18">
        <v>23640</v>
      </c>
      <c r="G470" s="18">
        <v>0</v>
      </c>
      <c r="H470" s="18">
        <v>1199110.19</v>
      </c>
    </row>
    <row r="471" spans="1:8">
      <c r="A471" s="15" t="s">
        <v>11651</v>
      </c>
      <c r="B471" s="16" t="s">
        <v>11847</v>
      </c>
      <c r="C471" s="16" t="s">
        <v>11847</v>
      </c>
      <c r="D471" s="17" t="s">
        <v>4124</v>
      </c>
      <c r="E471" s="17" t="s">
        <v>1980</v>
      </c>
      <c r="F471" s="18">
        <v>10000</v>
      </c>
      <c r="G471" s="18">
        <v>0</v>
      </c>
      <c r="H471" s="18">
        <v>1189110.19</v>
      </c>
    </row>
    <row r="472" spans="1:8">
      <c r="A472" s="15" t="s">
        <v>11653</v>
      </c>
      <c r="B472" s="16" t="s">
        <v>11848</v>
      </c>
      <c r="C472" s="16" t="s">
        <v>11848</v>
      </c>
      <c r="D472" s="17" t="s">
        <v>4124</v>
      </c>
      <c r="E472" s="17" t="s">
        <v>5409</v>
      </c>
      <c r="F472" s="18">
        <v>0</v>
      </c>
      <c r="G472" s="18">
        <v>156194</v>
      </c>
      <c r="H472" s="18">
        <v>1345304.19</v>
      </c>
    </row>
    <row r="473" spans="1:8">
      <c r="A473" s="15" t="s">
        <v>11654</v>
      </c>
      <c r="B473" s="16" t="s">
        <v>11848</v>
      </c>
      <c r="C473" s="16" t="s">
        <v>11848</v>
      </c>
      <c r="D473" s="17" t="s">
        <v>4124</v>
      </c>
      <c r="E473" s="17" t="s">
        <v>5410</v>
      </c>
      <c r="F473" s="18">
        <v>837.3</v>
      </c>
      <c r="G473" s="18">
        <v>0</v>
      </c>
      <c r="H473" s="18">
        <v>1344466.89</v>
      </c>
    </row>
    <row r="474" spans="1:8">
      <c r="A474" s="15" t="s">
        <v>11549</v>
      </c>
      <c r="B474" s="16" t="s">
        <v>11849</v>
      </c>
      <c r="C474" s="16" t="s">
        <v>11849</v>
      </c>
      <c r="D474" s="17" t="s">
        <v>4124</v>
      </c>
      <c r="E474" s="17" t="s">
        <v>5411</v>
      </c>
      <c r="F474" s="18">
        <v>1234</v>
      </c>
      <c r="G474" s="18">
        <v>0</v>
      </c>
      <c r="H474" s="18">
        <v>1343232.89</v>
      </c>
    </row>
    <row r="475" spans="1:8">
      <c r="A475" s="15" t="s">
        <v>11552</v>
      </c>
      <c r="B475" s="16" t="s">
        <v>12234</v>
      </c>
      <c r="C475" s="16" t="s">
        <v>12234</v>
      </c>
      <c r="D475" s="17" t="s">
        <v>4124</v>
      </c>
      <c r="E475" s="17" t="s">
        <v>5412</v>
      </c>
      <c r="F475" s="18">
        <v>0</v>
      </c>
      <c r="G475" s="18">
        <v>14124</v>
      </c>
      <c r="H475" s="18">
        <v>1357356.89</v>
      </c>
    </row>
    <row r="476" spans="1:8">
      <c r="A476" s="15" t="s">
        <v>11554</v>
      </c>
      <c r="B476" s="16" t="s">
        <v>12234</v>
      </c>
      <c r="C476" s="16" t="s">
        <v>12234</v>
      </c>
      <c r="D476" s="17" t="s">
        <v>4124</v>
      </c>
      <c r="E476" s="17" t="s">
        <v>1986</v>
      </c>
      <c r="F476" s="18">
        <v>0</v>
      </c>
      <c r="G476" s="18">
        <v>100</v>
      </c>
      <c r="H476" s="18">
        <v>1357456.89</v>
      </c>
    </row>
    <row r="477" spans="1:8">
      <c r="A477" s="15" t="s">
        <v>11657</v>
      </c>
      <c r="B477" s="16" t="s">
        <v>12235</v>
      </c>
      <c r="C477" s="16" t="s">
        <v>12235</v>
      </c>
      <c r="D477" s="17" t="s">
        <v>12236</v>
      </c>
      <c r="E477" s="17" t="s">
        <v>1809</v>
      </c>
      <c r="F477" s="18">
        <v>1007587</v>
      </c>
      <c r="G477" s="18">
        <v>0</v>
      </c>
      <c r="H477" s="18">
        <v>349869.89</v>
      </c>
    </row>
    <row r="478" spans="1:8">
      <c r="A478" s="15" t="s">
        <v>12062</v>
      </c>
      <c r="B478" s="16" t="s">
        <v>12237</v>
      </c>
      <c r="C478" s="16" t="s">
        <v>12237</v>
      </c>
      <c r="D478" s="17" t="s">
        <v>4124</v>
      </c>
      <c r="E478" s="17" t="s">
        <v>1987</v>
      </c>
      <c r="F478" s="18">
        <v>0</v>
      </c>
      <c r="G478" s="18">
        <v>150000</v>
      </c>
      <c r="H478" s="18">
        <v>499869.89</v>
      </c>
    </row>
    <row r="479" spans="1:8">
      <c r="A479" s="15" t="s">
        <v>11659</v>
      </c>
      <c r="B479" s="16" t="s">
        <v>11850</v>
      </c>
      <c r="C479" s="16" t="s">
        <v>11850</v>
      </c>
      <c r="D479" s="17" t="s">
        <v>4124</v>
      </c>
      <c r="E479" s="17" t="s">
        <v>5413</v>
      </c>
      <c r="F479" s="18">
        <v>27330.9</v>
      </c>
      <c r="G479" s="18">
        <v>0</v>
      </c>
      <c r="H479" s="18">
        <v>472538.99</v>
      </c>
    </row>
    <row r="480" spans="1:8">
      <c r="A480" s="15" t="s">
        <v>11661</v>
      </c>
      <c r="B480" s="16" t="s">
        <v>11851</v>
      </c>
      <c r="C480" s="16" t="s">
        <v>11851</v>
      </c>
      <c r="D480" s="17" t="s">
        <v>4124</v>
      </c>
      <c r="E480" s="17" t="s">
        <v>5414</v>
      </c>
      <c r="F480" s="18">
        <v>5000</v>
      </c>
      <c r="G480" s="18">
        <v>0</v>
      </c>
      <c r="H480" s="18">
        <v>467538.99</v>
      </c>
    </row>
    <row r="481" spans="1:8">
      <c r="A481" s="15" t="s">
        <v>11765</v>
      </c>
      <c r="B481" s="16" t="s">
        <v>12238</v>
      </c>
      <c r="C481" s="16" t="s">
        <v>12238</v>
      </c>
      <c r="D481" s="17" t="s">
        <v>4124</v>
      </c>
      <c r="E481" s="17" t="s">
        <v>1419</v>
      </c>
      <c r="F481" s="18">
        <v>0</v>
      </c>
      <c r="G481" s="18">
        <v>1619.2</v>
      </c>
      <c r="H481" s="18">
        <v>469158.19</v>
      </c>
    </row>
    <row r="482" spans="1:8">
      <c r="A482" s="15" t="s">
        <v>11556</v>
      </c>
      <c r="B482" s="16" t="s">
        <v>11852</v>
      </c>
      <c r="C482" s="16" t="s">
        <v>11853</v>
      </c>
      <c r="D482" s="17" t="s">
        <v>4124</v>
      </c>
      <c r="E482" s="17" t="s">
        <v>5415</v>
      </c>
      <c r="F482" s="18">
        <v>10000</v>
      </c>
      <c r="G482" s="18">
        <v>0</v>
      </c>
      <c r="H482" s="18">
        <v>459158.19</v>
      </c>
    </row>
    <row r="483" spans="1:8">
      <c r="A483" s="15" t="s">
        <v>11558</v>
      </c>
      <c r="B483" s="16" t="s">
        <v>12239</v>
      </c>
      <c r="C483" s="16" t="s">
        <v>12239</v>
      </c>
      <c r="D483" s="17" t="s">
        <v>4124</v>
      </c>
      <c r="E483" s="17" t="s">
        <v>5416</v>
      </c>
      <c r="F483" s="18">
        <v>0</v>
      </c>
      <c r="G483" s="18">
        <v>180610</v>
      </c>
      <c r="H483" s="18">
        <v>639768.18999999994</v>
      </c>
    </row>
    <row r="484" spans="1:8">
      <c r="A484" s="15" t="s">
        <v>11662</v>
      </c>
      <c r="B484" s="16" t="s">
        <v>11854</v>
      </c>
      <c r="C484" s="16" t="s">
        <v>11855</v>
      </c>
      <c r="D484" s="17" t="s">
        <v>4124</v>
      </c>
      <c r="E484" s="17" t="s">
        <v>2003</v>
      </c>
      <c r="F484" s="18">
        <v>10000</v>
      </c>
      <c r="G484" s="18">
        <v>0</v>
      </c>
      <c r="H484" s="18">
        <v>629768.18999999994</v>
      </c>
    </row>
    <row r="485" spans="1:8">
      <c r="A485" s="15" t="s">
        <v>11726</v>
      </c>
      <c r="B485" s="16" t="s">
        <v>11856</v>
      </c>
      <c r="C485" s="16" t="s">
        <v>11856</v>
      </c>
      <c r="D485" s="17" t="s">
        <v>4124</v>
      </c>
      <c r="E485" s="17" t="s">
        <v>5417</v>
      </c>
      <c r="F485" s="18">
        <v>1164.0999999999999</v>
      </c>
      <c r="G485" s="18">
        <v>0</v>
      </c>
      <c r="H485" s="18">
        <v>628604.09</v>
      </c>
    </row>
    <row r="486" spans="1:8">
      <c r="A486" s="15" t="s">
        <v>11561</v>
      </c>
      <c r="B486" s="16" t="s">
        <v>12240</v>
      </c>
      <c r="C486" s="16" t="s">
        <v>12240</v>
      </c>
      <c r="D486" s="17" t="s">
        <v>4124</v>
      </c>
      <c r="E486" s="17" t="s">
        <v>5418</v>
      </c>
      <c r="F486" s="18">
        <v>59138</v>
      </c>
      <c r="G486" s="18">
        <v>0</v>
      </c>
      <c r="H486" s="18">
        <v>569466.09</v>
      </c>
    </row>
    <row r="487" spans="1:8">
      <c r="A487" s="15" t="s">
        <v>11563</v>
      </c>
      <c r="B487" s="16" t="s">
        <v>11857</v>
      </c>
      <c r="C487" s="16" t="s">
        <v>11857</v>
      </c>
      <c r="D487" s="17" t="s">
        <v>4124</v>
      </c>
      <c r="E487" s="17" t="s">
        <v>2011</v>
      </c>
      <c r="F487" s="18">
        <v>5000</v>
      </c>
      <c r="G487" s="18">
        <v>0</v>
      </c>
      <c r="H487" s="18">
        <v>564466.09</v>
      </c>
    </row>
    <row r="488" spans="1:8">
      <c r="A488" s="15" t="s">
        <v>11565</v>
      </c>
      <c r="B488" s="16" t="s">
        <v>12241</v>
      </c>
      <c r="C488" s="16" t="s">
        <v>12241</v>
      </c>
      <c r="D488" s="17" t="s">
        <v>4124</v>
      </c>
      <c r="E488" s="17" t="s">
        <v>5419</v>
      </c>
      <c r="F488" s="18">
        <v>0</v>
      </c>
      <c r="G488" s="18">
        <v>159470</v>
      </c>
      <c r="H488" s="18">
        <v>723936.09</v>
      </c>
    </row>
    <row r="489" spans="1:8">
      <c r="A489" s="15" t="s">
        <v>11567</v>
      </c>
      <c r="B489" s="16" t="s">
        <v>12241</v>
      </c>
      <c r="C489" s="16" t="s">
        <v>12241</v>
      </c>
      <c r="D489" s="17" t="s">
        <v>4124</v>
      </c>
      <c r="E489" s="17" t="s">
        <v>5420</v>
      </c>
      <c r="F489" s="18">
        <v>0</v>
      </c>
      <c r="G489" s="18">
        <v>3139.2</v>
      </c>
      <c r="H489" s="18">
        <v>727075.29</v>
      </c>
    </row>
    <row r="490" spans="1:8">
      <c r="A490" s="15" t="s">
        <v>11667</v>
      </c>
      <c r="B490" s="16" t="s">
        <v>11858</v>
      </c>
      <c r="C490" s="16" t="s">
        <v>11858</v>
      </c>
      <c r="D490" s="17" t="s">
        <v>4124</v>
      </c>
      <c r="E490" s="17" t="s">
        <v>5421</v>
      </c>
      <c r="F490" s="18">
        <v>1290.21</v>
      </c>
      <c r="G490" s="18">
        <v>0</v>
      </c>
      <c r="H490" s="18">
        <v>725785.08</v>
      </c>
    </row>
    <row r="491" spans="1:8">
      <c r="A491" s="15" t="s">
        <v>11669</v>
      </c>
      <c r="B491" s="16" t="s">
        <v>11859</v>
      </c>
      <c r="C491" s="16" t="s">
        <v>11859</v>
      </c>
      <c r="D491" s="17" t="s">
        <v>11860</v>
      </c>
      <c r="E491" s="17" t="s">
        <v>5422</v>
      </c>
      <c r="F491" s="18">
        <v>125</v>
      </c>
      <c r="G491" s="18">
        <v>0</v>
      </c>
      <c r="H491" s="18">
        <v>725660.08</v>
      </c>
    </row>
    <row r="492" spans="1:8">
      <c r="A492" s="15" t="s">
        <v>11773</v>
      </c>
      <c r="B492" s="16" t="s">
        <v>12242</v>
      </c>
      <c r="C492" s="16" t="s">
        <v>12242</v>
      </c>
      <c r="D492" s="17" t="s">
        <v>4124</v>
      </c>
      <c r="E492" s="17" t="s">
        <v>5423</v>
      </c>
      <c r="F492" s="18">
        <v>0</v>
      </c>
      <c r="G492" s="18">
        <v>5886.78</v>
      </c>
      <c r="H492" s="18">
        <v>731546.86</v>
      </c>
    </row>
    <row r="493" spans="1:8">
      <c r="A493" s="15" t="s">
        <v>11774</v>
      </c>
      <c r="B493" s="16" t="s">
        <v>11861</v>
      </c>
      <c r="C493" s="16" t="s">
        <v>11861</v>
      </c>
      <c r="D493" s="17" t="s">
        <v>11862</v>
      </c>
      <c r="E493" s="17" t="s">
        <v>5424</v>
      </c>
      <c r="F493" s="18">
        <v>3000</v>
      </c>
      <c r="G493" s="18">
        <v>0</v>
      </c>
      <c r="H493" s="18">
        <v>728546.86</v>
      </c>
    </row>
    <row r="494" spans="1:8">
      <c r="A494" s="15" t="s">
        <v>11568</v>
      </c>
      <c r="B494" s="16" t="s">
        <v>12243</v>
      </c>
      <c r="C494" s="16" t="s">
        <v>12243</v>
      </c>
      <c r="D494" s="17" t="s">
        <v>4124</v>
      </c>
      <c r="E494" s="17" t="s">
        <v>5425</v>
      </c>
      <c r="F494" s="18">
        <v>7002.81</v>
      </c>
      <c r="G494" s="18">
        <v>0</v>
      </c>
      <c r="H494" s="18">
        <v>721544.05</v>
      </c>
    </row>
    <row r="495" spans="1:8">
      <c r="A495" s="15" t="s">
        <v>11570</v>
      </c>
      <c r="B495" s="16" t="s">
        <v>11863</v>
      </c>
      <c r="C495" s="16" t="s">
        <v>11863</v>
      </c>
      <c r="D495" s="17" t="s">
        <v>4124</v>
      </c>
      <c r="E495" s="17" t="s">
        <v>5426</v>
      </c>
      <c r="F495" s="18">
        <v>5000</v>
      </c>
      <c r="G495" s="18">
        <v>0</v>
      </c>
      <c r="H495" s="18">
        <v>716544.05</v>
      </c>
    </row>
    <row r="496" spans="1:8">
      <c r="A496" s="15" t="s">
        <v>11670</v>
      </c>
      <c r="B496" s="16" t="s">
        <v>11864</v>
      </c>
      <c r="C496" s="16" t="s">
        <v>11864</v>
      </c>
      <c r="D496" s="17" t="s">
        <v>4124</v>
      </c>
      <c r="E496" s="17" t="s">
        <v>5427</v>
      </c>
      <c r="F496" s="18">
        <v>0</v>
      </c>
      <c r="G496" s="18">
        <v>162090</v>
      </c>
      <c r="H496" s="18">
        <v>878634.05</v>
      </c>
    </row>
    <row r="497" spans="1:8">
      <c r="A497" s="15" t="s">
        <v>11572</v>
      </c>
      <c r="B497" s="16" t="s">
        <v>11864</v>
      </c>
      <c r="C497" s="16" t="s">
        <v>11864</v>
      </c>
      <c r="D497" s="17" t="s">
        <v>4124</v>
      </c>
      <c r="E497" s="17" t="s">
        <v>2028</v>
      </c>
      <c r="F497" s="18">
        <v>5000</v>
      </c>
      <c r="G497" s="18">
        <v>0</v>
      </c>
      <c r="H497" s="18">
        <v>873634.05</v>
      </c>
    </row>
    <row r="498" spans="1:8">
      <c r="A498" s="15" t="s">
        <v>11588</v>
      </c>
      <c r="B498" s="16" t="s">
        <v>11865</v>
      </c>
      <c r="C498" s="16" t="s">
        <v>11865</v>
      </c>
      <c r="D498" s="17" t="s">
        <v>4124</v>
      </c>
      <c r="E498" s="17" t="s">
        <v>5413</v>
      </c>
      <c r="F498" s="18">
        <v>24639.18</v>
      </c>
      <c r="G498" s="18">
        <v>0</v>
      </c>
      <c r="H498" s="18">
        <v>848994.87</v>
      </c>
    </row>
    <row r="499" spans="1:8">
      <c r="A499" s="15" t="s">
        <v>11483</v>
      </c>
      <c r="B499" s="16" t="s">
        <v>11866</v>
      </c>
      <c r="C499" s="16" t="s">
        <v>11866</v>
      </c>
      <c r="D499" s="17" t="s">
        <v>4124</v>
      </c>
      <c r="E499" s="17" t="s">
        <v>5428</v>
      </c>
      <c r="F499" s="18">
        <v>3210</v>
      </c>
      <c r="G499" s="18">
        <v>0</v>
      </c>
      <c r="H499" s="18">
        <v>845784.87</v>
      </c>
    </row>
    <row r="500" spans="1:8">
      <c r="A500" s="15" t="s">
        <v>11486</v>
      </c>
      <c r="B500" s="16" t="s">
        <v>11866</v>
      </c>
      <c r="C500" s="16" t="s">
        <v>11866</v>
      </c>
      <c r="D500" s="17" t="s">
        <v>4124</v>
      </c>
      <c r="E500" s="17" t="s">
        <v>5429</v>
      </c>
      <c r="F500" s="18">
        <v>1243.42</v>
      </c>
      <c r="G500" s="18">
        <v>0</v>
      </c>
      <c r="H500" s="18">
        <v>844541.45</v>
      </c>
    </row>
    <row r="501" spans="1:8">
      <c r="A501" s="15" t="s">
        <v>11487</v>
      </c>
      <c r="B501" s="16" t="s">
        <v>11867</v>
      </c>
      <c r="C501" s="16" t="s">
        <v>11867</v>
      </c>
      <c r="D501" s="17" t="s">
        <v>4124</v>
      </c>
      <c r="E501" s="17" t="s">
        <v>2036</v>
      </c>
      <c r="F501" s="18">
        <v>10000</v>
      </c>
      <c r="G501" s="18">
        <v>0</v>
      </c>
      <c r="H501" s="18">
        <v>834541.45</v>
      </c>
    </row>
    <row r="502" spans="1:8">
      <c r="A502" s="15" t="s">
        <v>11488</v>
      </c>
      <c r="B502" s="16" t="s">
        <v>11867</v>
      </c>
      <c r="C502" s="16" t="s">
        <v>11867</v>
      </c>
      <c r="D502" s="17" t="s">
        <v>4124</v>
      </c>
      <c r="E502" s="17" t="s">
        <v>5430</v>
      </c>
      <c r="F502" s="18">
        <v>6910.49</v>
      </c>
      <c r="G502" s="18">
        <v>0</v>
      </c>
      <c r="H502" s="18">
        <v>827630.96</v>
      </c>
    </row>
    <row r="503" spans="1:8">
      <c r="A503" s="15" t="s">
        <v>11682</v>
      </c>
      <c r="B503" s="16" t="s">
        <v>11867</v>
      </c>
      <c r="C503" s="16" t="s">
        <v>11867</v>
      </c>
      <c r="D503" s="17" t="s">
        <v>4124</v>
      </c>
      <c r="E503" s="17" t="s">
        <v>5431</v>
      </c>
      <c r="F503" s="18">
        <v>2500</v>
      </c>
      <c r="G503" s="18">
        <v>0</v>
      </c>
      <c r="H503" s="18">
        <v>825130.96</v>
      </c>
    </row>
    <row r="504" spans="1:8">
      <c r="A504" s="15" t="s">
        <v>11491</v>
      </c>
      <c r="B504" s="16" t="s">
        <v>12244</v>
      </c>
      <c r="C504" s="16" t="s">
        <v>12244</v>
      </c>
      <c r="D504" s="17" t="s">
        <v>4124</v>
      </c>
      <c r="E504" s="17" t="s">
        <v>5432</v>
      </c>
      <c r="F504" s="18">
        <v>0</v>
      </c>
      <c r="G504" s="18">
        <v>521.65</v>
      </c>
      <c r="H504" s="18">
        <v>825652.61</v>
      </c>
    </row>
    <row r="505" spans="1:8">
      <c r="A505" s="15" t="s">
        <v>11591</v>
      </c>
      <c r="B505" s="16" t="s">
        <v>12245</v>
      </c>
      <c r="C505" s="16" t="s">
        <v>12245</v>
      </c>
      <c r="D505" s="17" t="s">
        <v>4124</v>
      </c>
      <c r="E505" s="17" t="s">
        <v>2010</v>
      </c>
      <c r="F505" s="18">
        <v>0</v>
      </c>
      <c r="G505" s="18">
        <v>2162</v>
      </c>
      <c r="H505" s="18">
        <v>827814.61</v>
      </c>
    </row>
    <row r="506" spans="1:8">
      <c r="A506" s="15" t="s">
        <v>11493</v>
      </c>
      <c r="B506" s="16" t="s">
        <v>12246</v>
      </c>
      <c r="C506" s="16" t="s">
        <v>12246</v>
      </c>
      <c r="D506" s="17" t="s">
        <v>4124</v>
      </c>
      <c r="E506" s="17" t="s">
        <v>5433</v>
      </c>
      <c r="F506" s="18">
        <v>0</v>
      </c>
      <c r="G506" s="18">
        <v>845291</v>
      </c>
      <c r="H506" s="18">
        <v>1673105.61</v>
      </c>
    </row>
    <row r="507" spans="1:8">
      <c r="A507" s="15" t="s">
        <v>11594</v>
      </c>
      <c r="B507" s="16" t="s">
        <v>11868</v>
      </c>
      <c r="C507" s="16" t="s">
        <v>11868</v>
      </c>
      <c r="D507" s="17" t="s">
        <v>4124</v>
      </c>
      <c r="E507" s="17" t="s">
        <v>5434</v>
      </c>
      <c r="F507" s="18">
        <v>10000</v>
      </c>
      <c r="G507" s="18">
        <v>0</v>
      </c>
      <c r="H507" s="18">
        <v>1663105.61</v>
      </c>
    </row>
    <row r="508" spans="1:8">
      <c r="A508" s="15" t="s">
        <v>11596</v>
      </c>
      <c r="B508" s="16" t="s">
        <v>11868</v>
      </c>
      <c r="C508" s="16" t="s">
        <v>11868</v>
      </c>
      <c r="D508" s="17" t="s">
        <v>4124</v>
      </c>
      <c r="E508" s="17" t="s">
        <v>5434</v>
      </c>
      <c r="F508" s="18">
        <v>5000</v>
      </c>
      <c r="G508" s="18">
        <v>0</v>
      </c>
      <c r="H508" s="18">
        <v>1658105.61</v>
      </c>
    </row>
    <row r="509" spans="1:8">
      <c r="A509" s="15" t="s">
        <v>11495</v>
      </c>
      <c r="B509" s="16" t="s">
        <v>11869</v>
      </c>
      <c r="C509" s="16" t="s">
        <v>11870</v>
      </c>
      <c r="D509" s="17" t="s">
        <v>4124</v>
      </c>
      <c r="E509" s="17" t="s">
        <v>5435</v>
      </c>
      <c r="F509" s="18">
        <v>5000</v>
      </c>
      <c r="G509" s="18">
        <v>0</v>
      </c>
      <c r="H509" s="18">
        <v>1653105.61</v>
      </c>
    </row>
    <row r="510" spans="1:8">
      <c r="A510" s="15" t="s">
        <v>11742</v>
      </c>
      <c r="B510" s="16" t="s">
        <v>11871</v>
      </c>
      <c r="C510" s="16" t="s">
        <v>11871</v>
      </c>
      <c r="D510" s="17" t="s">
        <v>4124</v>
      </c>
      <c r="E510" s="17" t="s">
        <v>5436</v>
      </c>
      <c r="F510" s="18">
        <v>1241.81</v>
      </c>
      <c r="G510" s="18">
        <v>0</v>
      </c>
      <c r="H510" s="18">
        <v>1651863.8</v>
      </c>
    </row>
    <row r="511" spans="1:8">
      <c r="A511" s="15" t="s">
        <v>11808</v>
      </c>
      <c r="B511" s="16" t="s">
        <v>11872</v>
      </c>
      <c r="C511" s="16" t="s">
        <v>11872</v>
      </c>
      <c r="D511" s="17" t="s">
        <v>11873</v>
      </c>
      <c r="E511" s="17" t="s">
        <v>1630</v>
      </c>
      <c r="F511" s="18">
        <v>1500</v>
      </c>
      <c r="G511" s="18">
        <v>0</v>
      </c>
      <c r="H511" s="18">
        <v>1650363.8</v>
      </c>
    </row>
    <row r="512" spans="1:8">
      <c r="A512" s="15" t="s">
        <v>11599</v>
      </c>
      <c r="B512" s="16" t="s">
        <v>11874</v>
      </c>
      <c r="C512" s="16" t="s">
        <v>11874</v>
      </c>
      <c r="D512" s="17" t="s">
        <v>11875</v>
      </c>
      <c r="E512" s="17" t="s">
        <v>5439</v>
      </c>
      <c r="F512" s="18">
        <v>10000</v>
      </c>
      <c r="G512" s="18">
        <v>0</v>
      </c>
      <c r="H512" s="18">
        <v>1640363.8</v>
      </c>
    </row>
    <row r="513" spans="1:8">
      <c r="A513" s="15" t="s">
        <v>11498</v>
      </c>
      <c r="B513" s="16" t="s">
        <v>11874</v>
      </c>
      <c r="C513" s="16" t="s">
        <v>11874</v>
      </c>
      <c r="D513" s="17" t="s">
        <v>4124</v>
      </c>
      <c r="E513" s="17" t="s">
        <v>2010</v>
      </c>
      <c r="F513" s="18">
        <v>0</v>
      </c>
      <c r="G513" s="18">
        <v>998</v>
      </c>
      <c r="H513" s="18">
        <v>1641361.8</v>
      </c>
    </row>
    <row r="514" spans="1:8">
      <c r="A514" s="15" t="s">
        <v>11936</v>
      </c>
      <c r="B514" s="16" t="s">
        <v>12247</v>
      </c>
      <c r="C514" s="16" t="s">
        <v>12247</v>
      </c>
      <c r="D514" s="17" t="s">
        <v>4124</v>
      </c>
      <c r="E514" s="17" t="s">
        <v>5440</v>
      </c>
      <c r="F514" s="18">
        <v>245417</v>
      </c>
      <c r="G514" s="18">
        <v>0</v>
      </c>
      <c r="H514" s="18">
        <v>1395944.8</v>
      </c>
    </row>
    <row r="515" spans="1:8">
      <c r="A515" s="15" t="s">
        <v>11500</v>
      </c>
      <c r="B515" s="16" t="s">
        <v>11876</v>
      </c>
      <c r="C515" s="16" t="s">
        <v>11876</v>
      </c>
      <c r="D515" s="17" t="s">
        <v>4124</v>
      </c>
      <c r="E515" s="17" t="s">
        <v>5441</v>
      </c>
      <c r="F515" s="18">
        <v>1512.75</v>
      </c>
      <c r="G515" s="18">
        <v>0</v>
      </c>
      <c r="H515" s="18">
        <v>1394432.05</v>
      </c>
    </row>
    <row r="516" spans="1:8">
      <c r="A516" s="15" t="s">
        <v>11689</v>
      </c>
      <c r="B516" s="16" t="s">
        <v>11876</v>
      </c>
      <c r="C516" s="16" t="s">
        <v>11876</v>
      </c>
      <c r="D516" s="17" t="s">
        <v>4124</v>
      </c>
      <c r="E516" s="17" t="s">
        <v>5442</v>
      </c>
      <c r="F516" s="18">
        <v>1512.75</v>
      </c>
      <c r="G516" s="18">
        <v>0</v>
      </c>
      <c r="H516" s="18">
        <v>1392919.3</v>
      </c>
    </row>
    <row r="517" spans="1:8">
      <c r="A517" s="15" t="s">
        <v>11811</v>
      </c>
      <c r="B517" s="16" t="s">
        <v>11877</v>
      </c>
      <c r="C517" s="16" t="s">
        <v>11877</v>
      </c>
      <c r="D517" s="17" t="s">
        <v>4124</v>
      </c>
      <c r="E517" s="17" t="s">
        <v>5443</v>
      </c>
      <c r="F517" s="18">
        <v>0</v>
      </c>
      <c r="G517" s="18">
        <v>189529</v>
      </c>
      <c r="H517" s="18">
        <v>1582448.3</v>
      </c>
    </row>
    <row r="518" spans="1:8">
      <c r="A518" s="15" t="s">
        <v>11603</v>
      </c>
      <c r="B518" s="16" t="s">
        <v>11877</v>
      </c>
      <c r="C518" s="16" t="s">
        <v>11877</v>
      </c>
      <c r="D518" s="17" t="s">
        <v>4124</v>
      </c>
      <c r="E518" s="17" t="s">
        <v>2056</v>
      </c>
      <c r="F518" s="18">
        <v>3000</v>
      </c>
      <c r="G518" s="18">
        <v>0</v>
      </c>
      <c r="H518" s="18">
        <v>1579448.3</v>
      </c>
    </row>
    <row r="519" spans="1:8">
      <c r="A519" s="15" t="s">
        <v>11605</v>
      </c>
      <c r="B519" s="16" t="s">
        <v>11878</v>
      </c>
      <c r="C519" s="16" t="s">
        <v>11879</v>
      </c>
      <c r="D519" s="17" t="s">
        <v>4124</v>
      </c>
      <c r="E519" s="17" t="s">
        <v>2059</v>
      </c>
      <c r="F519" s="18">
        <v>5000</v>
      </c>
      <c r="G519" s="18">
        <v>0</v>
      </c>
      <c r="H519" s="18">
        <v>1574448.3</v>
      </c>
    </row>
    <row r="520" spans="1:8">
      <c r="A520" s="15" t="s">
        <v>11502</v>
      </c>
      <c r="B520" s="16" t="s">
        <v>11880</v>
      </c>
      <c r="C520" s="16" t="s">
        <v>11880</v>
      </c>
      <c r="D520" s="17" t="s">
        <v>4124</v>
      </c>
      <c r="E520" s="17" t="s">
        <v>5444</v>
      </c>
      <c r="F520" s="18">
        <v>1241.81</v>
      </c>
      <c r="G520" s="18">
        <v>0</v>
      </c>
      <c r="H520" s="18">
        <v>1573206.49</v>
      </c>
    </row>
    <row r="521" spans="1:8">
      <c r="A521" s="15" t="s">
        <v>11608</v>
      </c>
      <c r="B521" s="16" t="s">
        <v>11880</v>
      </c>
      <c r="C521" s="16" t="s">
        <v>11880</v>
      </c>
      <c r="D521" s="17" t="s">
        <v>4124</v>
      </c>
      <c r="E521" s="17" t="s">
        <v>5413</v>
      </c>
      <c r="F521" s="18">
        <v>12732.74</v>
      </c>
      <c r="G521" s="18">
        <v>0</v>
      </c>
      <c r="H521" s="18">
        <v>1560473.75</v>
      </c>
    </row>
    <row r="522" spans="1:8">
      <c r="A522" s="15" t="s">
        <v>11609</v>
      </c>
      <c r="B522" s="16" t="s">
        <v>11881</v>
      </c>
      <c r="C522" s="16" t="s">
        <v>11881</v>
      </c>
      <c r="D522" s="17" t="s">
        <v>4124</v>
      </c>
      <c r="E522" s="17" t="s">
        <v>5445</v>
      </c>
      <c r="F522" s="18">
        <v>1110</v>
      </c>
      <c r="G522" s="18">
        <v>0</v>
      </c>
      <c r="H522" s="18">
        <v>1559363.75</v>
      </c>
    </row>
    <row r="523" spans="1:8">
      <c r="A523" s="15" t="s">
        <v>11504</v>
      </c>
      <c r="B523" s="16" t="s">
        <v>11881</v>
      </c>
      <c r="C523" s="16" t="s">
        <v>11881</v>
      </c>
      <c r="D523" s="17" t="s">
        <v>12248</v>
      </c>
      <c r="E523" s="17" t="s">
        <v>1809</v>
      </c>
      <c r="F523" s="18">
        <v>1000000</v>
      </c>
      <c r="G523" s="18">
        <v>0</v>
      </c>
      <c r="H523" s="18">
        <v>559363.75</v>
      </c>
    </row>
    <row r="524" spans="1:8">
      <c r="A524" s="15" t="s">
        <v>11695</v>
      </c>
      <c r="B524" s="16" t="s">
        <v>11881</v>
      </c>
      <c r="C524" s="16" t="s">
        <v>11881</v>
      </c>
      <c r="D524" s="17" t="s">
        <v>11882</v>
      </c>
      <c r="E524" s="17" t="s">
        <v>2098</v>
      </c>
      <c r="F524" s="18">
        <v>8800</v>
      </c>
      <c r="G524" s="18">
        <v>0</v>
      </c>
      <c r="H524" s="18">
        <v>550563.75</v>
      </c>
    </row>
    <row r="525" spans="1:8">
      <c r="A525" s="15" t="s">
        <v>11697</v>
      </c>
      <c r="B525" s="16" t="s">
        <v>11883</v>
      </c>
      <c r="C525" s="16" t="s">
        <v>11884</v>
      </c>
      <c r="D525" s="17" t="s">
        <v>4124</v>
      </c>
      <c r="E525" s="17" t="s">
        <v>5448</v>
      </c>
      <c r="F525" s="18">
        <v>7000</v>
      </c>
      <c r="G525" s="18">
        <v>0</v>
      </c>
      <c r="H525" s="18">
        <v>543563.75</v>
      </c>
    </row>
    <row r="526" spans="1:8">
      <c r="A526" s="15" t="s">
        <v>11507</v>
      </c>
      <c r="B526" s="16" t="s">
        <v>11885</v>
      </c>
      <c r="C526" s="16" t="s">
        <v>11885</v>
      </c>
      <c r="D526" s="17" t="s">
        <v>4124</v>
      </c>
      <c r="E526" s="17" t="s">
        <v>5449</v>
      </c>
      <c r="F526" s="18">
        <v>562</v>
      </c>
      <c r="G526" s="18">
        <v>0</v>
      </c>
      <c r="H526" s="18">
        <v>543001.75</v>
      </c>
    </row>
    <row r="527" spans="1:8">
      <c r="A527" s="15" t="s">
        <v>11509</v>
      </c>
      <c r="B527" s="16" t="s">
        <v>11886</v>
      </c>
      <c r="C527" s="16" t="s">
        <v>11886</v>
      </c>
      <c r="D527" s="17" t="s">
        <v>4124</v>
      </c>
      <c r="E527" s="17" t="s">
        <v>5450</v>
      </c>
      <c r="F527" s="18">
        <v>334.52</v>
      </c>
      <c r="G527" s="18">
        <v>0</v>
      </c>
      <c r="H527" s="18">
        <v>542667.23</v>
      </c>
    </row>
    <row r="528" spans="1:8">
      <c r="A528" s="15" t="s">
        <v>11511</v>
      </c>
      <c r="B528" s="16" t="s">
        <v>11886</v>
      </c>
      <c r="C528" s="16" t="s">
        <v>11886</v>
      </c>
      <c r="D528" s="17" t="s">
        <v>4124</v>
      </c>
      <c r="E528" s="17" t="s">
        <v>5451</v>
      </c>
      <c r="F528" s="18">
        <v>0</v>
      </c>
      <c r="G528" s="18">
        <v>184901</v>
      </c>
      <c r="H528" s="18">
        <v>727568.23</v>
      </c>
    </row>
    <row r="529" spans="1:8">
      <c r="A529" s="15" t="s">
        <v>11514</v>
      </c>
      <c r="B529" s="16" t="s">
        <v>12249</v>
      </c>
      <c r="C529" s="16" t="s">
        <v>12249</v>
      </c>
      <c r="D529" s="17" t="s">
        <v>4124</v>
      </c>
      <c r="E529" s="17" t="s">
        <v>5452</v>
      </c>
      <c r="F529" s="18">
        <v>0</v>
      </c>
      <c r="G529" s="18">
        <v>17203</v>
      </c>
      <c r="H529" s="18">
        <v>744771.23</v>
      </c>
    </row>
    <row r="530" spans="1:8">
      <c r="A530" s="15" t="s">
        <v>11516</v>
      </c>
      <c r="B530" s="16" t="s">
        <v>11887</v>
      </c>
      <c r="C530" s="16" t="s">
        <v>11887</v>
      </c>
      <c r="D530" s="17" t="s">
        <v>4124</v>
      </c>
      <c r="E530" s="17" t="s">
        <v>5453</v>
      </c>
      <c r="F530" s="18">
        <v>5000</v>
      </c>
      <c r="G530" s="18">
        <v>0</v>
      </c>
      <c r="H530" s="18">
        <v>739771.23</v>
      </c>
    </row>
    <row r="531" spans="1:8">
      <c r="A531" s="15" t="s">
        <v>11822</v>
      </c>
      <c r="B531" s="16" t="s">
        <v>11888</v>
      </c>
      <c r="C531" s="16" t="s">
        <v>11888</v>
      </c>
      <c r="D531" s="17" t="s">
        <v>4124</v>
      </c>
      <c r="E531" s="17" t="s">
        <v>5454</v>
      </c>
      <c r="F531" s="18">
        <v>10000</v>
      </c>
      <c r="G531" s="18">
        <v>0</v>
      </c>
      <c r="H531" s="18">
        <v>729771.23</v>
      </c>
    </row>
    <row r="532" spans="1:8">
      <c r="A532" s="15" t="s">
        <v>11517</v>
      </c>
      <c r="B532" s="16" t="s">
        <v>11889</v>
      </c>
      <c r="C532" s="16" t="s">
        <v>11889</v>
      </c>
      <c r="D532" s="17" t="s">
        <v>4124</v>
      </c>
      <c r="E532" s="17" t="s">
        <v>5413</v>
      </c>
      <c r="F532" s="18">
        <v>32262.26</v>
      </c>
      <c r="G532" s="18">
        <v>0</v>
      </c>
      <c r="H532" s="18">
        <v>697508.97</v>
      </c>
    </row>
    <row r="533" spans="1:8">
      <c r="A533" s="15" t="s">
        <v>11825</v>
      </c>
      <c r="B533" s="16" t="s">
        <v>11889</v>
      </c>
      <c r="C533" s="16" t="s">
        <v>11889</v>
      </c>
      <c r="D533" s="17" t="s">
        <v>4124</v>
      </c>
      <c r="E533" s="17" t="s">
        <v>2073</v>
      </c>
      <c r="F533" s="18">
        <v>10000</v>
      </c>
      <c r="G533" s="18">
        <v>0</v>
      </c>
      <c r="H533" s="18">
        <v>687508.97</v>
      </c>
    </row>
    <row r="534" spans="1:8">
      <c r="A534" s="15" t="s">
        <v>11615</v>
      </c>
      <c r="B534" s="16" t="s">
        <v>11889</v>
      </c>
      <c r="C534" s="16" t="s">
        <v>11889</v>
      </c>
      <c r="D534" s="17" t="s">
        <v>4124</v>
      </c>
      <c r="E534" s="17" t="s">
        <v>2073</v>
      </c>
      <c r="F534" s="18">
        <v>5000</v>
      </c>
      <c r="G534" s="18">
        <v>0</v>
      </c>
      <c r="H534" s="18">
        <v>682508.97</v>
      </c>
    </row>
    <row r="535" spans="1:8">
      <c r="A535" s="15" t="s">
        <v>11618</v>
      </c>
      <c r="B535" s="16" t="s">
        <v>11890</v>
      </c>
      <c r="C535" s="16" t="s">
        <v>11890</v>
      </c>
      <c r="D535" s="17" t="s">
        <v>4124</v>
      </c>
      <c r="E535" s="17" t="s">
        <v>5455</v>
      </c>
      <c r="F535" s="18">
        <v>1332</v>
      </c>
      <c r="G535" s="18">
        <v>0</v>
      </c>
      <c r="H535" s="18">
        <v>681176.97</v>
      </c>
    </row>
    <row r="536" spans="1:8">
      <c r="A536" s="15" t="s">
        <v>11621</v>
      </c>
      <c r="B536" s="16" t="s">
        <v>11891</v>
      </c>
      <c r="C536" s="16" t="s">
        <v>11891</v>
      </c>
      <c r="D536" s="17" t="s">
        <v>11892</v>
      </c>
      <c r="E536" s="17" t="s">
        <v>2098</v>
      </c>
      <c r="F536" s="18">
        <v>4400</v>
      </c>
      <c r="G536" s="18">
        <v>0</v>
      </c>
      <c r="H536" s="18">
        <v>676776.97</v>
      </c>
    </row>
    <row r="537" spans="1:8">
      <c r="A537" s="15" t="s">
        <v>11519</v>
      </c>
      <c r="B537" s="16" t="s">
        <v>11891</v>
      </c>
      <c r="C537" s="16" t="s">
        <v>11891</v>
      </c>
      <c r="D537" s="17" t="s">
        <v>4124</v>
      </c>
      <c r="E537" s="17" t="s">
        <v>5457</v>
      </c>
      <c r="F537" s="18">
        <v>1110</v>
      </c>
      <c r="G537" s="18">
        <v>0</v>
      </c>
      <c r="H537" s="18">
        <v>675666.97</v>
      </c>
    </row>
    <row r="538" spans="1:8">
      <c r="A538" s="15" t="s">
        <v>11521</v>
      </c>
      <c r="B538" s="16" t="s">
        <v>11893</v>
      </c>
      <c r="C538" s="16" t="s">
        <v>11893</v>
      </c>
      <c r="D538" s="17" t="s">
        <v>4124</v>
      </c>
      <c r="E538" s="17" t="s">
        <v>5458</v>
      </c>
      <c r="F538" s="18">
        <v>8470</v>
      </c>
      <c r="G538" s="18">
        <v>0</v>
      </c>
      <c r="H538" s="18">
        <v>667196.97</v>
      </c>
    </row>
    <row r="539" spans="1:8">
      <c r="A539" s="15" t="s">
        <v>11522</v>
      </c>
      <c r="B539" s="16" t="s">
        <v>12250</v>
      </c>
      <c r="C539" s="16" t="s">
        <v>12250</v>
      </c>
      <c r="D539" s="17" t="s">
        <v>12251</v>
      </c>
      <c r="E539" s="17" t="s">
        <v>5460</v>
      </c>
      <c r="F539" s="18">
        <v>20000</v>
      </c>
      <c r="G539" s="18">
        <v>0</v>
      </c>
      <c r="H539" s="18">
        <v>647196.97</v>
      </c>
    </row>
    <row r="540" spans="1:8">
      <c r="A540" s="15" t="s">
        <v>11623</v>
      </c>
      <c r="B540" s="16" t="s">
        <v>11894</v>
      </c>
      <c r="C540" s="16" t="s">
        <v>11895</v>
      </c>
      <c r="D540" s="17" t="s">
        <v>4124</v>
      </c>
      <c r="E540" s="17" t="s">
        <v>5461</v>
      </c>
      <c r="F540" s="18">
        <v>5000</v>
      </c>
      <c r="G540" s="18">
        <v>0</v>
      </c>
      <c r="H540" s="18">
        <v>642196.97</v>
      </c>
    </row>
    <row r="541" spans="1:8">
      <c r="A541" s="15" t="s">
        <v>11523</v>
      </c>
      <c r="B541" s="16" t="s">
        <v>12252</v>
      </c>
      <c r="C541" s="16" t="s">
        <v>12252</v>
      </c>
      <c r="D541" s="17" t="s">
        <v>4124</v>
      </c>
      <c r="E541" s="17" t="s">
        <v>5462</v>
      </c>
      <c r="F541" s="18">
        <v>0</v>
      </c>
      <c r="G541" s="18">
        <v>188873</v>
      </c>
      <c r="H541" s="18">
        <v>831069.97</v>
      </c>
    </row>
    <row r="542" spans="1:8">
      <c r="A542" s="15" t="s">
        <v>11627</v>
      </c>
      <c r="B542" s="16" t="s">
        <v>11896</v>
      </c>
      <c r="C542" s="16" t="s">
        <v>11896</v>
      </c>
      <c r="D542" s="17" t="s">
        <v>4124</v>
      </c>
      <c r="E542" s="17" t="s">
        <v>5463</v>
      </c>
      <c r="F542" s="18">
        <v>5000</v>
      </c>
      <c r="G542" s="18">
        <v>0</v>
      </c>
      <c r="H542" s="18">
        <v>826069.97</v>
      </c>
    </row>
    <row r="543" spans="1:8">
      <c r="A543" s="15" t="s">
        <v>11704</v>
      </c>
      <c r="B543" s="16" t="s">
        <v>12253</v>
      </c>
      <c r="C543" s="16" t="s">
        <v>12253</v>
      </c>
      <c r="D543" s="17" t="s">
        <v>4124</v>
      </c>
      <c r="E543" s="17" t="s">
        <v>5464</v>
      </c>
      <c r="F543" s="18">
        <v>476453.09</v>
      </c>
      <c r="G543" s="18">
        <v>0</v>
      </c>
      <c r="H543" s="18">
        <v>349616.88</v>
      </c>
    </row>
    <row r="544" spans="1:8">
      <c r="A544" s="15" t="s">
        <v>11525</v>
      </c>
      <c r="B544" s="16" t="s">
        <v>11897</v>
      </c>
      <c r="C544" s="16" t="s">
        <v>11897</v>
      </c>
      <c r="D544" s="17" t="s">
        <v>4124</v>
      </c>
      <c r="E544" s="17" t="s">
        <v>5465</v>
      </c>
      <c r="F544" s="18">
        <v>10000</v>
      </c>
      <c r="G544" s="18">
        <v>0</v>
      </c>
      <c r="H544" s="18">
        <v>339616.88</v>
      </c>
    </row>
    <row r="545" spans="1:8">
      <c r="A545" s="15" t="s">
        <v>11706</v>
      </c>
      <c r="B545" s="16" t="s">
        <v>11898</v>
      </c>
      <c r="C545" s="16" t="s">
        <v>11898</v>
      </c>
      <c r="D545" s="17" t="s">
        <v>4124</v>
      </c>
      <c r="E545" s="17" t="s">
        <v>5466</v>
      </c>
      <c r="F545" s="18">
        <v>1196</v>
      </c>
      <c r="G545" s="18">
        <v>0</v>
      </c>
      <c r="H545" s="18">
        <v>338420.88</v>
      </c>
    </row>
    <row r="546" spans="1:8">
      <c r="A546" s="15" t="s">
        <v>11528</v>
      </c>
      <c r="B546" s="16" t="s">
        <v>11899</v>
      </c>
      <c r="C546" s="16" t="s">
        <v>11900</v>
      </c>
      <c r="D546" s="17" t="s">
        <v>4124</v>
      </c>
      <c r="E546" s="17" t="s">
        <v>5467</v>
      </c>
      <c r="F546" s="18">
        <v>10000</v>
      </c>
      <c r="G546" s="18">
        <v>0</v>
      </c>
      <c r="H546" s="18">
        <v>328420.88</v>
      </c>
    </row>
    <row r="547" spans="1:8">
      <c r="A547" s="15" t="s">
        <v>11834</v>
      </c>
      <c r="B547" s="16" t="s">
        <v>12254</v>
      </c>
      <c r="C547" s="16" t="s">
        <v>12254</v>
      </c>
      <c r="D547" s="17" t="s">
        <v>4124</v>
      </c>
      <c r="E547" s="17" t="s">
        <v>5468</v>
      </c>
      <c r="F547" s="18">
        <v>0</v>
      </c>
      <c r="G547" s="18">
        <v>6793.36</v>
      </c>
      <c r="H547" s="18">
        <v>335214.24</v>
      </c>
    </row>
    <row r="548" spans="1:8" ht="25.5">
      <c r="A548" s="15" t="s">
        <v>11530</v>
      </c>
      <c r="B548" s="16" t="s">
        <v>12255</v>
      </c>
      <c r="C548" s="16" t="s">
        <v>12255</v>
      </c>
      <c r="D548" s="17" t="s">
        <v>4124</v>
      </c>
      <c r="E548" s="17" t="s">
        <v>5469</v>
      </c>
      <c r="F548" s="18">
        <v>0</v>
      </c>
      <c r="G548" s="18">
        <v>191448</v>
      </c>
      <c r="H548" s="18">
        <v>526662.24</v>
      </c>
    </row>
    <row r="549" spans="1:8">
      <c r="A549" s="15" t="s">
        <v>11532</v>
      </c>
      <c r="B549" s="16" t="s">
        <v>11901</v>
      </c>
      <c r="C549" s="16" t="s">
        <v>11901</v>
      </c>
      <c r="D549" s="17" t="s">
        <v>4124</v>
      </c>
      <c r="E549" s="17" t="s">
        <v>5413</v>
      </c>
      <c r="F549" s="18">
        <v>7000</v>
      </c>
      <c r="G549" s="18">
        <v>0</v>
      </c>
      <c r="H549" s="18">
        <v>519662.24</v>
      </c>
    </row>
    <row r="550" spans="1:8">
      <c r="A550" s="15" t="s">
        <v>11633</v>
      </c>
      <c r="B550" s="16" t="s">
        <v>11902</v>
      </c>
      <c r="C550" s="16" t="s">
        <v>11902</v>
      </c>
      <c r="D550" s="17" t="s">
        <v>4124</v>
      </c>
      <c r="E550" s="17" t="s">
        <v>5470</v>
      </c>
      <c r="F550" s="18">
        <v>10000</v>
      </c>
      <c r="G550" s="18">
        <v>0</v>
      </c>
      <c r="H550" s="18">
        <v>509662.24</v>
      </c>
    </row>
    <row r="551" spans="1:8">
      <c r="A551" s="15" t="s">
        <v>11636</v>
      </c>
      <c r="B551" s="16" t="s">
        <v>11902</v>
      </c>
      <c r="C551" s="16" t="s">
        <v>11902</v>
      </c>
      <c r="D551" s="17" t="s">
        <v>4124</v>
      </c>
      <c r="E551" s="17" t="s">
        <v>5471</v>
      </c>
      <c r="F551" s="18">
        <v>1196.77</v>
      </c>
      <c r="G551" s="18">
        <v>0</v>
      </c>
      <c r="H551" s="18">
        <v>508465.47</v>
      </c>
    </row>
    <row r="552" spans="1:8">
      <c r="A552" s="15" t="s">
        <v>11638</v>
      </c>
      <c r="B552" s="16" t="s">
        <v>12256</v>
      </c>
      <c r="C552" s="16" t="s">
        <v>12256</v>
      </c>
      <c r="D552" s="17" t="s">
        <v>4124</v>
      </c>
      <c r="E552" s="17" t="s">
        <v>5472</v>
      </c>
      <c r="F552" s="18">
        <v>303104.09000000003</v>
      </c>
      <c r="G552" s="18">
        <v>0</v>
      </c>
      <c r="H552" s="18">
        <v>205361.38</v>
      </c>
    </row>
    <row r="553" spans="1:8">
      <c r="A553" s="15" t="s">
        <v>11533</v>
      </c>
      <c r="B553" s="16" t="s">
        <v>12257</v>
      </c>
      <c r="C553" s="16" t="s">
        <v>12257</v>
      </c>
      <c r="D553" s="17" t="s">
        <v>4124</v>
      </c>
      <c r="E553" s="17" t="s">
        <v>2101</v>
      </c>
      <c r="F553" s="18">
        <v>0</v>
      </c>
      <c r="G553" s="18">
        <v>400000</v>
      </c>
      <c r="H553" s="18">
        <v>605361.38</v>
      </c>
    </row>
    <row r="554" spans="1:8">
      <c r="A554" s="15" t="s">
        <v>11714</v>
      </c>
      <c r="B554" s="16" t="s">
        <v>11903</v>
      </c>
      <c r="C554" s="16" t="s">
        <v>11903</v>
      </c>
      <c r="D554" s="17" t="s">
        <v>4124</v>
      </c>
      <c r="E554" s="17" t="s">
        <v>5473</v>
      </c>
      <c r="F554" s="18">
        <v>10000</v>
      </c>
      <c r="G554" s="18">
        <v>0</v>
      </c>
      <c r="H554" s="18">
        <v>595361.38</v>
      </c>
    </row>
    <row r="555" spans="1:8">
      <c r="A555" s="15" t="s">
        <v>11536</v>
      </c>
      <c r="B555" s="16" t="s">
        <v>11903</v>
      </c>
      <c r="C555" s="16" t="s">
        <v>11903</v>
      </c>
      <c r="D555" s="17" t="s">
        <v>4124</v>
      </c>
      <c r="E555" s="17" t="s">
        <v>5473</v>
      </c>
      <c r="F555" s="18">
        <v>10000</v>
      </c>
      <c r="G555" s="18">
        <v>0</v>
      </c>
      <c r="H555" s="18">
        <v>585361.38</v>
      </c>
    </row>
    <row r="556" spans="1:8">
      <c r="A556" s="15" t="s">
        <v>11839</v>
      </c>
      <c r="B556" s="16" t="s">
        <v>11903</v>
      </c>
      <c r="C556" s="16" t="s">
        <v>11903</v>
      </c>
      <c r="D556" s="17" t="s">
        <v>4124</v>
      </c>
      <c r="E556" s="17" t="s">
        <v>5473</v>
      </c>
      <c r="F556" s="18">
        <v>5000</v>
      </c>
      <c r="G556" s="18">
        <v>0</v>
      </c>
      <c r="H556" s="18">
        <v>580361.38</v>
      </c>
    </row>
    <row r="557" spans="1:8" ht="25.5">
      <c r="A557" s="15" t="s">
        <v>11640</v>
      </c>
      <c r="B557" s="16" t="s">
        <v>12258</v>
      </c>
      <c r="C557" s="16" t="s">
        <v>12258</v>
      </c>
      <c r="D557" s="17" t="s">
        <v>4124</v>
      </c>
      <c r="E557" s="17" t="s">
        <v>5474</v>
      </c>
      <c r="F557" s="18">
        <v>0</v>
      </c>
      <c r="G557" s="18">
        <v>201979</v>
      </c>
      <c r="H557" s="18">
        <v>782340.38</v>
      </c>
    </row>
    <row r="558" spans="1:8">
      <c r="A558" s="15" t="s">
        <v>11538</v>
      </c>
      <c r="B558" s="16" t="s">
        <v>11904</v>
      </c>
      <c r="C558" s="16" t="s">
        <v>11905</v>
      </c>
      <c r="D558" s="17" t="s">
        <v>4124</v>
      </c>
      <c r="E558" s="17" t="s">
        <v>5475</v>
      </c>
      <c r="F558" s="18">
        <v>5000</v>
      </c>
      <c r="G558" s="18">
        <v>0</v>
      </c>
      <c r="H558" s="18">
        <v>777340.38</v>
      </c>
    </row>
    <row r="559" spans="1:8">
      <c r="A559" s="15" t="s">
        <v>11642</v>
      </c>
      <c r="B559" s="16" t="s">
        <v>11906</v>
      </c>
      <c r="C559" s="16" t="s">
        <v>11906</v>
      </c>
      <c r="D559" s="17" t="s">
        <v>4124</v>
      </c>
      <c r="E559" s="17" t="s">
        <v>5476</v>
      </c>
      <c r="F559" s="18">
        <v>1252.7</v>
      </c>
      <c r="G559" s="18">
        <v>0</v>
      </c>
      <c r="H559" s="18">
        <v>776087.68</v>
      </c>
    </row>
    <row r="560" spans="1:8">
      <c r="A560" s="15" t="s">
        <v>11645</v>
      </c>
      <c r="B560" s="16" t="s">
        <v>11907</v>
      </c>
      <c r="C560" s="16" t="s">
        <v>11907</v>
      </c>
      <c r="D560" s="17" t="s">
        <v>4124</v>
      </c>
      <c r="E560" s="17" t="s">
        <v>5413</v>
      </c>
      <c r="F560" s="18">
        <v>36274.300000000003</v>
      </c>
      <c r="G560" s="18">
        <v>0</v>
      </c>
      <c r="H560" s="18">
        <v>739813.38</v>
      </c>
    </row>
    <row r="561" spans="1:8">
      <c r="A561" s="15" t="s">
        <v>11718</v>
      </c>
      <c r="B561" s="16" t="s">
        <v>11908</v>
      </c>
      <c r="C561" s="16" t="s">
        <v>11908</v>
      </c>
      <c r="D561" s="17" t="s">
        <v>4124</v>
      </c>
      <c r="E561" s="17" t="s">
        <v>5477</v>
      </c>
      <c r="F561" s="18">
        <v>6000</v>
      </c>
      <c r="G561" s="18">
        <v>0</v>
      </c>
      <c r="H561" s="18">
        <v>733813.38</v>
      </c>
    </row>
    <row r="562" spans="1:8" ht="25.5">
      <c r="A562" s="15" t="s">
        <v>11541</v>
      </c>
      <c r="B562" s="16" t="s">
        <v>12259</v>
      </c>
      <c r="C562" s="16" t="s">
        <v>12259</v>
      </c>
      <c r="D562" s="17" t="s">
        <v>4124</v>
      </c>
      <c r="E562" s="17" t="s">
        <v>5478</v>
      </c>
      <c r="F562" s="18">
        <v>0</v>
      </c>
      <c r="G562" s="18">
        <v>222155</v>
      </c>
      <c r="H562" s="18">
        <v>955968.38</v>
      </c>
    </row>
    <row r="563" spans="1:8">
      <c r="A563" s="15" t="s">
        <v>11543</v>
      </c>
      <c r="B563" s="16" t="s">
        <v>11909</v>
      </c>
      <c r="C563" s="16" t="s">
        <v>11909</v>
      </c>
      <c r="D563" s="17" t="s">
        <v>4124</v>
      </c>
      <c r="E563" s="17" t="s">
        <v>5413</v>
      </c>
      <c r="F563" s="18">
        <v>23756.5</v>
      </c>
      <c r="G563" s="18">
        <v>0</v>
      </c>
      <c r="H563" s="18">
        <v>932211.88</v>
      </c>
    </row>
    <row r="564" spans="1:8">
      <c r="A564" s="15" t="s">
        <v>11720</v>
      </c>
      <c r="B564" s="16" t="s">
        <v>12260</v>
      </c>
      <c r="C564" s="16" t="s">
        <v>12260</v>
      </c>
      <c r="D564" s="17" t="s">
        <v>4124</v>
      </c>
      <c r="E564" s="17" t="s">
        <v>5479</v>
      </c>
      <c r="F564" s="18">
        <v>0</v>
      </c>
      <c r="G564" s="18">
        <v>3395.02</v>
      </c>
      <c r="H564" s="18">
        <v>935606.9</v>
      </c>
    </row>
    <row r="565" spans="1:8" ht="25.5">
      <c r="A565" s="15" t="s">
        <v>11648</v>
      </c>
      <c r="B565" s="16" t="s">
        <v>12261</v>
      </c>
      <c r="C565" s="16" t="s">
        <v>12261</v>
      </c>
      <c r="D565" s="17" t="s">
        <v>4124</v>
      </c>
      <c r="E565" s="17" t="s">
        <v>5480</v>
      </c>
      <c r="F565" s="18">
        <v>0</v>
      </c>
      <c r="G565" s="18">
        <v>191449</v>
      </c>
      <c r="H565" s="18">
        <v>1127055.8999999999</v>
      </c>
    </row>
    <row r="566" spans="1:8" ht="25.5">
      <c r="A566" s="15" t="s">
        <v>11546</v>
      </c>
      <c r="B566" s="16" t="s">
        <v>12262</v>
      </c>
      <c r="C566" s="16" t="s">
        <v>12262</v>
      </c>
      <c r="D566" s="17" t="s">
        <v>4124</v>
      </c>
      <c r="E566" s="17" t="s">
        <v>5481</v>
      </c>
      <c r="F566" s="18">
        <v>0</v>
      </c>
      <c r="G566" s="18">
        <v>1261.6199999999999</v>
      </c>
      <c r="H566" s="18">
        <v>1128317.52</v>
      </c>
    </row>
    <row r="567" spans="1:8">
      <c r="A567" s="15" t="s">
        <v>11651</v>
      </c>
      <c r="B567" s="16" t="s">
        <v>11910</v>
      </c>
      <c r="C567" s="16" t="s">
        <v>11910</v>
      </c>
      <c r="D567" s="17" t="s">
        <v>4124</v>
      </c>
      <c r="E567" s="17" t="s">
        <v>5413</v>
      </c>
      <c r="F567" s="18">
        <v>14244.1</v>
      </c>
      <c r="G567" s="18">
        <v>0</v>
      </c>
      <c r="H567" s="18">
        <v>1114073.42</v>
      </c>
    </row>
    <row r="568" spans="1:8">
      <c r="A568" s="15" t="s">
        <v>11653</v>
      </c>
      <c r="B568" s="16" t="s">
        <v>11910</v>
      </c>
      <c r="C568" s="16" t="s">
        <v>11910</v>
      </c>
      <c r="D568" s="17" t="s">
        <v>4124</v>
      </c>
      <c r="E568" s="17" t="s">
        <v>5482</v>
      </c>
      <c r="F568" s="18">
        <v>10000</v>
      </c>
      <c r="G568" s="18">
        <v>0</v>
      </c>
      <c r="H568" s="18">
        <v>1104073.42</v>
      </c>
    </row>
    <row r="569" spans="1:8">
      <c r="A569" s="15" t="s">
        <v>11654</v>
      </c>
      <c r="B569" s="16" t="s">
        <v>11911</v>
      </c>
      <c r="C569" s="16" t="s">
        <v>11911</v>
      </c>
      <c r="D569" s="17" t="s">
        <v>4124</v>
      </c>
      <c r="E569" s="17" t="s">
        <v>5483</v>
      </c>
      <c r="F569" s="18">
        <v>5000</v>
      </c>
      <c r="G569" s="18">
        <v>0</v>
      </c>
      <c r="H569" s="18">
        <v>1099073.42</v>
      </c>
    </row>
    <row r="570" spans="1:8">
      <c r="A570" s="15" t="s">
        <v>11549</v>
      </c>
      <c r="B570" s="16" t="s">
        <v>12263</v>
      </c>
      <c r="C570" s="16" t="s">
        <v>12263</v>
      </c>
      <c r="D570" s="17" t="s">
        <v>4124</v>
      </c>
      <c r="E570" s="17" t="s">
        <v>5484</v>
      </c>
      <c r="F570" s="18">
        <v>29467.9</v>
      </c>
      <c r="G570" s="18">
        <v>0</v>
      </c>
      <c r="H570" s="18">
        <v>1069605.52</v>
      </c>
    </row>
    <row r="571" spans="1:8">
      <c r="A571" s="15" t="s">
        <v>11552</v>
      </c>
      <c r="B571" s="16" t="s">
        <v>12263</v>
      </c>
      <c r="C571" s="16" t="s">
        <v>12263</v>
      </c>
      <c r="D571" s="17" t="s">
        <v>4124</v>
      </c>
      <c r="E571" s="17" t="s">
        <v>5485</v>
      </c>
      <c r="F571" s="18">
        <v>3210</v>
      </c>
      <c r="G571" s="18">
        <v>0</v>
      </c>
      <c r="H571" s="18">
        <v>1066395.52</v>
      </c>
    </row>
    <row r="572" spans="1:8" ht="25.5">
      <c r="A572" s="15" t="s">
        <v>11554</v>
      </c>
      <c r="B572" s="16" t="s">
        <v>12264</v>
      </c>
      <c r="C572" s="16" t="s">
        <v>12264</v>
      </c>
      <c r="D572" s="17" t="s">
        <v>4124</v>
      </c>
      <c r="E572" s="17" t="s">
        <v>5486</v>
      </c>
      <c r="F572" s="18">
        <v>0</v>
      </c>
      <c r="G572" s="18">
        <v>562</v>
      </c>
      <c r="H572" s="18">
        <v>1066957.52</v>
      </c>
    </row>
    <row r="573" spans="1:8">
      <c r="A573" s="15" t="s">
        <v>11657</v>
      </c>
      <c r="B573" s="16" t="s">
        <v>11912</v>
      </c>
      <c r="C573" s="16" t="s">
        <v>11912</v>
      </c>
      <c r="D573" s="17" t="s">
        <v>4124</v>
      </c>
      <c r="E573" s="17" t="s">
        <v>5487</v>
      </c>
      <c r="F573" s="18">
        <v>10000</v>
      </c>
      <c r="G573" s="18">
        <v>0</v>
      </c>
      <c r="H573" s="18">
        <v>1056957.52</v>
      </c>
    </row>
    <row r="574" spans="1:8" ht="25.5">
      <c r="A574" s="15" t="s">
        <v>12062</v>
      </c>
      <c r="B574" s="16" t="s">
        <v>12265</v>
      </c>
      <c r="C574" s="16" t="s">
        <v>12265</v>
      </c>
      <c r="D574" s="17" t="s">
        <v>4124</v>
      </c>
      <c r="E574" s="17" t="s">
        <v>5488</v>
      </c>
      <c r="F574" s="18">
        <v>0</v>
      </c>
      <c r="G574" s="18">
        <v>193238</v>
      </c>
      <c r="H574" s="18">
        <v>1250195.52</v>
      </c>
    </row>
    <row r="575" spans="1:8">
      <c r="A575" s="15" t="s">
        <v>11659</v>
      </c>
      <c r="B575" s="16" t="s">
        <v>12266</v>
      </c>
      <c r="C575" s="16" t="s">
        <v>12266</v>
      </c>
      <c r="D575" s="17" t="s">
        <v>4124</v>
      </c>
      <c r="E575" s="17" t="s">
        <v>5489</v>
      </c>
      <c r="F575" s="18">
        <v>0</v>
      </c>
      <c r="G575" s="18">
        <v>15002</v>
      </c>
      <c r="H575" s="18">
        <v>1265197.52</v>
      </c>
    </row>
    <row r="576" spans="1:8">
      <c r="A576" s="15" t="s">
        <v>11661</v>
      </c>
      <c r="B576" s="16" t="s">
        <v>11913</v>
      </c>
      <c r="C576" s="16" t="s">
        <v>11913</v>
      </c>
      <c r="D576" s="17" t="s">
        <v>4124</v>
      </c>
      <c r="E576" s="17" t="s">
        <v>5413</v>
      </c>
      <c r="F576" s="18">
        <v>8798</v>
      </c>
      <c r="G576" s="18">
        <v>0</v>
      </c>
      <c r="H576" s="18">
        <v>1256399.52</v>
      </c>
    </row>
    <row r="577" spans="1:8">
      <c r="A577" s="15" t="s">
        <v>11765</v>
      </c>
      <c r="B577" s="16" t="s">
        <v>11913</v>
      </c>
      <c r="C577" s="16" t="s">
        <v>11913</v>
      </c>
      <c r="D577" s="17" t="s">
        <v>4124</v>
      </c>
      <c r="E577" s="17" t="s">
        <v>5490</v>
      </c>
      <c r="F577" s="18">
        <v>1262.7</v>
      </c>
      <c r="G577" s="18">
        <v>0</v>
      </c>
      <c r="H577" s="18">
        <v>1255136.82</v>
      </c>
    </row>
    <row r="578" spans="1:8">
      <c r="A578" s="15" t="s">
        <v>11556</v>
      </c>
      <c r="B578" s="16" t="s">
        <v>11914</v>
      </c>
      <c r="C578" s="16" t="s">
        <v>11914</v>
      </c>
      <c r="D578" s="17" t="s">
        <v>4124</v>
      </c>
      <c r="E578" s="17" t="s">
        <v>5491</v>
      </c>
      <c r="F578" s="18">
        <v>10000</v>
      </c>
      <c r="G578" s="18">
        <v>0</v>
      </c>
      <c r="H578" s="18">
        <v>1245136.82</v>
      </c>
    </row>
    <row r="579" spans="1:8">
      <c r="A579" s="15" t="s">
        <v>11558</v>
      </c>
      <c r="B579" s="16" t="s">
        <v>11914</v>
      </c>
      <c r="C579" s="16" t="s">
        <v>11914</v>
      </c>
      <c r="D579" s="17" t="s">
        <v>4124</v>
      </c>
      <c r="E579" s="17" t="s">
        <v>5491</v>
      </c>
      <c r="F579" s="18">
        <v>5000</v>
      </c>
      <c r="G579" s="18">
        <v>0</v>
      </c>
      <c r="H579" s="18">
        <v>1240136.82</v>
      </c>
    </row>
    <row r="580" spans="1:8">
      <c r="A580" s="15" t="s">
        <v>11662</v>
      </c>
      <c r="B580" s="16" t="s">
        <v>12267</v>
      </c>
      <c r="C580" s="16" t="s">
        <v>12267</v>
      </c>
      <c r="D580" s="17" t="s">
        <v>4124</v>
      </c>
      <c r="E580" s="17" t="s">
        <v>5492</v>
      </c>
      <c r="F580" s="18">
        <v>30000</v>
      </c>
      <c r="G580" s="18">
        <v>0</v>
      </c>
      <c r="H580" s="18">
        <v>1210136.82</v>
      </c>
    </row>
    <row r="581" spans="1:8" ht="25.5">
      <c r="A581" s="15" t="s">
        <v>11726</v>
      </c>
      <c r="B581" s="16" t="s">
        <v>12268</v>
      </c>
      <c r="C581" s="16" t="s">
        <v>12268</v>
      </c>
      <c r="D581" s="17" t="s">
        <v>4124</v>
      </c>
      <c r="E581" s="17" t="s">
        <v>5493</v>
      </c>
      <c r="F581" s="18">
        <v>0</v>
      </c>
      <c r="G581" s="18">
        <v>191449</v>
      </c>
      <c r="H581" s="18">
        <v>1401585.82</v>
      </c>
    </row>
    <row r="582" spans="1:8">
      <c r="A582" s="15" t="s">
        <v>11561</v>
      </c>
      <c r="B582" s="16" t="s">
        <v>11915</v>
      </c>
      <c r="C582" s="16" t="s">
        <v>11916</v>
      </c>
      <c r="D582" s="17" t="s">
        <v>4124</v>
      </c>
      <c r="E582" s="17" t="s">
        <v>5494</v>
      </c>
      <c r="F582" s="18">
        <v>26000</v>
      </c>
      <c r="G582" s="18">
        <v>0</v>
      </c>
      <c r="H582" s="18">
        <v>1375585.82</v>
      </c>
    </row>
    <row r="583" spans="1:8">
      <c r="A583" s="15" t="s">
        <v>11563</v>
      </c>
      <c r="B583" s="16" t="s">
        <v>11915</v>
      </c>
      <c r="C583" s="16" t="s">
        <v>11916</v>
      </c>
      <c r="D583" s="17" t="s">
        <v>4124</v>
      </c>
      <c r="E583" s="17" t="s">
        <v>5495</v>
      </c>
      <c r="F583" s="18">
        <v>7000</v>
      </c>
      <c r="G583" s="18">
        <v>0</v>
      </c>
      <c r="H583" s="18">
        <v>1368585.82</v>
      </c>
    </row>
    <row r="584" spans="1:8">
      <c r="A584" s="15" t="s">
        <v>11565</v>
      </c>
      <c r="B584" s="16" t="s">
        <v>11917</v>
      </c>
      <c r="C584" s="16" t="s">
        <v>11917</v>
      </c>
      <c r="D584" s="17" t="s">
        <v>4124</v>
      </c>
      <c r="E584" s="17" t="s">
        <v>5413</v>
      </c>
      <c r="F584" s="18">
        <v>25835.8</v>
      </c>
      <c r="G584" s="18">
        <v>0</v>
      </c>
      <c r="H584" s="18">
        <v>1342750.02</v>
      </c>
    </row>
    <row r="585" spans="1:8">
      <c r="A585" s="15" t="s">
        <v>11567</v>
      </c>
      <c r="B585" s="16" t="s">
        <v>11918</v>
      </c>
      <c r="C585" s="16" t="s">
        <v>11918</v>
      </c>
      <c r="D585" s="17" t="s">
        <v>4124</v>
      </c>
      <c r="E585" s="17" t="s">
        <v>5496</v>
      </c>
      <c r="F585" s="18">
        <v>1115.96</v>
      </c>
      <c r="G585" s="18">
        <v>0</v>
      </c>
      <c r="H585" s="18">
        <v>1341634.06</v>
      </c>
    </row>
    <row r="586" spans="1:8">
      <c r="A586" s="15" t="s">
        <v>11667</v>
      </c>
      <c r="B586" s="16" t="s">
        <v>11919</v>
      </c>
      <c r="C586" s="16" t="s">
        <v>11920</v>
      </c>
      <c r="D586" s="17" t="s">
        <v>4124</v>
      </c>
      <c r="E586" s="17" t="s">
        <v>5497</v>
      </c>
      <c r="F586" s="18">
        <v>10000</v>
      </c>
      <c r="G586" s="18">
        <v>0</v>
      </c>
      <c r="H586" s="18">
        <v>1331634.06</v>
      </c>
    </row>
    <row r="587" spans="1:8">
      <c r="A587" s="15" t="s">
        <v>11669</v>
      </c>
      <c r="B587" s="16" t="s">
        <v>12269</v>
      </c>
      <c r="C587" s="16" t="s">
        <v>12269</v>
      </c>
      <c r="D587" s="17" t="s">
        <v>4124</v>
      </c>
      <c r="E587" s="17" t="s">
        <v>5498</v>
      </c>
      <c r="F587" s="18">
        <v>49000</v>
      </c>
      <c r="G587" s="18">
        <v>0</v>
      </c>
      <c r="H587" s="18">
        <v>1282634.06</v>
      </c>
    </row>
    <row r="588" spans="1:8" ht="25.5">
      <c r="A588" s="15" t="s">
        <v>11773</v>
      </c>
      <c r="B588" s="16" t="s">
        <v>12270</v>
      </c>
      <c r="C588" s="16" t="s">
        <v>12270</v>
      </c>
      <c r="D588" s="17" t="s">
        <v>4124</v>
      </c>
      <c r="E588" s="17" t="s">
        <v>5499</v>
      </c>
      <c r="F588" s="18">
        <v>0</v>
      </c>
      <c r="G588" s="18">
        <v>3260.86</v>
      </c>
      <c r="H588" s="18">
        <v>1285894.92</v>
      </c>
    </row>
    <row r="589" spans="1:8">
      <c r="A589" s="15" t="s">
        <v>11774</v>
      </c>
      <c r="B589" s="16" t="s">
        <v>12271</v>
      </c>
      <c r="C589" s="16" t="s">
        <v>12271</v>
      </c>
      <c r="D589" s="17" t="s">
        <v>4124</v>
      </c>
      <c r="E589" s="17" t="s">
        <v>5500</v>
      </c>
      <c r="F589" s="18">
        <v>59138</v>
      </c>
      <c r="G589" s="18">
        <v>0</v>
      </c>
      <c r="H589" s="18">
        <v>1226756.92</v>
      </c>
    </row>
    <row r="590" spans="1:8" ht="25.5">
      <c r="A590" s="15" t="s">
        <v>11568</v>
      </c>
      <c r="B590" s="16" t="s">
        <v>12272</v>
      </c>
      <c r="C590" s="16" t="s">
        <v>12272</v>
      </c>
      <c r="D590" s="17" t="s">
        <v>4124</v>
      </c>
      <c r="E590" s="17" t="s">
        <v>5501</v>
      </c>
      <c r="F590" s="18">
        <v>0</v>
      </c>
      <c r="G590" s="18">
        <v>191448</v>
      </c>
      <c r="H590" s="18">
        <v>1418204.92</v>
      </c>
    </row>
    <row r="591" spans="1:8">
      <c r="A591" s="15" t="s">
        <v>11570</v>
      </c>
      <c r="B591" s="16" t="s">
        <v>11921</v>
      </c>
      <c r="C591" s="16" t="s">
        <v>11922</v>
      </c>
      <c r="D591" s="17" t="s">
        <v>4124</v>
      </c>
      <c r="E591" s="17" t="s">
        <v>5502</v>
      </c>
      <c r="F591" s="18">
        <v>5000</v>
      </c>
      <c r="G591" s="18">
        <v>0</v>
      </c>
      <c r="H591" s="18">
        <v>1413204.92</v>
      </c>
    </row>
    <row r="592" spans="1:8">
      <c r="A592" s="15" t="s">
        <v>11670</v>
      </c>
      <c r="B592" s="16" t="s">
        <v>11921</v>
      </c>
      <c r="C592" s="16" t="s">
        <v>11922</v>
      </c>
      <c r="D592" s="17" t="s">
        <v>4124</v>
      </c>
      <c r="E592" s="17" t="s">
        <v>5503</v>
      </c>
      <c r="F592" s="18">
        <v>26000</v>
      </c>
      <c r="G592" s="18">
        <v>0</v>
      </c>
      <c r="H592" s="18">
        <v>1387204.92</v>
      </c>
    </row>
    <row r="593" spans="1:8">
      <c r="A593" s="15" t="s">
        <v>11572</v>
      </c>
      <c r="B593" s="16" t="s">
        <v>12273</v>
      </c>
      <c r="C593" s="16" t="s">
        <v>12273</v>
      </c>
      <c r="D593" s="17" t="s">
        <v>4124</v>
      </c>
      <c r="E593" s="17" t="s">
        <v>5504</v>
      </c>
      <c r="F593" s="18">
        <v>7121.81</v>
      </c>
      <c r="G593" s="18">
        <v>0</v>
      </c>
      <c r="H593" s="18">
        <v>1380083.11</v>
      </c>
    </row>
    <row r="594" spans="1:8">
      <c r="A594" s="15" t="s">
        <v>11574</v>
      </c>
      <c r="B594" s="16" t="s">
        <v>11923</v>
      </c>
      <c r="C594" s="16" t="s">
        <v>11923</v>
      </c>
      <c r="D594" s="17" t="s">
        <v>4124</v>
      </c>
      <c r="E594" s="17" t="s">
        <v>5505</v>
      </c>
      <c r="F594" s="18">
        <v>1110</v>
      </c>
      <c r="G594" s="18">
        <v>0</v>
      </c>
      <c r="H594" s="18">
        <v>1378973.11</v>
      </c>
    </row>
    <row r="595" spans="1:8">
      <c r="A595" s="15" t="s">
        <v>11575</v>
      </c>
      <c r="B595" s="16" t="s">
        <v>11923</v>
      </c>
      <c r="C595" s="16" t="s">
        <v>11923</v>
      </c>
      <c r="D595" s="17" t="s">
        <v>4124</v>
      </c>
      <c r="E595" s="17" t="s">
        <v>5506</v>
      </c>
      <c r="F595" s="18">
        <v>987.87</v>
      </c>
      <c r="G595" s="18">
        <v>0</v>
      </c>
      <c r="H595" s="18">
        <v>1377985.24</v>
      </c>
    </row>
    <row r="596" spans="1:8">
      <c r="A596" s="15" t="s">
        <v>11576</v>
      </c>
      <c r="B596" s="16" t="s">
        <v>11924</v>
      </c>
      <c r="C596" s="16" t="s">
        <v>11924</v>
      </c>
      <c r="D596" s="17" t="s">
        <v>4124</v>
      </c>
      <c r="E596" s="17" t="s">
        <v>5507</v>
      </c>
      <c r="F596" s="18">
        <v>5000</v>
      </c>
      <c r="G596" s="18">
        <v>0</v>
      </c>
      <c r="H596" s="18">
        <v>1372985.24</v>
      </c>
    </row>
    <row r="597" spans="1:8">
      <c r="A597" s="15" t="s">
        <v>11577</v>
      </c>
      <c r="B597" s="16" t="s">
        <v>11925</v>
      </c>
      <c r="C597" s="16" t="s">
        <v>11925</v>
      </c>
      <c r="D597" s="17" t="s">
        <v>4124</v>
      </c>
      <c r="E597" s="17" t="s">
        <v>5413</v>
      </c>
      <c r="F597" s="18">
        <v>21951.5</v>
      </c>
      <c r="G597" s="18">
        <v>0</v>
      </c>
      <c r="H597" s="18">
        <v>1351033.74</v>
      </c>
    </row>
    <row r="598" spans="1:8">
      <c r="A598" s="15" t="s">
        <v>11969</v>
      </c>
      <c r="B598" s="16" t="s">
        <v>11925</v>
      </c>
      <c r="C598" s="16" t="s">
        <v>11925</v>
      </c>
      <c r="D598" s="17" t="s">
        <v>4124</v>
      </c>
      <c r="E598" s="17" t="s">
        <v>5508</v>
      </c>
      <c r="F598" s="18">
        <v>700028.09</v>
      </c>
      <c r="G598" s="18">
        <v>0</v>
      </c>
      <c r="H598" s="18">
        <v>651005.65</v>
      </c>
    </row>
    <row r="599" spans="1:8">
      <c r="A599" s="15" t="s">
        <v>11971</v>
      </c>
      <c r="B599" s="16" t="s">
        <v>12274</v>
      </c>
      <c r="C599" s="16" t="s">
        <v>12274</v>
      </c>
      <c r="D599" s="17" t="s">
        <v>4124</v>
      </c>
      <c r="E599" s="17" t="s">
        <v>5509</v>
      </c>
      <c r="F599" s="18">
        <v>0</v>
      </c>
      <c r="G599" s="18">
        <v>5711.95</v>
      </c>
      <c r="H599" s="18">
        <v>656717.6</v>
      </c>
    </row>
    <row r="600" spans="1:8" ht="25.5">
      <c r="A600" s="15" t="s">
        <v>12078</v>
      </c>
      <c r="B600" s="16" t="s">
        <v>12275</v>
      </c>
      <c r="C600" s="16" t="s">
        <v>12275</v>
      </c>
      <c r="D600" s="17" t="s">
        <v>4124</v>
      </c>
      <c r="E600" s="17" t="s">
        <v>5510</v>
      </c>
      <c r="F600" s="18">
        <v>0</v>
      </c>
      <c r="G600" s="18">
        <v>987.87</v>
      </c>
      <c r="H600" s="18">
        <v>657705.47</v>
      </c>
    </row>
    <row r="601" spans="1:8">
      <c r="A601" s="15" t="s">
        <v>11926</v>
      </c>
      <c r="B601" s="16" t="s">
        <v>11927</v>
      </c>
      <c r="C601" s="16" t="s">
        <v>11927</v>
      </c>
      <c r="D601" s="17" t="s">
        <v>4124</v>
      </c>
      <c r="E601" s="17" t="s">
        <v>5511</v>
      </c>
      <c r="F601" s="18">
        <v>3100</v>
      </c>
      <c r="G601" s="18">
        <v>0</v>
      </c>
      <c r="H601" s="18">
        <v>654605.47</v>
      </c>
    </row>
    <row r="602" spans="1:8">
      <c r="A602" s="15" t="s">
        <v>11776</v>
      </c>
      <c r="B602" s="16" t="s">
        <v>11928</v>
      </c>
      <c r="C602" s="16" t="s">
        <v>11929</v>
      </c>
      <c r="D602" s="17" t="s">
        <v>4124</v>
      </c>
      <c r="E602" s="17" t="s">
        <v>5512</v>
      </c>
      <c r="F602" s="18">
        <v>50000</v>
      </c>
      <c r="G602" s="18">
        <v>0</v>
      </c>
      <c r="H602" s="18">
        <v>604605.47</v>
      </c>
    </row>
    <row r="603" spans="1:8">
      <c r="A603" s="15" t="s">
        <v>11580</v>
      </c>
      <c r="B603" s="16" t="s">
        <v>11928</v>
      </c>
      <c r="C603" s="16" t="s">
        <v>11929</v>
      </c>
      <c r="D603" s="17" t="s">
        <v>4124</v>
      </c>
      <c r="E603" s="17" t="s">
        <v>5513</v>
      </c>
      <c r="F603" s="18">
        <v>5000</v>
      </c>
      <c r="G603" s="18">
        <v>0</v>
      </c>
      <c r="H603" s="18">
        <v>599605.47</v>
      </c>
    </row>
    <row r="604" spans="1:8" ht="25.5">
      <c r="A604" s="15" t="s">
        <v>11779</v>
      </c>
      <c r="B604" s="16" t="s">
        <v>12276</v>
      </c>
      <c r="C604" s="16" t="s">
        <v>12276</v>
      </c>
      <c r="D604" s="17" t="s">
        <v>4124</v>
      </c>
      <c r="E604" s="17" t="s">
        <v>5514</v>
      </c>
      <c r="F604" s="18">
        <v>0</v>
      </c>
      <c r="G604" s="18">
        <v>2177.21</v>
      </c>
      <c r="H604" s="18">
        <v>601782.68000000005</v>
      </c>
    </row>
    <row r="605" spans="1:8" ht="25.5">
      <c r="A605" s="15" t="s">
        <v>11676</v>
      </c>
      <c r="B605" s="16" t="s">
        <v>12277</v>
      </c>
      <c r="C605" s="16" t="s">
        <v>12277</v>
      </c>
      <c r="D605" s="17" t="s">
        <v>4124</v>
      </c>
      <c r="E605" s="17" t="s">
        <v>5515</v>
      </c>
      <c r="F605" s="18">
        <v>0</v>
      </c>
      <c r="G605" s="18">
        <v>734757</v>
      </c>
      <c r="H605" s="18">
        <v>1336539.68</v>
      </c>
    </row>
    <row r="606" spans="1:8">
      <c r="A606" s="15" t="s">
        <v>11582</v>
      </c>
      <c r="B606" s="16" t="s">
        <v>11930</v>
      </c>
      <c r="C606" s="16" t="s">
        <v>11930</v>
      </c>
      <c r="D606" s="17" t="s">
        <v>4124</v>
      </c>
      <c r="E606" s="17" t="s">
        <v>5516</v>
      </c>
      <c r="F606" s="18">
        <v>7000</v>
      </c>
      <c r="G606" s="18">
        <v>0</v>
      </c>
      <c r="H606" s="18">
        <v>1329539.68</v>
      </c>
    </row>
    <row r="607" spans="1:8">
      <c r="A607" s="15" t="s">
        <v>11588</v>
      </c>
      <c r="B607" s="16" t="s">
        <v>12278</v>
      </c>
      <c r="C607" s="16" t="s">
        <v>11931</v>
      </c>
      <c r="D607" s="17" t="s">
        <v>4124</v>
      </c>
      <c r="E607" s="17" t="s">
        <v>5517</v>
      </c>
      <c r="F607" s="18">
        <v>26000</v>
      </c>
      <c r="G607" s="18">
        <v>0</v>
      </c>
      <c r="H607" s="18">
        <v>1303539.68</v>
      </c>
    </row>
    <row r="608" spans="1:8">
      <c r="A608" s="15" t="s">
        <v>11483</v>
      </c>
      <c r="B608" s="16" t="s">
        <v>11931</v>
      </c>
      <c r="C608" s="16" t="s">
        <v>11931</v>
      </c>
      <c r="D608" s="17" t="s">
        <v>4124</v>
      </c>
      <c r="E608" s="17" t="s">
        <v>5518</v>
      </c>
      <c r="F608" s="18">
        <v>6944.81</v>
      </c>
      <c r="G608" s="18">
        <v>0</v>
      </c>
      <c r="H608" s="18">
        <v>1296594.8700000001</v>
      </c>
    </row>
    <row r="609" spans="1:8">
      <c r="A609" s="15" t="s">
        <v>11486</v>
      </c>
      <c r="B609" s="16" t="s">
        <v>11931</v>
      </c>
      <c r="C609" s="16" t="s">
        <v>11931</v>
      </c>
      <c r="D609" s="17" t="s">
        <v>4124</v>
      </c>
      <c r="E609" s="17" t="s">
        <v>5519</v>
      </c>
      <c r="F609" s="18">
        <v>1618.21</v>
      </c>
      <c r="G609" s="18">
        <v>0</v>
      </c>
      <c r="H609" s="18">
        <v>1294976.6599999999</v>
      </c>
    </row>
    <row r="610" spans="1:8">
      <c r="A610" s="15" t="s">
        <v>11487</v>
      </c>
      <c r="B610" s="16" t="s">
        <v>11932</v>
      </c>
      <c r="C610" s="16" t="s">
        <v>11932</v>
      </c>
      <c r="D610" s="17" t="s">
        <v>4124</v>
      </c>
      <c r="E610" s="17" t="s">
        <v>5413</v>
      </c>
      <c r="F610" s="18">
        <v>12714.78</v>
      </c>
      <c r="G610" s="18">
        <v>0</v>
      </c>
      <c r="H610" s="18">
        <v>1282261.8799999999</v>
      </c>
    </row>
    <row r="611" spans="1:8">
      <c r="A611" s="15" t="s">
        <v>11488</v>
      </c>
      <c r="B611" s="16" t="s">
        <v>11932</v>
      </c>
      <c r="C611" s="16" t="s">
        <v>11932</v>
      </c>
      <c r="D611" s="17" t="s">
        <v>4124</v>
      </c>
      <c r="E611" s="17" t="s">
        <v>5520</v>
      </c>
      <c r="F611" s="18">
        <v>10000</v>
      </c>
      <c r="G611" s="18">
        <v>0</v>
      </c>
      <c r="H611" s="18">
        <v>1272261.8799999999</v>
      </c>
    </row>
    <row r="612" spans="1:8">
      <c r="A612" s="15" t="s">
        <v>11682</v>
      </c>
      <c r="B612" s="16" t="s">
        <v>12279</v>
      </c>
      <c r="C612" s="16" t="s">
        <v>12279</v>
      </c>
      <c r="D612" s="17" t="s">
        <v>4124</v>
      </c>
      <c r="E612" s="17" t="s">
        <v>5521</v>
      </c>
      <c r="F612" s="18">
        <v>400028.09</v>
      </c>
      <c r="G612" s="18">
        <v>0</v>
      </c>
      <c r="H612" s="18">
        <v>872233.79</v>
      </c>
    </row>
    <row r="613" spans="1:8">
      <c r="A613" s="15" t="s">
        <v>11491</v>
      </c>
      <c r="B613" s="16" t="s">
        <v>11413</v>
      </c>
      <c r="C613" s="16" t="s">
        <v>11413</v>
      </c>
      <c r="D613" s="17" t="s">
        <v>4124</v>
      </c>
      <c r="E613" s="17" t="s">
        <v>5522</v>
      </c>
      <c r="F613" s="18">
        <v>50000</v>
      </c>
      <c r="G613" s="18">
        <v>0</v>
      </c>
      <c r="H613" s="18">
        <v>822233.79</v>
      </c>
    </row>
    <row r="614" spans="1:8">
      <c r="A614" s="15" t="s">
        <v>11591</v>
      </c>
      <c r="B614" s="16" t="s">
        <v>11413</v>
      </c>
      <c r="C614" s="16" t="s">
        <v>11413</v>
      </c>
      <c r="D614" s="17" t="s">
        <v>4124</v>
      </c>
      <c r="E614" s="17" t="s">
        <v>5523</v>
      </c>
      <c r="F614" s="18">
        <v>10000</v>
      </c>
      <c r="G614" s="18">
        <v>0</v>
      </c>
      <c r="H614" s="18">
        <v>812233.79</v>
      </c>
    </row>
    <row r="615" spans="1:8" ht="25.5">
      <c r="A615" s="15" t="s">
        <v>11493</v>
      </c>
      <c r="B615" s="16" t="s">
        <v>11415</v>
      </c>
      <c r="C615" s="16" t="s">
        <v>11415</v>
      </c>
      <c r="D615" s="17" t="s">
        <v>4124</v>
      </c>
      <c r="E615" s="17" t="s">
        <v>5524</v>
      </c>
      <c r="F615" s="18">
        <v>0</v>
      </c>
      <c r="G615" s="18">
        <v>295212</v>
      </c>
      <c r="H615" s="18">
        <v>1107445.79</v>
      </c>
    </row>
    <row r="616" spans="1:8">
      <c r="A616" s="15" t="s">
        <v>11594</v>
      </c>
      <c r="B616" s="16" t="s">
        <v>12280</v>
      </c>
      <c r="C616" s="16" t="s">
        <v>12280</v>
      </c>
      <c r="D616" s="17" t="s">
        <v>4124</v>
      </c>
      <c r="E616" s="17" t="s">
        <v>5525</v>
      </c>
      <c r="F616" s="18">
        <v>0</v>
      </c>
      <c r="G616" s="18">
        <v>478.18</v>
      </c>
      <c r="H616" s="18">
        <v>1107923.97</v>
      </c>
    </row>
    <row r="617" spans="1:8">
      <c r="A617" s="15" t="s">
        <v>11596</v>
      </c>
      <c r="B617" s="16" t="s">
        <v>12281</v>
      </c>
      <c r="C617" s="16" t="s">
        <v>12281</v>
      </c>
      <c r="D617" s="17" t="s">
        <v>4124</v>
      </c>
      <c r="E617" s="17" t="s">
        <v>5526</v>
      </c>
      <c r="F617" s="18">
        <v>26000</v>
      </c>
      <c r="G617" s="18">
        <v>0</v>
      </c>
      <c r="H617" s="18">
        <v>1081923.97</v>
      </c>
    </row>
    <row r="618" spans="1:8">
      <c r="A618" s="15" t="s">
        <v>11495</v>
      </c>
      <c r="B618" s="16" t="s">
        <v>11933</v>
      </c>
      <c r="C618" s="16" t="s">
        <v>11933</v>
      </c>
      <c r="D618" s="17" t="s">
        <v>4124</v>
      </c>
      <c r="E618" s="17" t="s">
        <v>5413</v>
      </c>
      <c r="F618" s="18">
        <v>8892.09</v>
      </c>
      <c r="G618" s="18">
        <v>0</v>
      </c>
      <c r="H618" s="18">
        <v>1073031.8799999999</v>
      </c>
    </row>
    <row r="619" spans="1:8">
      <c r="A619" s="15" t="s">
        <v>11742</v>
      </c>
      <c r="B619" s="16" t="s">
        <v>11934</v>
      </c>
      <c r="C619" s="16" t="s">
        <v>11934</v>
      </c>
      <c r="D619" s="17" t="s">
        <v>4124</v>
      </c>
      <c r="E619" s="17" t="s">
        <v>5527</v>
      </c>
      <c r="F619" s="18">
        <v>980</v>
      </c>
      <c r="G619" s="18">
        <v>0</v>
      </c>
      <c r="H619" s="18">
        <v>1072051.8799999999</v>
      </c>
    </row>
    <row r="620" spans="1:8">
      <c r="A620" s="15" t="s">
        <v>11808</v>
      </c>
      <c r="B620" s="16" t="s">
        <v>11934</v>
      </c>
      <c r="C620" s="16" t="s">
        <v>11934</v>
      </c>
      <c r="D620" s="17" t="s">
        <v>4124</v>
      </c>
      <c r="E620" s="17" t="s">
        <v>5528</v>
      </c>
      <c r="F620" s="18">
        <v>248652.4</v>
      </c>
      <c r="G620" s="18">
        <v>0</v>
      </c>
      <c r="H620" s="18">
        <v>823399.48</v>
      </c>
    </row>
    <row r="621" spans="1:8">
      <c r="A621" s="15" t="s">
        <v>11599</v>
      </c>
      <c r="B621" s="16" t="s">
        <v>11935</v>
      </c>
      <c r="C621" s="16" t="s">
        <v>11935</v>
      </c>
      <c r="D621" s="17" t="s">
        <v>4124</v>
      </c>
      <c r="E621" s="17" t="s">
        <v>2191</v>
      </c>
      <c r="F621" s="18">
        <v>10000</v>
      </c>
      <c r="G621" s="18">
        <v>0</v>
      </c>
      <c r="H621" s="18">
        <v>813399.48</v>
      </c>
    </row>
    <row r="622" spans="1:8">
      <c r="A622" s="15" t="s">
        <v>11498</v>
      </c>
      <c r="B622" s="16" t="s">
        <v>11418</v>
      </c>
      <c r="C622" s="16" t="s">
        <v>11418</v>
      </c>
      <c r="D622" s="17" t="s">
        <v>4124</v>
      </c>
      <c r="E622" s="17" t="s">
        <v>5529</v>
      </c>
      <c r="F622" s="18">
        <v>50000</v>
      </c>
      <c r="G622" s="18">
        <v>0</v>
      </c>
      <c r="H622" s="18">
        <v>763399.48</v>
      </c>
    </row>
    <row r="623" spans="1:8">
      <c r="A623" s="15" t="s">
        <v>11936</v>
      </c>
      <c r="B623" s="16" t="s">
        <v>11937</v>
      </c>
      <c r="C623" s="16" t="s">
        <v>11419</v>
      </c>
      <c r="D623" s="17" t="s">
        <v>4124</v>
      </c>
      <c r="E623" s="17" t="s">
        <v>5530</v>
      </c>
      <c r="F623" s="18">
        <v>165</v>
      </c>
      <c r="G623" s="18">
        <v>0</v>
      </c>
      <c r="H623" s="18">
        <v>763234.48</v>
      </c>
    </row>
    <row r="624" spans="1:8" ht="25.5">
      <c r="A624" s="15" t="s">
        <v>11500</v>
      </c>
      <c r="B624" s="16" t="s">
        <v>11424</v>
      </c>
      <c r="C624" s="16" t="s">
        <v>11424</v>
      </c>
      <c r="D624" s="17" t="s">
        <v>4124</v>
      </c>
      <c r="E624" s="17" t="s">
        <v>5531</v>
      </c>
      <c r="F624" s="18">
        <v>0</v>
      </c>
      <c r="G624" s="18">
        <v>203920</v>
      </c>
      <c r="H624" s="18">
        <v>967154.48</v>
      </c>
    </row>
    <row r="625" spans="1:8">
      <c r="A625" s="15" t="s">
        <v>11689</v>
      </c>
      <c r="B625" s="16" t="s">
        <v>11938</v>
      </c>
      <c r="C625" s="16" t="s">
        <v>11938</v>
      </c>
      <c r="D625" s="17" t="s">
        <v>4124</v>
      </c>
      <c r="E625" s="17" t="s">
        <v>5532</v>
      </c>
      <c r="F625" s="18">
        <v>10000</v>
      </c>
      <c r="G625" s="18">
        <v>0</v>
      </c>
      <c r="H625" s="18">
        <v>957154.48</v>
      </c>
    </row>
    <row r="626" spans="1:8">
      <c r="A626" s="15" t="s">
        <v>11811</v>
      </c>
      <c r="B626" s="16" t="s">
        <v>11938</v>
      </c>
      <c r="C626" s="16" t="s">
        <v>11938</v>
      </c>
      <c r="D626" s="17" t="s">
        <v>4124</v>
      </c>
      <c r="E626" s="17" t="s">
        <v>5532</v>
      </c>
      <c r="F626" s="18">
        <v>5000</v>
      </c>
      <c r="G626" s="18">
        <v>0</v>
      </c>
      <c r="H626" s="18">
        <v>952154.48</v>
      </c>
    </row>
    <row r="627" spans="1:8">
      <c r="A627" s="15" t="s">
        <v>11603</v>
      </c>
      <c r="B627" s="16" t="s">
        <v>11939</v>
      </c>
      <c r="C627" s="16" t="s">
        <v>11939</v>
      </c>
      <c r="D627" s="17" t="s">
        <v>4124</v>
      </c>
      <c r="E627" s="17" t="s">
        <v>5533</v>
      </c>
      <c r="F627" s="18">
        <v>26000</v>
      </c>
      <c r="G627" s="18">
        <v>0</v>
      </c>
      <c r="H627" s="18">
        <v>926154.48</v>
      </c>
    </row>
    <row r="628" spans="1:8">
      <c r="A628" s="15" t="s">
        <v>11605</v>
      </c>
      <c r="B628" s="16" t="s">
        <v>11939</v>
      </c>
      <c r="C628" s="16" t="s">
        <v>11939</v>
      </c>
      <c r="D628" s="17" t="s">
        <v>4124</v>
      </c>
      <c r="E628" s="17" t="s">
        <v>5534</v>
      </c>
      <c r="F628" s="18">
        <v>502.53</v>
      </c>
      <c r="G628" s="18">
        <v>0</v>
      </c>
      <c r="H628" s="18">
        <v>925651.95</v>
      </c>
    </row>
    <row r="629" spans="1:8">
      <c r="A629" s="15" t="s">
        <v>11502</v>
      </c>
      <c r="B629" s="16" t="s">
        <v>12282</v>
      </c>
      <c r="C629" s="16" t="s">
        <v>12282</v>
      </c>
      <c r="D629" s="17" t="s">
        <v>4124</v>
      </c>
      <c r="E629" s="17" t="s">
        <v>5535</v>
      </c>
      <c r="F629" s="18">
        <v>7372.85</v>
      </c>
      <c r="G629" s="18">
        <v>0</v>
      </c>
      <c r="H629" s="18">
        <v>918279.1</v>
      </c>
    </row>
    <row r="630" spans="1:8">
      <c r="A630" s="15" t="s">
        <v>11608</v>
      </c>
      <c r="B630" s="16" t="s">
        <v>11940</v>
      </c>
      <c r="C630" s="16" t="s">
        <v>11940</v>
      </c>
      <c r="D630" s="17" t="s">
        <v>4124</v>
      </c>
      <c r="E630" s="17" t="s">
        <v>5413</v>
      </c>
      <c r="F630" s="18">
        <v>10430.379999999999</v>
      </c>
      <c r="G630" s="18">
        <v>0</v>
      </c>
      <c r="H630" s="18">
        <v>907848.72</v>
      </c>
    </row>
    <row r="631" spans="1:8" ht="25.5">
      <c r="A631" s="15" t="s">
        <v>11609</v>
      </c>
      <c r="B631" s="16" t="s">
        <v>11940</v>
      </c>
      <c r="C631" s="16" t="s">
        <v>11940</v>
      </c>
      <c r="D631" s="17" t="s">
        <v>4124</v>
      </c>
      <c r="E631" s="17" t="s">
        <v>5536</v>
      </c>
      <c r="F631" s="18">
        <v>0</v>
      </c>
      <c r="G631" s="18">
        <v>2082.8000000000002</v>
      </c>
      <c r="H631" s="18">
        <v>909931.52000000002</v>
      </c>
    </row>
    <row r="632" spans="1:8">
      <c r="A632" s="15" t="s">
        <v>11504</v>
      </c>
      <c r="B632" s="16" t="s">
        <v>11941</v>
      </c>
      <c r="C632" s="16" t="s">
        <v>11941</v>
      </c>
      <c r="D632" s="17" t="s">
        <v>4124</v>
      </c>
      <c r="E632" s="17" t="s">
        <v>5537</v>
      </c>
      <c r="F632" s="18">
        <v>1185.74</v>
      </c>
      <c r="G632" s="18">
        <v>0</v>
      </c>
      <c r="H632" s="18">
        <v>908745.78</v>
      </c>
    </row>
    <row r="633" spans="1:8">
      <c r="A633" s="15" t="s">
        <v>11695</v>
      </c>
      <c r="B633" s="16" t="s">
        <v>11942</v>
      </c>
      <c r="C633" s="16" t="s">
        <v>11942</v>
      </c>
      <c r="D633" s="17" t="s">
        <v>4124</v>
      </c>
      <c r="E633" s="17" t="s">
        <v>5538</v>
      </c>
      <c r="F633" s="18">
        <v>5000</v>
      </c>
      <c r="G633" s="18">
        <v>0</v>
      </c>
      <c r="H633" s="18">
        <v>903745.78</v>
      </c>
    </row>
    <row r="634" spans="1:8">
      <c r="A634" s="15" t="s">
        <v>11697</v>
      </c>
      <c r="B634" s="16" t="s">
        <v>11427</v>
      </c>
      <c r="C634" s="16" t="s">
        <v>11427</v>
      </c>
      <c r="D634" s="17" t="s">
        <v>4124</v>
      </c>
      <c r="E634" s="17" t="s">
        <v>5539</v>
      </c>
      <c r="F634" s="18">
        <v>50000</v>
      </c>
      <c r="G634" s="18">
        <v>0</v>
      </c>
      <c r="H634" s="18">
        <v>853745.78</v>
      </c>
    </row>
    <row r="635" spans="1:8">
      <c r="A635" s="15" t="s">
        <v>11507</v>
      </c>
      <c r="B635" s="16" t="s">
        <v>11427</v>
      </c>
      <c r="C635" s="16" t="s">
        <v>11427</v>
      </c>
      <c r="D635" s="17" t="s">
        <v>4124</v>
      </c>
      <c r="E635" s="17" t="s">
        <v>5540</v>
      </c>
      <c r="F635" s="18">
        <v>6000</v>
      </c>
      <c r="G635" s="18">
        <v>0</v>
      </c>
      <c r="H635" s="18">
        <v>847745.78</v>
      </c>
    </row>
    <row r="636" spans="1:8">
      <c r="A636" s="15" t="s">
        <v>11509</v>
      </c>
      <c r="B636" s="16" t="s">
        <v>11943</v>
      </c>
      <c r="C636" s="16" t="s">
        <v>11943</v>
      </c>
      <c r="D636" s="17" t="s">
        <v>4124</v>
      </c>
      <c r="E636" s="17" t="s">
        <v>5541</v>
      </c>
      <c r="F636" s="18">
        <v>10000</v>
      </c>
      <c r="G636" s="18">
        <v>0</v>
      </c>
      <c r="H636" s="18">
        <v>837745.78</v>
      </c>
    </row>
    <row r="637" spans="1:8" ht="25.5">
      <c r="A637" s="15" t="s">
        <v>11511</v>
      </c>
      <c r="B637" s="16" t="s">
        <v>11428</v>
      </c>
      <c r="C637" s="16" t="s">
        <v>11428</v>
      </c>
      <c r="D637" s="17" t="s">
        <v>4124</v>
      </c>
      <c r="E637" s="17" t="s">
        <v>5542</v>
      </c>
      <c r="F637" s="18">
        <v>0</v>
      </c>
      <c r="G637" s="18">
        <v>209919</v>
      </c>
      <c r="H637" s="18">
        <v>1047664.78</v>
      </c>
    </row>
    <row r="638" spans="1:8">
      <c r="A638" s="15" t="s">
        <v>11514</v>
      </c>
      <c r="B638" s="16" t="s">
        <v>11944</v>
      </c>
      <c r="C638" s="16" t="s">
        <v>11430</v>
      </c>
      <c r="D638" s="17" t="s">
        <v>4124</v>
      </c>
      <c r="E638" s="17" t="s">
        <v>5543</v>
      </c>
      <c r="F638" s="18">
        <v>10000</v>
      </c>
      <c r="G638" s="18">
        <v>0</v>
      </c>
      <c r="H638" s="18">
        <v>1037664.78</v>
      </c>
    </row>
    <row r="639" spans="1:8">
      <c r="A639" s="15" t="s">
        <v>11516</v>
      </c>
      <c r="B639" s="16" t="s">
        <v>11431</v>
      </c>
      <c r="C639" s="16" t="s">
        <v>11431</v>
      </c>
      <c r="D639" s="17" t="s">
        <v>4124</v>
      </c>
      <c r="E639" s="17" t="s">
        <v>5544</v>
      </c>
      <c r="F639" s="18">
        <v>0</v>
      </c>
      <c r="G639" s="18">
        <v>20103</v>
      </c>
      <c r="H639" s="18">
        <v>1057767.78</v>
      </c>
    </row>
    <row r="640" spans="1:8">
      <c r="A640" s="15" t="s">
        <v>11822</v>
      </c>
      <c r="B640" s="16" t="s">
        <v>12283</v>
      </c>
      <c r="C640" s="16" t="s">
        <v>12283</v>
      </c>
      <c r="D640" s="17" t="s">
        <v>4124</v>
      </c>
      <c r="E640" s="17" t="s">
        <v>5545</v>
      </c>
      <c r="F640" s="18">
        <v>26000</v>
      </c>
      <c r="G640" s="18">
        <v>0</v>
      </c>
      <c r="H640" s="18">
        <v>1031767.78</v>
      </c>
    </row>
    <row r="641" spans="1:8">
      <c r="A641" s="15" t="s">
        <v>11517</v>
      </c>
      <c r="B641" s="16" t="s">
        <v>11945</v>
      </c>
      <c r="C641" s="16" t="s">
        <v>11946</v>
      </c>
      <c r="D641" s="17" t="s">
        <v>4124</v>
      </c>
      <c r="E641" s="17" t="s">
        <v>5546</v>
      </c>
      <c r="F641" s="18">
        <v>1010.95</v>
      </c>
      <c r="G641" s="18">
        <v>0</v>
      </c>
      <c r="H641" s="18">
        <v>1030756.83</v>
      </c>
    </row>
    <row r="642" spans="1:8">
      <c r="A642" s="15" t="s">
        <v>11825</v>
      </c>
      <c r="B642" s="16" t="s">
        <v>11946</v>
      </c>
      <c r="C642" s="16" t="s">
        <v>11946</v>
      </c>
      <c r="D642" s="17" t="s">
        <v>4124</v>
      </c>
      <c r="E642" s="17" t="s">
        <v>5413</v>
      </c>
      <c r="F642" s="18">
        <v>4780.78</v>
      </c>
      <c r="G642" s="18">
        <v>0</v>
      </c>
      <c r="H642" s="18">
        <v>1025976.05</v>
      </c>
    </row>
    <row r="643" spans="1:8" ht="25.5">
      <c r="A643" s="15" t="s">
        <v>11615</v>
      </c>
      <c r="B643" s="16" t="s">
        <v>12284</v>
      </c>
      <c r="C643" s="16" t="s">
        <v>12284</v>
      </c>
      <c r="D643" s="17" t="s">
        <v>4124</v>
      </c>
      <c r="E643" s="17" t="s">
        <v>5547</v>
      </c>
      <c r="F643" s="18">
        <v>0</v>
      </c>
      <c r="G643" s="18">
        <v>2760.69</v>
      </c>
      <c r="H643" s="18">
        <v>1028736.74</v>
      </c>
    </row>
    <row r="644" spans="1:8">
      <c r="A644" s="15" t="s">
        <v>11618</v>
      </c>
      <c r="B644" s="16" t="s">
        <v>11947</v>
      </c>
      <c r="C644" s="16" t="s">
        <v>11947</v>
      </c>
      <c r="D644" s="17" t="s">
        <v>4124</v>
      </c>
      <c r="E644" s="17" t="s">
        <v>5548</v>
      </c>
      <c r="F644" s="18">
        <v>10000</v>
      </c>
      <c r="G644" s="18">
        <v>0</v>
      </c>
      <c r="H644" s="18">
        <v>1018736.74</v>
      </c>
    </row>
    <row r="645" spans="1:8">
      <c r="A645" s="15" t="s">
        <v>11621</v>
      </c>
      <c r="B645" s="16" t="s">
        <v>11432</v>
      </c>
      <c r="C645" s="16" t="s">
        <v>11432</v>
      </c>
      <c r="D645" s="17" t="s">
        <v>4124</v>
      </c>
      <c r="E645" s="17" t="s">
        <v>5549</v>
      </c>
      <c r="F645" s="18">
        <v>50000</v>
      </c>
      <c r="G645" s="18">
        <v>0</v>
      </c>
      <c r="H645" s="18">
        <v>968736.74</v>
      </c>
    </row>
    <row r="646" spans="1:8">
      <c r="A646" s="15" t="s">
        <v>11519</v>
      </c>
      <c r="B646" s="16" t="s">
        <v>11948</v>
      </c>
      <c r="C646" s="16" t="s">
        <v>11948</v>
      </c>
      <c r="D646" s="17" t="s">
        <v>4124</v>
      </c>
      <c r="E646" s="17" t="s">
        <v>5550</v>
      </c>
      <c r="F646" s="18">
        <v>10000</v>
      </c>
      <c r="G646" s="18">
        <v>0</v>
      </c>
      <c r="H646" s="18">
        <v>958736.74</v>
      </c>
    </row>
    <row r="647" spans="1:8" ht="25.5">
      <c r="A647" s="15" t="s">
        <v>11521</v>
      </c>
      <c r="B647" s="16" t="s">
        <v>11433</v>
      </c>
      <c r="C647" s="16" t="s">
        <v>11433</v>
      </c>
      <c r="D647" s="17" t="s">
        <v>4124</v>
      </c>
      <c r="E647" s="17" t="s">
        <v>5551</v>
      </c>
      <c r="F647" s="18">
        <v>0</v>
      </c>
      <c r="G647" s="18">
        <v>213375</v>
      </c>
      <c r="H647" s="18">
        <v>1172111.74</v>
      </c>
    </row>
    <row r="648" spans="1:8">
      <c r="A648" s="15" t="s">
        <v>11522</v>
      </c>
      <c r="B648" s="16" t="s">
        <v>11434</v>
      </c>
      <c r="C648" s="16" t="s">
        <v>11434</v>
      </c>
      <c r="D648" s="17" t="s">
        <v>4124</v>
      </c>
      <c r="E648" s="17" t="s">
        <v>5552</v>
      </c>
      <c r="F648" s="18">
        <v>300028.5</v>
      </c>
      <c r="G648" s="18">
        <v>0</v>
      </c>
      <c r="H648" s="18">
        <v>872083.24</v>
      </c>
    </row>
    <row r="649" spans="1:8">
      <c r="A649" s="15" t="s">
        <v>11623</v>
      </c>
      <c r="B649" s="16" t="s">
        <v>12285</v>
      </c>
      <c r="C649" s="16" t="s">
        <v>12285</v>
      </c>
      <c r="D649" s="17" t="s">
        <v>4124</v>
      </c>
      <c r="E649" s="17" t="s">
        <v>5553</v>
      </c>
      <c r="F649" s="18">
        <v>26000</v>
      </c>
      <c r="G649" s="18">
        <v>0</v>
      </c>
      <c r="H649" s="18">
        <v>846083.24</v>
      </c>
    </row>
    <row r="650" spans="1:8">
      <c r="A650" s="15" t="s">
        <v>11523</v>
      </c>
      <c r="B650" s="16" t="s">
        <v>11949</v>
      </c>
      <c r="C650" s="16" t="s">
        <v>11949</v>
      </c>
      <c r="D650" s="17" t="s">
        <v>4124</v>
      </c>
      <c r="E650" s="17" t="s">
        <v>5413</v>
      </c>
      <c r="F650" s="18">
        <v>5481.55</v>
      </c>
      <c r="G650" s="18">
        <v>0</v>
      </c>
      <c r="H650" s="18">
        <v>840601.69</v>
      </c>
    </row>
    <row r="651" spans="1:8">
      <c r="A651" s="15" t="s">
        <v>11627</v>
      </c>
      <c r="B651" s="16" t="s">
        <v>11950</v>
      </c>
      <c r="C651" s="16" t="s">
        <v>11950</v>
      </c>
      <c r="D651" s="17" t="s">
        <v>4124</v>
      </c>
      <c r="E651" s="17" t="s">
        <v>5554</v>
      </c>
      <c r="F651" s="18">
        <v>1117.6600000000001</v>
      </c>
      <c r="G651" s="18">
        <v>0</v>
      </c>
      <c r="H651" s="18">
        <v>839484.03</v>
      </c>
    </row>
    <row r="652" spans="1:8" ht="25.5">
      <c r="A652" s="15" t="s">
        <v>11704</v>
      </c>
      <c r="B652" s="16" t="s">
        <v>12286</v>
      </c>
      <c r="C652" s="16" t="s">
        <v>12286</v>
      </c>
      <c r="D652" s="17" t="s">
        <v>4124</v>
      </c>
      <c r="E652" s="17" t="s">
        <v>5555</v>
      </c>
      <c r="F652" s="18">
        <v>0</v>
      </c>
      <c r="G652" s="18">
        <v>1681.66</v>
      </c>
      <c r="H652" s="18">
        <v>841165.69</v>
      </c>
    </row>
    <row r="653" spans="1:8">
      <c r="A653" s="15" t="s">
        <v>11525</v>
      </c>
      <c r="B653" s="16" t="s">
        <v>11438</v>
      </c>
      <c r="C653" s="16" t="s">
        <v>11438</v>
      </c>
      <c r="D653" s="17" t="s">
        <v>4124</v>
      </c>
      <c r="E653" s="17" t="s">
        <v>5556</v>
      </c>
      <c r="F653" s="18">
        <v>9184</v>
      </c>
      <c r="G653" s="18">
        <v>0</v>
      </c>
      <c r="H653" s="18">
        <v>831981.69</v>
      </c>
    </row>
    <row r="654" spans="1:8">
      <c r="A654" s="15" t="s">
        <v>11706</v>
      </c>
      <c r="B654" s="16" t="s">
        <v>11951</v>
      </c>
      <c r="C654" s="16" t="s">
        <v>11951</v>
      </c>
      <c r="D654" s="17" t="s">
        <v>4124</v>
      </c>
      <c r="E654" s="17" t="s">
        <v>5557</v>
      </c>
      <c r="F654" s="18">
        <v>102.85</v>
      </c>
      <c r="G654" s="18">
        <v>0</v>
      </c>
      <c r="H654" s="18">
        <v>831878.84</v>
      </c>
    </row>
    <row r="655" spans="1:8">
      <c r="A655" s="15" t="s">
        <v>11528</v>
      </c>
      <c r="B655" s="16" t="s">
        <v>11951</v>
      </c>
      <c r="C655" s="16" t="s">
        <v>11951</v>
      </c>
      <c r="D655" s="17" t="s">
        <v>4124</v>
      </c>
      <c r="E655" s="17" t="s">
        <v>5558</v>
      </c>
      <c r="F655" s="18">
        <v>10000</v>
      </c>
      <c r="G655" s="18">
        <v>0</v>
      </c>
      <c r="H655" s="18">
        <v>821878.84</v>
      </c>
    </row>
    <row r="656" spans="1:8">
      <c r="A656" s="15" t="s">
        <v>11834</v>
      </c>
      <c r="B656" s="16" t="s">
        <v>11951</v>
      </c>
      <c r="C656" s="16" t="s">
        <v>11951</v>
      </c>
      <c r="D656" s="17" t="s">
        <v>4124</v>
      </c>
      <c r="E656" s="17" t="s">
        <v>5559</v>
      </c>
      <c r="F656" s="18">
        <v>20005.7</v>
      </c>
      <c r="G656" s="18">
        <v>0</v>
      </c>
      <c r="H656" s="18">
        <v>801873.14</v>
      </c>
    </row>
    <row r="657" spans="1:8">
      <c r="A657" s="15" t="s">
        <v>11530</v>
      </c>
      <c r="B657" s="16" t="s">
        <v>12287</v>
      </c>
      <c r="C657" s="16" t="s">
        <v>11440</v>
      </c>
      <c r="D657" s="17" t="s">
        <v>4124</v>
      </c>
      <c r="E657" s="17" t="s">
        <v>5560</v>
      </c>
      <c r="F657" s="18">
        <v>50000</v>
      </c>
      <c r="G657" s="18">
        <v>0</v>
      </c>
      <c r="H657" s="18">
        <v>751873.14</v>
      </c>
    </row>
    <row r="658" spans="1:8" ht="25.5">
      <c r="A658" s="15" t="s">
        <v>11532</v>
      </c>
      <c r="B658" s="16" t="s">
        <v>11442</v>
      </c>
      <c r="C658" s="16" t="s">
        <v>11442</v>
      </c>
      <c r="D658" s="17" t="s">
        <v>4124</v>
      </c>
      <c r="E658" s="17" t="s">
        <v>5561</v>
      </c>
      <c r="F658" s="18">
        <v>0</v>
      </c>
      <c r="G658" s="18">
        <v>564</v>
      </c>
      <c r="H658" s="18">
        <v>752437.14</v>
      </c>
    </row>
    <row r="659" spans="1:8" ht="25.5">
      <c r="A659" s="15" t="s">
        <v>11633</v>
      </c>
      <c r="B659" s="16" t="s">
        <v>11442</v>
      </c>
      <c r="C659" s="16" t="s">
        <v>11442</v>
      </c>
      <c r="D659" s="17" t="s">
        <v>4124</v>
      </c>
      <c r="E659" s="17" t="s">
        <v>5562</v>
      </c>
      <c r="F659" s="18">
        <v>0</v>
      </c>
      <c r="G659" s="18">
        <v>1137.26</v>
      </c>
      <c r="H659" s="18">
        <v>753574.40000000002</v>
      </c>
    </row>
    <row r="660" spans="1:8" ht="25.5">
      <c r="A660" s="15" t="s">
        <v>11636</v>
      </c>
      <c r="B660" s="16" t="s">
        <v>11443</v>
      </c>
      <c r="C660" s="16" t="s">
        <v>11443</v>
      </c>
      <c r="D660" s="17" t="s">
        <v>4124</v>
      </c>
      <c r="E660" s="17" t="s">
        <v>5563</v>
      </c>
      <c r="F660" s="18">
        <v>0</v>
      </c>
      <c r="G660" s="18">
        <v>274499</v>
      </c>
      <c r="H660" s="18">
        <v>1028073.4</v>
      </c>
    </row>
    <row r="661" spans="1:8">
      <c r="A661" s="15" t="s">
        <v>11638</v>
      </c>
      <c r="B661" s="16" t="s">
        <v>12288</v>
      </c>
      <c r="C661" s="16" t="s">
        <v>12288</v>
      </c>
      <c r="D661" s="17" t="s">
        <v>4124</v>
      </c>
      <c r="E661" s="17" t="s">
        <v>5564</v>
      </c>
      <c r="F661" s="18">
        <v>26000</v>
      </c>
      <c r="G661" s="18">
        <v>0</v>
      </c>
      <c r="H661" s="18">
        <v>1002073.4</v>
      </c>
    </row>
    <row r="662" spans="1:8">
      <c r="A662" s="15" t="s">
        <v>11533</v>
      </c>
      <c r="B662" s="16" t="s">
        <v>12288</v>
      </c>
      <c r="C662" s="16" t="s">
        <v>12288</v>
      </c>
      <c r="D662" s="17" t="s">
        <v>4124</v>
      </c>
      <c r="E662" s="17" t="s">
        <v>5565</v>
      </c>
      <c r="F662" s="18">
        <v>5662.8</v>
      </c>
      <c r="G662" s="18">
        <v>0</v>
      </c>
      <c r="H662" s="18">
        <v>996410.6</v>
      </c>
    </row>
    <row r="663" spans="1:8">
      <c r="A663" s="15" t="s">
        <v>11714</v>
      </c>
      <c r="B663" s="16" t="s">
        <v>11952</v>
      </c>
      <c r="C663" s="16" t="s">
        <v>11952</v>
      </c>
      <c r="D663" s="17" t="s">
        <v>4124</v>
      </c>
      <c r="E663" s="17" t="s">
        <v>5413</v>
      </c>
      <c r="F663" s="18">
        <v>3340</v>
      </c>
      <c r="G663" s="18">
        <v>0</v>
      </c>
      <c r="H663" s="18">
        <v>993070.6</v>
      </c>
    </row>
    <row r="664" spans="1:8">
      <c r="A664" s="15" t="s">
        <v>11536</v>
      </c>
      <c r="B664" s="16" t="s">
        <v>11953</v>
      </c>
      <c r="C664" s="16" t="s">
        <v>11953</v>
      </c>
      <c r="D664" s="17" t="s">
        <v>4124</v>
      </c>
      <c r="E664" s="17" t="s">
        <v>5566</v>
      </c>
      <c r="F664" s="18">
        <v>1137.26</v>
      </c>
      <c r="G664" s="18">
        <v>0</v>
      </c>
      <c r="H664" s="18">
        <v>991933.34</v>
      </c>
    </row>
    <row r="665" spans="1:8">
      <c r="A665" s="15" t="s">
        <v>11839</v>
      </c>
      <c r="B665" s="16" t="s">
        <v>11954</v>
      </c>
      <c r="C665" s="16" t="s">
        <v>11954</v>
      </c>
      <c r="D665" s="17" t="s">
        <v>4124</v>
      </c>
      <c r="E665" s="17" t="s">
        <v>5567</v>
      </c>
      <c r="F665" s="18">
        <v>1197</v>
      </c>
      <c r="G665" s="18">
        <v>0</v>
      </c>
      <c r="H665" s="18">
        <v>990736.34</v>
      </c>
    </row>
    <row r="666" spans="1:8">
      <c r="A666" s="15" t="s">
        <v>11640</v>
      </c>
      <c r="B666" s="16" t="s">
        <v>12289</v>
      </c>
      <c r="C666" s="16" t="s">
        <v>12289</v>
      </c>
      <c r="D666" s="17" t="s">
        <v>4124</v>
      </c>
      <c r="E666" s="17" t="s">
        <v>5568</v>
      </c>
      <c r="F666" s="18">
        <v>3210</v>
      </c>
      <c r="G666" s="18">
        <v>0</v>
      </c>
      <c r="H666" s="18">
        <v>987526.34</v>
      </c>
    </row>
    <row r="667" spans="1:8">
      <c r="A667" s="15" t="s">
        <v>11538</v>
      </c>
      <c r="B667" s="16" t="s">
        <v>12289</v>
      </c>
      <c r="C667" s="16" t="s">
        <v>12289</v>
      </c>
      <c r="D667" s="17" t="s">
        <v>4124</v>
      </c>
      <c r="E667" s="17" t="s">
        <v>5569</v>
      </c>
      <c r="F667" s="18">
        <v>20005.7</v>
      </c>
      <c r="G667" s="18">
        <v>0</v>
      </c>
      <c r="H667" s="18">
        <v>967520.64</v>
      </c>
    </row>
    <row r="668" spans="1:8">
      <c r="A668" s="15" t="s">
        <v>11642</v>
      </c>
      <c r="B668" s="16" t="s">
        <v>11446</v>
      </c>
      <c r="C668" s="16" t="s">
        <v>11446</v>
      </c>
      <c r="D668" s="17" t="s">
        <v>4124</v>
      </c>
      <c r="E668" s="17" t="s">
        <v>5570</v>
      </c>
      <c r="F668" s="18">
        <v>50000</v>
      </c>
      <c r="G668" s="18">
        <v>0</v>
      </c>
      <c r="H668" s="18">
        <v>917520.64</v>
      </c>
    </row>
    <row r="669" spans="1:8" ht="25.5">
      <c r="A669" s="15" t="s">
        <v>11645</v>
      </c>
      <c r="B669" s="16" t="s">
        <v>11448</v>
      </c>
      <c r="C669" s="16" t="s">
        <v>11448</v>
      </c>
      <c r="D669" s="17" t="s">
        <v>4124</v>
      </c>
      <c r="E669" s="17" t="s">
        <v>5571</v>
      </c>
      <c r="F669" s="18">
        <v>0</v>
      </c>
      <c r="G669" s="18">
        <v>219553</v>
      </c>
      <c r="H669" s="18">
        <v>1137073.6399999999</v>
      </c>
    </row>
    <row r="670" spans="1:8" ht="25.5">
      <c r="A670" s="15" t="s">
        <v>11718</v>
      </c>
      <c r="B670" s="16" t="s">
        <v>12290</v>
      </c>
      <c r="C670" s="16" t="s">
        <v>12290</v>
      </c>
      <c r="D670" s="17" t="s">
        <v>4124</v>
      </c>
      <c r="E670" s="17" t="s">
        <v>5572</v>
      </c>
      <c r="F670" s="18">
        <v>0</v>
      </c>
      <c r="G670" s="18">
        <v>1170.8900000000001</v>
      </c>
      <c r="H670" s="18">
        <v>1138244.53</v>
      </c>
    </row>
    <row r="671" spans="1:8" ht="25.5">
      <c r="A671" s="15" t="s">
        <v>11541</v>
      </c>
      <c r="B671" s="16" t="s">
        <v>12291</v>
      </c>
      <c r="C671" s="16" t="s">
        <v>12291</v>
      </c>
      <c r="D671" s="17" t="s">
        <v>4124</v>
      </c>
      <c r="E671" s="17" t="s">
        <v>5573</v>
      </c>
      <c r="F671" s="18">
        <v>0</v>
      </c>
      <c r="G671" s="18">
        <v>73</v>
      </c>
      <c r="H671" s="18">
        <v>1138317.53</v>
      </c>
    </row>
    <row r="672" spans="1:8">
      <c r="A672" s="15" t="s">
        <v>11543</v>
      </c>
      <c r="B672" s="16" t="s">
        <v>12292</v>
      </c>
      <c r="C672" s="16" t="s">
        <v>12292</v>
      </c>
      <c r="D672" s="17" t="s">
        <v>4124</v>
      </c>
      <c r="E672" s="17" t="s">
        <v>5574</v>
      </c>
      <c r="F672" s="18">
        <v>26000</v>
      </c>
      <c r="G672" s="18">
        <v>0</v>
      </c>
      <c r="H672" s="18">
        <v>1112317.53</v>
      </c>
    </row>
    <row r="673" spans="1:8">
      <c r="A673" s="15" t="s">
        <v>11720</v>
      </c>
      <c r="B673" s="16" t="s">
        <v>11955</v>
      </c>
      <c r="C673" s="16" t="s">
        <v>11955</v>
      </c>
      <c r="D673" s="17" t="s">
        <v>4124</v>
      </c>
      <c r="E673" s="17" t="s">
        <v>5575</v>
      </c>
      <c r="F673" s="18">
        <v>10000</v>
      </c>
      <c r="G673" s="18">
        <v>0</v>
      </c>
      <c r="H673" s="18">
        <v>1102317.53</v>
      </c>
    </row>
    <row r="674" spans="1:8">
      <c r="A674" s="15" t="s">
        <v>11648</v>
      </c>
      <c r="B674" s="16" t="s">
        <v>11956</v>
      </c>
      <c r="C674" s="16" t="s">
        <v>11956</v>
      </c>
      <c r="D674" s="17" t="s">
        <v>4124</v>
      </c>
      <c r="E674" s="17" t="s">
        <v>5576</v>
      </c>
      <c r="F674" s="18">
        <v>2000</v>
      </c>
      <c r="G674" s="18">
        <v>0</v>
      </c>
      <c r="H674" s="18">
        <v>1100317.53</v>
      </c>
    </row>
    <row r="675" spans="1:8">
      <c r="A675" s="15" t="s">
        <v>11546</v>
      </c>
      <c r="B675" s="16" t="s">
        <v>11956</v>
      </c>
      <c r="C675" s="16" t="s">
        <v>11956</v>
      </c>
      <c r="D675" s="17" t="s">
        <v>4124</v>
      </c>
      <c r="E675" s="17" t="s">
        <v>5576</v>
      </c>
      <c r="F675" s="18">
        <v>2000</v>
      </c>
      <c r="G675" s="18">
        <v>0</v>
      </c>
      <c r="H675" s="18">
        <v>1098317.53</v>
      </c>
    </row>
    <row r="676" spans="1:8">
      <c r="A676" s="15" t="s">
        <v>11651</v>
      </c>
      <c r="B676" s="16" t="s">
        <v>11956</v>
      </c>
      <c r="C676" s="16" t="s">
        <v>11956</v>
      </c>
      <c r="D676" s="17" t="s">
        <v>4124</v>
      </c>
      <c r="E676" s="17" t="s">
        <v>5413</v>
      </c>
      <c r="F676" s="18">
        <v>3475</v>
      </c>
      <c r="G676" s="18">
        <v>0</v>
      </c>
      <c r="H676" s="18">
        <v>1094842.53</v>
      </c>
    </row>
    <row r="677" spans="1:8">
      <c r="A677" s="15" t="s">
        <v>11653</v>
      </c>
      <c r="B677" s="16" t="s">
        <v>11957</v>
      </c>
      <c r="C677" s="16" t="s">
        <v>11957</v>
      </c>
      <c r="D677" s="17" t="s">
        <v>4124</v>
      </c>
      <c r="E677" s="17" t="s">
        <v>5577</v>
      </c>
      <c r="F677" s="18">
        <v>10000</v>
      </c>
      <c r="G677" s="18">
        <v>0</v>
      </c>
      <c r="H677" s="18">
        <v>1084842.53</v>
      </c>
    </row>
    <row r="678" spans="1:8">
      <c r="A678" s="15" t="s">
        <v>11654</v>
      </c>
      <c r="B678" s="16" t="s">
        <v>11450</v>
      </c>
      <c r="C678" s="16" t="s">
        <v>11450</v>
      </c>
      <c r="D678" s="17" t="s">
        <v>4124</v>
      </c>
      <c r="E678" s="17" t="s">
        <v>5578</v>
      </c>
      <c r="F678" s="18">
        <v>50000</v>
      </c>
      <c r="G678" s="18">
        <v>0</v>
      </c>
      <c r="H678" s="18">
        <v>1034842.53</v>
      </c>
    </row>
    <row r="679" spans="1:8">
      <c r="A679" s="15" t="s">
        <v>11549</v>
      </c>
      <c r="B679" s="16" t="s">
        <v>11958</v>
      </c>
      <c r="C679" s="16" t="s">
        <v>11958</v>
      </c>
      <c r="D679" s="17" t="s">
        <v>4124</v>
      </c>
      <c r="E679" s="17" t="s">
        <v>5579</v>
      </c>
      <c r="F679" s="18">
        <v>10000</v>
      </c>
      <c r="G679" s="18">
        <v>0</v>
      </c>
      <c r="H679" s="18">
        <v>1024842.53</v>
      </c>
    </row>
    <row r="680" spans="1:8" ht="25.5">
      <c r="A680" s="15" t="s">
        <v>11552</v>
      </c>
      <c r="B680" s="16" t="s">
        <v>11958</v>
      </c>
      <c r="C680" s="16" t="s">
        <v>11958</v>
      </c>
      <c r="D680" s="17" t="s">
        <v>4124</v>
      </c>
      <c r="E680" s="17" t="s">
        <v>5580</v>
      </c>
      <c r="F680" s="18">
        <v>0</v>
      </c>
      <c r="G680" s="18">
        <v>9377</v>
      </c>
      <c r="H680" s="18">
        <v>1034219.53</v>
      </c>
    </row>
    <row r="681" spans="1:8">
      <c r="A681" s="15" t="s">
        <v>11554</v>
      </c>
      <c r="B681" s="16" t="s">
        <v>12293</v>
      </c>
      <c r="C681" s="16" t="s">
        <v>12294</v>
      </c>
      <c r="D681" s="17" t="s">
        <v>4124</v>
      </c>
      <c r="E681" s="17" t="s">
        <v>5581</v>
      </c>
      <c r="F681" s="18">
        <v>26000</v>
      </c>
      <c r="G681" s="18">
        <v>0</v>
      </c>
      <c r="H681" s="18">
        <v>1008219.53</v>
      </c>
    </row>
    <row r="682" spans="1:8">
      <c r="A682" s="15" t="s">
        <v>11657</v>
      </c>
      <c r="B682" s="16" t="s">
        <v>11959</v>
      </c>
      <c r="C682" s="16" t="s">
        <v>11959</v>
      </c>
      <c r="D682" s="17" t="s">
        <v>4124</v>
      </c>
      <c r="E682" s="17" t="s">
        <v>5413</v>
      </c>
      <c r="F682" s="18">
        <v>9909.5</v>
      </c>
      <c r="G682" s="18">
        <v>0</v>
      </c>
      <c r="H682" s="18">
        <v>998310.03</v>
      </c>
    </row>
    <row r="683" spans="1:8">
      <c r="A683" s="15" t="s">
        <v>12062</v>
      </c>
      <c r="B683" s="16" t="s">
        <v>12295</v>
      </c>
      <c r="C683" s="16" t="s">
        <v>12295</v>
      </c>
      <c r="D683" s="17" t="s">
        <v>4124</v>
      </c>
      <c r="E683" s="17" t="s">
        <v>5582</v>
      </c>
      <c r="F683" s="18">
        <v>40005.699999999997</v>
      </c>
      <c r="G683" s="18">
        <v>0</v>
      </c>
      <c r="H683" s="18">
        <v>958304.33</v>
      </c>
    </row>
    <row r="684" spans="1:8" ht="25.5">
      <c r="A684" s="15" t="s">
        <v>11659</v>
      </c>
      <c r="B684" s="16" t="s">
        <v>12296</v>
      </c>
      <c r="C684" s="16" t="s">
        <v>12296</v>
      </c>
      <c r="D684" s="17" t="s">
        <v>4124</v>
      </c>
      <c r="E684" s="17" t="s">
        <v>5583</v>
      </c>
      <c r="F684" s="18">
        <v>0</v>
      </c>
      <c r="G684" s="18">
        <v>659198</v>
      </c>
      <c r="H684" s="18">
        <v>1617502.33</v>
      </c>
    </row>
    <row r="685" spans="1:8">
      <c r="A685" s="15" t="s">
        <v>11661</v>
      </c>
      <c r="B685" s="16" t="s">
        <v>11960</v>
      </c>
      <c r="C685" s="16" t="s">
        <v>11960</v>
      </c>
      <c r="D685" s="17" t="s">
        <v>4124</v>
      </c>
      <c r="E685" s="17" t="s">
        <v>5584</v>
      </c>
      <c r="F685" s="18">
        <v>0</v>
      </c>
      <c r="G685" s="18">
        <v>1000000</v>
      </c>
      <c r="H685" s="18">
        <v>2617502.33</v>
      </c>
    </row>
    <row r="686" spans="1:8">
      <c r="A686" s="15" t="s">
        <v>11765</v>
      </c>
      <c r="B686" s="16" t="s">
        <v>11960</v>
      </c>
      <c r="C686" s="16" t="s">
        <v>11960</v>
      </c>
      <c r="D686" s="17" t="s">
        <v>4124</v>
      </c>
      <c r="E686" s="17" t="s">
        <v>5585</v>
      </c>
      <c r="F686" s="18">
        <v>5000</v>
      </c>
      <c r="G686" s="18">
        <v>0</v>
      </c>
      <c r="H686" s="18">
        <v>2612502.33</v>
      </c>
    </row>
    <row r="687" spans="1:8">
      <c r="A687" s="15" t="s">
        <v>11556</v>
      </c>
      <c r="B687" s="16" t="s">
        <v>11456</v>
      </c>
      <c r="C687" s="16" t="s">
        <v>11457</v>
      </c>
      <c r="D687" s="17" t="s">
        <v>4124</v>
      </c>
      <c r="E687" s="17" t="s">
        <v>5586</v>
      </c>
      <c r="F687" s="18">
        <v>50000</v>
      </c>
      <c r="G687" s="18">
        <v>0</v>
      </c>
      <c r="H687" s="18">
        <v>2562502.33</v>
      </c>
    </row>
    <row r="688" spans="1:8">
      <c r="A688" s="15" t="s">
        <v>11558</v>
      </c>
      <c r="B688" s="16" t="s">
        <v>11456</v>
      </c>
      <c r="C688" s="16" t="s">
        <v>11457</v>
      </c>
      <c r="D688" s="17" t="s">
        <v>4124</v>
      </c>
      <c r="E688" s="17" t="s">
        <v>5587</v>
      </c>
      <c r="F688" s="18">
        <v>105.7</v>
      </c>
      <c r="G688" s="18">
        <v>0</v>
      </c>
      <c r="H688" s="18">
        <v>2562396.63</v>
      </c>
    </row>
    <row r="689" spans="1:8">
      <c r="A689" s="15" t="s">
        <v>11662</v>
      </c>
      <c r="B689" s="16" t="s">
        <v>11456</v>
      </c>
      <c r="C689" s="16" t="s">
        <v>11457</v>
      </c>
      <c r="D689" s="17" t="s">
        <v>4124</v>
      </c>
      <c r="E689" s="17" t="s">
        <v>5588</v>
      </c>
      <c r="F689" s="18">
        <v>605.70000000000005</v>
      </c>
      <c r="G689" s="18">
        <v>0</v>
      </c>
      <c r="H689" s="18">
        <v>2561790.9300000002</v>
      </c>
    </row>
    <row r="690" spans="1:8">
      <c r="A690" s="15" t="s">
        <v>11726</v>
      </c>
      <c r="B690" s="16" t="s">
        <v>11456</v>
      </c>
      <c r="C690" s="16" t="s">
        <v>11457</v>
      </c>
      <c r="D690" s="17" t="s">
        <v>4124</v>
      </c>
      <c r="E690" s="17" t="s">
        <v>2262</v>
      </c>
      <c r="F690" s="18">
        <v>0</v>
      </c>
      <c r="G690" s="18">
        <v>125000</v>
      </c>
      <c r="H690" s="18">
        <v>2686790.93</v>
      </c>
    </row>
    <row r="691" spans="1:8">
      <c r="A691" s="15" t="s">
        <v>11561</v>
      </c>
      <c r="B691" s="16" t="s">
        <v>12297</v>
      </c>
      <c r="C691" s="16" t="s">
        <v>12297</v>
      </c>
      <c r="D691" s="17" t="s">
        <v>12298</v>
      </c>
      <c r="E691" s="17" t="s">
        <v>1809</v>
      </c>
      <c r="F691" s="18">
        <v>1752137</v>
      </c>
      <c r="G691" s="18">
        <v>0</v>
      </c>
      <c r="H691" s="18">
        <v>934653.93</v>
      </c>
    </row>
    <row r="692" spans="1:8">
      <c r="A692" s="15" t="s">
        <v>11563</v>
      </c>
      <c r="B692" s="16" t="s">
        <v>11961</v>
      </c>
      <c r="C692" s="16" t="s">
        <v>11961</v>
      </c>
      <c r="D692" s="17" t="s">
        <v>4124</v>
      </c>
      <c r="E692" s="17" t="s">
        <v>5590</v>
      </c>
      <c r="F692" s="18">
        <v>5000</v>
      </c>
      <c r="G692" s="18">
        <v>0</v>
      </c>
      <c r="H692" s="18">
        <v>929653.93</v>
      </c>
    </row>
    <row r="693" spans="1:8">
      <c r="A693" s="15" t="s">
        <v>11565</v>
      </c>
      <c r="B693" s="16" t="s">
        <v>12299</v>
      </c>
      <c r="C693" s="16" t="s">
        <v>12299</v>
      </c>
      <c r="D693" s="17" t="s">
        <v>4124</v>
      </c>
      <c r="E693" s="17" t="s">
        <v>5591</v>
      </c>
      <c r="F693" s="18">
        <v>26000</v>
      </c>
      <c r="G693" s="18">
        <v>0</v>
      </c>
      <c r="H693" s="18">
        <v>903653.93</v>
      </c>
    </row>
    <row r="694" spans="1:8">
      <c r="A694" s="15" t="s">
        <v>11567</v>
      </c>
      <c r="B694" s="16" t="s">
        <v>12300</v>
      </c>
      <c r="C694" s="16" t="s">
        <v>12300</v>
      </c>
      <c r="D694" s="17" t="s">
        <v>4124</v>
      </c>
      <c r="E694" s="17" t="s">
        <v>5592</v>
      </c>
      <c r="F694" s="18">
        <v>20005.73</v>
      </c>
      <c r="G694" s="18">
        <v>0</v>
      </c>
      <c r="H694" s="18">
        <v>883648.2</v>
      </c>
    </row>
    <row r="695" spans="1:8">
      <c r="A695" s="15" t="s">
        <v>11667</v>
      </c>
      <c r="B695" s="16" t="s">
        <v>11962</v>
      </c>
      <c r="C695" s="16" t="s">
        <v>11962</v>
      </c>
      <c r="D695" s="17" t="s">
        <v>4124</v>
      </c>
      <c r="E695" s="17" t="s">
        <v>5413</v>
      </c>
      <c r="F695" s="18">
        <v>1225.5</v>
      </c>
      <c r="G695" s="18">
        <v>0</v>
      </c>
      <c r="H695" s="18">
        <v>882422.7</v>
      </c>
    </row>
    <row r="696" spans="1:8">
      <c r="A696" s="15" t="s">
        <v>11669</v>
      </c>
      <c r="B696" s="16" t="s">
        <v>11963</v>
      </c>
      <c r="C696" s="16" t="s">
        <v>11963</v>
      </c>
      <c r="D696" s="17" t="s">
        <v>4124</v>
      </c>
      <c r="E696" s="17" t="s">
        <v>5593</v>
      </c>
      <c r="F696" s="18">
        <v>1202</v>
      </c>
      <c r="G696" s="18">
        <v>0</v>
      </c>
      <c r="H696" s="18">
        <v>881220.7</v>
      </c>
    </row>
    <row r="697" spans="1:8">
      <c r="A697" s="15" t="s">
        <v>11773</v>
      </c>
      <c r="B697" s="16" t="s">
        <v>11964</v>
      </c>
      <c r="C697" s="16" t="s">
        <v>11964</v>
      </c>
      <c r="D697" s="17" t="s">
        <v>4124</v>
      </c>
      <c r="E697" s="17" t="s">
        <v>5594</v>
      </c>
      <c r="F697" s="18">
        <v>571.36</v>
      </c>
      <c r="G697" s="18">
        <v>0</v>
      </c>
      <c r="H697" s="18">
        <v>880649.34</v>
      </c>
    </row>
    <row r="698" spans="1:8">
      <c r="A698" s="15" t="s">
        <v>11774</v>
      </c>
      <c r="B698" s="16" t="s">
        <v>11965</v>
      </c>
      <c r="C698" s="16" t="s">
        <v>11965</v>
      </c>
      <c r="D698" s="17" t="s">
        <v>4124</v>
      </c>
      <c r="E698" s="17" t="s">
        <v>5595</v>
      </c>
      <c r="F698" s="18">
        <v>5000</v>
      </c>
      <c r="G698" s="18">
        <v>0</v>
      </c>
      <c r="H698" s="18">
        <v>875649.34</v>
      </c>
    </row>
    <row r="699" spans="1:8">
      <c r="A699" s="15" t="s">
        <v>11568</v>
      </c>
      <c r="B699" s="16" t="s">
        <v>11965</v>
      </c>
      <c r="C699" s="16" t="s">
        <v>11965</v>
      </c>
      <c r="D699" s="17" t="s">
        <v>4124</v>
      </c>
      <c r="E699" s="17" t="s">
        <v>5595</v>
      </c>
      <c r="F699" s="18">
        <v>5000</v>
      </c>
      <c r="G699" s="18">
        <v>0</v>
      </c>
      <c r="H699" s="18">
        <v>870649.34</v>
      </c>
    </row>
    <row r="700" spans="1:8">
      <c r="A700" s="15" t="s">
        <v>11570</v>
      </c>
      <c r="B700" s="16" t="s">
        <v>12301</v>
      </c>
      <c r="C700" s="16" t="s">
        <v>12301</v>
      </c>
      <c r="D700" s="17" t="s">
        <v>12302</v>
      </c>
      <c r="E700" s="17" t="s">
        <v>1421</v>
      </c>
      <c r="F700" s="18">
        <v>25000</v>
      </c>
      <c r="G700" s="18">
        <v>0</v>
      </c>
      <c r="H700" s="18">
        <v>845649.34</v>
      </c>
    </row>
    <row r="701" spans="1:8">
      <c r="A701" s="15" t="s">
        <v>11670</v>
      </c>
      <c r="B701" s="16" t="s">
        <v>11463</v>
      </c>
      <c r="C701" s="16" t="s">
        <v>11463</v>
      </c>
      <c r="D701" s="17" t="s">
        <v>4124</v>
      </c>
      <c r="E701" s="17" t="s">
        <v>5597</v>
      </c>
      <c r="F701" s="18">
        <v>50000</v>
      </c>
      <c r="G701" s="18">
        <v>0</v>
      </c>
      <c r="H701" s="18">
        <v>795649.34</v>
      </c>
    </row>
    <row r="702" spans="1:8">
      <c r="A702" s="15" t="s">
        <v>11572</v>
      </c>
      <c r="B702" s="16" t="s">
        <v>12303</v>
      </c>
      <c r="C702" s="16" t="s">
        <v>12303</v>
      </c>
      <c r="D702" s="17" t="s">
        <v>4124</v>
      </c>
      <c r="E702" s="17" t="s">
        <v>5598</v>
      </c>
      <c r="F702" s="18">
        <v>23640</v>
      </c>
      <c r="G702" s="18">
        <v>0</v>
      </c>
      <c r="H702" s="18">
        <v>772009.34</v>
      </c>
    </row>
    <row r="703" spans="1:8">
      <c r="A703" s="15" t="s">
        <v>11574</v>
      </c>
      <c r="B703" s="16" t="s">
        <v>11966</v>
      </c>
      <c r="C703" s="16" t="s">
        <v>11967</v>
      </c>
      <c r="D703" s="17" t="s">
        <v>4124</v>
      </c>
      <c r="E703" s="17" t="s">
        <v>5599</v>
      </c>
      <c r="F703" s="18">
        <v>5000</v>
      </c>
      <c r="G703" s="18">
        <v>0</v>
      </c>
      <c r="H703" s="18">
        <v>767009.34</v>
      </c>
    </row>
    <row r="704" spans="1:8">
      <c r="A704" s="15" t="s">
        <v>11575</v>
      </c>
      <c r="B704" s="16" t="s">
        <v>11464</v>
      </c>
      <c r="C704" s="16" t="s">
        <v>11464</v>
      </c>
      <c r="D704" s="17" t="s">
        <v>4124</v>
      </c>
      <c r="E704" s="17" t="s">
        <v>5600</v>
      </c>
      <c r="F704" s="18">
        <v>7000</v>
      </c>
      <c r="G704" s="18">
        <v>0</v>
      </c>
      <c r="H704" s="18">
        <v>760009.34</v>
      </c>
    </row>
    <row r="705" spans="1:8">
      <c r="A705" s="15" t="s">
        <v>11576</v>
      </c>
      <c r="B705" s="16" t="s">
        <v>11465</v>
      </c>
      <c r="C705" s="16" t="s">
        <v>11465</v>
      </c>
      <c r="D705" s="17" t="s">
        <v>4124</v>
      </c>
      <c r="E705" s="17" t="s">
        <v>5601</v>
      </c>
      <c r="F705" s="18">
        <v>800</v>
      </c>
      <c r="G705" s="18">
        <v>0</v>
      </c>
      <c r="H705" s="18">
        <v>759209.34</v>
      </c>
    </row>
    <row r="706" spans="1:8">
      <c r="A706" s="15" t="s">
        <v>11577</v>
      </c>
      <c r="B706" s="16" t="s">
        <v>11968</v>
      </c>
      <c r="C706" s="16" t="s">
        <v>11466</v>
      </c>
      <c r="D706" s="17" t="s">
        <v>4124</v>
      </c>
      <c r="E706" s="17" t="s">
        <v>5602</v>
      </c>
      <c r="F706" s="18">
        <v>5000</v>
      </c>
      <c r="G706" s="18">
        <v>0</v>
      </c>
      <c r="H706" s="18">
        <v>754209.34</v>
      </c>
    </row>
    <row r="707" spans="1:8">
      <c r="A707" s="15" t="s">
        <v>11969</v>
      </c>
      <c r="B707" s="16" t="s">
        <v>11970</v>
      </c>
      <c r="C707" s="16" t="s">
        <v>11970</v>
      </c>
      <c r="D707" s="17" t="s">
        <v>4124</v>
      </c>
      <c r="E707" s="17" t="s">
        <v>5603</v>
      </c>
      <c r="F707" s="18">
        <v>10000</v>
      </c>
      <c r="G707" s="18">
        <v>0</v>
      </c>
      <c r="H707" s="18">
        <v>744209.34</v>
      </c>
    </row>
    <row r="708" spans="1:8">
      <c r="A708" s="15" t="s">
        <v>11971</v>
      </c>
      <c r="B708" s="16" t="s">
        <v>11970</v>
      </c>
      <c r="C708" s="16" t="s">
        <v>11970</v>
      </c>
      <c r="D708" s="17" t="s">
        <v>4124</v>
      </c>
      <c r="E708" s="17" t="s">
        <v>5603</v>
      </c>
      <c r="F708" s="18">
        <v>10000</v>
      </c>
      <c r="G708" s="18">
        <v>0</v>
      </c>
      <c r="H708" s="18">
        <v>734209.34</v>
      </c>
    </row>
    <row r="709" spans="1:8">
      <c r="A709" s="15" t="s">
        <v>12078</v>
      </c>
      <c r="B709" s="16" t="s">
        <v>11468</v>
      </c>
      <c r="C709" s="16" t="s">
        <v>11468</v>
      </c>
      <c r="D709" s="17" t="s">
        <v>4124</v>
      </c>
      <c r="E709" s="17" t="s">
        <v>5604</v>
      </c>
      <c r="F709" s="18">
        <v>0</v>
      </c>
      <c r="G709" s="18">
        <v>20138</v>
      </c>
      <c r="H709" s="18">
        <v>754347.34</v>
      </c>
    </row>
    <row r="710" spans="1:8">
      <c r="A710" s="15" t="s">
        <v>11926</v>
      </c>
      <c r="B710" s="16" t="s">
        <v>11468</v>
      </c>
      <c r="C710" s="16" t="s">
        <v>11468</v>
      </c>
      <c r="D710" s="17" t="s">
        <v>4124</v>
      </c>
      <c r="E710" s="17" t="s">
        <v>5605</v>
      </c>
      <c r="F710" s="18">
        <v>0</v>
      </c>
      <c r="G710" s="18">
        <v>402439</v>
      </c>
      <c r="H710" s="18">
        <v>1156786.3400000001</v>
      </c>
    </row>
    <row r="711" spans="1:8">
      <c r="A711" s="15" t="s">
        <v>11776</v>
      </c>
      <c r="B711" s="16" t="s">
        <v>12304</v>
      </c>
      <c r="C711" s="16" t="s">
        <v>12304</v>
      </c>
      <c r="D711" s="17" t="s">
        <v>4124</v>
      </c>
      <c r="E711" s="17" t="s">
        <v>5606</v>
      </c>
      <c r="F711" s="18">
        <v>26000</v>
      </c>
      <c r="G711" s="18">
        <v>0</v>
      </c>
      <c r="H711" s="18">
        <v>1130786.3400000001</v>
      </c>
    </row>
    <row r="712" spans="1:8">
      <c r="A712" s="15" t="s">
        <v>11580</v>
      </c>
      <c r="B712" s="16" t="s">
        <v>11972</v>
      </c>
      <c r="C712" s="16" t="s">
        <v>11972</v>
      </c>
      <c r="D712" s="17" t="s">
        <v>4124</v>
      </c>
      <c r="E712" s="17" t="s">
        <v>5607</v>
      </c>
      <c r="F712" s="18">
        <v>275</v>
      </c>
      <c r="G712" s="18">
        <v>0</v>
      </c>
      <c r="H712" s="18">
        <v>1130511.3400000001</v>
      </c>
    </row>
    <row r="713" spans="1:8">
      <c r="A713" s="15" t="s">
        <v>11779</v>
      </c>
      <c r="B713" s="16" t="s">
        <v>11972</v>
      </c>
      <c r="C713" s="16" t="s">
        <v>11972</v>
      </c>
      <c r="D713" s="17" t="s">
        <v>4124</v>
      </c>
      <c r="E713" s="17" t="s">
        <v>5608</v>
      </c>
      <c r="F713" s="18">
        <v>20000</v>
      </c>
      <c r="G713" s="18">
        <v>0</v>
      </c>
      <c r="H713" s="18">
        <v>1110511.3400000001</v>
      </c>
    </row>
    <row r="714" spans="1:8">
      <c r="A714" s="15" t="s">
        <v>11676</v>
      </c>
      <c r="B714" s="16" t="s">
        <v>11972</v>
      </c>
      <c r="C714" s="16" t="s">
        <v>11972</v>
      </c>
      <c r="D714" s="17" t="s">
        <v>4124</v>
      </c>
      <c r="E714" s="17" t="s">
        <v>5609</v>
      </c>
      <c r="F714" s="18">
        <v>1202</v>
      </c>
      <c r="G714" s="18">
        <v>0</v>
      </c>
      <c r="H714" s="18">
        <v>1109309.3400000001</v>
      </c>
    </row>
    <row r="715" spans="1:8">
      <c r="A715" s="15" t="s">
        <v>11582</v>
      </c>
      <c r="B715" s="16" t="s">
        <v>11972</v>
      </c>
      <c r="C715" s="16" t="s">
        <v>11972</v>
      </c>
      <c r="D715" s="17" t="s">
        <v>4124</v>
      </c>
      <c r="E715" s="17" t="s">
        <v>5610</v>
      </c>
      <c r="F715" s="18">
        <v>8378</v>
      </c>
      <c r="G715" s="18">
        <v>0</v>
      </c>
      <c r="H715" s="18">
        <v>1100931.3400000001</v>
      </c>
    </row>
    <row r="716" spans="1:8">
      <c r="A716" s="15" t="s">
        <v>11584</v>
      </c>
      <c r="B716" s="16" t="s">
        <v>11972</v>
      </c>
      <c r="C716" s="16" t="s">
        <v>11972</v>
      </c>
      <c r="D716" s="17" t="s">
        <v>4124</v>
      </c>
      <c r="E716" s="17" t="s">
        <v>5611</v>
      </c>
      <c r="F716" s="18">
        <v>1533.06</v>
      </c>
      <c r="G716" s="18">
        <v>0</v>
      </c>
      <c r="H716" s="18">
        <v>1099398.28</v>
      </c>
    </row>
    <row r="717" spans="1:8">
      <c r="A717" s="15" t="s">
        <v>11585</v>
      </c>
      <c r="B717" s="16" t="s">
        <v>11974</v>
      </c>
      <c r="C717" s="16" t="s">
        <v>11974</v>
      </c>
      <c r="D717" s="17" t="s">
        <v>4124</v>
      </c>
      <c r="E717" s="17" t="s">
        <v>5612</v>
      </c>
      <c r="F717" s="18">
        <v>49000</v>
      </c>
      <c r="G717" s="18">
        <v>0</v>
      </c>
      <c r="H717" s="18">
        <v>1050398.28</v>
      </c>
    </row>
    <row r="718" spans="1:8">
      <c r="A718" s="15" t="s">
        <v>11973</v>
      </c>
      <c r="B718" s="16" t="s">
        <v>11974</v>
      </c>
      <c r="C718" s="16" t="s">
        <v>11974</v>
      </c>
      <c r="D718" s="17" t="s">
        <v>4124</v>
      </c>
      <c r="E718" s="17" t="s">
        <v>5413</v>
      </c>
      <c r="F718" s="18">
        <v>1149</v>
      </c>
      <c r="G718" s="18">
        <v>0</v>
      </c>
      <c r="H718" s="18">
        <v>1049249.28</v>
      </c>
    </row>
    <row r="719" spans="1:8">
      <c r="A719" s="15" t="s">
        <v>11586</v>
      </c>
      <c r="B719" s="16" t="s">
        <v>11975</v>
      </c>
      <c r="C719" s="16" t="s">
        <v>11975</v>
      </c>
      <c r="D719" s="17" t="s">
        <v>4124</v>
      </c>
      <c r="E719" s="17" t="s">
        <v>5613</v>
      </c>
      <c r="F719" s="18">
        <v>0</v>
      </c>
      <c r="G719" s="18">
        <v>510</v>
      </c>
      <c r="H719" s="18">
        <v>1049759.28</v>
      </c>
    </row>
    <row r="720" spans="1:8">
      <c r="A720" s="15" t="s">
        <v>11783</v>
      </c>
      <c r="B720" s="16" t="s">
        <v>11975</v>
      </c>
      <c r="C720" s="16" t="s">
        <v>11975</v>
      </c>
      <c r="D720" s="17" t="s">
        <v>4124</v>
      </c>
      <c r="E720" s="17" t="s">
        <v>12305</v>
      </c>
      <c r="F720" s="18">
        <v>0</v>
      </c>
      <c r="G720" s="18">
        <v>275</v>
      </c>
      <c r="H720" s="18">
        <v>1050034.28</v>
      </c>
    </row>
    <row r="721" spans="1:8">
      <c r="A721" s="19"/>
      <c r="B721" s="19"/>
      <c r="C721" s="19"/>
      <c r="D721" s="19"/>
      <c r="E721" s="17" t="s">
        <v>12306</v>
      </c>
      <c r="F721" s="19"/>
      <c r="G721" s="19"/>
      <c r="H721" s="19"/>
    </row>
    <row r="722" spans="1:8">
      <c r="A722" s="15" t="s">
        <v>11785</v>
      </c>
      <c r="B722" s="16" t="s">
        <v>11975</v>
      </c>
      <c r="C722" s="16" t="s">
        <v>11975</v>
      </c>
      <c r="D722" s="17" t="s">
        <v>4124</v>
      </c>
      <c r="E722" s="17" t="s">
        <v>5615</v>
      </c>
      <c r="F722" s="18">
        <v>5000</v>
      </c>
      <c r="G722" s="18">
        <v>0</v>
      </c>
      <c r="H722" s="18">
        <v>1045034.28</v>
      </c>
    </row>
    <row r="723" spans="1:8">
      <c r="A723" s="15" t="s">
        <v>12084</v>
      </c>
      <c r="B723" s="16" t="s">
        <v>11975</v>
      </c>
      <c r="C723" s="16" t="s">
        <v>11975</v>
      </c>
      <c r="D723" s="17" t="s">
        <v>4124</v>
      </c>
      <c r="E723" s="17" t="s">
        <v>5616</v>
      </c>
      <c r="F723" s="18">
        <v>2000</v>
      </c>
      <c r="G723" s="18">
        <v>0</v>
      </c>
      <c r="H723" s="18">
        <v>1043034.28</v>
      </c>
    </row>
    <row r="724" spans="1:8">
      <c r="A724" s="15" t="s">
        <v>12086</v>
      </c>
      <c r="B724" s="16" t="s">
        <v>11975</v>
      </c>
      <c r="C724" s="16" t="s">
        <v>11975</v>
      </c>
      <c r="D724" s="17" t="s">
        <v>4124</v>
      </c>
      <c r="E724" s="17" t="s">
        <v>5617</v>
      </c>
      <c r="F724" s="18">
        <v>10000</v>
      </c>
      <c r="G724" s="18">
        <v>0</v>
      </c>
      <c r="H724" s="18">
        <v>1033034.28</v>
      </c>
    </row>
    <row r="725" spans="1:8">
      <c r="A725" s="15" t="s">
        <v>11976</v>
      </c>
      <c r="B725" s="16" t="s">
        <v>11977</v>
      </c>
      <c r="C725" s="16" t="s">
        <v>11978</v>
      </c>
      <c r="D725" s="17" t="s">
        <v>4124</v>
      </c>
      <c r="E725" s="17" t="s">
        <v>5618</v>
      </c>
      <c r="F725" s="18">
        <v>10000</v>
      </c>
      <c r="G725" s="18">
        <v>0</v>
      </c>
      <c r="H725" s="18">
        <v>1023034.28</v>
      </c>
    </row>
    <row r="726" spans="1:8" ht="25.5">
      <c r="A726" s="15" t="s">
        <v>12307</v>
      </c>
      <c r="B726" s="16" t="s">
        <v>12308</v>
      </c>
      <c r="C726" s="16" t="s">
        <v>12308</v>
      </c>
      <c r="D726" s="17" t="s">
        <v>4124</v>
      </c>
      <c r="E726" s="17" t="s">
        <v>5619</v>
      </c>
      <c r="F726" s="18">
        <v>0</v>
      </c>
      <c r="G726" s="18">
        <v>297035</v>
      </c>
      <c r="H726" s="18">
        <v>1320069.28</v>
      </c>
    </row>
    <row r="727" spans="1:8">
      <c r="A727" s="15" t="s">
        <v>11788</v>
      </c>
      <c r="B727" s="16" t="s">
        <v>11469</v>
      </c>
      <c r="C727" s="16" t="s">
        <v>11469</v>
      </c>
      <c r="D727" s="17" t="s">
        <v>4124</v>
      </c>
      <c r="E727" s="17" t="s">
        <v>5620</v>
      </c>
      <c r="F727" s="18">
        <v>50000</v>
      </c>
      <c r="G727" s="18">
        <v>0</v>
      </c>
      <c r="H727" s="18">
        <v>1270069.28</v>
      </c>
    </row>
    <row r="728" spans="1:8">
      <c r="A728" s="15" t="s">
        <v>11790</v>
      </c>
      <c r="B728" s="16" t="s">
        <v>12309</v>
      </c>
      <c r="C728" s="16" t="s">
        <v>12309</v>
      </c>
      <c r="D728" s="17" t="s">
        <v>4124</v>
      </c>
      <c r="E728" s="17" t="s">
        <v>5621</v>
      </c>
      <c r="F728" s="18">
        <v>0</v>
      </c>
      <c r="G728" s="18">
        <v>1563.52</v>
      </c>
      <c r="H728" s="18">
        <v>1271632.8</v>
      </c>
    </row>
    <row r="729" spans="1:8">
      <c r="A729" s="15" t="s">
        <v>11791</v>
      </c>
      <c r="B729" s="16" t="s">
        <v>11979</v>
      </c>
      <c r="C729" s="16" t="s">
        <v>11979</v>
      </c>
      <c r="D729" s="17" t="s">
        <v>4124</v>
      </c>
      <c r="E729" s="17" t="s">
        <v>5622</v>
      </c>
      <c r="F729" s="18">
        <v>10000</v>
      </c>
      <c r="G729" s="18">
        <v>0</v>
      </c>
      <c r="H729" s="18">
        <v>1261632.8</v>
      </c>
    </row>
    <row r="730" spans="1:8">
      <c r="A730" s="15" t="s">
        <v>11793</v>
      </c>
      <c r="B730" s="16" t="s">
        <v>12310</v>
      </c>
      <c r="C730" s="16" t="s">
        <v>12310</v>
      </c>
      <c r="D730" s="17" t="s">
        <v>4124</v>
      </c>
      <c r="E730" s="17" t="s">
        <v>5623</v>
      </c>
      <c r="F730" s="18">
        <v>0</v>
      </c>
      <c r="G730" s="18">
        <v>1015</v>
      </c>
      <c r="H730" s="18">
        <v>1262647.8</v>
      </c>
    </row>
    <row r="731" spans="1:8">
      <c r="A731" s="15" t="s">
        <v>11794</v>
      </c>
      <c r="B731" s="16" t="s">
        <v>12311</v>
      </c>
      <c r="C731" s="16" t="s">
        <v>12311</v>
      </c>
      <c r="D731" s="17" t="s">
        <v>12312</v>
      </c>
      <c r="E731" s="17" t="s">
        <v>5625</v>
      </c>
      <c r="F731" s="18">
        <v>20000</v>
      </c>
      <c r="G731" s="18">
        <v>0</v>
      </c>
      <c r="H731" s="18">
        <v>1242647.8</v>
      </c>
    </row>
    <row r="732" spans="1:8">
      <c r="A732" s="15" t="s">
        <v>11795</v>
      </c>
      <c r="B732" s="16" t="s">
        <v>11471</v>
      </c>
      <c r="C732" s="16" t="s">
        <v>11471</v>
      </c>
      <c r="D732" s="17" t="s">
        <v>4124</v>
      </c>
      <c r="E732" s="17" t="s">
        <v>5626</v>
      </c>
      <c r="F732" s="18">
        <v>1503.88</v>
      </c>
      <c r="G732" s="18">
        <v>0</v>
      </c>
      <c r="H732" s="18">
        <v>1241143.92</v>
      </c>
    </row>
    <row r="733" spans="1:8">
      <c r="A733" s="15" t="s">
        <v>11980</v>
      </c>
      <c r="B733" s="16" t="s">
        <v>11981</v>
      </c>
      <c r="C733" s="16" t="s">
        <v>11981</v>
      </c>
      <c r="D733" s="17" t="s">
        <v>4124</v>
      </c>
      <c r="E733" s="17" t="s">
        <v>5627</v>
      </c>
      <c r="F733" s="18">
        <v>502.77</v>
      </c>
      <c r="G733" s="18">
        <v>0</v>
      </c>
      <c r="H733" s="18">
        <v>1240641.1499999999</v>
      </c>
    </row>
    <row r="734" spans="1:8">
      <c r="A734" s="15" t="s">
        <v>12313</v>
      </c>
      <c r="B734" s="16" t="s">
        <v>12314</v>
      </c>
      <c r="C734" s="16" t="s">
        <v>12314</v>
      </c>
      <c r="D734" s="17" t="s">
        <v>4124</v>
      </c>
      <c r="E734" s="17" t="s">
        <v>5628</v>
      </c>
      <c r="F734" s="18">
        <v>26000</v>
      </c>
      <c r="G734" s="18">
        <v>0</v>
      </c>
      <c r="H734" s="18">
        <v>1214641.1499999999</v>
      </c>
    </row>
    <row r="735" spans="1:8">
      <c r="A735" s="15" t="s">
        <v>12315</v>
      </c>
      <c r="B735" s="16" t="s">
        <v>12314</v>
      </c>
      <c r="C735" s="16" t="s">
        <v>12314</v>
      </c>
      <c r="D735" s="17" t="s">
        <v>4124</v>
      </c>
      <c r="E735" s="17" t="s">
        <v>5629</v>
      </c>
      <c r="F735" s="18">
        <v>50000</v>
      </c>
      <c r="G735" s="18">
        <v>0</v>
      </c>
      <c r="H735" s="18">
        <v>1164641.1499999999</v>
      </c>
    </row>
    <row r="736" spans="1:8" ht="25.5">
      <c r="A736" s="15" t="s">
        <v>12316</v>
      </c>
      <c r="B736" s="16" t="s">
        <v>12314</v>
      </c>
      <c r="C736" s="16" t="s">
        <v>12314</v>
      </c>
      <c r="D736" s="17" t="s">
        <v>4124</v>
      </c>
      <c r="E736" s="17" t="s">
        <v>5630</v>
      </c>
      <c r="F736" s="18">
        <v>0</v>
      </c>
      <c r="G736" s="18">
        <v>150000</v>
      </c>
      <c r="H736" s="18">
        <v>1314641.1499999999</v>
      </c>
    </row>
    <row r="737" spans="1:8">
      <c r="A737" s="15" t="s">
        <v>12317</v>
      </c>
      <c r="B737" s="16" t="s">
        <v>12318</v>
      </c>
      <c r="C737" s="16" t="s">
        <v>12318</v>
      </c>
      <c r="D737" s="17" t="s">
        <v>4124</v>
      </c>
      <c r="E737" s="17" t="s">
        <v>5631</v>
      </c>
      <c r="F737" s="18">
        <v>0</v>
      </c>
      <c r="G737" s="18">
        <v>410</v>
      </c>
      <c r="H737" s="18">
        <v>1315051.1499999999</v>
      </c>
    </row>
    <row r="738" spans="1:8">
      <c r="A738" s="15" t="s">
        <v>11982</v>
      </c>
      <c r="B738" s="16" t="s">
        <v>11983</v>
      </c>
      <c r="C738" s="16" t="s">
        <v>11983</v>
      </c>
      <c r="D738" s="17" t="s">
        <v>4124</v>
      </c>
      <c r="E738" s="17" t="s">
        <v>5632</v>
      </c>
      <c r="F738" s="18">
        <v>1202</v>
      </c>
      <c r="G738" s="18">
        <v>0</v>
      </c>
      <c r="H738" s="18">
        <v>1313849.1499999999</v>
      </c>
    </row>
    <row r="739" spans="1:8">
      <c r="A739" s="15" t="s">
        <v>11984</v>
      </c>
      <c r="B739" s="16" t="s">
        <v>11983</v>
      </c>
      <c r="C739" s="16" t="s">
        <v>11983</v>
      </c>
      <c r="D739" s="17" t="s">
        <v>4124</v>
      </c>
      <c r="E739" s="17" t="s">
        <v>5413</v>
      </c>
      <c r="F739" s="18">
        <v>15571.48</v>
      </c>
      <c r="G739" s="18">
        <v>0</v>
      </c>
      <c r="H739" s="18">
        <v>1298277.67</v>
      </c>
    </row>
    <row r="740" spans="1:8" ht="25.5">
      <c r="A740" s="15" t="s">
        <v>12319</v>
      </c>
      <c r="B740" s="16" t="s">
        <v>12320</v>
      </c>
      <c r="C740" s="16" t="s">
        <v>12320</v>
      </c>
      <c r="D740" s="17" t="s">
        <v>4124</v>
      </c>
      <c r="E740" s="17" t="s">
        <v>5633</v>
      </c>
      <c r="F740" s="18">
        <v>0</v>
      </c>
      <c r="G740" s="18">
        <v>1914602</v>
      </c>
      <c r="H740" s="18">
        <v>3212879.67</v>
      </c>
    </row>
    <row r="741" spans="1:8">
      <c r="A741" s="15" t="s">
        <v>12321</v>
      </c>
      <c r="B741" s="16" t="s">
        <v>12320</v>
      </c>
      <c r="C741" s="16" t="s">
        <v>12320</v>
      </c>
      <c r="D741" s="17" t="s">
        <v>4124</v>
      </c>
      <c r="E741" s="17" t="s">
        <v>5634</v>
      </c>
      <c r="F741" s="18">
        <v>20000</v>
      </c>
      <c r="G741" s="18">
        <v>0</v>
      </c>
      <c r="H741" s="18">
        <v>3192879.67</v>
      </c>
    </row>
    <row r="742" spans="1:8">
      <c r="A742" s="15" t="s">
        <v>12322</v>
      </c>
      <c r="B742" s="16" t="s">
        <v>12323</v>
      </c>
      <c r="C742" s="16" t="s">
        <v>12323</v>
      </c>
      <c r="D742" s="17" t="s">
        <v>4124</v>
      </c>
      <c r="E742" s="17" t="s">
        <v>5635</v>
      </c>
      <c r="F742" s="18">
        <v>12000</v>
      </c>
      <c r="G742" s="18">
        <v>0</v>
      </c>
      <c r="H742" s="18">
        <v>3180879.67</v>
      </c>
    </row>
    <row r="743" spans="1:8">
      <c r="A743" s="15" t="s">
        <v>11985</v>
      </c>
      <c r="B743" s="16" t="s">
        <v>11986</v>
      </c>
      <c r="C743" s="16" t="s">
        <v>11987</v>
      </c>
      <c r="D743" s="17" t="s">
        <v>4124</v>
      </c>
      <c r="E743" s="17" t="s">
        <v>5636</v>
      </c>
      <c r="F743" s="18">
        <v>15358</v>
      </c>
      <c r="G743" s="18">
        <v>0</v>
      </c>
      <c r="H743" s="18">
        <v>3165521.67</v>
      </c>
    </row>
    <row r="744" spans="1:8">
      <c r="A744" s="15" t="s">
        <v>11988</v>
      </c>
      <c r="B744" s="16" t="s">
        <v>11989</v>
      </c>
      <c r="C744" s="16" t="s">
        <v>11473</v>
      </c>
      <c r="D744" s="17" t="s">
        <v>4124</v>
      </c>
      <c r="E744" s="17" t="s">
        <v>5637</v>
      </c>
      <c r="F744" s="18">
        <v>10000</v>
      </c>
      <c r="G744" s="18">
        <v>0</v>
      </c>
      <c r="H744" s="18">
        <v>3155521.67</v>
      </c>
    </row>
    <row r="745" spans="1:8">
      <c r="A745" s="15" t="s">
        <v>12324</v>
      </c>
      <c r="B745" s="16" t="s">
        <v>11473</v>
      </c>
      <c r="C745" s="16" t="s">
        <v>11473</v>
      </c>
      <c r="D745" s="17" t="s">
        <v>4124</v>
      </c>
      <c r="E745" s="17" t="s">
        <v>5638</v>
      </c>
      <c r="F745" s="18">
        <v>50000</v>
      </c>
      <c r="G745" s="18">
        <v>0</v>
      </c>
      <c r="H745" s="18">
        <v>3105521.67</v>
      </c>
    </row>
    <row r="746" spans="1:8">
      <c r="A746" s="15" t="s">
        <v>12325</v>
      </c>
      <c r="B746" s="16" t="s">
        <v>12326</v>
      </c>
      <c r="C746" s="16" t="s">
        <v>12326</v>
      </c>
      <c r="D746" s="17" t="s">
        <v>4124</v>
      </c>
      <c r="E746" s="17" t="s">
        <v>5639</v>
      </c>
      <c r="F746" s="18">
        <v>59138</v>
      </c>
      <c r="G746" s="18">
        <v>0</v>
      </c>
      <c r="H746" s="18">
        <v>3046383.67</v>
      </c>
    </row>
    <row r="747" spans="1:8">
      <c r="A747" s="15" t="s">
        <v>12327</v>
      </c>
      <c r="B747" s="16" t="s">
        <v>12326</v>
      </c>
      <c r="C747" s="16" t="s">
        <v>12326</v>
      </c>
      <c r="D747" s="17" t="s">
        <v>4124</v>
      </c>
      <c r="E747" s="17" t="s">
        <v>5640</v>
      </c>
      <c r="F747" s="18">
        <v>200000</v>
      </c>
      <c r="G747" s="18">
        <v>0</v>
      </c>
      <c r="H747" s="18">
        <v>2846383.67</v>
      </c>
    </row>
    <row r="748" spans="1:8">
      <c r="A748" s="15" t="s">
        <v>11990</v>
      </c>
      <c r="B748" s="16" t="s">
        <v>11991</v>
      </c>
      <c r="C748" s="16" t="s">
        <v>11991</v>
      </c>
      <c r="D748" s="17" t="s">
        <v>4124</v>
      </c>
      <c r="E748" s="17" t="s">
        <v>5641</v>
      </c>
      <c r="F748" s="18">
        <v>3767.25</v>
      </c>
      <c r="G748" s="18">
        <v>0</v>
      </c>
      <c r="H748" s="18">
        <v>2842616.42</v>
      </c>
    </row>
    <row r="749" spans="1:8">
      <c r="A749" s="15" t="s">
        <v>11992</v>
      </c>
      <c r="B749" s="16" t="s">
        <v>11475</v>
      </c>
      <c r="C749" s="16" t="s">
        <v>11475</v>
      </c>
      <c r="D749" s="17" t="s">
        <v>4124</v>
      </c>
      <c r="E749" s="17" t="s">
        <v>5642</v>
      </c>
      <c r="F749" s="18">
        <v>5000</v>
      </c>
      <c r="G749" s="18">
        <v>0</v>
      </c>
      <c r="H749" s="18">
        <v>2837616.42</v>
      </c>
    </row>
    <row r="750" spans="1:8">
      <c r="A750" s="15" t="s">
        <v>11993</v>
      </c>
      <c r="B750" s="16" t="s">
        <v>11475</v>
      </c>
      <c r="C750" s="16" t="s">
        <v>11475</v>
      </c>
      <c r="D750" s="17" t="s">
        <v>4124</v>
      </c>
      <c r="E750" s="17" t="s">
        <v>5642</v>
      </c>
      <c r="F750" s="18">
        <v>5000</v>
      </c>
      <c r="G750" s="18">
        <v>0</v>
      </c>
      <c r="H750" s="18">
        <v>2832616.42</v>
      </c>
    </row>
    <row r="751" spans="1:8">
      <c r="A751" s="15" t="s">
        <v>12328</v>
      </c>
      <c r="B751" s="16" t="s">
        <v>11477</v>
      </c>
      <c r="C751" s="16" t="s">
        <v>11477</v>
      </c>
      <c r="D751" s="17" t="s">
        <v>4124</v>
      </c>
      <c r="E751" s="17" t="s">
        <v>5643</v>
      </c>
      <c r="F751" s="18">
        <v>0</v>
      </c>
      <c r="G751" s="18">
        <v>164985</v>
      </c>
      <c r="H751" s="18">
        <v>2997601.42</v>
      </c>
    </row>
    <row r="752" spans="1:8">
      <c r="A752" s="15" t="s">
        <v>12329</v>
      </c>
      <c r="B752" s="16" t="s">
        <v>12330</v>
      </c>
      <c r="C752" s="16" t="s">
        <v>12330</v>
      </c>
      <c r="D752" s="17" t="s">
        <v>4124</v>
      </c>
      <c r="E752" s="17" t="s">
        <v>5644</v>
      </c>
      <c r="F752" s="18">
        <v>26000</v>
      </c>
      <c r="G752" s="18">
        <v>0</v>
      </c>
      <c r="H752" s="18">
        <v>2971601.42</v>
      </c>
    </row>
    <row r="753" spans="1:8">
      <c r="A753" s="15" t="s">
        <v>12331</v>
      </c>
      <c r="B753" s="16" t="s">
        <v>12330</v>
      </c>
      <c r="C753" s="16" t="s">
        <v>12330</v>
      </c>
      <c r="D753" s="17" t="s">
        <v>4124</v>
      </c>
      <c r="E753" s="17" t="s">
        <v>5645</v>
      </c>
      <c r="F753" s="18">
        <v>50000</v>
      </c>
      <c r="G753" s="18">
        <v>0</v>
      </c>
      <c r="H753" s="18">
        <v>2921601.42</v>
      </c>
    </row>
    <row r="754" spans="1:8">
      <c r="A754" s="15" t="s">
        <v>11994</v>
      </c>
      <c r="B754" s="16" t="s">
        <v>11995</v>
      </c>
      <c r="C754" s="16" t="s">
        <v>11995</v>
      </c>
      <c r="D754" s="17" t="s">
        <v>4124</v>
      </c>
      <c r="E754" s="17" t="s">
        <v>5646</v>
      </c>
      <c r="F754" s="18">
        <v>837.95</v>
      </c>
      <c r="G754" s="18">
        <v>0</v>
      </c>
      <c r="H754" s="18">
        <v>2920763.47</v>
      </c>
    </row>
    <row r="755" spans="1:8">
      <c r="A755" s="15" t="s">
        <v>11996</v>
      </c>
      <c r="B755" s="16" t="s">
        <v>11995</v>
      </c>
      <c r="C755" s="16" t="s">
        <v>11995</v>
      </c>
      <c r="D755" s="17" t="s">
        <v>4124</v>
      </c>
      <c r="E755" s="17" t="s">
        <v>5647</v>
      </c>
      <c r="F755" s="18">
        <v>5000</v>
      </c>
      <c r="G755" s="18">
        <v>0</v>
      </c>
      <c r="H755" s="18">
        <v>2915763.47</v>
      </c>
    </row>
    <row r="756" spans="1:8">
      <c r="A756" s="15" t="s">
        <v>12332</v>
      </c>
      <c r="B756" s="16" t="s">
        <v>11995</v>
      </c>
      <c r="C756" s="16" t="s">
        <v>11995</v>
      </c>
      <c r="D756" s="17" t="s">
        <v>4124</v>
      </c>
      <c r="E756" s="17" t="s">
        <v>5648</v>
      </c>
      <c r="F756" s="18">
        <v>0</v>
      </c>
      <c r="G756" s="18">
        <v>1015</v>
      </c>
      <c r="H756" s="18">
        <v>2916778.47</v>
      </c>
    </row>
    <row r="757" spans="1:8">
      <c r="A757" s="15" t="s">
        <v>11997</v>
      </c>
      <c r="B757" s="16" t="s">
        <v>11998</v>
      </c>
      <c r="C757" s="16" t="s">
        <v>11998</v>
      </c>
      <c r="D757" s="17" t="s">
        <v>4124</v>
      </c>
      <c r="E757" s="17" t="s">
        <v>5649</v>
      </c>
      <c r="F757" s="18">
        <v>8735</v>
      </c>
      <c r="G757" s="18">
        <v>0</v>
      </c>
      <c r="H757" s="18">
        <v>2908043.47</v>
      </c>
    </row>
    <row r="758" spans="1:8">
      <c r="A758" s="15" t="s">
        <v>12333</v>
      </c>
      <c r="B758" s="16" t="s">
        <v>11998</v>
      </c>
      <c r="C758" s="16" t="s">
        <v>11998</v>
      </c>
      <c r="D758" s="17" t="s">
        <v>4124</v>
      </c>
      <c r="E758" s="17" t="s">
        <v>5650</v>
      </c>
      <c r="F758" s="18">
        <v>12000</v>
      </c>
      <c r="G758" s="18">
        <v>0</v>
      </c>
      <c r="H758" s="18">
        <v>2896043.47</v>
      </c>
    </row>
    <row r="759" spans="1:8">
      <c r="A759" s="15" t="s">
        <v>11999</v>
      </c>
      <c r="B759" s="16" t="s">
        <v>11998</v>
      </c>
      <c r="C759" s="16" t="s">
        <v>11998</v>
      </c>
      <c r="D759" s="17" t="s">
        <v>4124</v>
      </c>
      <c r="E759" s="17" t="s">
        <v>5651</v>
      </c>
      <c r="F759" s="18">
        <v>1202</v>
      </c>
      <c r="G759" s="18">
        <v>0</v>
      </c>
      <c r="H759" s="18">
        <v>2894841.47</v>
      </c>
    </row>
    <row r="760" spans="1:8">
      <c r="A760" s="15" t="s">
        <v>12000</v>
      </c>
      <c r="B760" s="16" t="s">
        <v>12001</v>
      </c>
      <c r="C760" s="16" t="s">
        <v>12001</v>
      </c>
      <c r="D760" s="17" t="s">
        <v>4124</v>
      </c>
      <c r="E760" s="17" t="s">
        <v>5413</v>
      </c>
      <c r="F760" s="18">
        <v>34893</v>
      </c>
      <c r="G760" s="18">
        <v>0</v>
      </c>
      <c r="H760" s="18">
        <v>2859948.47</v>
      </c>
    </row>
    <row r="761" spans="1:8">
      <c r="A761" s="15" t="s">
        <v>12002</v>
      </c>
      <c r="B761" s="16" t="s">
        <v>12003</v>
      </c>
      <c r="C761" s="16" t="s">
        <v>12003</v>
      </c>
      <c r="D761" s="17" t="s">
        <v>4124</v>
      </c>
      <c r="E761" s="17" t="s">
        <v>12004</v>
      </c>
      <c r="F761" s="18">
        <v>5012</v>
      </c>
      <c r="G761" s="18">
        <v>0</v>
      </c>
      <c r="H761" s="18">
        <v>2854936.47</v>
      </c>
    </row>
    <row r="762" spans="1:8">
      <c r="A762" s="19"/>
      <c r="B762" s="19"/>
      <c r="C762" s="19"/>
      <c r="D762" s="19"/>
      <c r="E762" s="17" t="s">
        <v>12334</v>
      </c>
      <c r="F762" s="19"/>
      <c r="G762" s="19"/>
      <c r="H762" s="19"/>
    </row>
    <row r="763" spans="1:8">
      <c r="A763" s="15" t="s">
        <v>12335</v>
      </c>
      <c r="B763" s="16" t="s">
        <v>12336</v>
      </c>
      <c r="C763" s="16" t="s">
        <v>12336</v>
      </c>
      <c r="D763" s="17" t="s">
        <v>4124</v>
      </c>
      <c r="E763" s="17" t="s">
        <v>5653</v>
      </c>
      <c r="F763" s="18">
        <v>0</v>
      </c>
      <c r="G763" s="18">
        <v>410</v>
      </c>
      <c r="H763" s="18">
        <v>2855346.47</v>
      </c>
    </row>
    <row r="764" spans="1:8">
      <c r="A764" s="15" t="s">
        <v>12005</v>
      </c>
      <c r="B764" s="16" t="s">
        <v>12006</v>
      </c>
      <c r="C764" s="16" t="s">
        <v>12006</v>
      </c>
      <c r="D764" s="17" t="s">
        <v>4124</v>
      </c>
      <c r="E764" s="17" t="s">
        <v>5654</v>
      </c>
      <c r="F764" s="18">
        <v>510</v>
      </c>
      <c r="G764" s="18">
        <v>0</v>
      </c>
      <c r="H764" s="18">
        <v>2854836.47</v>
      </c>
    </row>
    <row r="765" spans="1:8">
      <c r="A765" s="15" t="s">
        <v>12007</v>
      </c>
      <c r="B765" s="16" t="s">
        <v>11478</v>
      </c>
      <c r="C765" s="16" t="s">
        <v>11478</v>
      </c>
      <c r="D765" s="17" t="s">
        <v>4124</v>
      </c>
      <c r="E765" s="17" t="s">
        <v>2303</v>
      </c>
      <c r="F765" s="18">
        <v>10000</v>
      </c>
      <c r="G765" s="18">
        <v>0</v>
      </c>
      <c r="H765" s="18">
        <v>2844836.47</v>
      </c>
    </row>
    <row r="766" spans="1:8">
      <c r="A766" s="15" t="s">
        <v>12337</v>
      </c>
      <c r="B766" s="16" t="s">
        <v>11479</v>
      </c>
      <c r="C766" s="16" t="s">
        <v>11479</v>
      </c>
      <c r="D766" s="17" t="s">
        <v>4124</v>
      </c>
      <c r="E766" s="17" t="s">
        <v>5655</v>
      </c>
      <c r="F766" s="18">
        <v>50000</v>
      </c>
      <c r="G766" s="18">
        <v>0</v>
      </c>
      <c r="H766" s="18">
        <v>2794836.47</v>
      </c>
    </row>
    <row r="767" spans="1:8">
      <c r="A767" s="15" t="s">
        <v>12008</v>
      </c>
      <c r="B767" s="16" t="s">
        <v>12009</v>
      </c>
      <c r="C767" s="16" t="s">
        <v>12009</v>
      </c>
      <c r="D767" s="17" t="s">
        <v>12010</v>
      </c>
      <c r="E767" s="17" t="s">
        <v>5657</v>
      </c>
      <c r="F767" s="18">
        <v>6250</v>
      </c>
      <c r="G767" s="18">
        <v>0</v>
      </c>
      <c r="H767" s="18">
        <v>2788586.47</v>
      </c>
    </row>
    <row r="768" spans="1:8">
      <c r="A768" s="15" t="s">
        <v>12338</v>
      </c>
      <c r="B768" s="16" t="s">
        <v>12339</v>
      </c>
      <c r="C768" s="16" t="s">
        <v>12339</v>
      </c>
      <c r="D768" s="17" t="s">
        <v>4124</v>
      </c>
      <c r="E768" s="17" t="s">
        <v>5658</v>
      </c>
      <c r="F768" s="18">
        <v>500000</v>
      </c>
      <c r="G768" s="18">
        <v>0</v>
      </c>
      <c r="H768" s="18">
        <v>2288586.4700000002</v>
      </c>
    </row>
    <row r="769" spans="1:8">
      <c r="A769" s="15" t="s">
        <v>12340</v>
      </c>
      <c r="B769" s="16" t="s">
        <v>12339</v>
      </c>
      <c r="C769" s="16" t="s">
        <v>12339</v>
      </c>
      <c r="D769" s="17" t="s">
        <v>4124</v>
      </c>
      <c r="E769" s="17" t="s">
        <v>5659</v>
      </c>
      <c r="F769" s="18">
        <v>0</v>
      </c>
      <c r="G769" s="18">
        <v>1015</v>
      </c>
      <c r="H769" s="18">
        <v>2289601.4700000002</v>
      </c>
    </row>
    <row r="770" spans="1:8">
      <c r="A770" s="15" t="s">
        <v>12341</v>
      </c>
      <c r="B770" s="16" t="s">
        <v>11482</v>
      </c>
      <c r="C770" s="16" t="s">
        <v>11482</v>
      </c>
      <c r="D770" s="17" t="s">
        <v>4124</v>
      </c>
      <c r="E770" s="17" t="s">
        <v>5660</v>
      </c>
      <c r="F770" s="18">
        <v>0</v>
      </c>
      <c r="G770" s="18">
        <v>21684</v>
      </c>
      <c r="H770" s="18">
        <v>2311285.4700000002</v>
      </c>
    </row>
    <row r="771" spans="1:8">
      <c r="A771" s="15" t="s">
        <v>12011</v>
      </c>
      <c r="B771" s="16" t="s">
        <v>11482</v>
      </c>
      <c r="C771" s="16" t="s">
        <v>11482</v>
      </c>
      <c r="D771" s="17" t="s">
        <v>4124</v>
      </c>
      <c r="E771" s="17" t="s">
        <v>5661</v>
      </c>
      <c r="F771" s="18">
        <v>10000</v>
      </c>
      <c r="G771" s="18">
        <v>0</v>
      </c>
      <c r="H771" s="18">
        <v>2301285.4700000002</v>
      </c>
    </row>
    <row r="772" spans="1:8">
      <c r="A772" s="15" t="s">
        <v>12342</v>
      </c>
      <c r="B772" s="16" t="s">
        <v>12343</v>
      </c>
      <c r="C772" s="16" t="s">
        <v>12343</v>
      </c>
      <c r="D772" s="17" t="s">
        <v>4124</v>
      </c>
      <c r="E772" s="17" t="s">
        <v>5662</v>
      </c>
      <c r="F772" s="18">
        <v>0</v>
      </c>
      <c r="G772" s="18">
        <v>319464</v>
      </c>
      <c r="H772" s="18">
        <v>2620749.4700000002</v>
      </c>
    </row>
    <row r="773" spans="1:8">
      <c r="A773" s="15" t="s">
        <v>12344</v>
      </c>
      <c r="B773" s="16" t="s">
        <v>12343</v>
      </c>
      <c r="C773" s="16" t="s">
        <v>12343</v>
      </c>
      <c r="D773" s="17" t="s">
        <v>4124</v>
      </c>
      <c r="E773" s="17" t="s">
        <v>5663</v>
      </c>
      <c r="F773" s="18">
        <v>0</v>
      </c>
      <c r="G773" s="18">
        <v>942</v>
      </c>
      <c r="H773" s="18">
        <v>2621691.4700000002</v>
      </c>
    </row>
    <row r="774" spans="1:8">
      <c r="A774" s="15" t="s">
        <v>11588</v>
      </c>
      <c r="B774" s="16" t="s">
        <v>12012</v>
      </c>
      <c r="C774" s="16" t="s">
        <v>12013</v>
      </c>
      <c r="D774" s="17" t="s">
        <v>4124</v>
      </c>
      <c r="E774" s="17" t="s">
        <v>5664</v>
      </c>
      <c r="F774" s="18">
        <v>50000</v>
      </c>
      <c r="G774" s="18">
        <v>0</v>
      </c>
      <c r="H774" s="18">
        <v>2571691.4700000002</v>
      </c>
    </row>
    <row r="775" spans="1:8">
      <c r="A775" s="15" t="s">
        <v>11483</v>
      </c>
      <c r="B775" s="16" t="s">
        <v>12012</v>
      </c>
      <c r="C775" s="16" t="s">
        <v>12013</v>
      </c>
      <c r="D775" s="17" t="s">
        <v>4124</v>
      </c>
      <c r="E775" s="17" t="s">
        <v>5665</v>
      </c>
      <c r="F775" s="18">
        <v>1521</v>
      </c>
      <c r="G775" s="18">
        <v>0</v>
      </c>
      <c r="H775" s="18">
        <v>2570170.4700000002</v>
      </c>
    </row>
    <row r="776" spans="1:8">
      <c r="A776" s="15" t="s">
        <v>11486</v>
      </c>
      <c r="B776" s="16" t="s">
        <v>12012</v>
      </c>
      <c r="C776" s="16" t="s">
        <v>12013</v>
      </c>
      <c r="D776" s="17" t="s">
        <v>4124</v>
      </c>
      <c r="E776" s="17" t="s">
        <v>5666</v>
      </c>
      <c r="F776" s="18">
        <v>40000</v>
      </c>
      <c r="G776" s="18">
        <v>0</v>
      </c>
      <c r="H776" s="18">
        <v>2530170.4700000002</v>
      </c>
    </row>
    <row r="777" spans="1:8">
      <c r="A777" s="15" t="s">
        <v>11487</v>
      </c>
      <c r="B777" s="16" t="s">
        <v>12013</v>
      </c>
      <c r="C777" s="16" t="s">
        <v>12013</v>
      </c>
      <c r="D777" s="17" t="s">
        <v>4124</v>
      </c>
      <c r="E777" s="17" t="s">
        <v>5667</v>
      </c>
      <c r="F777" s="18">
        <v>502.77</v>
      </c>
      <c r="G777" s="18">
        <v>0</v>
      </c>
      <c r="H777" s="18">
        <v>2529667.7000000002</v>
      </c>
    </row>
    <row r="778" spans="1:8">
      <c r="A778" s="15" t="s">
        <v>11488</v>
      </c>
      <c r="B778" s="16" t="s">
        <v>12014</v>
      </c>
      <c r="C778" s="16" t="s">
        <v>12014</v>
      </c>
      <c r="D778" s="17" t="s">
        <v>4124</v>
      </c>
      <c r="E778" s="17" t="s">
        <v>5668</v>
      </c>
      <c r="F778" s="18">
        <v>25000</v>
      </c>
      <c r="G778" s="18">
        <v>0</v>
      </c>
      <c r="H778" s="18">
        <v>2504667.7000000002</v>
      </c>
    </row>
    <row r="779" spans="1:8">
      <c r="A779" s="15" t="s">
        <v>11682</v>
      </c>
      <c r="B779" s="16" t="s">
        <v>12014</v>
      </c>
      <c r="C779" s="16" t="s">
        <v>12014</v>
      </c>
      <c r="D779" s="17" t="s">
        <v>4124</v>
      </c>
      <c r="E779" s="17" t="s">
        <v>5413</v>
      </c>
      <c r="F779" s="18">
        <v>5914.2</v>
      </c>
      <c r="G779" s="18">
        <v>0</v>
      </c>
      <c r="H779" s="18">
        <v>2498753.5</v>
      </c>
    </row>
    <row r="780" spans="1:8">
      <c r="A780" s="15" t="s">
        <v>11491</v>
      </c>
      <c r="B780" s="16" t="s">
        <v>12015</v>
      </c>
      <c r="C780" s="16" t="s">
        <v>12015</v>
      </c>
      <c r="D780" s="17" t="s">
        <v>12016</v>
      </c>
      <c r="E780" s="17" t="s">
        <v>5670</v>
      </c>
      <c r="F780" s="18">
        <v>9150</v>
      </c>
      <c r="G780" s="18">
        <v>0</v>
      </c>
      <c r="H780" s="18">
        <v>2489603.5</v>
      </c>
    </row>
    <row r="781" spans="1:8">
      <c r="A781" s="15" t="s">
        <v>11591</v>
      </c>
      <c r="B781" s="16" t="s">
        <v>12015</v>
      </c>
      <c r="C781" s="16" t="s">
        <v>12015</v>
      </c>
      <c r="D781" s="17" t="s">
        <v>4124</v>
      </c>
      <c r="E781" s="17" t="s">
        <v>5671</v>
      </c>
      <c r="F781" s="18">
        <v>0</v>
      </c>
      <c r="G781" s="18">
        <v>410</v>
      </c>
      <c r="H781" s="18">
        <v>2490013.5</v>
      </c>
    </row>
    <row r="782" spans="1:8">
      <c r="A782" s="15" t="s">
        <v>11493</v>
      </c>
      <c r="B782" s="16" t="s">
        <v>12345</v>
      </c>
      <c r="C782" s="16" t="s">
        <v>12345</v>
      </c>
      <c r="D782" s="17" t="s">
        <v>4124</v>
      </c>
      <c r="E782" s="17" t="s">
        <v>5672</v>
      </c>
      <c r="F782" s="18">
        <v>12000</v>
      </c>
      <c r="G782" s="18">
        <v>0</v>
      </c>
      <c r="H782" s="18">
        <v>2478013.5</v>
      </c>
    </row>
    <row r="783" spans="1:8">
      <c r="A783" s="15" t="s">
        <v>11594</v>
      </c>
      <c r="B783" s="16" t="s">
        <v>12017</v>
      </c>
      <c r="C783" s="16" t="s">
        <v>12017</v>
      </c>
      <c r="D783" s="17" t="s">
        <v>4124</v>
      </c>
      <c r="E783" s="17" t="s">
        <v>5673</v>
      </c>
      <c r="F783" s="18">
        <v>25000</v>
      </c>
      <c r="G783" s="18">
        <v>0</v>
      </c>
      <c r="H783" s="18">
        <v>2453013.5</v>
      </c>
    </row>
    <row r="784" spans="1:8">
      <c r="A784" s="15" t="s">
        <v>11596</v>
      </c>
      <c r="B784" s="16" t="s">
        <v>12017</v>
      </c>
      <c r="C784" s="16" t="s">
        <v>12017</v>
      </c>
      <c r="D784" s="17" t="s">
        <v>4124</v>
      </c>
      <c r="E784" s="17" t="s">
        <v>2317</v>
      </c>
      <c r="F784" s="18">
        <v>15000</v>
      </c>
      <c r="G784" s="18">
        <v>0</v>
      </c>
      <c r="H784" s="18">
        <v>2438013.5</v>
      </c>
    </row>
    <row r="785" spans="1:8">
      <c r="A785" s="15" t="s">
        <v>11495</v>
      </c>
      <c r="B785" s="16" t="s">
        <v>12346</v>
      </c>
      <c r="C785" s="16" t="s">
        <v>12346</v>
      </c>
      <c r="D785" s="17" t="s">
        <v>4124</v>
      </c>
      <c r="E785" s="17" t="s">
        <v>5674</v>
      </c>
      <c r="F785" s="18">
        <v>0</v>
      </c>
      <c r="G785" s="18">
        <v>1130.24</v>
      </c>
      <c r="H785" s="18">
        <v>2439143.7400000002</v>
      </c>
    </row>
    <row r="786" spans="1:8" ht="25.5">
      <c r="A786" s="15" t="s">
        <v>11742</v>
      </c>
      <c r="B786" s="16" t="s">
        <v>12347</v>
      </c>
      <c r="C786" s="16" t="s">
        <v>12347</v>
      </c>
      <c r="D786" s="17" t="s">
        <v>4124</v>
      </c>
      <c r="E786" s="17" t="s">
        <v>5675</v>
      </c>
      <c r="F786" s="18">
        <v>0</v>
      </c>
      <c r="G786" s="18">
        <v>11946.01</v>
      </c>
      <c r="H786" s="18">
        <v>2451089.75</v>
      </c>
    </row>
    <row r="787" spans="1:8">
      <c r="A787" s="15" t="s">
        <v>11808</v>
      </c>
      <c r="B787" s="16" t="s">
        <v>12018</v>
      </c>
      <c r="C787" s="16" t="s">
        <v>12018</v>
      </c>
      <c r="D787" s="17" t="s">
        <v>4124</v>
      </c>
      <c r="E787" s="17" t="s">
        <v>5676</v>
      </c>
      <c r="F787" s="18">
        <v>47000</v>
      </c>
      <c r="G787" s="18">
        <v>0</v>
      </c>
      <c r="H787" s="18">
        <v>2404089.75</v>
      </c>
    </row>
    <row r="788" spans="1:8">
      <c r="A788" s="15" t="s">
        <v>11599</v>
      </c>
      <c r="B788" s="16" t="s">
        <v>12018</v>
      </c>
      <c r="C788" s="16" t="s">
        <v>12018</v>
      </c>
      <c r="D788" s="17" t="s">
        <v>4124</v>
      </c>
      <c r="E788" s="17" t="s">
        <v>5677</v>
      </c>
      <c r="F788" s="18">
        <v>50000</v>
      </c>
      <c r="G788" s="18">
        <v>0</v>
      </c>
      <c r="H788" s="18">
        <v>2354089.75</v>
      </c>
    </row>
    <row r="789" spans="1:8">
      <c r="A789" s="15" t="s">
        <v>11498</v>
      </c>
      <c r="B789" s="16" t="s">
        <v>12018</v>
      </c>
      <c r="C789" s="16" t="s">
        <v>12018</v>
      </c>
      <c r="D789" s="17" t="s">
        <v>4124</v>
      </c>
      <c r="E789" s="17" t="s">
        <v>5678</v>
      </c>
      <c r="F789" s="18">
        <v>10000</v>
      </c>
      <c r="G789" s="18">
        <v>0</v>
      </c>
      <c r="H789" s="18">
        <v>2344089.75</v>
      </c>
    </row>
    <row r="790" spans="1:8">
      <c r="A790" s="15" t="s">
        <v>11936</v>
      </c>
      <c r="B790" s="16" t="s">
        <v>12348</v>
      </c>
      <c r="C790" s="16" t="s">
        <v>12348</v>
      </c>
      <c r="D790" s="17" t="s">
        <v>4124</v>
      </c>
      <c r="E790" s="17" t="s">
        <v>5679</v>
      </c>
      <c r="F790" s="18">
        <v>0</v>
      </c>
      <c r="G790" s="18">
        <v>730.53</v>
      </c>
      <c r="H790" s="18">
        <v>2344820.2799999998</v>
      </c>
    </row>
    <row r="791" spans="1:8">
      <c r="A791" s="15" t="s">
        <v>11500</v>
      </c>
      <c r="B791" s="16" t="s">
        <v>12349</v>
      </c>
      <c r="C791" s="16" t="s">
        <v>12349</v>
      </c>
      <c r="D791" s="17" t="s">
        <v>4124</v>
      </c>
      <c r="E791" s="17" t="s">
        <v>5680</v>
      </c>
      <c r="F791" s="18">
        <v>0</v>
      </c>
      <c r="G791" s="18">
        <v>417300</v>
      </c>
      <c r="H791" s="18">
        <v>2762120.28</v>
      </c>
    </row>
    <row r="792" spans="1:8">
      <c r="A792" s="15" t="s">
        <v>11689</v>
      </c>
      <c r="B792" s="16" t="s">
        <v>12349</v>
      </c>
      <c r="C792" s="16" t="s">
        <v>12349</v>
      </c>
      <c r="D792" s="17" t="s">
        <v>4124</v>
      </c>
      <c r="E792" s="17" t="s">
        <v>5681</v>
      </c>
      <c r="F792" s="18">
        <v>248627</v>
      </c>
      <c r="G792" s="18">
        <v>0</v>
      </c>
      <c r="H792" s="18">
        <v>2513493.2799999998</v>
      </c>
    </row>
    <row r="793" spans="1:8">
      <c r="A793" s="15" t="s">
        <v>11811</v>
      </c>
      <c r="B793" s="16" t="s">
        <v>12019</v>
      </c>
      <c r="C793" s="16" t="s">
        <v>12019</v>
      </c>
      <c r="D793" s="17" t="s">
        <v>4124</v>
      </c>
      <c r="E793" s="17" t="s">
        <v>5682</v>
      </c>
      <c r="F793" s="18">
        <v>259317</v>
      </c>
      <c r="G793" s="18">
        <v>0</v>
      </c>
      <c r="H793" s="18">
        <v>2254176.2799999998</v>
      </c>
    </row>
    <row r="794" spans="1:8">
      <c r="A794" s="15" t="s">
        <v>11603</v>
      </c>
      <c r="B794" s="16" t="s">
        <v>12350</v>
      </c>
      <c r="C794" s="16" t="s">
        <v>12350</v>
      </c>
      <c r="D794" s="17" t="s">
        <v>4124</v>
      </c>
      <c r="E794" s="17" t="s">
        <v>5683</v>
      </c>
      <c r="F794" s="18">
        <v>0</v>
      </c>
      <c r="G794" s="18">
        <v>248709</v>
      </c>
      <c r="H794" s="18">
        <v>2502885.2799999998</v>
      </c>
    </row>
    <row r="795" spans="1:8">
      <c r="A795" s="15" t="s">
        <v>11605</v>
      </c>
      <c r="B795" s="16" t="s">
        <v>12350</v>
      </c>
      <c r="C795" s="16" t="s">
        <v>12350</v>
      </c>
      <c r="D795" s="17" t="s">
        <v>4124</v>
      </c>
      <c r="E795" s="17" t="s">
        <v>5684</v>
      </c>
      <c r="F795" s="18">
        <v>50000</v>
      </c>
      <c r="G795" s="18">
        <v>0</v>
      </c>
      <c r="H795" s="18">
        <v>2452885.2799999998</v>
      </c>
    </row>
    <row r="796" spans="1:8">
      <c r="A796" s="15" t="s">
        <v>11502</v>
      </c>
      <c r="B796" s="16" t="s">
        <v>12351</v>
      </c>
      <c r="C796" s="16" t="s">
        <v>12352</v>
      </c>
      <c r="D796" s="17" t="s">
        <v>4124</v>
      </c>
      <c r="E796" s="17" t="s">
        <v>5685</v>
      </c>
      <c r="F796" s="18">
        <v>50000</v>
      </c>
      <c r="G796" s="18">
        <v>0</v>
      </c>
      <c r="H796" s="18">
        <v>2402885.2799999998</v>
      </c>
    </row>
  </sheetData>
  <pageMargins left="0.7" right="0.7" top="0.75" bottom="0.75" header="0.3" footer="0.3"/>
  <pageSetup orientation="portrait" horizontalDpi="200" verticalDpi="200" r:id="rId1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ct:contentTypeSchema xmlns:ct="http://schemas.microsoft.com/office/2006/metadata/contentType" xmlns:ma="http://schemas.microsoft.com/office/2006/metadata/properties/metaAttributes" ct:_="" ma:_="" ma:contentTypeName="Document" ma:contentTypeID="0x010100B317F11AFFC15849A92E1C90465D8228" ma:contentTypeVersion="13" ma:contentTypeDescription="Create a new document." ma:contentTypeScope="" ma:versionID="70fd8fa6ccfb85f1afbc4af8c5b21753">
  <xsd:schema xmlns:xsd="http://www.w3.org/2001/XMLSchema" xmlns:xs="http://www.w3.org/2001/XMLSchema" xmlns:p="http://schemas.microsoft.com/office/2006/metadata/properties" xmlns:ns3="5c4b0372-18df-4a41-a5e3-4daf47e95cab" xmlns:ns4="68dbb227-9060-443d-ba47-39bc4c78b6aa" targetNamespace="http://schemas.microsoft.com/office/2006/metadata/properties" ma:root="true" ma:fieldsID="d38a5c1cba75ff438bfbca07ae58c558" ns3:_="" ns4:_="">
    <xsd:import namespace="5c4b0372-18df-4a41-a5e3-4daf47e95cab"/>
    <xsd:import namespace="68dbb227-9060-443d-ba47-39bc4c78b6aa"/>
    <xsd:element name="properties">
      <xsd:complexType>
        <xsd:sequence>
          <xsd:element name="documentManagement">
            <xsd:complexType>
              <xsd:all>
                <xsd:element ref="ns3:MediaServiceMetadata" minOccurs="0"/>
                <xsd:element ref="ns3:MediaServiceFastMetadata" minOccurs="0"/>
                <xsd:element ref="ns3:MediaServiceDateTaken" minOccurs="0"/>
                <xsd:element ref="ns3:MediaServiceAutoTags" minOccurs="0"/>
                <xsd:element ref="ns3:MediaServiceOCR" minOccurs="0"/>
                <xsd:element ref="ns3:MediaServiceLocation" minOccurs="0"/>
                <xsd:element ref="ns3:MediaServiceGenerationTime" minOccurs="0"/>
                <xsd:element ref="ns3:MediaServiceEventHashCode" minOccurs="0"/>
                <xsd:element ref="ns3:MediaServiceAutoKeyPoints" minOccurs="0"/>
                <xsd:element ref="ns3:MediaServiceKeyPoints" minOccurs="0"/>
                <xsd:element ref="ns4:SharedWithUsers" minOccurs="0"/>
                <xsd:element ref="ns4:SharedWithDetails" minOccurs="0"/>
                <xsd:element ref="ns4:SharingHintHash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5c4b0372-18df-4a41-a5e3-4daf47e95cab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DateTaken" ma:index="10" nillable="true" ma:displayName="MediaServiceDateTaken" ma:hidden="true" ma:internalName="MediaServiceDateTaken" ma:readOnly="true">
      <xsd:simpleType>
        <xsd:restriction base="dms:Text"/>
      </xsd:simpleType>
    </xsd:element>
    <xsd:element name="MediaServiceAutoTags" ma:index="11" nillable="true" ma:displayName="Tags" ma:internalName="MediaServiceAutoTags" ma:readOnly="true">
      <xsd:simpleType>
        <xsd:restriction base="dms:Text"/>
      </xsd:simpleType>
    </xsd:element>
    <xsd:element name="MediaServiceOCR" ma:index="12" nillable="true" ma:displayName="Extracted Text" ma:internalName="MediaServiceOCR" ma:readOnly="true">
      <xsd:simpleType>
        <xsd:restriction base="dms:Note">
          <xsd:maxLength value="255"/>
        </xsd:restriction>
      </xsd:simpleType>
    </xsd:element>
    <xsd:element name="MediaServiceLocation" ma:index="13" nillable="true" ma:displayName="Location" ma:internalName="MediaServiceLocation" ma:readOnly="true">
      <xsd:simpleType>
        <xsd:restriction base="dms:Text"/>
      </xsd:simpleType>
    </xsd:element>
    <xsd:element name="MediaServiceGenerationTime" ma:index="14" nillable="true" ma:displayName="MediaServiceGenerationTime" ma:hidden="true" ma:internalName="MediaServiceGenerationTime" ma:readOnly="true">
      <xsd:simpleType>
        <xsd:restriction base="dms:Text"/>
      </xsd:simpleType>
    </xsd:element>
    <xsd:element name="MediaServiceEventHashCode" ma:index="15" nillable="true" ma:displayName="MediaServiceEventHashCode" ma:hidden="true" ma:internalName="MediaServiceEventHashCode" ma:readOnly="true">
      <xsd:simpleType>
        <xsd:restriction base="dms:Text"/>
      </xsd:simpleType>
    </xsd:element>
    <xsd:element name="MediaServiceAutoKeyPoints" ma:index="16" nillable="true" ma:displayName="MediaServiceAutoKeyPoints" ma:hidden="true" ma:internalName="MediaServiceAutoKeyPoints" ma:readOnly="true">
      <xsd:simpleType>
        <xsd:restriction base="dms:Note"/>
      </xsd:simpleType>
    </xsd:element>
    <xsd:element name="MediaServiceKeyPoints" ma:index="17" nillable="true" ma:displayName="KeyPoints" ma:internalName="MediaServiceKeyPoints" ma:readOnly="true">
      <xsd:simpleType>
        <xsd:restriction base="dms:Note">
          <xsd:maxLength value="255"/>
        </xsd:restriction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68dbb227-9060-443d-ba47-39bc4c78b6aa" elementFormDefault="qualified">
    <xsd:import namespace="http://schemas.microsoft.com/office/2006/documentManagement/types"/>
    <xsd:import namespace="http://schemas.microsoft.com/office/infopath/2007/PartnerControls"/>
    <xsd:element name="SharedWithUsers" ma:index="18" nillable="true" ma:displayName="Shared With" ma:internalName="SharedWithUsers" ma:readOnly="true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SharedWithDetails" ma:index="19" nillable="true" ma:displayName="Shared With Details" ma:internalName="SharedWithDetails" ma:readOnly="true">
      <xsd:simpleType>
        <xsd:restriction base="dms:Note">
          <xsd:maxLength value="255"/>
        </xsd:restriction>
      </xsd:simpleType>
    </xsd:element>
    <xsd:element name="SharingHintHash" ma:index="20" nillable="true" ma:displayName="Sharing Hint Hash" ma:hidden="true" ma:internalName="SharingHintHash" ma:readOnly="true">
      <xsd:simpleType>
        <xsd:restriction base="dms:Text"/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Content Type"/>
        <xsd:element ref="dc:title" minOccurs="0" maxOccurs="1" ma:index="4" ma:displayName="Title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2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/>
</p:properties>
</file>

<file path=customXml/item3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Props1.xml><?xml version="1.0" encoding="utf-8"?>
<ds:datastoreItem xmlns:ds="http://schemas.openxmlformats.org/officeDocument/2006/customXml" ds:itemID="{6AF35746-3A76-4E20-92A9-BB09BFE7145E}">
  <ds:schemaRefs>
    <ds:schemaRef ds:uri="http://schemas.microsoft.com/office/2006/metadata/contentType"/>
    <ds:schemaRef ds:uri="http://schemas.microsoft.com/office/2006/metadata/properties/metaAttributes"/>
    <ds:schemaRef ds:uri="http://www.w3.org/2001/XMLSchema"/>
    <ds:schemaRef ds:uri="http://schemas.microsoft.com/office/2006/metadata/properties"/>
    <ds:schemaRef ds:uri="5c4b0372-18df-4a41-a5e3-4daf47e95cab"/>
    <ds:schemaRef ds:uri="68dbb227-9060-443d-ba47-39bc4c78b6aa"/>
    <ds:schemaRef ds:uri="http://schemas.microsoft.com/office/2006/documentManagement/types"/>
    <ds:schemaRef ds:uri="http://schemas.microsoft.com/office/infopath/2007/PartnerControls"/>
    <ds:schemaRef ds:uri="http://schemas.openxmlformats.org/package/2006/metadata/core-properties"/>
    <ds:schemaRef ds:uri="http://purl.org/dc/elements/1.1/"/>
    <ds:schemaRef ds:uri="http://purl.org/dc/terms/"/>
    <ds:schemaRef ds:uri="http://schemas.microsoft.com/internal/obd"/>
  </ds:schemaRefs>
</ds:datastoreItem>
</file>

<file path=customXml/itemProps2.xml><?xml version="1.0" encoding="utf-8"?>
<ds:datastoreItem xmlns:ds="http://schemas.openxmlformats.org/officeDocument/2006/customXml" ds:itemID="{B34CDD29-1365-4AC2-88DD-0F582A44EB59}">
  <ds:schemaRefs>
    <ds:schemaRef ds:uri="http://schemas.microsoft.com/office/2006/metadata/properties"/>
    <ds:schemaRef ds:uri="http://schemas.microsoft.com/office/infopath/2007/PartnerControls"/>
  </ds:schemaRefs>
</ds:datastoreItem>
</file>

<file path=customXml/itemProps3.xml><?xml version="1.0" encoding="utf-8"?>
<ds:datastoreItem xmlns:ds="http://schemas.openxmlformats.org/officeDocument/2006/customXml" ds:itemID="{73B0094C-B78F-4C7F-9300-420A6D6FE59D}">
  <ds:schemaRefs>
    <ds:schemaRef ds:uri="http://schemas.microsoft.com/sharepoint/v3/contenttype/forms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34</vt:i4>
      </vt:variant>
    </vt:vector>
  </HeadingPairs>
  <TitlesOfParts>
    <vt:vector size="34" baseType="lpstr">
      <vt:lpstr>MultiYear-R-program</vt:lpstr>
      <vt:lpstr>Calculators-MorningStar</vt:lpstr>
      <vt:lpstr>Overlap</vt:lpstr>
      <vt:lpstr>DaywiseAissgnment</vt:lpstr>
      <vt:lpstr>MF-Combinations</vt:lpstr>
      <vt:lpstr>SalarySplit</vt:lpstr>
      <vt:lpstr>All Exp ICICI and HDFC V&amp;V</vt:lpstr>
      <vt:lpstr>ExpSummaryView</vt:lpstr>
      <vt:lpstr>Vin-Var Summary</vt:lpstr>
      <vt:lpstr>Vin-2001-Till date</vt:lpstr>
      <vt:lpstr>Var-Apr2009-Till date</vt:lpstr>
      <vt:lpstr>HDFC date change</vt:lpstr>
      <vt:lpstr>MonthlyInvestmentOutgo</vt:lpstr>
      <vt:lpstr>Varsha Policies</vt:lpstr>
      <vt:lpstr>Vinay Policies</vt:lpstr>
      <vt:lpstr>%ofCTC_NPS_Tax-Correction</vt:lpstr>
      <vt:lpstr>UmangKomalChldFutEndwmtPru Vyom</vt:lpstr>
      <vt:lpstr>Jeevan Komal</vt:lpstr>
      <vt:lpstr>Jeevan Child future</vt:lpstr>
      <vt:lpstr>YearWiseView</vt:lpstr>
      <vt:lpstr>Calc-Yearly-Outgo</vt:lpstr>
      <vt:lpstr>2021Budget-VPFcalc-Tax</vt:lpstr>
      <vt:lpstr>ICICPruCalc-16thSept2021</vt:lpstr>
      <vt:lpstr>ICICIPruCalc</vt:lpstr>
      <vt:lpstr>CarServicing</vt:lpstr>
      <vt:lpstr>Theoretical expense</vt:lpstr>
      <vt:lpstr>VinayMFtillApr2019</vt:lpstr>
      <vt:lpstr>Vin-Source ICICI 2001-Mar2004</vt:lpstr>
      <vt:lpstr>Vin-Source ICICI 2006-Mar2009</vt:lpstr>
      <vt:lpstr>All HDFC expenses</vt:lpstr>
      <vt:lpstr>HDFC 2011-16April</vt:lpstr>
      <vt:lpstr>ICICI April2015-Mar2016</vt:lpstr>
      <vt:lpstr>Varsha All</vt:lpstr>
      <vt:lpstr>Varsha 2009-10</vt:lpstr>
    </vt:vector>
  </TitlesOfParts>
  <Manager/>
  <Company>Novartis</Company>
  <LinksUpToDate>false</LinksUpToDate>
  <SharedDoc>false</SharedDoc>
  <HyperlinkBase/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Mahajan, Vinay</dc:creator>
  <cp:keywords/>
  <dc:description/>
  <cp:lastModifiedBy>Mahajan, Vinay</cp:lastModifiedBy>
  <cp:revision/>
  <dcterms:created xsi:type="dcterms:W3CDTF">2016-04-30T16:54:59Z</dcterms:created>
  <dcterms:modified xsi:type="dcterms:W3CDTF">2024-07-03T09:30:46Z</dcterms:modified>
  <cp:category/>
  <cp:contentStatus/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MSIP_Label_4929bff8-5b33-42aa-95d2-28f72e792cb0_Enabled">
    <vt:lpwstr>True</vt:lpwstr>
  </property>
  <property fmtid="{D5CDD505-2E9C-101B-9397-08002B2CF9AE}" pid="3" name="MSIP_Label_4929bff8-5b33-42aa-95d2-28f72e792cb0_SiteId">
    <vt:lpwstr>f35a6974-607f-47d4-82d7-ff31d7dc53a5</vt:lpwstr>
  </property>
  <property fmtid="{D5CDD505-2E9C-101B-9397-08002B2CF9AE}" pid="4" name="MSIP_Label_4929bff8-5b33-42aa-95d2-28f72e792cb0_Ref">
    <vt:lpwstr>https://api.informationprotection.azure.com/api/f35a6974-607f-47d4-82d7-ff31d7dc53a5</vt:lpwstr>
  </property>
  <property fmtid="{D5CDD505-2E9C-101B-9397-08002B2CF9AE}" pid="5" name="MSIP_Label_4929bff8-5b33-42aa-95d2-28f72e792cb0_SetDate">
    <vt:lpwstr>2018-07-31T10:40:23.1449815+05:30</vt:lpwstr>
  </property>
  <property fmtid="{D5CDD505-2E9C-101B-9397-08002B2CF9AE}" pid="6" name="MSIP_Label_4929bff8-5b33-42aa-95d2-28f72e792cb0_Name">
    <vt:lpwstr>Business Use Only</vt:lpwstr>
  </property>
  <property fmtid="{D5CDD505-2E9C-101B-9397-08002B2CF9AE}" pid="7" name="MSIP_Label_4929bff8-5b33-42aa-95d2-28f72e792cb0_Extended_MSFT_Method">
    <vt:lpwstr>Automatic</vt:lpwstr>
  </property>
  <property fmtid="{D5CDD505-2E9C-101B-9397-08002B2CF9AE}" pid="8" name="Confidentiality">
    <vt:lpwstr>Business Use Only</vt:lpwstr>
  </property>
  <property fmtid="{D5CDD505-2E9C-101B-9397-08002B2CF9AE}" pid="9" name="ContentTypeId">
    <vt:lpwstr>0x010100B317F11AFFC15849A92E1C90465D8228</vt:lpwstr>
  </property>
</Properties>
</file>